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ein\Desktop\"/>
    </mc:Choice>
  </mc:AlternateContent>
  <bookViews>
    <workbookView xWindow="0" yWindow="0" windowWidth="19200" windowHeight="7190"/>
  </bookViews>
  <sheets>
    <sheet name="سوال از رئیس جمهور در مجلس"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E2" i="1"/>
  <c r="I2" i="1"/>
  <c r="S2" i="1"/>
  <c r="B3" i="1"/>
  <c r="E3" i="1"/>
  <c r="I3" i="1"/>
  <c r="S3" i="1"/>
  <c r="B4" i="1"/>
  <c r="E4" i="1"/>
  <c r="I4" i="1"/>
  <c r="S4" i="1"/>
  <c r="B5" i="1"/>
  <c r="E5" i="1"/>
  <c r="I5" i="1"/>
  <c r="S5" i="1"/>
  <c r="B6" i="1"/>
  <c r="E6" i="1"/>
  <c r="I6" i="1"/>
  <c r="S6" i="1"/>
  <c r="B7" i="1"/>
  <c r="E7" i="1"/>
  <c r="I7" i="1"/>
  <c r="S7" i="1"/>
  <c r="B8" i="1"/>
  <c r="E8" i="1"/>
  <c r="I8" i="1"/>
  <c r="S8" i="1"/>
  <c r="B9" i="1"/>
  <c r="E9" i="1"/>
  <c r="I9" i="1"/>
  <c r="S9" i="1"/>
  <c r="B10" i="1"/>
  <c r="E10" i="1"/>
  <c r="I10" i="1"/>
  <c r="S10" i="1"/>
  <c r="B11" i="1"/>
  <c r="E11" i="1"/>
  <c r="I11" i="1"/>
  <c r="S11" i="1"/>
  <c r="B12" i="1"/>
  <c r="E12" i="1"/>
  <c r="I12" i="1"/>
  <c r="S12" i="1"/>
  <c r="B13" i="1"/>
  <c r="E13" i="1"/>
  <c r="I13" i="1"/>
  <c r="S13" i="1"/>
  <c r="B14" i="1"/>
  <c r="E14" i="1"/>
  <c r="I14" i="1"/>
  <c r="S14" i="1"/>
  <c r="B15" i="1"/>
  <c r="E15" i="1"/>
  <c r="I15" i="1"/>
  <c r="S15" i="1"/>
  <c r="B16" i="1"/>
  <c r="E16" i="1"/>
  <c r="I16" i="1"/>
  <c r="S16" i="1"/>
  <c r="B17" i="1"/>
  <c r="E17" i="1"/>
  <c r="I17" i="1"/>
  <c r="S17" i="1"/>
  <c r="B18" i="1"/>
  <c r="E18" i="1"/>
  <c r="I18" i="1"/>
  <c r="S18" i="1"/>
  <c r="B19" i="1"/>
  <c r="E19" i="1"/>
  <c r="I19" i="1"/>
  <c r="S19" i="1"/>
  <c r="B20" i="1"/>
  <c r="E20" i="1"/>
  <c r="I20" i="1"/>
  <c r="S20" i="1"/>
  <c r="B21" i="1"/>
  <c r="E21" i="1"/>
  <c r="I21" i="1"/>
  <c r="S21" i="1"/>
  <c r="B22" i="1"/>
  <c r="E22" i="1"/>
  <c r="I22" i="1"/>
  <c r="B23" i="1"/>
  <c r="E23" i="1"/>
  <c r="I23" i="1"/>
  <c r="S23" i="1"/>
  <c r="B24" i="1"/>
  <c r="E24" i="1"/>
  <c r="I24" i="1"/>
  <c r="S24" i="1"/>
  <c r="B25" i="1"/>
  <c r="E25" i="1"/>
  <c r="I25" i="1"/>
  <c r="S25" i="1"/>
  <c r="B26" i="1"/>
  <c r="E26" i="1"/>
  <c r="I26" i="1"/>
  <c r="S26" i="1"/>
  <c r="B27" i="1"/>
  <c r="E27" i="1"/>
  <c r="I27" i="1"/>
  <c r="S27" i="1"/>
  <c r="B28" i="1"/>
  <c r="E28" i="1"/>
  <c r="I28" i="1"/>
  <c r="S28" i="1"/>
  <c r="B29" i="1"/>
  <c r="E29" i="1"/>
  <c r="I29" i="1"/>
  <c r="S29" i="1"/>
  <c r="B30" i="1"/>
  <c r="E30" i="1"/>
  <c r="I30" i="1"/>
  <c r="S30" i="1"/>
  <c r="B31" i="1"/>
  <c r="E31" i="1"/>
  <c r="I31" i="1"/>
  <c r="S31" i="1"/>
  <c r="B32" i="1"/>
  <c r="E32" i="1"/>
  <c r="I32" i="1"/>
  <c r="S32" i="1"/>
  <c r="B33" i="1"/>
  <c r="E33" i="1"/>
  <c r="I33" i="1"/>
  <c r="S33" i="1"/>
  <c r="B34" i="1"/>
  <c r="E34" i="1"/>
  <c r="I34" i="1"/>
  <c r="S34" i="1"/>
  <c r="B35" i="1"/>
  <c r="E35" i="1"/>
  <c r="I35" i="1"/>
  <c r="S35" i="1"/>
  <c r="B36" i="1"/>
  <c r="E36" i="1"/>
  <c r="I36" i="1"/>
  <c r="S36" i="1"/>
  <c r="B37" i="1"/>
  <c r="E37" i="1"/>
  <c r="I37" i="1"/>
  <c r="S37" i="1"/>
  <c r="B38" i="1"/>
  <c r="E38" i="1"/>
  <c r="I38" i="1"/>
  <c r="S38" i="1"/>
  <c r="B39" i="1"/>
  <c r="E39" i="1"/>
  <c r="I39" i="1"/>
  <c r="S39" i="1"/>
  <c r="B40" i="1"/>
  <c r="E40" i="1"/>
  <c r="I40" i="1"/>
  <c r="S40" i="1"/>
  <c r="B41" i="1"/>
  <c r="E41" i="1"/>
  <c r="I41" i="1"/>
  <c r="S41" i="1"/>
  <c r="B42" i="1"/>
  <c r="E42" i="1"/>
  <c r="I42" i="1"/>
  <c r="S42" i="1"/>
  <c r="B43" i="1"/>
  <c r="E43" i="1"/>
  <c r="I43" i="1"/>
  <c r="S43" i="1"/>
  <c r="B44" i="1"/>
  <c r="E44" i="1"/>
  <c r="I44" i="1"/>
  <c r="S44" i="1"/>
  <c r="B45" i="1"/>
  <c r="E45" i="1"/>
  <c r="I45" i="1"/>
  <c r="S45" i="1"/>
  <c r="B46" i="1"/>
  <c r="E46" i="1"/>
  <c r="I46" i="1"/>
  <c r="S46" i="1"/>
  <c r="B47" i="1"/>
  <c r="E47" i="1"/>
  <c r="I47" i="1"/>
  <c r="S47" i="1"/>
  <c r="B48" i="1"/>
  <c r="E48" i="1"/>
  <c r="I48" i="1"/>
  <c r="S48" i="1"/>
  <c r="B49" i="1"/>
  <c r="E49" i="1"/>
  <c r="I49" i="1"/>
  <c r="S49" i="1"/>
  <c r="B50" i="1"/>
  <c r="E50" i="1"/>
  <c r="I50" i="1"/>
  <c r="S50" i="1"/>
  <c r="B51" i="1"/>
  <c r="E51" i="1"/>
  <c r="I51" i="1"/>
  <c r="S51" i="1"/>
  <c r="B52" i="1"/>
  <c r="E52" i="1"/>
  <c r="I52" i="1"/>
  <c r="S52" i="1"/>
  <c r="B53" i="1"/>
  <c r="E53" i="1"/>
  <c r="I53" i="1"/>
  <c r="S53" i="1"/>
  <c r="B54" i="1"/>
  <c r="E54" i="1"/>
  <c r="I54" i="1"/>
  <c r="S54" i="1"/>
  <c r="B55" i="1"/>
  <c r="E55" i="1"/>
  <c r="I55" i="1"/>
  <c r="S55" i="1"/>
  <c r="B56" i="1"/>
  <c r="E56" i="1"/>
  <c r="I56" i="1"/>
  <c r="S56" i="1"/>
  <c r="B57" i="1"/>
  <c r="E57" i="1"/>
  <c r="I57" i="1"/>
  <c r="S57" i="1"/>
  <c r="B58" i="1"/>
  <c r="E58" i="1"/>
  <c r="I58" i="1"/>
  <c r="S58" i="1"/>
  <c r="B59" i="1"/>
  <c r="E59" i="1"/>
  <c r="I59" i="1"/>
  <c r="S59" i="1"/>
  <c r="B60" i="1"/>
  <c r="E60" i="1"/>
  <c r="I60" i="1"/>
  <c r="S60" i="1"/>
  <c r="B61" i="1"/>
  <c r="E61" i="1"/>
  <c r="I61" i="1"/>
  <c r="S61" i="1"/>
  <c r="B62" i="1"/>
  <c r="E62" i="1"/>
  <c r="I62" i="1"/>
  <c r="S62" i="1"/>
  <c r="B63" i="1"/>
  <c r="E63" i="1"/>
  <c r="I63" i="1"/>
  <c r="S63" i="1"/>
  <c r="B64" i="1"/>
  <c r="E64" i="1"/>
  <c r="I64" i="1"/>
  <c r="S64" i="1"/>
  <c r="B65" i="1"/>
  <c r="E65" i="1"/>
  <c r="I65" i="1"/>
  <c r="S65" i="1"/>
  <c r="B66" i="1"/>
  <c r="E66" i="1"/>
  <c r="I66" i="1"/>
  <c r="S66" i="1"/>
  <c r="B67" i="1"/>
  <c r="E67" i="1"/>
  <c r="I67" i="1"/>
  <c r="S67" i="1"/>
  <c r="B68" i="1"/>
  <c r="E68" i="1"/>
  <c r="I68" i="1"/>
  <c r="S68" i="1"/>
  <c r="B69" i="1"/>
  <c r="E69" i="1"/>
  <c r="I69" i="1"/>
  <c r="S69" i="1"/>
  <c r="B70" i="1"/>
  <c r="E70" i="1"/>
  <c r="I70" i="1"/>
  <c r="S70" i="1"/>
  <c r="B71" i="1"/>
  <c r="E71" i="1"/>
  <c r="I71" i="1"/>
  <c r="S71" i="1"/>
  <c r="B72" i="1"/>
  <c r="E72" i="1"/>
  <c r="I72" i="1"/>
  <c r="S72" i="1"/>
  <c r="B73" i="1"/>
  <c r="E73" i="1"/>
  <c r="I73" i="1"/>
  <c r="S73" i="1"/>
  <c r="B74" i="1"/>
  <c r="E74" i="1"/>
  <c r="I74" i="1"/>
  <c r="S74" i="1"/>
  <c r="B75" i="1"/>
  <c r="E75" i="1"/>
  <c r="I75" i="1"/>
  <c r="S75" i="1"/>
  <c r="B76" i="1"/>
  <c r="E76" i="1"/>
  <c r="I76" i="1"/>
  <c r="S76" i="1"/>
  <c r="B77" i="1"/>
  <c r="E77" i="1"/>
  <c r="I77" i="1"/>
  <c r="S77" i="1"/>
  <c r="B78" i="1"/>
  <c r="E78" i="1"/>
  <c r="I78" i="1"/>
  <c r="S78" i="1"/>
  <c r="B79" i="1"/>
  <c r="E79" i="1"/>
  <c r="I79" i="1"/>
  <c r="S79" i="1"/>
  <c r="B80" i="1"/>
  <c r="E80" i="1"/>
  <c r="I80" i="1"/>
  <c r="S80" i="1"/>
  <c r="B81" i="1"/>
  <c r="E81" i="1"/>
  <c r="I81" i="1"/>
  <c r="S81" i="1"/>
  <c r="B82" i="1"/>
  <c r="E82" i="1"/>
  <c r="I82" i="1"/>
  <c r="S82" i="1"/>
  <c r="B83" i="1"/>
  <c r="E83" i="1"/>
  <c r="I83" i="1"/>
  <c r="S83" i="1"/>
  <c r="B84" i="1"/>
  <c r="E84" i="1"/>
  <c r="I84" i="1"/>
  <c r="S84" i="1"/>
  <c r="B85" i="1"/>
  <c r="E85" i="1"/>
  <c r="I85" i="1"/>
  <c r="S85" i="1"/>
  <c r="B86" i="1"/>
  <c r="E86" i="1"/>
  <c r="I86" i="1"/>
  <c r="S86" i="1"/>
  <c r="B87" i="1"/>
  <c r="E87" i="1"/>
  <c r="I87" i="1"/>
  <c r="S87" i="1"/>
  <c r="B88" i="1"/>
  <c r="E88" i="1"/>
  <c r="I88" i="1"/>
  <c r="S88" i="1"/>
  <c r="B89" i="1"/>
  <c r="E89" i="1"/>
  <c r="I89" i="1"/>
  <c r="S89" i="1"/>
  <c r="B90" i="1"/>
  <c r="E90" i="1"/>
  <c r="I90" i="1"/>
  <c r="S90" i="1"/>
  <c r="B91" i="1"/>
  <c r="E91" i="1"/>
  <c r="I91" i="1"/>
  <c r="S91" i="1"/>
  <c r="B92" i="1"/>
  <c r="E92" i="1"/>
  <c r="I92" i="1"/>
  <c r="S92" i="1"/>
  <c r="B93" i="1"/>
  <c r="E93" i="1"/>
  <c r="I93" i="1"/>
  <c r="S93" i="1"/>
  <c r="B94" i="1"/>
  <c r="E94" i="1"/>
  <c r="I94" i="1"/>
  <c r="S94" i="1"/>
  <c r="B95" i="1"/>
  <c r="E95" i="1"/>
  <c r="I95" i="1"/>
  <c r="S95" i="1"/>
  <c r="B96" i="1"/>
  <c r="E96" i="1"/>
  <c r="I96" i="1"/>
  <c r="S96" i="1"/>
  <c r="B97" i="1"/>
  <c r="E97" i="1"/>
  <c r="I97" i="1"/>
  <c r="S97" i="1"/>
  <c r="B98" i="1"/>
  <c r="E98" i="1"/>
  <c r="I98" i="1"/>
  <c r="S98" i="1"/>
  <c r="B99" i="1"/>
  <c r="E99" i="1"/>
  <c r="I99" i="1"/>
  <c r="S99" i="1"/>
  <c r="B100" i="1"/>
  <c r="E100" i="1"/>
  <c r="I100" i="1"/>
  <c r="S100" i="1"/>
  <c r="B101" i="1"/>
  <c r="E101" i="1"/>
  <c r="I101" i="1"/>
  <c r="S101" i="1"/>
  <c r="B102" i="1"/>
  <c r="E102" i="1"/>
  <c r="I102" i="1"/>
  <c r="S102" i="1"/>
  <c r="B103" i="1"/>
  <c r="E103" i="1"/>
  <c r="I103" i="1"/>
  <c r="S103" i="1"/>
  <c r="B104" i="1"/>
  <c r="E104" i="1"/>
  <c r="I104" i="1"/>
  <c r="S104" i="1"/>
  <c r="B105" i="1"/>
  <c r="E105" i="1"/>
  <c r="I105" i="1"/>
  <c r="B106" i="1"/>
  <c r="E106" i="1"/>
  <c r="I106" i="1"/>
  <c r="S106" i="1"/>
  <c r="B107" i="1"/>
  <c r="E107" i="1"/>
  <c r="I107" i="1"/>
  <c r="S107" i="1"/>
  <c r="B108" i="1"/>
  <c r="E108" i="1"/>
  <c r="I108" i="1"/>
  <c r="S108" i="1"/>
  <c r="B109" i="1"/>
  <c r="E109" i="1"/>
  <c r="I109" i="1"/>
  <c r="S109" i="1"/>
  <c r="B110" i="1"/>
  <c r="E110" i="1"/>
  <c r="I110" i="1"/>
  <c r="S110" i="1"/>
  <c r="B111" i="1"/>
  <c r="E111" i="1"/>
  <c r="I111" i="1"/>
  <c r="S111" i="1"/>
  <c r="B112" i="1"/>
  <c r="E112" i="1"/>
  <c r="I112" i="1"/>
  <c r="S112" i="1"/>
  <c r="B113" i="1"/>
  <c r="E113" i="1"/>
  <c r="I113" i="1"/>
  <c r="S113" i="1"/>
  <c r="B114" i="1"/>
  <c r="E114" i="1"/>
  <c r="I114" i="1"/>
  <c r="B115" i="1"/>
  <c r="E115" i="1"/>
  <c r="I115" i="1"/>
  <c r="S115" i="1"/>
  <c r="B116" i="1"/>
  <c r="E116" i="1"/>
  <c r="I116" i="1"/>
  <c r="S116" i="1"/>
  <c r="B117" i="1"/>
  <c r="E117" i="1"/>
  <c r="I117" i="1"/>
  <c r="S117" i="1"/>
  <c r="B118" i="1"/>
  <c r="E118" i="1"/>
  <c r="I118" i="1"/>
  <c r="S118" i="1"/>
  <c r="B119" i="1"/>
  <c r="E119" i="1"/>
  <c r="I119" i="1"/>
  <c r="S119" i="1"/>
  <c r="B120" i="1"/>
  <c r="E120" i="1"/>
  <c r="I120" i="1"/>
  <c r="S120" i="1"/>
  <c r="B121" i="1"/>
  <c r="E121" i="1"/>
  <c r="I121" i="1"/>
  <c r="S121" i="1"/>
  <c r="B122" i="1"/>
  <c r="E122" i="1"/>
  <c r="I122" i="1"/>
  <c r="S122" i="1"/>
  <c r="B123" i="1"/>
  <c r="E123" i="1"/>
  <c r="I123" i="1"/>
  <c r="S123" i="1"/>
  <c r="B124" i="1"/>
  <c r="E124" i="1"/>
  <c r="I124" i="1"/>
  <c r="S124" i="1"/>
  <c r="B125" i="1"/>
  <c r="E125" i="1"/>
  <c r="I125" i="1"/>
  <c r="S125" i="1"/>
  <c r="B126" i="1"/>
  <c r="E126" i="1"/>
  <c r="I126" i="1"/>
  <c r="S126" i="1"/>
  <c r="B127" i="1"/>
  <c r="E127" i="1"/>
  <c r="I127" i="1"/>
  <c r="S127" i="1"/>
  <c r="B128" i="1"/>
  <c r="E128" i="1"/>
  <c r="I128" i="1"/>
  <c r="S128" i="1"/>
  <c r="B129" i="1"/>
  <c r="E129" i="1"/>
  <c r="I129" i="1"/>
  <c r="S129" i="1"/>
  <c r="B130" i="1"/>
  <c r="E130" i="1"/>
  <c r="I130" i="1"/>
  <c r="S130" i="1"/>
  <c r="B131" i="1"/>
  <c r="E131" i="1"/>
  <c r="I131" i="1"/>
  <c r="S131" i="1"/>
  <c r="B132" i="1"/>
  <c r="E132" i="1"/>
  <c r="I132" i="1"/>
  <c r="S132" i="1"/>
  <c r="B133" i="1"/>
  <c r="E133" i="1"/>
  <c r="I133" i="1"/>
  <c r="S133" i="1"/>
  <c r="B134" i="1"/>
  <c r="E134" i="1"/>
  <c r="I134" i="1"/>
  <c r="S134" i="1"/>
  <c r="B135" i="1"/>
  <c r="E135" i="1"/>
  <c r="I135" i="1"/>
  <c r="S135" i="1"/>
  <c r="B136" i="1"/>
  <c r="E136" i="1"/>
  <c r="I136" i="1"/>
  <c r="S136" i="1"/>
  <c r="B137" i="1"/>
  <c r="E137" i="1"/>
  <c r="I137" i="1"/>
  <c r="S137" i="1"/>
  <c r="B138" i="1"/>
  <c r="E138" i="1"/>
  <c r="I138" i="1"/>
  <c r="B139" i="1"/>
  <c r="E139" i="1"/>
  <c r="I139" i="1"/>
  <c r="S139" i="1"/>
  <c r="B140" i="1"/>
  <c r="E140" i="1"/>
  <c r="I140" i="1"/>
  <c r="S140" i="1"/>
  <c r="B141" i="1"/>
  <c r="E141" i="1"/>
  <c r="I141" i="1"/>
  <c r="S141" i="1"/>
  <c r="B142" i="1"/>
  <c r="E142" i="1"/>
  <c r="I142" i="1"/>
  <c r="S142" i="1"/>
  <c r="B143" i="1"/>
  <c r="E143" i="1"/>
  <c r="I143" i="1"/>
  <c r="S143" i="1"/>
  <c r="B144" i="1"/>
  <c r="E144" i="1"/>
  <c r="I144" i="1"/>
  <c r="S144" i="1"/>
  <c r="B145" i="1"/>
  <c r="E145" i="1"/>
  <c r="I145" i="1"/>
  <c r="S145" i="1"/>
  <c r="B146" i="1"/>
  <c r="E146" i="1"/>
  <c r="I146" i="1"/>
  <c r="S146" i="1"/>
  <c r="B147" i="1"/>
  <c r="E147" i="1"/>
  <c r="I147" i="1"/>
  <c r="S147" i="1"/>
  <c r="B148" i="1"/>
  <c r="E148" i="1"/>
  <c r="I148" i="1"/>
  <c r="S148" i="1"/>
  <c r="B149" i="1"/>
  <c r="E149" i="1"/>
  <c r="I149" i="1"/>
  <c r="S149" i="1"/>
  <c r="B150" i="1"/>
  <c r="E150" i="1"/>
  <c r="I150" i="1"/>
  <c r="S150" i="1"/>
  <c r="B151" i="1"/>
  <c r="E151" i="1"/>
  <c r="I151" i="1"/>
  <c r="S151" i="1"/>
  <c r="B152" i="1"/>
  <c r="E152" i="1"/>
  <c r="I152" i="1"/>
  <c r="S152" i="1"/>
  <c r="B153" i="1"/>
  <c r="E153" i="1"/>
  <c r="I153" i="1"/>
  <c r="S153" i="1"/>
  <c r="B154" i="1"/>
  <c r="E154" i="1"/>
  <c r="I154" i="1"/>
  <c r="S154" i="1"/>
  <c r="B155" i="1"/>
  <c r="E155" i="1"/>
  <c r="I155" i="1"/>
  <c r="S155" i="1"/>
  <c r="B156" i="1"/>
  <c r="E156" i="1"/>
  <c r="I156" i="1"/>
  <c r="S156" i="1"/>
  <c r="B157" i="1"/>
  <c r="E157" i="1"/>
  <c r="I157" i="1"/>
  <c r="S157" i="1"/>
  <c r="B158" i="1"/>
  <c r="E158" i="1"/>
  <c r="I158" i="1"/>
  <c r="S158" i="1"/>
  <c r="B159" i="1"/>
  <c r="E159" i="1"/>
  <c r="I159" i="1"/>
  <c r="S159" i="1"/>
  <c r="B160" i="1"/>
  <c r="E160" i="1"/>
  <c r="I160" i="1"/>
  <c r="S160" i="1"/>
  <c r="B161" i="1"/>
  <c r="E161" i="1"/>
  <c r="I161" i="1"/>
  <c r="S161" i="1"/>
  <c r="B162" i="1"/>
  <c r="E162" i="1"/>
  <c r="I162" i="1"/>
  <c r="S162" i="1"/>
  <c r="B163" i="1"/>
  <c r="E163" i="1"/>
  <c r="I163" i="1"/>
  <c r="S163" i="1"/>
  <c r="B164" i="1"/>
  <c r="E164" i="1"/>
  <c r="I164" i="1"/>
  <c r="S164" i="1"/>
  <c r="B165" i="1"/>
  <c r="E165" i="1"/>
  <c r="I165" i="1"/>
  <c r="S165" i="1"/>
  <c r="B166" i="1"/>
  <c r="E166" i="1"/>
  <c r="I166" i="1"/>
  <c r="S166" i="1"/>
  <c r="B167" i="1"/>
  <c r="E167" i="1"/>
  <c r="I167" i="1"/>
  <c r="S167" i="1"/>
  <c r="B168" i="1"/>
  <c r="E168" i="1"/>
  <c r="I168" i="1"/>
  <c r="S168" i="1"/>
  <c r="B169" i="1"/>
  <c r="E169" i="1"/>
  <c r="I169" i="1"/>
  <c r="S169" i="1"/>
  <c r="B170" i="1"/>
  <c r="E170" i="1"/>
  <c r="I170" i="1"/>
  <c r="S170" i="1"/>
  <c r="B171" i="1"/>
  <c r="E171" i="1"/>
  <c r="I171" i="1"/>
  <c r="S171" i="1"/>
  <c r="B172" i="1"/>
  <c r="E172" i="1"/>
  <c r="I172" i="1"/>
  <c r="S172" i="1"/>
  <c r="B173" i="1"/>
  <c r="E173" i="1"/>
  <c r="I173" i="1"/>
  <c r="S173" i="1"/>
  <c r="B174" i="1"/>
  <c r="E174" i="1"/>
  <c r="I174" i="1"/>
  <c r="S174" i="1"/>
  <c r="B175" i="1"/>
  <c r="E175" i="1"/>
  <c r="I175" i="1"/>
  <c r="S175" i="1"/>
  <c r="B176" i="1"/>
  <c r="E176" i="1"/>
  <c r="I176" i="1"/>
  <c r="S176" i="1"/>
  <c r="B177" i="1"/>
  <c r="E177" i="1"/>
  <c r="I177" i="1"/>
  <c r="S177" i="1"/>
  <c r="B178" i="1"/>
  <c r="E178" i="1"/>
  <c r="I178" i="1"/>
  <c r="S178" i="1"/>
  <c r="B179" i="1"/>
  <c r="E179" i="1"/>
  <c r="I179" i="1"/>
  <c r="S179" i="1"/>
  <c r="B180" i="1"/>
  <c r="E180" i="1"/>
  <c r="I180" i="1"/>
  <c r="S180" i="1"/>
  <c r="B181" i="1"/>
  <c r="E181" i="1"/>
  <c r="I181" i="1"/>
  <c r="S181" i="1"/>
  <c r="B182" i="1"/>
  <c r="E182" i="1"/>
  <c r="I182" i="1"/>
  <c r="S182" i="1"/>
  <c r="B183" i="1"/>
  <c r="E183" i="1"/>
  <c r="I183" i="1"/>
  <c r="S183" i="1"/>
  <c r="B184" i="1"/>
  <c r="E184" i="1"/>
  <c r="I184" i="1"/>
  <c r="S184" i="1"/>
  <c r="B185" i="1"/>
  <c r="E185" i="1"/>
  <c r="I185" i="1"/>
  <c r="S185" i="1"/>
  <c r="B186" i="1"/>
  <c r="E186" i="1"/>
  <c r="I186" i="1"/>
  <c r="S186" i="1"/>
  <c r="B187" i="1"/>
  <c r="E187" i="1"/>
  <c r="I187" i="1"/>
  <c r="S187" i="1"/>
  <c r="B188" i="1"/>
  <c r="E188" i="1"/>
  <c r="I188" i="1"/>
  <c r="S188" i="1"/>
  <c r="B189" i="1"/>
  <c r="E189" i="1"/>
  <c r="I189" i="1"/>
  <c r="S189" i="1"/>
  <c r="B190" i="1"/>
  <c r="E190" i="1"/>
  <c r="I190" i="1"/>
  <c r="S190" i="1"/>
  <c r="B191" i="1"/>
  <c r="E191" i="1"/>
  <c r="I191" i="1"/>
  <c r="S191" i="1"/>
  <c r="B192" i="1"/>
  <c r="E192" i="1"/>
  <c r="I192" i="1"/>
  <c r="S192" i="1"/>
  <c r="B193" i="1"/>
  <c r="E193" i="1"/>
  <c r="I193" i="1"/>
  <c r="S193" i="1"/>
  <c r="B194" i="1"/>
  <c r="E194" i="1"/>
  <c r="I194" i="1"/>
  <c r="S194" i="1"/>
  <c r="B195" i="1"/>
  <c r="E195" i="1"/>
  <c r="I195" i="1"/>
  <c r="S195" i="1"/>
  <c r="B196" i="1"/>
  <c r="E196" i="1"/>
  <c r="I196" i="1"/>
  <c r="S196" i="1"/>
  <c r="B197" i="1"/>
  <c r="E197" i="1"/>
  <c r="I197" i="1"/>
  <c r="S197" i="1"/>
  <c r="B198" i="1"/>
  <c r="E198" i="1"/>
  <c r="I198" i="1"/>
  <c r="S198" i="1"/>
  <c r="B199" i="1"/>
  <c r="E199" i="1"/>
  <c r="I199" i="1"/>
  <c r="S199" i="1"/>
  <c r="B200" i="1"/>
  <c r="E200" i="1"/>
  <c r="I200" i="1"/>
  <c r="S200" i="1"/>
  <c r="B201" i="1"/>
  <c r="E201" i="1"/>
  <c r="I201" i="1"/>
  <c r="S201" i="1"/>
  <c r="B202" i="1"/>
  <c r="E202" i="1"/>
  <c r="I202" i="1"/>
  <c r="S202" i="1"/>
  <c r="B203" i="1"/>
  <c r="E203" i="1"/>
  <c r="I203" i="1"/>
  <c r="S203" i="1"/>
  <c r="B204" i="1"/>
  <c r="E204" i="1"/>
  <c r="I204" i="1"/>
  <c r="S204" i="1"/>
  <c r="B205" i="1"/>
  <c r="E205" i="1"/>
  <c r="I205" i="1"/>
  <c r="S205" i="1"/>
  <c r="B206" i="1"/>
  <c r="E206" i="1"/>
  <c r="I206" i="1"/>
  <c r="S206" i="1"/>
  <c r="B207" i="1"/>
  <c r="E207" i="1"/>
  <c r="I207" i="1"/>
  <c r="S207" i="1"/>
  <c r="B208" i="1"/>
  <c r="E208" i="1"/>
  <c r="I208" i="1"/>
  <c r="S208" i="1"/>
  <c r="B209" i="1"/>
  <c r="E209" i="1"/>
  <c r="I209" i="1"/>
  <c r="S209" i="1"/>
  <c r="B210" i="1"/>
  <c r="E210" i="1"/>
  <c r="I210" i="1"/>
  <c r="S210" i="1"/>
  <c r="B211" i="1"/>
  <c r="E211" i="1"/>
  <c r="I211" i="1"/>
  <c r="S211" i="1"/>
  <c r="B212" i="1"/>
  <c r="E212" i="1"/>
  <c r="I212" i="1"/>
  <c r="S212" i="1"/>
  <c r="B213" i="1"/>
  <c r="E213" i="1"/>
  <c r="I213" i="1"/>
  <c r="S213" i="1"/>
  <c r="B214" i="1"/>
  <c r="E214" i="1"/>
  <c r="I214" i="1"/>
  <c r="S214" i="1"/>
  <c r="B215" i="1"/>
  <c r="E215" i="1"/>
  <c r="I215" i="1"/>
  <c r="S215" i="1"/>
  <c r="B216" i="1"/>
  <c r="E216" i="1"/>
  <c r="I216" i="1"/>
  <c r="S216" i="1"/>
  <c r="B217" i="1"/>
  <c r="E217" i="1"/>
  <c r="I217" i="1"/>
  <c r="S217" i="1"/>
  <c r="B218" i="1"/>
  <c r="E218" i="1"/>
  <c r="I218" i="1"/>
  <c r="S218" i="1"/>
  <c r="B219" i="1"/>
  <c r="E219" i="1"/>
  <c r="I219" i="1"/>
  <c r="S219" i="1"/>
  <c r="B220" i="1"/>
  <c r="E220" i="1"/>
  <c r="I220" i="1"/>
  <c r="S220" i="1"/>
  <c r="B221" i="1"/>
  <c r="E221" i="1"/>
  <c r="I221" i="1"/>
  <c r="S221" i="1"/>
  <c r="B222" i="1"/>
  <c r="E222" i="1"/>
  <c r="I222" i="1"/>
  <c r="S222" i="1"/>
  <c r="B223" i="1"/>
  <c r="E223" i="1"/>
  <c r="I223" i="1"/>
  <c r="S223" i="1"/>
  <c r="B224" i="1"/>
  <c r="E224" i="1"/>
  <c r="I224" i="1"/>
  <c r="B225" i="1"/>
  <c r="E225" i="1"/>
  <c r="I225" i="1"/>
  <c r="S225" i="1"/>
  <c r="B226" i="1"/>
  <c r="E226" i="1"/>
  <c r="I226" i="1"/>
  <c r="S226" i="1"/>
  <c r="B227" i="1"/>
  <c r="E227" i="1"/>
  <c r="I227" i="1"/>
  <c r="S227" i="1"/>
  <c r="B228" i="1"/>
  <c r="E228" i="1"/>
  <c r="I228" i="1"/>
  <c r="S228" i="1"/>
  <c r="B229" i="1"/>
  <c r="E229" i="1"/>
  <c r="I229" i="1"/>
  <c r="S229" i="1"/>
  <c r="B230" i="1"/>
  <c r="E230" i="1"/>
  <c r="I230" i="1"/>
  <c r="S230" i="1"/>
  <c r="B231" i="1"/>
  <c r="E231" i="1"/>
  <c r="I231" i="1"/>
  <c r="S231" i="1"/>
  <c r="B232" i="1"/>
  <c r="E232" i="1"/>
  <c r="I232" i="1"/>
  <c r="S232" i="1"/>
  <c r="B233" i="1"/>
  <c r="E233" i="1"/>
  <c r="I233" i="1"/>
  <c r="S233" i="1"/>
  <c r="B234" i="1"/>
  <c r="E234" i="1"/>
  <c r="I234" i="1"/>
  <c r="S234" i="1"/>
  <c r="B235" i="1"/>
  <c r="E235" i="1"/>
  <c r="I235" i="1"/>
  <c r="S235" i="1"/>
  <c r="B236" i="1"/>
  <c r="E236" i="1"/>
  <c r="I236" i="1"/>
  <c r="S236" i="1"/>
  <c r="B237" i="1"/>
  <c r="E237" i="1"/>
  <c r="I237" i="1"/>
  <c r="S237" i="1"/>
  <c r="B238" i="1"/>
  <c r="E238" i="1"/>
  <c r="I238" i="1"/>
  <c r="S238" i="1"/>
  <c r="B239" i="1"/>
  <c r="E239" i="1"/>
  <c r="I239" i="1"/>
  <c r="S239" i="1"/>
  <c r="B240" i="1"/>
  <c r="E240" i="1"/>
  <c r="I240" i="1"/>
  <c r="S240" i="1"/>
  <c r="B241" i="1"/>
  <c r="E241" i="1"/>
  <c r="I241" i="1"/>
  <c r="S241" i="1"/>
  <c r="B242" i="1"/>
  <c r="E242" i="1"/>
  <c r="I242" i="1"/>
  <c r="S242" i="1"/>
  <c r="B243" i="1"/>
  <c r="E243" i="1"/>
  <c r="I243" i="1"/>
  <c r="S243" i="1"/>
  <c r="B244" i="1"/>
  <c r="E244" i="1"/>
  <c r="I244" i="1"/>
  <c r="S244" i="1"/>
  <c r="B245" i="1"/>
  <c r="E245" i="1"/>
  <c r="I245" i="1"/>
  <c r="S245" i="1"/>
  <c r="B246" i="1"/>
  <c r="E246" i="1"/>
  <c r="I246" i="1"/>
  <c r="S246" i="1"/>
  <c r="B247" i="1"/>
  <c r="E247" i="1"/>
  <c r="I247" i="1"/>
  <c r="S247" i="1"/>
  <c r="B248" i="1"/>
  <c r="E248" i="1"/>
  <c r="I248" i="1"/>
  <c r="S248" i="1"/>
  <c r="B249" i="1"/>
  <c r="E249" i="1"/>
  <c r="I249" i="1"/>
  <c r="S249" i="1"/>
  <c r="B250" i="1"/>
  <c r="E250" i="1"/>
  <c r="I250" i="1"/>
  <c r="S250" i="1"/>
  <c r="B251" i="1"/>
  <c r="E251" i="1"/>
  <c r="I251" i="1"/>
  <c r="S251" i="1"/>
  <c r="B252" i="1"/>
  <c r="E252" i="1"/>
  <c r="I252" i="1"/>
  <c r="S252" i="1"/>
  <c r="B253" i="1"/>
  <c r="E253" i="1"/>
  <c r="I253" i="1"/>
  <c r="S253" i="1"/>
  <c r="B254" i="1"/>
  <c r="E254" i="1"/>
  <c r="I254" i="1"/>
  <c r="S254" i="1"/>
  <c r="B255" i="1"/>
  <c r="E255" i="1"/>
  <c r="I255" i="1"/>
  <c r="S255" i="1"/>
  <c r="B256" i="1"/>
  <c r="E256" i="1"/>
  <c r="I256" i="1"/>
  <c r="S256" i="1"/>
  <c r="B257" i="1"/>
  <c r="E257" i="1"/>
  <c r="I257" i="1"/>
  <c r="S257" i="1"/>
  <c r="B258" i="1"/>
  <c r="E258" i="1"/>
  <c r="I258" i="1"/>
  <c r="S258" i="1"/>
  <c r="B259" i="1"/>
  <c r="E259" i="1"/>
  <c r="I259" i="1"/>
  <c r="B260" i="1"/>
  <c r="E260" i="1"/>
  <c r="I260" i="1"/>
  <c r="S260" i="1"/>
  <c r="B261" i="1"/>
  <c r="E261" i="1"/>
  <c r="I261" i="1"/>
  <c r="S261" i="1"/>
  <c r="B262" i="1"/>
  <c r="E262" i="1"/>
  <c r="I262" i="1"/>
  <c r="S262" i="1"/>
  <c r="B263" i="1"/>
  <c r="E263" i="1"/>
  <c r="I263" i="1"/>
  <c r="S263" i="1"/>
  <c r="B264" i="1"/>
  <c r="E264" i="1"/>
  <c r="I264" i="1"/>
  <c r="S264" i="1"/>
  <c r="B265" i="1"/>
  <c r="E265" i="1"/>
  <c r="I265" i="1"/>
  <c r="S265" i="1"/>
  <c r="B266" i="1"/>
  <c r="E266" i="1"/>
  <c r="I266" i="1"/>
  <c r="S266" i="1"/>
  <c r="B267" i="1"/>
  <c r="E267" i="1"/>
  <c r="I267" i="1"/>
  <c r="S267" i="1"/>
  <c r="B268" i="1"/>
  <c r="E268" i="1"/>
  <c r="I268" i="1"/>
  <c r="S268" i="1"/>
  <c r="B269" i="1"/>
  <c r="E269" i="1"/>
  <c r="I269" i="1"/>
  <c r="S269" i="1"/>
  <c r="B270" i="1"/>
  <c r="E270" i="1"/>
  <c r="I270" i="1"/>
  <c r="S270" i="1"/>
  <c r="B271" i="1"/>
  <c r="E271" i="1"/>
  <c r="I271" i="1"/>
  <c r="S271" i="1"/>
  <c r="B272" i="1"/>
  <c r="E272" i="1"/>
  <c r="I272" i="1"/>
  <c r="S272" i="1"/>
  <c r="B273" i="1"/>
  <c r="E273" i="1"/>
  <c r="I273" i="1"/>
  <c r="S273" i="1"/>
  <c r="B274" i="1"/>
  <c r="E274" i="1"/>
  <c r="I274" i="1"/>
  <c r="S274" i="1"/>
  <c r="B275" i="1"/>
  <c r="E275" i="1"/>
  <c r="I275" i="1"/>
  <c r="S275" i="1"/>
  <c r="B276" i="1"/>
  <c r="E276" i="1"/>
  <c r="I276" i="1"/>
  <c r="S276" i="1"/>
  <c r="B277" i="1"/>
  <c r="E277" i="1"/>
  <c r="I277" i="1"/>
  <c r="S277" i="1"/>
  <c r="B278" i="1"/>
  <c r="E278" i="1"/>
  <c r="I278" i="1"/>
  <c r="S278" i="1"/>
  <c r="B279" i="1"/>
  <c r="E279" i="1"/>
  <c r="I279" i="1"/>
  <c r="S279" i="1"/>
  <c r="B280" i="1"/>
  <c r="E280" i="1"/>
  <c r="I280" i="1"/>
  <c r="S280" i="1"/>
  <c r="B281" i="1"/>
  <c r="E281" i="1"/>
  <c r="I281" i="1"/>
  <c r="S281" i="1"/>
  <c r="B282" i="1"/>
  <c r="E282" i="1"/>
  <c r="I282" i="1"/>
  <c r="S282" i="1"/>
  <c r="B283" i="1"/>
  <c r="E283" i="1"/>
  <c r="I283" i="1"/>
  <c r="S283" i="1"/>
  <c r="B284" i="1"/>
  <c r="E284" i="1"/>
  <c r="I284" i="1"/>
  <c r="S284" i="1"/>
  <c r="B285" i="1"/>
  <c r="E285" i="1"/>
  <c r="I285" i="1"/>
  <c r="S285" i="1"/>
  <c r="B286" i="1"/>
  <c r="E286" i="1"/>
  <c r="I286" i="1"/>
  <c r="S286" i="1"/>
  <c r="B287" i="1"/>
  <c r="E287" i="1"/>
  <c r="I287" i="1"/>
  <c r="S287" i="1"/>
  <c r="B288" i="1"/>
  <c r="E288" i="1"/>
  <c r="I288" i="1"/>
  <c r="S288" i="1"/>
  <c r="B289" i="1"/>
  <c r="E289" i="1"/>
  <c r="I289" i="1"/>
  <c r="S289" i="1"/>
  <c r="B290" i="1"/>
  <c r="E290" i="1"/>
  <c r="I290" i="1"/>
  <c r="S290" i="1"/>
  <c r="B291" i="1"/>
  <c r="E291" i="1"/>
  <c r="I291" i="1"/>
  <c r="S291" i="1"/>
  <c r="B292" i="1"/>
  <c r="E292" i="1"/>
  <c r="I292" i="1"/>
  <c r="S292" i="1"/>
  <c r="B293" i="1"/>
  <c r="E293" i="1"/>
  <c r="I293" i="1"/>
  <c r="B294" i="1"/>
  <c r="E294" i="1"/>
  <c r="I294" i="1"/>
  <c r="S294" i="1"/>
  <c r="B295" i="1"/>
  <c r="E295" i="1"/>
  <c r="I295" i="1"/>
  <c r="S295" i="1"/>
  <c r="B296" i="1"/>
  <c r="E296" i="1"/>
  <c r="I296" i="1"/>
  <c r="S296" i="1"/>
  <c r="B297" i="1"/>
  <c r="E297" i="1"/>
  <c r="I297" i="1"/>
  <c r="S297" i="1"/>
  <c r="B298" i="1"/>
  <c r="E298" i="1"/>
  <c r="I298" i="1"/>
  <c r="S298" i="1"/>
  <c r="B299" i="1"/>
  <c r="E299" i="1"/>
  <c r="I299" i="1"/>
  <c r="S299" i="1"/>
  <c r="B300" i="1"/>
  <c r="E300" i="1"/>
  <c r="I300" i="1"/>
  <c r="B301" i="1"/>
  <c r="E301" i="1"/>
  <c r="I301" i="1"/>
  <c r="S301" i="1"/>
  <c r="B302" i="1"/>
  <c r="E302" i="1"/>
  <c r="I302" i="1"/>
  <c r="S302" i="1"/>
  <c r="B303" i="1"/>
  <c r="E303" i="1"/>
  <c r="I303" i="1"/>
  <c r="S303" i="1"/>
  <c r="B304" i="1"/>
  <c r="E304" i="1"/>
  <c r="I304" i="1"/>
  <c r="S304" i="1"/>
  <c r="B305" i="1"/>
  <c r="E305" i="1"/>
  <c r="I305" i="1"/>
  <c r="S305" i="1"/>
  <c r="B306" i="1"/>
  <c r="E306" i="1"/>
  <c r="I306" i="1"/>
  <c r="S306" i="1"/>
  <c r="B307" i="1"/>
  <c r="E307" i="1"/>
  <c r="I307" i="1"/>
  <c r="S307" i="1"/>
  <c r="B308" i="1"/>
  <c r="E308" i="1"/>
  <c r="I308" i="1"/>
  <c r="S308" i="1"/>
  <c r="B309" i="1"/>
  <c r="E309" i="1"/>
  <c r="I309" i="1"/>
  <c r="S309" i="1"/>
  <c r="B310" i="1"/>
  <c r="E310" i="1"/>
  <c r="I310" i="1"/>
  <c r="S310" i="1"/>
  <c r="B311" i="1"/>
  <c r="E311" i="1"/>
  <c r="I311" i="1"/>
  <c r="S311" i="1"/>
  <c r="B312" i="1"/>
  <c r="E312" i="1"/>
  <c r="I312" i="1"/>
  <c r="S312" i="1"/>
  <c r="B313" i="1"/>
  <c r="E313" i="1"/>
  <c r="I313" i="1"/>
  <c r="S313" i="1"/>
  <c r="B314" i="1"/>
  <c r="E314" i="1"/>
  <c r="I314" i="1"/>
  <c r="S314" i="1"/>
  <c r="B315" i="1"/>
  <c r="E315" i="1"/>
  <c r="I315" i="1"/>
  <c r="S315" i="1"/>
  <c r="B316" i="1"/>
  <c r="E316" i="1"/>
  <c r="I316" i="1"/>
  <c r="S316" i="1"/>
  <c r="B317" i="1"/>
  <c r="E317" i="1"/>
  <c r="I317" i="1"/>
  <c r="S317" i="1"/>
  <c r="B318" i="1"/>
  <c r="E318" i="1"/>
  <c r="I318" i="1"/>
  <c r="S318" i="1"/>
  <c r="B319" i="1"/>
  <c r="E319" i="1"/>
  <c r="I319" i="1"/>
  <c r="S319" i="1"/>
  <c r="B320" i="1"/>
  <c r="E320" i="1"/>
  <c r="I320" i="1"/>
  <c r="S320" i="1"/>
  <c r="B321" i="1"/>
  <c r="E321" i="1"/>
  <c r="I321" i="1"/>
  <c r="S321" i="1"/>
  <c r="B322" i="1"/>
  <c r="E322" i="1"/>
  <c r="I322" i="1"/>
  <c r="B323" i="1"/>
  <c r="E323" i="1"/>
  <c r="I323" i="1"/>
  <c r="S323" i="1"/>
  <c r="B324" i="1"/>
  <c r="E324" i="1"/>
  <c r="I324" i="1"/>
  <c r="S324" i="1"/>
  <c r="B325" i="1"/>
  <c r="E325" i="1"/>
  <c r="I325" i="1"/>
  <c r="S325" i="1"/>
  <c r="B326" i="1"/>
  <c r="E326" i="1"/>
  <c r="I326" i="1"/>
  <c r="B327" i="1"/>
  <c r="E327" i="1"/>
  <c r="I327" i="1"/>
  <c r="S327" i="1"/>
  <c r="B328" i="1"/>
  <c r="E328" i="1"/>
  <c r="I328" i="1"/>
  <c r="S328" i="1"/>
  <c r="B329" i="1"/>
  <c r="E329" i="1"/>
  <c r="I329" i="1"/>
  <c r="B330" i="1"/>
  <c r="E330" i="1"/>
  <c r="I330" i="1"/>
  <c r="S330" i="1"/>
  <c r="B331" i="1"/>
  <c r="E331" i="1"/>
  <c r="I331" i="1"/>
  <c r="S331" i="1"/>
  <c r="B332" i="1"/>
  <c r="E332" i="1"/>
  <c r="I332" i="1"/>
  <c r="S332" i="1"/>
  <c r="B333" i="1"/>
  <c r="E333" i="1"/>
  <c r="I333" i="1"/>
  <c r="S333" i="1"/>
  <c r="B334" i="1"/>
  <c r="E334" i="1"/>
  <c r="I334" i="1"/>
  <c r="S334" i="1"/>
  <c r="B335" i="1"/>
  <c r="E335" i="1"/>
  <c r="I335" i="1"/>
  <c r="S335" i="1"/>
  <c r="B336" i="1"/>
  <c r="E336" i="1"/>
  <c r="I336" i="1"/>
  <c r="S336" i="1"/>
  <c r="B337" i="1"/>
  <c r="E337" i="1"/>
  <c r="I337" i="1"/>
  <c r="S337" i="1"/>
  <c r="B338" i="1"/>
  <c r="E338" i="1"/>
  <c r="I338" i="1"/>
  <c r="S338" i="1"/>
  <c r="B339" i="1"/>
  <c r="E339" i="1"/>
  <c r="I339" i="1"/>
  <c r="S339" i="1"/>
  <c r="B340" i="1"/>
  <c r="E340" i="1"/>
  <c r="I340" i="1"/>
  <c r="S340" i="1"/>
  <c r="B341" i="1"/>
  <c r="E341" i="1"/>
  <c r="I341" i="1"/>
  <c r="S341" i="1"/>
  <c r="B342" i="1"/>
  <c r="E342" i="1"/>
  <c r="I342" i="1"/>
  <c r="S342" i="1"/>
  <c r="B343" i="1"/>
  <c r="E343" i="1"/>
  <c r="I343" i="1"/>
  <c r="S343" i="1"/>
  <c r="B344" i="1"/>
  <c r="E344" i="1"/>
  <c r="I344" i="1"/>
  <c r="S344" i="1"/>
  <c r="B345" i="1"/>
  <c r="E345" i="1"/>
  <c r="I345" i="1"/>
  <c r="S345" i="1"/>
  <c r="B346" i="1"/>
  <c r="E346" i="1"/>
  <c r="I346" i="1"/>
  <c r="S346" i="1"/>
  <c r="B347" i="1"/>
  <c r="E347" i="1"/>
  <c r="I347" i="1"/>
  <c r="S347" i="1"/>
  <c r="B348" i="1"/>
  <c r="E348" i="1"/>
  <c r="I348" i="1"/>
  <c r="S348" i="1"/>
  <c r="B349" i="1"/>
  <c r="E349" i="1"/>
  <c r="I349" i="1"/>
  <c r="S349" i="1"/>
  <c r="B350" i="1"/>
  <c r="E350" i="1"/>
  <c r="I350" i="1"/>
  <c r="S350" i="1"/>
  <c r="B351" i="1"/>
  <c r="E351" i="1"/>
  <c r="I351" i="1"/>
  <c r="S351" i="1"/>
  <c r="B352" i="1"/>
  <c r="E352" i="1"/>
  <c r="I352" i="1"/>
  <c r="S352" i="1"/>
  <c r="B353" i="1"/>
  <c r="E353" i="1"/>
  <c r="I353" i="1"/>
  <c r="S353" i="1"/>
  <c r="B354" i="1"/>
  <c r="E354" i="1"/>
  <c r="I354" i="1"/>
  <c r="S354" i="1"/>
  <c r="B355" i="1"/>
  <c r="E355" i="1"/>
  <c r="I355" i="1"/>
  <c r="S355" i="1"/>
  <c r="B356" i="1"/>
  <c r="E356" i="1"/>
  <c r="I356" i="1"/>
  <c r="S356" i="1"/>
  <c r="B357" i="1"/>
  <c r="E357" i="1"/>
  <c r="I357" i="1"/>
  <c r="S357" i="1"/>
  <c r="B358" i="1"/>
  <c r="E358" i="1"/>
  <c r="I358" i="1"/>
  <c r="S358" i="1"/>
  <c r="B359" i="1"/>
  <c r="E359" i="1"/>
  <c r="I359" i="1"/>
  <c r="S359" i="1"/>
  <c r="B360" i="1"/>
  <c r="E360" i="1"/>
  <c r="I360" i="1"/>
  <c r="S360" i="1"/>
  <c r="B361" i="1"/>
  <c r="E361" i="1"/>
  <c r="I361" i="1"/>
  <c r="S361" i="1"/>
  <c r="B362" i="1"/>
  <c r="E362" i="1"/>
  <c r="I362" i="1"/>
  <c r="S362" i="1"/>
  <c r="B363" i="1"/>
  <c r="E363" i="1"/>
  <c r="I363" i="1"/>
  <c r="S363" i="1"/>
  <c r="B364" i="1"/>
  <c r="E364" i="1"/>
  <c r="I364" i="1"/>
  <c r="S364" i="1"/>
  <c r="B365" i="1"/>
  <c r="E365" i="1"/>
  <c r="I365" i="1"/>
  <c r="B366" i="1"/>
  <c r="E366" i="1"/>
  <c r="I366" i="1"/>
  <c r="S366" i="1"/>
  <c r="B367" i="1"/>
  <c r="E367" i="1"/>
  <c r="I367" i="1"/>
  <c r="S367" i="1"/>
  <c r="B368" i="1"/>
  <c r="E368" i="1"/>
  <c r="I368" i="1"/>
  <c r="S368" i="1"/>
  <c r="B369" i="1"/>
  <c r="E369" i="1"/>
  <c r="I369" i="1"/>
  <c r="S369" i="1"/>
  <c r="B370" i="1"/>
  <c r="E370" i="1"/>
  <c r="I370" i="1"/>
  <c r="B371" i="1"/>
  <c r="E371" i="1"/>
  <c r="I371" i="1"/>
  <c r="S371" i="1"/>
  <c r="B372" i="1"/>
  <c r="E372" i="1"/>
  <c r="I372" i="1"/>
  <c r="S372" i="1"/>
  <c r="B373" i="1"/>
  <c r="E373" i="1"/>
  <c r="I373" i="1"/>
  <c r="S373" i="1"/>
  <c r="B374" i="1"/>
  <c r="E374" i="1"/>
  <c r="I374" i="1"/>
  <c r="S374" i="1"/>
  <c r="B375" i="1"/>
  <c r="E375" i="1"/>
  <c r="I375" i="1"/>
  <c r="S375" i="1"/>
  <c r="B376" i="1"/>
  <c r="E376" i="1"/>
  <c r="I376" i="1"/>
  <c r="S376" i="1"/>
  <c r="B377" i="1"/>
  <c r="E377" i="1"/>
  <c r="I377" i="1"/>
  <c r="S377" i="1"/>
  <c r="B378" i="1"/>
  <c r="E378" i="1"/>
  <c r="I378" i="1"/>
  <c r="S378" i="1"/>
  <c r="B379" i="1"/>
  <c r="E379" i="1"/>
  <c r="I379" i="1"/>
  <c r="S379" i="1"/>
  <c r="B380" i="1"/>
  <c r="E380" i="1"/>
  <c r="I380" i="1"/>
  <c r="S380" i="1"/>
  <c r="B381" i="1"/>
  <c r="E381" i="1"/>
  <c r="I381" i="1"/>
  <c r="S381" i="1"/>
  <c r="B382" i="1"/>
  <c r="E382" i="1"/>
  <c r="I382" i="1"/>
  <c r="S382" i="1"/>
  <c r="B383" i="1"/>
  <c r="E383" i="1"/>
  <c r="I383" i="1"/>
  <c r="S383" i="1"/>
  <c r="B384" i="1"/>
  <c r="E384" i="1"/>
  <c r="I384" i="1"/>
  <c r="S384" i="1"/>
  <c r="B385" i="1"/>
  <c r="E385" i="1"/>
  <c r="I385" i="1"/>
  <c r="S385" i="1"/>
  <c r="B386" i="1"/>
  <c r="E386" i="1"/>
  <c r="I386" i="1"/>
  <c r="S386" i="1"/>
  <c r="B387" i="1"/>
  <c r="E387" i="1"/>
  <c r="I387" i="1"/>
  <c r="S387" i="1"/>
  <c r="B388" i="1"/>
  <c r="E388" i="1"/>
  <c r="I388" i="1"/>
  <c r="S388" i="1"/>
  <c r="B389" i="1"/>
  <c r="E389" i="1"/>
  <c r="I389" i="1"/>
  <c r="S389" i="1"/>
  <c r="B390" i="1"/>
  <c r="E390" i="1"/>
  <c r="I390" i="1"/>
  <c r="S390" i="1"/>
  <c r="B391" i="1"/>
  <c r="E391" i="1"/>
  <c r="I391" i="1"/>
  <c r="S391" i="1"/>
  <c r="B392" i="1"/>
  <c r="E392" i="1"/>
  <c r="I392" i="1"/>
  <c r="S392" i="1"/>
  <c r="B393" i="1"/>
  <c r="E393" i="1"/>
  <c r="I393" i="1"/>
  <c r="S393" i="1"/>
  <c r="B394" i="1"/>
  <c r="E394" i="1"/>
  <c r="I394" i="1"/>
  <c r="S394" i="1"/>
  <c r="B395" i="1"/>
  <c r="E395" i="1"/>
  <c r="I395" i="1"/>
  <c r="S395" i="1"/>
  <c r="B396" i="1"/>
  <c r="E396" i="1"/>
  <c r="I396" i="1"/>
  <c r="S396" i="1"/>
  <c r="B397" i="1"/>
  <c r="E397" i="1"/>
  <c r="I397" i="1"/>
  <c r="S397" i="1"/>
  <c r="B398" i="1"/>
  <c r="E398" i="1"/>
  <c r="I398" i="1"/>
  <c r="S398" i="1"/>
  <c r="B399" i="1"/>
  <c r="E399" i="1"/>
  <c r="I399" i="1"/>
  <c r="S399" i="1"/>
  <c r="B400" i="1"/>
  <c r="E400" i="1"/>
  <c r="I400" i="1"/>
  <c r="S400" i="1"/>
  <c r="B401" i="1"/>
  <c r="E401" i="1"/>
  <c r="I401" i="1"/>
  <c r="S401" i="1"/>
  <c r="B402" i="1"/>
  <c r="E402" i="1"/>
  <c r="I402" i="1"/>
  <c r="S402" i="1"/>
  <c r="B403" i="1"/>
  <c r="E403" i="1"/>
  <c r="I403" i="1"/>
  <c r="S403" i="1"/>
  <c r="B404" i="1"/>
  <c r="E404" i="1"/>
  <c r="I404" i="1"/>
  <c r="S404" i="1"/>
  <c r="B405" i="1"/>
  <c r="E405" i="1"/>
  <c r="I405" i="1"/>
  <c r="S405" i="1"/>
  <c r="B406" i="1"/>
  <c r="E406" i="1"/>
  <c r="I406" i="1"/>
  <c r="S406" i="1"/>
  <c r="B407" i="1"/>
  <c r="E407" i="1"/>
  <c r="I407" i="1"/>
  <c r="S407" i="1"/>
  <c r="B408" i="1"/>
  <c r="E408" i="1"/>
  <c r="I408" i="1"/>
  <c r="S408" i="1"/>
  <c r="B409" i="1"/>
  <c r="E409" i="1"/>
  <c r="I409" i="1"/>
  <c r="S409" i="1"/>
  <c r="B410" i="1"/>
  <c r="E410" i="1"/>
  <c r="I410" i="1"/>
  <c r="S410" i="1"/>
  <c r="B411" i="1"/>
  <c r="E411" i="1"/>
  <c r="I411" i="1"/>
  <c r="S411" i="1"/>
  <c r="B412" i="1"/>
  <c r="E412" i="1"/>
  <c r="I412" i="1"/>
  <c r="S412" i="1"/>
  <c r="B413" i="1"/>
  <c r="E413" i="1"/>
  <c r="I413" i="1"/>
  <c r="S413" i="1"/>
  <c r="B414" i="1"/>
  <c r="E414" i="1"/>
  <c r="I414" i="1"/>
  <c r="S414" i="1"/>
  <c r="B415" i="1"/>
  <c r="E415" i="1"/>
  <c r="I415" i="1"/>
  <c r="S415" i="1"/>
  <c r="B416" i="1"/>
  <c r="E416" i="1"/>
  <c r="I416" i="1"/>
  <c r="S416" i="1"/>
  <c r="B417" i="1"/>
  <c r="E417" i="1"/>
  <c r="I417" i="1"/>
  <c r="S417" i="1"/>
  <c r="B418" i="1"/>
  <c r="E418" i="1"/>
  <c r="I418" i="1"/>
  <c r="S418" i="1"/>
  <c r="B419" i="1"/>
  <c r="E419" i="1"/>
  <c r="I419" i="1"/>
  <c r="S419" i="1"/>
  <c r="B420" i="1"/>
  <c r="E420" i="1"/>
  <c r="I420" i="1"/>
  <c r="S420" i="1"/>
  <c r="B421" i="1"/>
  <c r="E421" i="1"/>
  <c r="I421" i="1"/>
  <c r="S421" i="1"/>
  <c r="B422" i="1"/>
  <c r="E422" i="1"/>
  <c r="I422" i="1"/>
  <c r="S422" i="1"/>
  <c r="B423" i="1"/>
  <c r="E423" i="1"/>
  <c r="I423" i="1"/>
  <c r="S423" i="1"/>
  <c r="B424" i="1"/>
  <c r="E424" i="1"/>
  <c r="I424" i="1"/>
  <c r="S424" i="1"/>
  <c r="B425" i="1"/>
  <c r="E425" i="1"/>
  <c r="I425" i="1"/>
  <c r="S425" i="1"/>
  <c r="B426" i="1"/>
  <c r="E426" i="1"/>
  <c r="I426" i="1"/>
  <c r="S426" i="1"/>
  <c r="B427" i="1"/>
  <c r="E427" i="1"/>
  <c r="I427" i="1"/>
  <c r="S427" i="1"/>
  <c r="B428" i="1"/>
  <c r="E428" i="1"/>
  <c r="I428" i="1"/>
  <c r="S428" i="1"/>
  <c r="B429" i="1"/>
  <c r="E429" i="1"/>
  <c r="I429" i="1"/>
  <c r="S429" i="1"/>
  <c r="B430" i="1"/>
  <c r="E430" i="1"/>
  <c r="I430" i="1"/>
  <c r="S430" i="1"/>
  <c r="B431" i="1"/>
  <c r="E431" i="1"/>
  <c r="I431" i="1"/>
  <c r="S431" i="1"/>
  <c r="B432" i="1"/>
  <c r="E432" i="1"/>
  <c r="I432" i="1"/>
  <c r="S432" i="1"/>
  <c r="B433" i="1"/>
  <c r="E433" i="1"/>
  <c r="I433" i="1"/>
  <c r="S433" i="1"/>
  <c r="B434" i="1"/>
  <c r="E434" i="1"/>
  <c r="I434" i="1"/>
  <c r="S434" i="1"/>
  <c r="B435" i="1"/>
  <c r="E435" i="1"/>
  <c r="I435" i="1"/>
  <c r="S435" i="1"/>
  <c r="B436" i="1"/>
  <c r="E436" i="1"/>
  <c r="I436" i="1"/>
  <c r="S436" i="1"/>
  <c r="B437" i="1"/>
  <c r="E437" i="1"/>
  <c r="I437" i="1"/>
  <c r="S437" i="1"/>
  <c r="B438" i="1"/>
  <c r="E438" i="1"/>
  <c r="I438" i="1"/>
  <c r="S438" i="1"/>
  <c r="B439" i="1"/>
  <c r="E439" i="1"/>
  <c r="I439" i="1"/>
  <c r="S439" i="1"/>
  <c r="B440" i="1"/>
  <c r="E440" i="1"/>
  <c r="I440" i="1"/>
  <c r="S440" i="1"/>
  <c r="B441" i="1"/>
  <c r="E441" i="1"/>
  <c r="I441" i="1"/>
  <c r="S441" i="1"/>
  <c r="B442" i="1"/>
  <c r="E442" i="1"/>
  <c r="I442" i="1"/>
  <c r="S442" i="1"/>
  <c r="B443" i="1"/>
  <c r="E443" i="1"/>
  <c r="I443" i="1"/>
  <c r="S443" i="1"/>
  <c r="B444" i="1"/>
  <c r="E444" i="1"/>
  <c r="I444" i="1"/>
  <c r="S444" i="1"/>
  <c r="B445" i="1"/>
  <c r="E445" i="1"/>
  <c r="I445" i="1"/>
  <c r="S445" i="1"/>
  <c r="B446" i="1"/>
  <c r="E446" i="1"/>
  <c r="I446" i="1"/>
  <c r="S446" i="1"/>
  <c r="B447" i="1"/>
  <c r="E447" i="1"/>
  <c r="I447" i="1"/>
  <c r="S447" i="1"/>
  <c r="B448" i="1"/>
  <c r="E448" i="1"/>
  <c r="I448" i="1"/>
  <c r="S448" i="1"/>
  <c r="B449" i="1"/>
  <c r="E449" i="1"/>
  <c r="I449" i="1"/>
  <c r="S449" i="1"/>
  <c r="B450" i="1"/>
  <c r="E450" i="1"/>
  <c r="I450" i="1"/>
  <c r="S450" i="1"/>
  <c r="B451" i="1"/>
  <c r="E451" i="1"/>
  <c r="I451" i="1"/>
  <c r="S451" i="1"/>
  <c r="B452" i="1"/>
  <c r="E452" i="1"/>
  <c r="I452" i="1"/>
  <c r="S452" i="1"/>
  <c r="B453" i="1"/>
  <c r="E453" i="1"/>
  <c r="I453" i="1"/>
  <c r="S453" i="1"/>
  <c r="B454" i="1"/>
  <c r="E454" i="1"/>
  <c r="I454" i="1"/>
  <c r="S454" i="1"/>
  <c r="B455" i="1"/>
  <c r="E455" i="1"/>
  <c r="I455" i="1"/>
  <c r="S455" i="1"/>
  <c r="B456" i="1"/>
  <c r="E456" i="1"/>
  <c r="I456" i="1"/>
  <c r="S456" i="1"/>
  <c r="B457" i="1"/>
  <c r="E457" i="1"/>
  <c r="I457" i="1"/>
  <c r="S457" i="1"/>
  <c r="B458" i="1"/>
  <c r="E458" i="1"/>
  <c r="I458" i="1"/>
  <c r="S458" i="1"/>
  <c r="B459" i="1"/>
  <c r="E459" i="1"/>
  <c r="I459" i="1"/>
  <c r="S459" i="1"/>
  <c r="B460" i="1"/>
  <c r="E460" i="1"/>
  <c r="I460" i="1"/>
  <c r="S460" i="1"/>
  <c r="B461" i="1"/>
  <c r="E461" i="1"/>
  <c r="I461" i="1"/>
  <c r="S461" i="1"/>
  <c r="B462" i="1"/>
  <c r="E462" i="1"/>
  <c r="I462" i="1"/>
  <c r="S462" i="1"/>
  <c r="B463" i="1"/>
  <c r="E463" i="1"/>
  <c r="I463" i="1"/>
  <c r="S463" i="1"/>
  <c r="B464" i="1"/>
  <c r="E464" i="1"/>
  <c r="I464" i="1"/>
  <c r="S464" i="1"/>
  <c r="B465" i="1"/>
  <c r="E465" i="1"/>
  <c r="I465" i="1"/>
  <c r="S465" i="1"/>
  <c r="B466" i="1"/>
  <c r="E466" i="1"/>
  <c r="I466" i="1"/>
  <c r="S466" i="1"/>
  <c r="B467" i="1"/>
  <c r="E467" i="1"/>
  <c r="I467" i="1"/>
  <c r="S467" i="1"/>
  <c r="B468" i="1"/>
  <c r="E468" i="1"/>
  <c r="I468" i="1"/>
  <c r="S468" i="1"/>
  <c r="B469" i="1"/>
  <c r="E469" i="1"/>
  <c r="I469" i="1"/>
  <c r="S469" i="1"/>
  <c r="B470" i="1"/>
  <c r="E470" i="1"/>
  <c r="I470" i="1"/>
  <c r="B471" i="1"/>
  <c r="E471" i="1"/>
  <c r="I471" i="1"/>
  <c r="S471" i="1"/>
  <c r="B472" i="1"/>
  <c r="E472" i="1"/>
  <c r="I472" i="1"/>
  <c r="S472" i="1"/>
  <c r="B473" i="1"/>
  <c r="E473" i="1"/>
  <c r="I473" i="1"/>
  <c r="S473" i="1"/>
  <c r="B474" i="1"/>
  <c r="E474" i="1"/>
  <c r="I474" i="1"/>
  <c r="S474" i="1"/>
  <c r="B475" i="1"/>
  <c r="E475" i="1"/>
  <c r="I475" i="1"/>
  <c r="S475" i="1"/>
  <c r="B476" i="1"/>
  <c r="E476" i="1"/>
  <c r="I476" i="1"/>
  <c r="B477" i="1"/>
  <c r="E477" i="1"/>
  <c r="I477" i="1"/>
  <c r="S477" i="1"/>
  <c r="B478" i="1"/>
  <c r="E478" i="1"/>
  <c r="I478" i="1"/>
  <c r="S478" i="1"/>
  <c r="B479" i="1"/>
  <c r="E479" i="1"/>
  <c r="I479" i="1"/>
  <c r="S479" i="1"/>
  <c r="B480" i="1"/>
  <c r="E480" i="1"/>
  <c r="I480" i="1"/>
  <c r="S480" i="1"/>
  <c r="B481" i="1"/>
  <c r="E481" i="1"/>
  <c r="I481" i="1"/>
  <c r="S481" i="1"/>
  <c r="B482" i="1"/>
  <c r="E482" i="1"/>
  <c r="I482" i="1"/>
  <c r="S482" i="1"/>
  <c r="B483" i="1"/>
  <c r="E483" i="1"/>
  <c r="I483" i="1"/>
  <c r="S483" i="1"/>
  <c r="B484" i="1"/>
  <c r="E484" i="1"/>
  <c r="I484" i="1"/>
  <c r="S484" i="1"/>
  <c r="B485" i="1"/>
  <c r="E485" i="1"/>
  <c r="I485" i="1"/>
  <c r="S485" i="1"/>
  <c r="B486" i="1"/>
  <c r="E486" i="1"/>
  <c r="I486" i="1"/>
  <c r="S486" i="1"/>
  <c r="B487" i="1"/>
  <c r="E487" i="1"/>
  <c r="I487" i="1"/>
  <c r="B488" i="1"/>
  <c r="E488" i="1"/>
  <c r="I488" i="1"/>
  <c r="S488" i="1"/>
  <c r="B489" i="1"/>
  <c r="E489" i="1"/>
  <c r="I489" i="1"/>
  <c r="S489" i="1"/>
  <c r="B490" i="1"/>
  <c r="E490" i="1"/>
  <c r="I490" i="1"/>
  <c r="S490" i="1"/>
  <c r="B491" i="1"/>
  <c r="E491" i="1"/>
  <c r="I491" i="1"/>
  <c r="S491" i="1"/>
  <c r="B492" i="1"/>
  <c r="E492" i="1"/>
  <c r="I492" i="1"/>
  <c r="S492" i="1"/>
  <c r="B493" i="1"/>
  <c r="E493" i="1"/>
  <c r="I493" i="1"/>
  <c r="S493" i="1"/>
  <c r="B494" i="1"/>
  <c r="E494" i="1"/>
  <c r="I494" i="1"/>
  <c r="S494" i="1"/>
  <c r="B495" i="1"/>
  <c r="E495" i="1"/>
  <c r="I495" i="1"/>
  <c r="S495" i="1"/>
  <c r="B496" i="1"/>
  <c r="E496" i="1"/>
  <c r="I496" i="1"/>
  <c r="S496" i="1"/>
  <c r="B497" i="1"/>
  <c r="E497" i="1"/>
  <c r="I497" i="1"/>
  <c r="S497" i="1"/>
  <c r="B498" i="1"/>
  <c r="E498" i="1"/>
  <c r="I498" i="1"/>
  <c r="S498" i="1"/>
  <c r="B499" i="1"/>
  <c r="E499" i="1"/>
  <c r="I499" i="1"/>
  <c r="S499" i="1"/>
  <c r="B500" i="1"/>
  <c r="E500" i="1"/>
  <c r="I500" i="1"/>
  <c r="S500" i="1"/>
  <c r="B501" i="1"/>
  <c r="E501" i="1"/>
  <c r="I501" i="1"/>
  <c r="S501" i="1"/>
  <c r="B502" i="1"/>
  <c r="E502" i="1"/>
  <c r="I502" i="1"/>
  <c r="S502" i="1"/>
  <c r="B503" i="1"/>
  <c r="E503" i="1"/>
  <c r="I503" i="1"/>
  <c r="S503" i="1"/>
  <c r="B504" i="1"/>
  <c r="E504" i="1"/>
  <c r="I504" i="1"/>
  <c r="S504" i="1"/>
  <c r="B505" i="1"/>
  <c r="E505" i="1"/>
  <c r="I505" i="1"/>
  <c r="S505" i="1"/>
  <c r="B506" i="1"/>
  <c r="E506" i="1"/>
  <c r="I506" i="1"/>
  <c r="S506" i="1"/>
  <c r="B507" i="1"/>
  <c r="E507" i="1"/>
  <c r="I507" i="1"/>
  <c r="S507" i="1"/>
  <c r="B508" i="1"/>
  <c r="E508" i="1"/>
  <c r="I508" i="1"/>
  <c r="S508" i="1"/>
  <c r="B509" i="1"/>
  <c r="E509" i="1"/>
  <c r="I509" i="1"/>
  <c r="S509" i="1"/>
  <c r="B510" i="1"/>
  <c r="E510" i="1"/>
  <c r="I510" i="1"/>
  <c r="S510" i="1"/>
  <c r="B511" i="1"/>
  <c r="E511" i="1"/>
  <c r="I511" i="1"/>
  <c r="S511" i="1"/>
  <c r="B512" i="1"/>
  <c r="E512" i="1"/>
  <c r="I512" i="1"/>
  <c r="S512" i="1"/>
  <c r="B513" i="1"/>
  <c r="E513" i="1"/>
  <c r="I513" i="1"/>
  <c r="S513" i="1"/>
  <c r="B514" i="1"/>
  <c r="E514" i="1"/>
  <c r="I514" i="1"/>
  <c r="S514" i="1"/>
  <c r="B515" i="1"/>
  <c r="E515" i="1"/>
  <c r="I515" i="1"/>
  <c r="S515" i="1"/>
  <c r="B516" i="1"/>
  <c r="E516" i="1"/>
  <c r="I516" i="1"/>
  <c r="S516" i="1"/>
  <c r="B517" i="1"/>
  <c r="E517" i="1"/>
  <c r="I517" i="1"/>
  <c r="S517" i="1"/>
  <c r="B518" i="1"/>
  <c r="E518" i="1"/>
  <c r="I518" i="1"/>
  <c r="S518" i="1"/>
  <c r="B519" i="1"/>
  <c r="E519" i="1"/>
  <c r="I519" i="1"/>
  <c r="S519" i="1"/>
  <c r="B520" i="1"/>
  <c r="E520" i="1"/>
  <c r="I520" i="1"/>
  <c r="S520" i="1"/>
  <c r="B521" i="1"/>
  <c r="E521" i="1"/>
  <c r="I521" i="1"/>
  <c r="S521" i="1"/>
  <c r="B522" i="1"/>
  <c r="E522" i="1"/>
  <c r="I522" i="1"/>
  <c r="S522" i="1"/>
  <c r="B523" i="1"/>
  <c r="E523" i="1"/>
  <c r="I523" i="1"/>
  <c r="S523" i="1"/>
  <c r="B524" i="1"/>
  <c r="E524" i="1"/>
  <c r="I524" i="1"/>
  <c r="S524" i="1"/>
  <c r="B525" i="1"/>
  <c r="E525" i="1"/>
  <c r="I525" i="1"/>
  <c r="S525" i="1"/>
  <c r="B526" i="1"/>
  <c r="E526" i="1"/>
  <c r="I526" i="1"/>
  <c r="S526" i="1"/>
  <c r="B527" i="1"/>
  <c r="E527" i="1"/>
  <c r="I527" i="1"/>
  <c r="S527" i="1"/>
  <c r="B528" i="1"/>
  <c r="E528" i="1"/>
  <c r="I528" i="1"/>
  <c r="S528" i="1"/>
  <c r="B529" i="1"/>
  <c r="E529" i="1"/>
  <c r="I529" i="1"/>
  <c r="S529" i="1"/>
  <c r="B530" i="1"/>
  <c r="E530" i="1"/>
  <c r="I530" i="1"/>
  <c r="S530" i="1"/>
  <c r="B531" i="1"/>
  <c r="E531" i="1"/>
  <c r="I531" i="1"/>
  <c r="S531" i="1"/>
  <c r="B532" i="1"/>
  <c r="E532" i="1"/>
  <c r="I532" i="1"/>
  <c r="B533" i="1"/>
  <c r="E533" i="1"/>
  <c r="I533" i="1"/>
  <c r="S533" i="1"/>
  <c r="B534" i="1"/>
  <c r="E534" i="1"/>
  <c r="I534" i="1"/>
  <c r="S534" i="1"/>
  <c r="B535" i="1"/>
  <c r="E535" i="1"/>
  <c r="I535" i="1"/>
  <c r="S535" i="1"/>
  <c r="B536" i="1"/>
  <c r="E536" i="1"/>
  <c r="I536" i="1"/>
  <c r="S536" i="1"/>
  <c r="B537" i="1"/>
  <c r="E537" i="1"/>
  <c r="I537" i="1"/>
  <c r="S537" i="1"/>
  <c r="B538" i="1"/>
  <c r="E538" i="1"/>
  <c r="I538" i="1"/>
  <c r="S538" i="1"/>
  <c r="B539" i="1"/>
  <c r="E539" i="1"/>
  <c r="I539" i="1"/>
  <c r="S539" i="1"/>
  <c r="B540" i="1"/>
  <c r="E540" i="1"/>
  <c r="I540" i="1"/>
  <c r="S540" i="1"/>
  <c r="B541" i="1"/>
  <c r="E541" i="1"/>
  <c r="I541" i="1"/>
  <c r="S541" i="1"/>
  <c r="B542" i="1"/>
  <c r="E542" i="1"/>
  <c r="I542" i="1"/>
  <c r="S542" i="1"/>
  <c r="B543" i="1"/>
  <c r="E543" i="1"/>
  <c r="I543" i="1"/>
  <c r="S543" i="1"/>
  <c r="B544" i="1"/>
  <c r="E544" i="1"/>
  <c r="I544" i="1"/>
  <c r="S544" i="1"/>
  <c r="B545" i="1"/>
  <c r="E545" i="1"/>
  <c r="I545" i="1"/>
  <c r="S545" i="1"/>
  <c r="B546" i="1"/>
  <c r="E546" i="1"/>
  <c r="I546" i="1"/>
  <c r="S546" i="1"/>
  <c r="B547" i="1"/>
  <c r="E547" i="1"/>
  <c r="I547" i="1"/>
  <c r="S547" i="1"/>
  <c r="B548" i="1"/>
  <c r="E548" i="1"/>
  <c r="I548" i="1"/>
  <c r="S548" i="1"/>
  <c r="B549" i="1"/>
  <c r="E549" i="1"/>
  <c r="I549" i="1"/>
  <c r="S549" i="1"/>
  <c r="B550" i="1"/>
  <c r="E550" i="1"/>
  <c r="I550" i="1"/>
  <c r="S550" i="1"/>
  <c r="B551" i="1"/>
  <c r="E551" i="1"/>
  <c r="I551" i="1"/>
  <c r="S551" i="1"/>
  <c r="B552" i="1"/>
  <c r="E552" i="1"/>
  <c r="I552" i="1"/>
  <c r="S552" i="1"/>
  <c r="B553" i="1"/>
  <c r="E553" i="1"/>
  <c r="I553" i="1"/>
  <c r="S553" i="1"/>
  <c r="B554" i="1"/>
  <c r="E554" i="1"/>
  <c r="I554" i="1"/>
  <c r="S554" i="1"/>
  <c r="B555" i="1"/>
  <c r="E555" i="1"/>
  <c r="I555" i="1"/>
  <c r="B556" i="1"/>
  <c r="E556" i="1"/>
  <c r="I556" i="1"/>
  <c r="S556" i="1"/>
  <c r="B557" i="1"/>
  <c r="E557" i="1"/>
  <c r="I557" i="1"/>
  <c r="S557" i="1"/>
  <c r="B558" i="1"/>
  <c r="E558" i="1"/>
  <c r="I558" i="1"/>
  <c r="S558" i="1"/>
  <c r="B559" i="1"/>
  <c r="E559" i="1"/>
  <c r="I559" i="1"/>
  <c r="S559" i="1"/>
  <c r="B560" i="1"/>
  <c r="E560" i="1"/>
  <c r="I560" i="1"/>
  <c r="S560" i="1"/>
  <c r="B561" i="1"/>
  <c r="E561" i="1"/>
  <c r="I561" i="1"/>
  <c r="S561" i="1"/>
  <c r="B562" i="1"/>
  <c r="E562" i="1"/>
  <c r="I562" i="1"/>
  <c r="S562" i="1"/>
  <c r="B563" i="1"/>
  <c r="E563" i="1"/>
  <c r="I563" i="1"/>
  <c r="S563" i="1"/>
  <c r="B564" i="1"/>
  <c r="E564" i="1"/>
  <c r="I564" i="1"/>
  <c r="S564" i="1"/>
  <c r="B565" i="1"/>
  <c r="E565" i="1"/>
  <c r="I565" i="1"/>
  <c r="S565" i="1"/>
  <c r="B566" i="1"/>
  <c r="E566" i="1"/>
  <c r="I566" i="1"/>
  <c r="S566" i="1"/>
  <c r="B567" i="1"/>
  <c r="E567" i="1"/>
  <c r="I567" i="1"/>
  <c r="S567" i="1"/>
  <c r="B568" i="1"/>
  <c r="E568" i="1"/>
  <c r="I568" i="1"/>
  <c r="S568" i="1"/>
  <c r="B569" i="1"/>
  <c r="E569" i="1"/>
  <c r="I569" i="1"/>
  <c r="B570" i="1"/>
  <c r="E570" i="1"/>
  <c r="I570" i="1"/>
  <c r="B571" i="1"/>
  <c r="E571" i="1"/>
  <c r="I571" i="1"/>
  <c r="S571" i="1"/>
  <c r="B572" i="1"/>
  <c r="E572" i="1"/>
  <c r="I572" i="1"/>
  <c r="S572" i="1"/>
  <c r="B573" i="1"/>
  <c r="E573" i="1"/>
  <c r="I573" i="1"/>
  <c r="S573" i="1"/>
  <c r="B574" i="1"/>
  <c r="E574" i="1"/>
  <c r="I574" i="1"/>
  <c r="S574" i="1"/>
  <c r="B575" i="1"/>
  <c r="E575" i="1"/>
  <c r="I575" i="1"/>
  <c r="S575" i="1"/>
  <c r="B576" i="1"/>
  <c r="E576" i="1"/>
  <c r="I576" i="1"/>
  <c r="S576" i="1"/>
  <c r="B577" i="1"/>
  <c r="E577" i="1"/>
  <c r="I577" i="1"/>
  <c r="S577" i="1"/>
  <c r="B578" i="1"/>
  <c r="E578" i="1"/>
  <c r="I578" i="1"/>
  <c r="S578" i="1"/>
  <c r="B579" i="1"/>
  <c r="E579" i="1"/>
  <c r="I579" i="1"/>
  <c r="S579" i="1"/>
  <c r="B580" i="1"/>
  <c r="E580" i="1"/>
  <c r="I580" i="1"/>
  <c r="S580" i="1"/>
  <c r="B581" i="1"/>
  <c r="E581" i="1"/>
  <c r="I581" i="1"/>
  <c r="S581" i="1"/>
  <c r="B582" i="1"/>
  <c r="E582" i="1"/>
  <c r="I582" i="1"/>
  <c r="S582" i="1"/>
  <c r="B583" i="1"/>
  <c r="E583" i="1"/>
  <c r="I583" i="1"/>
  <c r="S583" i="1"/>
  <c r="B584" i="1"/>
  <c r="E584" i="1"/>
  <c r="I584" i="1"/>
  <c r="S584" i="1"/>
  <c r="B585" i="1"/>
  <c r="E585" i="1"/>
  <c r="I585" i="1"/>
  <c r="S585" i="1"/>
  <c r="B586" i="1"/>
  <c r="E586" i="1"/>
  <c r="I586" i="1"/>
  <c r="S586" i="1"/>
  <c r="B587" i="1"/>
  <c r="E587" i="1"/>
  <c r="I587" i="1"/>
  <c r="S587" i="1"/>
  <c r="B588" i="1"/>
  <c r="E588" i="1"/>
  <c r="I588" i="1"/>
  <c r="S588" i="1"/>
  <c r="B589" i="1"/>
  <c r="E589" i="1"/>
  <c r="I589" i="1"/>
  <c r="S589" i="1"/>
  <c r="B590" i="1"/>
  <c r="E590" i="1"/>
  <c r="I590" i="1"/>
  <c r="S590" i="1"/>
  <c r="B591" i="1"/>
  <c r="E591" i="1"/>
  <c r="I591" i="1"/>
  <c r="S591" i="1"/>
  <c r="B592" i="1"/>
  <c r="E592" i="1"/>
  <c r="I592" i="1"/>
  <c r="S592" i="1"/>
  <c r="B593" i="1"/>
  <c r="E593" i="1"/>
  <c r="I593" i="1"/>
  <c r="S593" i="1"/>
  <c r="B594" i="1"/>
  <c r="E594" i="1"/>
  <c r="I594" i="1"/>
  <c r="S594" i="1"/>
  <c r="B595" i="1"/>
  <c r="E595" i="1"/>
  <c r="I595" i="1"/>
  <c r="S595" i="1"/>
  <c r="B596" i="1"/>
  <c r="E596" i="1"/>
  <c r="I596" i="1"/>
  <c r="S596" i="1"/>
  <c r="B597" i="1"/>
  <c r="E597" i="1"/>
  <c r="I597" i="1"/>
  <c r="S597" i="1"/>
  <c r="B598" i="1"/>
  <c r="E598" i="1"/>
  <c r="I598" i="1"/>
  <c r="S598" i="1"/>
  <c r="B599" i="1"/>
  <c r="E599" i="1"/>
  <c r="I599" i="1"/>
  <c r="S599" i="1"/>
  <c r="B600" i="1"/>
  <c r="E600" i="1"/>
  <c r="I600" i="1"/>
  <c r="S600" i="1"/>
  <c r="B601" i="1"/>
  <c r="E601" i="1"/>
  <c r="I601" i="1"/>
  <c r="S601" i="1"/>
  <c r="B602" i="1"/>
  <c r="E602" i="1"/>
  <c r="I602" i="1"/>
  <c r="S602" i="1"/>
  <c r="B603" i="1"/>
  <c r="E603" i="1"/>
  <c r="I603" i="1"/>
  <c r="S603" i="1"/>
  <c r="B604" i="1"/>
  <c r="E604" i="1"/>
  <c r="I604" i="1"/>
  <c r="S604" i="1"/>
  <c r="B605" i="1"/>
  <c r="E605" i="1"/>
  <c r="I605" i="1"/>
  <c r="S605" i="1"/>
  <c r="B606" i="1"/>
  <c r="E606" i="1"/>
  <c r="I606" i="1"/>
  <c r="S606" i="1"/>
  <c r="B607" i="1"/>
  <c r="E607" i="1"/>
  <c r="I607" i="1"/>
  <c r="S607" i="1"/>
  <c r="B608" i="1"/>
  <c r="E608" i="1"/>
  <c r="I608" i="1"/>
  <c r="S608" i="1"/>
  <c r="B609" i="1"/>
  <c r="E609" i="1"/>
  <c r="I609" i="1"/>
  <c r="S609" i="1"/>
  <c r="B610" i="1"/>
  <c r="E610" i="1"/>
  <c r="I610" i="1"/>
  <c r="S610" i="1"/>
  <c r="B611" i="1"/>
  <c r="E611" i="1"/>
  <c r="I611" i="1"/>
  <c r="S611" i="1"/>
  <c r="B612" i="1"/>
  <c r="E612" i="1"/>
  <c r="I612" i="1"/>
  <c r="S612" i="1"/>
  <c r="B613" i="1"/>
  <c r="E613" i="1"/>
  <c r="I613" i="1"/>
  <c r="S613" i="1"/>
  <c r="B614" i="1"/>
  <c r="E614" i="1"/>
  <c r="I614" i="1"/>
  <c r="S614" i="1"/>
  <c r="B615" i="1"/>
  <c r="E615" i="1"/>
  <c r="I615" i="1"/>
  <c r="S615" i="1"/>
  <c r="B616" i="1"/>
  <c r="E616" i="1"/>
  <c r="I616" i="1"/>
  <c r="S616" i="1"/>
  <c r="B617" i="1"/>
  <c r="E617" i="1"/>
  <c r="I617" i="1"/>
  <c r="S617" i="1"/>
  <c r="B618" i="1"/>
  <c r="E618" i="1"/>
  <c r="I618" i="1"/>
  <c r="S618" i="1"/>
  <c r="B619" i="1"/>
  <c r="E619" i="1"/>
  <c r="I619" i="1"/>
  <c r="S619" i="1"/>
  <c r="B620" i="1"/>
  <c r="E620" i="1"/>
  <c r="I620" i="1"/>
  <c r="S620" i="1"/>
  <c r="B621" i="1"/>
  <c r="E621" i="1"/>
  <c r="I621" i="1"/>
  <c r="S621" i="1"/>
  <c r="B622" i="1"/>
  <c r="E622" i="1"/>
  <c r="I622" i="1"/>
  <c r="S622" i="1"/>
  <c r="B623" i="1"/>
  <c r="E623" i="1"/>
  <c r="I623" i="1"/>
  <c r="S623" i="1"/>
  <c r="B624" i="1"/>
  <c r="E624" i="1"/>
  <c r="I624" i="1"/>
  <c r="S624" i="1"/>
  <c r="B625" i="1"/>
  <c r="E625" i="1"/>
  <c r="I625" i="1"/>
  <c r="S625" i="1"/>
  <c r="B626" i="1"/>
  <c r="E626" i="1"/>
  <c r="I626" i="1"/>
  <c r="S626" i="1"/>
  <c r="B627" i="1"/>
  <c r="E627" i="1"/>
  <c r="I627" i="1"/>
  <c r="S627" i="1"/>
  <c r="B628" i="1"/>
  <c r="E628" i="1"/>
  <c r="I628" i="1"/>
  <c r="S628" i="1"/>
  <c r="B629" i="1"/>
  <c r="E629" i="1"/>
  <c r="I629" i="1"/>
  <c r="S629" i="1"/>
  <c r="B630" i="1"/>
  <c r="E630" i="1"/>
  <c r="I630" i="1"/>
  <c r="S630" i="1"/>
  <c r="B631" i="1"/>
  <c r="E631" i="1"/>
  <c r="I631" i="1"/>
  <c r="S631" i="1"/>
  <c r="B632" i="1"/>
  <c r="E632" i="1"/>
  <c r="I632" i="1"/>
  <c r="S632" i="1"/>
  <c r="B633" i="1"/>
  <c r="E633" i="1"/>
  <c r="I633" i="1"/>
  <c r="S633" i="1"/>
  <c r="B634" i="1"/>
  <c r="E634" i="1"/>
  <c r="I634" i="1"/>
  <c r="S634" i="1"/>
  <c r="B635" i="1"/>
  <c r="E635" i="1"/>
  <c r="I635" i="1"/>
  <c r="S635" i="1"/>
  <c r="B636" i="1"/>
  <c r="E636" i="1"/>
  <c r="I636" i="1"/>
  <c r="S636" i="1"/>
  <c r="B637" i="1"/>
  <c r="E637" i="1"/>
  <c r="I637" i="1"/>
  <c r="S637" i="1"/>
  <c r="B638" i="1"/>
  <c r="E638" i="1"/>
  <c r="I638" i="1"/>
  <c r="S638" i="1"/>
  <c r="B639" i="1"/>
  <c r="E639" i="1"/>
  <c r="I639" i="1"/>
  <c r="S639" i="1"/>
  <c r="B640" i="1"/>
  <c r="E640" i="1"/>
  <c r="I640" i="1"/>
  <c r="S640" i="1"/>
  <c r="B641" i="1"/>
  <c r="E641" i="1"/>
  <c r="I641" i="1"/>
  <c r="S641" i="1"/>
  <c r="B642" i="1"/>
  <c r="E642" i="1"/>
  <c r="I642" i="1"/>
  <c r="B643" i="1"/>
  <c r="E643" i="1"/>
  <c r="I643" i="1"/>
  <c r="S643" i="1"/>
  <c r="B644" i="1"/>
  <c r="E644" i="1"/>
  <c r="I644" i="1"/>
  <c r="S644" i="1"/>
  <c r="B645" i="1"/>
  <c r="E645" i="1"/>
  <c r="I645" i="1"/>
  <c r="S645" i="1"/>
  <c r="B646" i="1"/>
  <c r="E646" i="1"/>
  <c r="I646" i="1"/>
  <c r="S646" i="1"/>
  <c r="B647" i="1"/>
  <c r="E647" i="1"/>
  <c r="I647" i="1"/>
  <c r="S647" i="1"/>
  <c r="B648" i="1"/>
  <c r="E648" i="1"/>
  <c r="I648" i="1"/>
  <c r="S648" i="1"/>
  <c r="B649" i="1"/>
  <c r="E649" i="1"/>
  <c r="I649" i="1"/>
  <c r="S649" i="1"/>
  <c r="B650" i="1"/>
  <c r="E650" i="1"/>
  <c r="I650" i="1"/>
  <c r="S650" i="1"/>
  <c r="B651" i="1"/>
  <c r="E651" i="1"/>
  <c r="I651" i="1"/>
  <c r="S651" i="1"/>
  <c r="B652" i="1"/>
  <c r="E652" i="1"/>
  <c r="I652" i="1"/>
  <c r="S652" i="1"/>
  <c r="B653" i="1"/>
  <c r="E653" i="1"/>
  <c r="I653" i="1"/>
  <c r="S653" i="1"/>
  <c r="B654" i="1"/>
  <c r="E654" i="1"/>
  <c r="I654" i="1"/>
  <c r="S654" i="1"/>
  <c r="B655" i="1"/>
  <c r="E655" i="1"/>
  <c r="I655" i="1"/>
  <c r="S655" i="1"/>
  <c r="B656" i="1"/>
  <c r="E656" i="1"/>
  <c r="I656" i="1"/>
  <c r="S656" i="1"/>
  <c r="B657" i="1"/>
  <c r="E657" i="1"/>
  <c r="I657" i="1"/>
  <c r="S657" i="1"/>
  <c r="B658" i="1"/>
  <c r="E658" i="1"/>
  <c r="I658" i="1"/>
  <c r="S658" i="1"/>
  <c r="B659" i="1"/>
  <c r="E659" i="1"/>
  <c r="I659" i="1"/>
  <c r="S659" i="1"/>
  <c r="B660" i="1"/>
  <c r="E660" i="1"/>
  <c r="I660" i="1"/>
  <c r="S660" i="1"/>
  <c r="B661" i="1"/>
  <c r="E661" i="1"/>
  <c r="I661" i="1"/>
  <c r="S661" i="1"/>
  <c r="B662" i="1"/>
  <c r="E662" i="1"/>
  <c r="I662" i="1"/>
  <c r="S662" i="1"/>
  <c r="B663" i="1"/>
  <c r="E663" i="1"/>
  <c r="I663" i="1"/>
  <c r="S663" i="1"/>
  <c r="B664" i="1"/>
  <c r="E664" i="1"/>
  <c r="I664" i="1"/>
  <c r="S664" i="1"/>
  <c r="B665" i="1"/>
  <c r="E665" i="1"/>
  <c r="I665" i="1"/>
  <c r="S665" i="1"/>
  <c r="B666" i="1"/>
  <c r="E666" i="1"/>
  <c r="I666" i="1"/>
  <c r="S666" i="1"/>
  <c r="B667" i="1"/>
  <c r="E667" i="1"/>
  <c r="I667" i="1"/>
  <c r="S667" i="1"/>
  <c r="B668" i="1"/>
  <c r="E668" i="1"/>
  <c r="I668" i="1"/>
  <c r="S668" i="1"/>
  <c r="B669" i="1"/>
  <c r="E669" i="1"/>
  <c r="I669" i="1"/>
  <c r="S669" i="1"/>
  <c r="B670" i="1"/>
  <c r="E670" i="1"/>
  <c r="I670" i="1"/>
  <c r="S670" i="1"/>
  <c r="B671" i="1"/>
  <c r="E671" i="1"/>
  <c r="I671" i="1"/>
  <c r="S671" i="1"/>
  <c r="B672" i="1"/>
  <c r="E672" i="1"/>
  <c r="I672" i="1"/>
  <c r="S672" i="1"/>
  <c r="B673" i="1"/>
  <c r="E673" i="1"/>
  <c r="I673" i="1"/>
  <c r="S673" i="1"/>
  <c r="B674" i="1"/>
  <c r="E674" i="1"/>
  <c r="I674" i="1"/>
  <c r="S674" i="1"/>
  <c r="B675" i="1"/>
  <c r="E675" i="1"/>
  <c r="I675" i="1"/>
  <c r="S675" i="1"/>
  <c r="B676" i="1"/>
  <c r="E676" i="1"/>
  <c r="I676" i="1"/>
  <c r="S676" i="1"/>
  <c r="B677" i="1"/>
  <c r="E677" i="1"/>
  <c r="I677" i="1"/>
  <c r="S677" i="1"/>
  <c r="B678" i="1"/>
  <c r="E678" i="1"/>
  <c r="I678" i="1"/>
  <c r="S678" i="1"/>
  <c r="B679" i="1"/>
  <c r="E679" i="1"/>
  <c r="I679" i="1"/>
  <c r="S679" i="1"/>
  <c r="B680" i="1"/>
  <c r="E680" i="1"/>
  <c r="I680" i="1"/>
  <c r="S680" i="1"/>
  <c r="B681" i="1"/>
  <c r="E681" i="1"/>
  <c r="I681" i="1"/>
  <c r="S681" i="1"/>
  <c r="B682" i="1"/>
  <c r="E682" i="1"/>
  <c r="I682" i="1"/>
  <c r="S682" i="1"/>
  <c r="B683" i="1"/>
  <c r="E683" i="1"/>
  <c r="I683" i="1"/>
  <c r="B684" i="1"/>
  <c r="E684" i="1"/>
  <c r="I684" i="1"/>
  <c r="S684" i="1"/>
  <c r="B685" i="1"/>
  <c r="E685" i="1"/>
  <c r="I685" i="1"/>
  <c r="S685" i="1"/>
  <c r="B686" i="1"/>
  <c r="E686" i="1"/>
  <c r="I686" i="1"/>
  <c r="S686" i="1"/>
  <c r="B687" i="1"/>
  <c r="E687" i="1"/>
  <c r="I687" i="1"/>
  <c r="S687" i="1"/>
  <c r="B688" i="1"/>
  <c r="E688" i="1"/>
  <c r="I688" i="1"/>
  <c r="S688" i="1"/>
  <c r="B689" i="1"/>
  <c r="E689" i="1"/>
  <c r="I689" i="1"/>
  <c r="S689" i="1"/>
  <c r="B690" i="1"/>
  <c r="E690" i="1"/>
  <c r="I690" i="1"/>
  <c r="S690" i="1"/>
  <c r="B691" i="1"/>
  <c r="E691" i="1"/>
  <c r="I691" i="1"/>
  <c r="S691" i="1"/>
  <c r="B692" i="1"/>
  <c r="E692" i="1"/>
  <c r="I692" i="1"/>
  <c r="S692" i="1"/>
  <c r="B693" i="1"/>
  <c r="E693" i="1"/>
  <c r="I693" i="1"/>
  <c r="S693" i="1"/>
  <c r="B694" i="1"/>
  <c r="E694" i="1"/>
  <c r="I694" i="1"/>
  <c r="S694" i="1"/>
  <c r="B695" i="1"/>
  <c r="E695" i="1"/>
  <c r="I695" i="1"/>
  <c r="S695" i="1"/>
  <c r="B696" i="1"/>
  <c r="E696" i="1"/>
  <c r="I696" i="1"/>
  <c r="S696" i="1"/>
  <c r="B697" i="1"/>
  <c r="E697" i="1"/>
  <c r="I697" i="1"/>
  <c r="S697" i="1"/>
  <c r="B698" i="1"/>
  <c r="E698" i="1"/>
  <c r="I698" i="1"/>
  <c r="S698" i="1"/>
  <c r="B699" i="1"/>
  <c r="E699" i="1"/>
  <c r="I699" i="1"/>
  <c r="S699" i="1"/>
  <c r="B700" i="1"/>
  <c r="E700" i="1"/>
  <c r="I700" i="1"/>
  <c r="S700" i="1"/>
  <c r="B701" i="1"/>
  <c r="E701" i="1"/>
  <c r="I701" i="1"/>
  <c r="S701" i="1"/>
  <c r="B702" i="1"/>
  <c r="E702" i="1"/>
  <c r="I702" i="1"/>
  <c r="S702" i="1"/>
  <c r="B703" i="1"/>
  <c r="E703" i="1"/>
  <c r="I703" i="1"/>
  <c r="S703" i="1"/>
  <c r="B704" i="1"/>
  <c r="E704" i="1"/>
  <c r="I704" i="1"/>
  <c r="S704" i="1"/>
  <c r="B705" i="1"/>
  <c r="E705" i="1"/>
  <c r="I705" i="1"/>
  <c r="S705" i="1"/>
  <c r="B706" i="1"/>
  <c r="E706" i="1"/>
  <c r="I706" i="1"/>
  <c r="S706" i="1"/>
  <c r="B707" i="1"/>
  <c r="E707" i="1"/>
  <c r="I707" i="1"/>
  <c r="S707" i="1"/>
  <c r="B708" i="1"/>
  <c r="E708" i="1"/>
  <c r="I708" i="1"/>
  <c r="S708" i="1"/>
  <c r="B709" i="1"/>
  <c r="E709" i="1"/>
  <c r="I709" i="1"/>
  <c r="S709" i="1"/>
  <c r="B710" i="1"/>
  <c r="E710" i="1"/>
  <c r="I710" i="1"/>
  <c r="S710" i="1"/>
  <c r="B711" i="1"/>
  <c r="E711" i="1"/>
  <c r="I711" i="1"/>
  <c r="S711" i="1"/>
  <c r="B712" i="1"/>
  <c r="E712" i="1"/>
  <c r="I712" i="1"/>
  <c r="S712" i="1"/>
  <c r="B713" i="1"/>
  <c r="E713" i="1"/>
  <c r="I713" i="1"/>
  <c r="S713" i="1"/>
  <c r="B714" i="1"/>
  <c r="E714" i="1"/>
  <c r="I714" i="1"/>
  <c r="S714" i="1"/>
  <c r="B715" i="1"/>
  <c r="E715" i="1"/>
  <c r="I715" i="1"/>
  <c r="S715" i="1"/>
  <c r="B716" i="1"/>
  <c r="E716" i="1"/>
  <c r="I716" i="1"/>
  <c r="S716" i="1"/>
  <c r="B717" i="1"/>
  <c r="E717" i="1"/>
  <c r="I717" i="1"/>
  <c r="S717" i="1"/>
  <c r="B718" i="1"/>
  <c r="E718" i="1"/>
  <c r="I718" i="1"/>
  <c r="S718" i="1"/>
  <c r="B719" i="1"/>
  <c r="E719" i="1"/>
  <c r="I719" i="1"/>
  <c r="S719" i="1"/>
  <c r="B720" i="1"/>
  <c r="E720" i="1"/>
  <c r="I720" i="1"/>
  <c r="S720" i="1"/>
  <c r="B721" i="1"/>
  <c r="E721" i="1"/>
  <c r="I721" i="1"/>
  <c r="S721" i="1"/>
  <c r="B722" i="1"/>
  <c r="E722" i="1"/>
  <c r="I722" i="1"/>
  <c r="S722" i="1"/>
  <c r="B723" i="1"/>
  <c r="E723" i="1"/>
  <c r="I723" i="1"/>
  <c r="S723" i="1"/>
  <c r="B724" i="1"/>
  <c r="E724" i="1"/>
  <c r="I724" i="1"/>
  <c r="S724" i="1"/>
  <c r="B725" i="1"/>
  <c r="E725" i="1"/>
  <c r="I725" i="1"/>
  <c r="S725" i="1"/>
  <c r="B726" i="1"/>
  <c r="E726" i="1"/>
  <c r="I726" i="1"/>
  <c r="S726" i="1"/>
  <c r="B727" i="1"/>
  <c r="E727" i="1"/>
  <c r="I727" i="1"/>
  <c r="S727" i="1"/>
  <c r="B728" i="1"/>
  <c r="E728" i="1"/>
  <c r="I728" i="1"/>
  <c r="S728" i="1"/>
  <c r="B729" i="1"/>
  <c r="E729" i="1"/>
  <c r="I729" i="1"/>
  <c r="S729" i="1"/>
  <c r="B730" i="1"/>
  <c r="E730" i="1"/>
  <c r="I730" i="1"/>
  <c r="S730" i="1"/>
  <c r="B731" i="1"/>
  <c r="E731" i="1"/>
  <c r="I731" i="1"/>
  <c r="S731" i="1"/>
  <c r="B732" i="1"/>
  <c r="E732" i="1"/>
  <c r="I732" i="1"/>
  <c r="S732" i="1"/>
  <c r="B733" i="1"/>
  <c r="E733" i="1"/>
  <c r="I733" i="1"/>
  <c r="S733" i="1"/>
  <c r="B734" i="1"/>
  <c r="E734" i="1"/>
  <c r="I734" i="1"/>
  <c r="S734" i="1"/>
  <c r="B735" i="1"/>
  <c r="E735" i="1"/>
  <c r="I735" i="1"/>
  <c r="S735" i="1"/>
  <c r="B736" i="1"/>
  <c r="E736" i="1"/>
  <c r="I736" i="1"/>
  <c r="S736" i="1"/>
  <c r="B737" i="1"/>
  <c r="E737" i="1"/>
  <c r="I737" i="1"/>
  <c r="S737" i="1"/>
  <c r="B738" i="1"/>
  <c r="E738" i="1"/>
  <c r="I738" i="1"/>
  <c r="S738" i="1"/>
  <c r="B739" i="1"/>
  <c r="E739" i="1"/>
  <c r="I739" i="1"/>
  <c r="S739" i="1"/>
  <c r="B740" i="1"/>
  <c r="E740" i="1"/>
  <c r="I740" i="1"/>
  <c r="S740" i="1"/>
  <c r="B741" i="1"/>
  <c r="E741" i="1"/>
  <c r="I741" i="1"/>
  <c r="S741" i="1"/>
  <c r="B742" i="1"/>
  <c r="E742" i="1"/>
  <c r="I742" i="1"/>
  <c r="S742" i="1"/>
  <c r="B743" i="1"/>
  <c r="E743" i="1"/>
  <c r="I743" i="1"/>
  <c r="S743" i="1"/>
  <c r="B744" i="1"/>
  <c r="E744" i="1"/>
  <c r="I744" i="1"/>
  <c r="S744" i="1"/>
  <c r="B745" i="1"/>
  <c r="E745" i="1"/>
  <c r="I745" i="1"/>
  <c r="S745" i="1"/>
  <c r="B746" i="1"/>
  <c r="E746" i="1"/>
  <c r="I746" i="1"/>
  <c r="S746" i="1"/>
  <c r="B747" i="1"/>
  <c r="E747" i="1"/>
  <c r="I747" i="1"/>
  <c r="S747" i="1"/>
  <c r="B748" i="1"/>
  <c r="E748" i="1"/>
  <c r="I748" i="1"/>
  <c r="S748" i="1"/>
  <c r="B749" i="1"/>
  <c r="E749" i="1"/>
  <c r="I749" i="1"/>
  <c r="S749" i="1"/>
  <c r="B750" i="1"/>
  <c r="E750" i="1"/>
  <c r="I750" i="1"/>
  <c r="S750" i="1"/>
  <c r="B751" i="1"/>
  <c r="E751" i="1"/>
  <c r="I751" i="1"/>
  <c r="S751" i="1"/>
  <c r="B752" i="1"/>
  <c r="E752" i="1"/>
  <c r="I752" i="1"/>
  <c r="S752" i="1"/>
  <c r="B753" i="1"/>
  <c r="E753" i="1"/>
  <c r="I753" i="1"/>
  <c r="S753" i="1"/>
  <c r="B754" i="1"/>
  <c r="E754" i="1"/>
  <c r="I754" i="1"/>
  <c r="S754" i="1"/>
  <c r="B755" i="1"/>
  <c r="E755" i="1"/>
  <c r="I755" i="1"/>
  <c r="S755" i="1"/>
  <c r="B756" i="1"/>
  <c r="E756" i="1"/>
  <c r="I756" i="1"/>
  <c r="S756" i="1"/>
  <c r="B757" i="1"/>
  <c r="E757" i="1"/>
  <c r="I757" i="1"/>
  <c r="S757" i="1"/>
  <c r="B758" i="1"/>
  <c r="E758" i="1"/>
  <c r="I758" i="1"/>
  <c r="S758" i="1"/>
  <c r="B759" i="1"/>
  <c r="E759" i="1"/>
  <c r="I759" i="1"/>
  <c r="S759" i="1"/>
  <c r="B760" i="1"/>
  <c r="E760" i="1"/>
  <c r="I760" i="1"/>
  <c r="S760" i="1"/>
  <c r="B761" i="1"/>
  <c r="E761" i="1"/>
  <c r="I761" i="1"/>
  <c r="S761" i="1"/>
  <c r="B762" i="1"/>
  <c r="E762" i="1"/>
  <c r="I762" i="1"/>
  <c r="B763" i="1"/>
  <c r="E763" i="1"/>
  <c r="I763" i="1"/>
  <c r="S763" i="1"/>
  <c r="B764" i="1"/>
  <c r="E764" i="1"/>
  <c r="I764" i="1"/>
  <c r="S764" i="1"/>
  <c r="B765" i="1"/>
  <c r="E765" i="1"/>
  <c r="I765" i="1"/>
  <c r="S765" i="1"/>
  <c r="B766" i="1"/>
  <c r="E766" i="1"/>
  <c r="I766" i="1"/>
  <c r="S766" i="1"/>
  <c r="B767" i="1"/>
  <c r="E767" i="1"/>
  <c r="I767" i="1"/>
  <c r="S767" i="1"/>
  <c r="B768" i="1"/>
  <c r="E768" i="1"/>
  <c r="I768" i="1"/>
  <c r="S768" i="1"/>
  <c r="B769" i="1"/>
  <c r="E769" i="1"/>
  <c r="I769" i="1"/>
  <c r="S769" i="1"/>
  <c r="B770" i="1"/>
  <c r="E770" i="1"/>
  <c r="I770" i="1"/>
  <c r="S770" i="1"/>
  <c r="B771" i="1"/>
  <c r="E771" i="1"/>
  <c r="I771" i="1"/>
  <c r="S771" i="1"/>
  <c r="B772" i="1"/>
  <c r="E772" i="1"/>
  <c r="I772" i="1"/>
  <c r="S772" i="1"/>
  <c r="B773" i="1"/>
  <c r="E773" i="1"/>
  <c r="I773" i="1"/>
  <c r="S773" i="1"/>
  <c r="B774" i="1"/>
  <c r="E774" i="1"/>
  <c r="I774" i="1"/>
  <c r="S774" i="1"/>
  <c r="B775" i="1"/>
  <c r="E775" i="1"/>
  <c r="I775" i="1"/>
  <c r="S775" i="1"/>
  <c r="B776" i="1"/>
  <c r="E776" i="1"/>
  <c r="I776" i="1"/>
  <c r="S776" i="1"/>
  <c r="B777" i="1"/>
  <c r="E777" i="1"/>
  <c r="I777" i="1"/>
  <c r="S777" i="1"/>
  <c r="B778" i="1"/>
  <c r="E778" i="1"/>
  <c r="I778" i="1"/>
  <c r="S778" i="1"/>
  <c r="B779" i="1"/>
  <c r="E779" i="1"/>
  <c r="I779" i="1"/>
  <c r="S779" i="1"/>
  <c r="B780" i="1"/>
  <c r="E780" i="1"/>
  <c r="I780" i="1"/>
  <c r="S780" i="1"/>
  <c r="B781" i="1"/>
  <c r="E781" i="1"/>
  <c r="I781" i="1"/>
  <c r="S781" i="1"/>
  <c r="B782" i="1"/>
  <c r="E782" i="1"/>
  <c r="I782" i="1"/>
  <c r="S782" i="1"/>
  <c r="B783" i="1"/>
  <c r="E783" i="1"/>
  <c r="I783" i="1"/>
  <c r="S783" i="1"/>
  <c r="B784" i="1"/>
  <c r="E784" i="1"/>
  <c r="I784" i="1"/>
  <c r="S784" i="1"/>
  <c r="B785" i="1"/>
  <c r="E785" i="1"/>
  <c r="I785" i="1"/>
  <c r="S785" i="1"/>
  <c r="B786" i="1"/>
  <c r="E786" i="1"/>
  <c r="I786" i="1"/>
  <c r="S786" i="1"/>
  <c r="B787" i="1"/>
  <c r="E787" i="1"/>
  <c r="I787" i="1"/>
  <c r="S787" i="1"/>
  <c r="B788" i="1"/>
  <c r="E788" i="1"/>
  <c r="I788" i="1"/>
  <c r="S788" i="1"/>
  <c r="B789" i="1"/>
  <c r="E789" i="1"/>
  <c r="I789" i="1"/>
  <c r="S789" i="1"/>
  <c r="B790" i="1"/>
  <c r="E790" i="1"/>
  <c r="I790" i="1"/>
  <c r="S790" i="1"/>
  <c r="B791" i="1"/>
  <c r="E791" i="1"/>
  <c r="I791" i="1"/>
  <c r="S791" i="1"/>
  <c r="B792" i="1"/>
  <c r="E792" i="1"/>
  <c r="I792" i="1"/>
  <c r="S792" i="1"/>
  <c r="B793" i="1"/>
  <c r="E793" i="1"/>
  <c r="I793" i="1"/>
  <c r="S793" i="1"/>
  <c r="B794" i="1"/>
  <c r="E794" i="1"/>
  <c r="I794" i="1"/>
  <c r="S794" i="1"/>
  <c r="B795" i="1"/>
  <c r="E795" i="1"/>
  <c r="I795" i="1"/>
  <c r="S795" i="1"/>
  <c r="B796" i="1"/>
  <c r="E796" i="1"/>
  <c r="I796" i="1"/>
  <c r="S796" i="1"/>
  <c r="B797" i="1"/>
  <c r="E797" i="1"/>
  <c r="I797" i="1"/>
  <c r="S797" i="1"/>
  <c r="B798" i="1"/>
  <c r="E798" i="1"/>
  <c r="I798" i="1"/>
  <c r="S798" i="1"/>
  <c r="B799" i="1"/>
  <c r="E799" i="1"/>
  <c r="I799" i="1"/>
  <c r="S799" i="1"/>
  <c r="B800" i="1"/>
  <c r="E800" i="1"/>
  <c r="I800" i="1"/>
  <c r="S800" i="1"/>
  <c r="B801" i="1"/>
  <c r="E801" i="1"/>
  <c r="I801" i="1"/>
  <c r="S801" i="1"/>
  <c r="B802" i="1"/>
  <c r="E802" i="1"/>
  <c r="I802" i="1"/>
  <c r="S802" i="1"/>
  <c r="B803" i="1"/>
  <c r="E803" i="1"/>
  <c r="I803" i="1"/>
  <c r="S803" i="1"/>
  <c r="B804" i="1"/>
  <c r="E804" i="1"/>
  <c r="I804" i="1"/>
  <c r="S804" i="1"/>
  <c r="B805" i="1"/>
  <c r="E805" i="1"/>
  <c r="I805" i="1"/>
  <c r="S805" i="1"/>
  <c r="B806" i="1"/>
  <c r="E806" i="1"/>
  <c r="I806" i="1"/>
  <c r="S806" i="1"/>
  <c r="B807" i="1"/>
  <c r="E807" i="1"/>
  <c r="I807" i="1"/>
  <c r="S807" i="1"/>
  <c r="B808" i="1"/>
  <c r="E808" i="1"/>
  <c r="I808" i="1"/>
  <c r="S808" i="1"/>
  <c r="B809" i="1"/>
  <c r="E809" i="1"/>
  <c r="I809" i="1"/>
  <c r="S809" i="1"/>
  <c r="B810" i="1"/>
  <c r="E810" i="1"/>
  <c r="I810" i="1"/>
  <c r="S810" i="1"/>
  <c r="B811" i="1"/>
  <c r="E811" i="1"/>
  <c r="I811" i="1"/>
  <c r="S811" i="1"/>
  <c r="B812" i="1"/>
  <c r="E812" i="1"/>
  <c r="I812" i="1"/>
  <c r="S812" i="1"/>
  <c r="B813" i="1"/>
  <c r="E813" i="1"/>
  <c r="I813" i="1"/>
  <c r="S813" i="1"/>
  <c r="B814" i="1"/>
  <c r="E814" i="1"/>
  <c r="I814" i="1"/>
  <c r="S814" i="1"/>
  <c r="B815" i="1"/>
  <c r="E815" i="1"/>
  <c r="I815" i="1"/>
  <c r="S815" i="1"/>
  <c r="B816" i="1"/>
  <c r="E816" i="1"/>
  <c r="I816" i="1"/>
  <c r="S816" i="1"/>
  <c r="B817" i="1"/>
  <c r="E817" i="1"/>
  <c r="I817" i="1"/>
  <c r="S817" i="1"/>
  <c r="B818" i="1"/>
  <c r="E818" i="1"/>
  <c r="I818" i="1"/>
  <c r="S818" i="1"/>
  <c r="B819" i="1"/>
  <c r="E819" i="1"/>
  <c r="I819" i="1"/>
  <c r="S819" i="1"/>
  <c r="B820" i="1"/>
  <c r="E820" i="1"/>
  <c r="I820" i="1"/>
  <c r="S820" i="1"/>
  <c r="B821" i="1"/>
  <c r="E821" i="1"/>
  <c r="I821" i="1"/>
  <c r="S821" i="1"/>
  <c r="B822" i="1"/>
  <c r="E822" i="1"/>
  <c r="I822" i="1"/>
  <c r="S822" i="1"/>
  <c r="B823" i="1"/>
  <c r="E823" i="1"/>
  <c r="I823" i="1"/>
  <c r="S823" i="1"/>
  <c r="B824" i="1"/>
  <c r="E824" i="1"/>
  <c r="I824" i="1"/>
  <c r="S824" i="1"/>
  <c r="B825" i="1"/>
  <c r="E825" i="1"/>
  <c r="I825" i="1"/>
  <c r="S825" i="1"/>
  <c r="B826" i="1"/>
  <c r="E826" i="1"/>
  <c r="I826" i="1"/>
  <c r="S826" i="1"/>
  <c r="B827" i="1"/>
  <c r="E827" i="1"/>
  <c r="I827" i="1"/>
  <c r="S827" i="1"/>
  <c r="B828" i="1"/>
  <c r="E828" i="1"/>
  <c r="I828" i="1"/>
  <c r="S828" i="1"/>
  <c r="B829" i="1"/>
  <c r="E829" i="1"/>
  <c r="I829" i="1"/>
  <c r="S829" i="1"/>
  <c r="B830" i="1"/>
  <c r="E830" i="1"/>
  <c r="I830" i="1"/>
  <c r="S830" i="1"/>
  <c r="B831" i="1"/>
  <c r="E831" i="1"/>
  <c r="I831" i="1"/>
  <c r="B832" i="1"/>
  <c r="E832" i="1"/>
  <c r="I832" i="1"/>
  <c r="S832" i="1"/>
  <c r="B833" i="1"/>
  <c r="E833" i="1"/>
  <c r="I833" i="1"/>
  <c r="S833" i="1"/>
  <c r="B834" i="1"/>
  <c r="E834" i="1"/>
  <c r="I834" i="1"/>
  <c r="S834" i="1"/>
  <c r="B835" i="1"/>
  <c r="E835" i="1"/>
  <c r="I835" i="1"/>
  <c r="S835" i="1"/>
  <c r="B836" i="1"/>
  <c r="E836" i="1"/>
  <c r="I836" i="1"/>
  <c r="S836" i="1"/>
  <c r="B837" i="1"/>
  <c r="E837" i="1"/>
  <c r="I837" i="1"/>
  <c r="S837" i="1"/>
  <c r="B838" i="1"/>
  <c r="E838" i="1"/>
  <c r="I838" i="1"/>
  <c r="S838" i="1"/>
  <c r="B839" i="1"/>
  <c r="E839" i="1"/>
  <c r="I839" i="1"/>
  <c r="S839" i="1"/>
  <c r="B840" i="1"/>
  <c r="E840" i="1"/>
  <c r="I840" i="1"/>
  <c r="S840" i="1"/>
  <c r="B841" i="1"/>
  <c r="E841" i="1"/>
  <c r="I841" i="1"/>
  <c r="S841" i="1"/>
  <c r="B842" i="1"/>
  <c r="E842" i="1"/>
  <c r="I842" i="1"/>
  <c r="S842" i="1"/>
  <c r="B843" i="1"/>
  <c r="E843" i="1"/>
  <c r="I843" i="1"/>
  <c r="S843" i="1"/>
  <c r="B844" i="1"/>
  <c r="E844" i="1"/>
  <c r="I844" i="1"/>
  <c r="S844" i="1"/>
  <c r="B845" i="1"/>
  <c r="E845" i="1"/>
  <c r="I845" i="1"/>
  <c r="S845" i="1"/>
  <c r="B846" i="1"/>
  <c r="E846" i="1"/>
  <c r="I846" i="1"/>
  <c r="S846" i="1"/>
  <c r="B847" i="1"/>
  <c r="E847" i="1"/>
  <c r="I847" i="1"/>
  <c r="S847" i="1"/>
  <c r="B848" i="1"/>
  <c r="E848" i="1"/>
  <c r="I848" i="1"/>
  <c r="S848" i="1"/>
  <c r="B849" i="1"/>
  <c r="E849" i="1"/>
  <c r="I849" i="1"/>
  <c r="S849" i="1"/>
  <c r="B850" i="1"/>
  <c r="E850" i="1"/>
  <c r="I850" i="1"/>
  <c r="S850" i="1"/>
  <c r="B851" i="1"/>
  <c r="E851" i="1"/>
  <c r="I851" i="1"/>
  <c r="S851" i="1"/>
  <c r="B852" i="1"/>
  <c r="E852" i="1"/>
  <c r="I852" i="1"/>
  <c r="S852" i="1"/>
  <c r="B853" i="1"/>
  <c r="E853" i="1"/>
  <c r="I853" i="1"/>
  <c r="S853" i="1"/>
  <c r="B854" i="1"/>
  <c r="E854" i="1"/>
  <c r="I854" i="1"/>
  <c r="S854" i="1"/>
  <c r="B855" i="1"/>
  <c r="E855" i="1"/>
  <c r="I855" i="1"/>
  <c r="S855" i="1"/>
  <c r="B856" i="1"/>
  <c r="E856" i="1"/>
  <c r="I856" i="1"/>
  <c r="B857" i="1"/>
  <c r="E857" i="1"/>
  <c r="I857" i="1"/>
  <c r="S857" i="1"/>
  <c r="B858" i="1"/>
  <c r="E858" i="1"/>
  <c r="I858" i="1"/>
  <c r="S858" i="1"/>
  <c r="B859" i="1"/>
  <c r="E859" i="1"/>
  <c r="I859" i="1"/>
  <c r="S859" i="1"/>
  <c r="B860" i="1"/>
  <c r="E860" i="1"/>
  <c r="I860" i="1"/>
  <c r="S860" i="1"/>
  <c r="B861" i="1"/>
  <c r="E861" i="1"/>
  <c r="I861" i="1"/>
  <c r="S861" i="1"/>
  <c r="B862" i="1"/>
  <c r="E862" i="1"/>
  <c r="I862" i="1"/>
  <c r="S862" i="1"/>
  <c r="B863" i="1"/>
  <c r="E863" i="1"/>
  <c r="I863" i="1"/>
  <c r="S863" i="1"/>
  <c r="B864" i="1"/>
  <c r="E864" i="1"/>
  <c r="I864" i="1"/>
  <c r="S864" i="1"/>
  <c r="B865" i="1"/>
  <c r="E865" i="1"/>
  <c r="I865" i="1"/>
  <c r="S865" i="1"/>
  <c r="B866" i="1"/>
  <c r="E866" i="1"/>
  <c r="I866" i="1"/>
  <c r="S866" i="1"/>
  <c r="B867" i="1"/>
  <c r="E867" i="1"/>
  <c r="I867" i="1"/>
  <c r="S867" i="1"/>
  <c r="B868" i="1"/>
  <c r="E868" i="1"/>
  <c r="I868" i="1"/>
  <c r="S868" i="1"/>
  <c r="B869" i="1"/>
  <c r="E869" i="1"/>
  <c r="I869" i="1"/>
  <c r="S869" i="1"/>
  <c r="B870" i="1"/>
  <c r="E870" i="1"/>
  <c r="I870" i="1"/>
  <c r="S870" i="1"/>
  <c r="B871" i="1"/>
  <c r="E871" i="1"/>
  <c r="I871" i="1"/>
  <c r="S871" i="1"/>
  <c r="B872" i="1"/>
  <c r="E872" i="1"/>
  <c r="I872" i="1"/>
  <c r="S872" i="1"/>
  <c r="B873" i="1"/>
  <c r="E873" i="1"/>
  <c r="I873" i="1"/>
  <c r="S873" i="1"/>
  <c r="B874" i="1"/>
  <c r="E874" i="1"/>
  <c r="I874" i="1"/>
  <c r="S874" i="1"/>
  <c r="B875" i="1"/>
  <c r="E875" i="1"/>
  <c r="I875" i="1"/>
  <c r="S875" i="1"/>
  <c r="B876" i="1"/>
  <c r="E876" i="1"/>
  <c r="I876" i="1"/>
  <c r="S876" i="1"/>
  <c r="B877" i="1"/>
  <c r="E877" i="1"/>
  <c r="I877" i="1"/>
  <c r="S877" i="1"/>
  <c r="B878" i="1"/>
  <c r="E878" i="1"/>
  <c r="I878" i="1"/>
  <c r="S878" i="1"/>
  <c r="B879" i="1"/>
  <c r="E879" i="1"/>
  <c r="I879" i="1"/>
  <c r="S879" i="1"/>
  <c r="B880" i="1"/>
  <c r="E880" i="1"/>
  <c r="I880" i="1"/>
  <c r="S880" i="1"/>
  <c r="B881" i="1"/>
  <c r="E881" i="1"/>
  <c r="I881" i="1"/>
  <c r="S881" i="1"/>
  <c r="B882" i="1"/>
  <c r="E882" i="1"/>
  <c r="I882" i="1"/>
  <c r="S882" i="1"/>
  <c r="B883" i="1"/>
  <c r="E883" i="1"/>
  <c r="I883" i="1"/>
  <c r="S883" i="1"/>
  <c r="B884" i="1"/>
  <c r="E884" i="1"/>
  <c r="I884" i="1"/>
  <c r="S884" i="1"/>
  <c r="B885" i="1"/>
  <c r="E885" i="1"/>
  <c r="I885" i="1"/>
  <c r="S885" i="1"/>
  <c r="B886" i="1"/>
  <c r="E886" i="1"/>
  <c r="I886" i="1"/>
  <c r="S886" i="1"/>
  <c r="B887" i="1"/>
  <c r="E887" i="1"/>
  <c r="I887" i="1"/>
  <c r="S887" i="1"/>
  <c r="B888" i="1"/>
  <c r="E888" i="1"/>
  <c r="I888" i="1"/>
  <c r="S888" i="1"/>
  <c r="B889" i="1"/>
  <c r="E889" i="1"/>
  <c r="I889" i="1"/>
  <c r="S889" i="1"/>
  <c r="B890" i="1"/>
  <c r="E890" i="1"/>
  <c r="I890" i="1"/>
  <c r="S890" i="1"/>
  <c r="B891" i="1"/>
  <c r="E891" i="1"/>
  <c r="I891" i="1"/>
  <c r="S891" i="1"/>
  <c r="B892" i="1"/>
  <c r="E892" i="1"/>
  <c r="I892" i="1"/>
  <c r="S892" i="1"/>
  <c r="B893" i="1"/>
  <c r="E893" i="1"/>
  <c r="I893" i="1"/>
  <c r="S893" i="1"/>
  <c r="B894" i="1"/>
  <c r="E894" i="1"/>
  <c r="I894" i="1"/>
  <c r="S894" i="1"/>
  <c r="B895" i="1"/>
  <c r="E895" i="1"/>
  <c r="I895" i="1"/>
  <c r="S895" i="1"/>
  <c r="B896" i="1"/>
  <c r="E896" i="1"/>
  <c r="I896" i="1"/>
  <c r="S896" i="1"/>
  <c r="B897" i="1"/>
  <c r="E897" i="1"/>
  <c r="I897" i="1"/>
  <c r="S897" i="1"/>
  <c r="B898" i="1"/>
  <c r="E898" i="1"/>
  <c r="I898" i="1"/>
  <c r="S898" i="1"/>
  <c r="B899" i="1"/>
  <c r="E899" i="1"/>
  <c r="I899" i="1"/>
  <c r="S899" i="1"/>
  <c r="B900" i="1"/>
  <c r="E900" i="1"/>
  <c r="I900" i="1"/>
  <c r="S900" i="1"/>
  <c r="B901" i="1"/>
  <c r="E901" i="1"/>
  <c r="I901" i="1"/>
  <c r="S901" i="1"/>
  <c r="B902" i="1"/>
  <c r="E902" i="1"/>
  <c r="I902" i="1"/>
  <c r="S902" i="1"/>
  <c r="B903" i="1"/>
  <c r="E903" i="1"/>
  <c r="I903" i="1"/>
  <c r="S903" i="1"/>
  <c r="B904" i="1"/>
  <c r="E904" i="1"/>
  <c r="I904" i="1"/>
  <c r="S904" i="1"/>
  <c r="B905" i="1"/>
  <c r="E905" i="1"/>
  <c r="I905" i="1"/>
  <c r="S905" i="1"/>
  <c r="B906" i="1"/>
  <c r="E906" i="1"/>
  <c r="I906" i="1"/>
  <c r="S906" i="1"/>
  <c r="B907" i="1"/>
  <c r="E907" i="1"/>
  <c r="I907" i="1"/>
  <c r="S907" i="1"/>
  <c r="B908" i="1"/>
  <c r="E908" i="1"/>
  <c r="I908" i="1"/>
  <c r="S908" i="1"/>
  <c r="B909" i="1"/>
  <c r="E909" i="1"/>
  <c r="I909" i="1"/>
  <c r="S909" i="1"/>
  <c r="B910" i="1"/>
  <c r="E910" i="1"/>
  <c r="I910" i="1"/>
  <c r="S910" i="1"/>
  <c r="B911" i="1"/>
  <c r="E911" i="1"/>
  <c r="I911" i="1"/>
  <c r="B912" i="1"/>
  <c r="E912" i="1"/>
  <c r="I912" i="1"/>
  <c r="S912" i="1"/>
  <c r="B913" i="1"/>
  <c r="E913" i="1"/>
  <c r="I913" i="1"/>
  <c r="S913" i="1"/>
  <c r="B914" i="1"/>
  <c r="E914" i="1"/>
  <c r="I914" i="1"/>
  <c r="S914" i="1"/>
  <c r="B915" i="1"/>
  <c r="E915" i="1"/>
  <c r="I915" i="1"/>
  <c r="S915" i="1"/>
  <c r="B916" i="1"/>
  <c r="E916" i="1"/>
  <c r="I916" i="1"/>
  <c r="S916" i="1"/>
  <c r="B917" i="1"/>
  <c r="E917" i="1"/>
  <c r="I917" i="1"/>
  <c r="S917" i="1"/>
  <c r="B918" i="1"/>
  <c r="E918" i="1"/>
  <c r="I918" i="1"/>
  <c r="S918" i="1"/>
  <c r="B919" i="1"/>
  <c r="E919" i="1"/>
  <c r="I919" i="1"/>
  <c r="S919" i="1"/>
  <c r="B920" i="1"/>
  <c r="E920" i="1"/>
  <c r="I920" i="1"/>
  <c r="S920" i="1"/>
  <c r="B921" i="1"/>
  <c r="E921" i="1"/>
  <c r="I921" i="1"/>
  <c r="S921" i="1"/>
  <c r="B922" i="1"/>
  <c r="E922" i="1"/>
  <c r="I922" i="1"/>
  <c r="S922" i="1"/>
  <c r="B923" i="1"/>
  <c r="E923" i="1"/>
  <c r="I923" i="1"/>
  <c r="S923" i="1"/>
  <c r="B924" i="1"/>
  <c r="E924" i="1"/>
  <c r="I924" i="1"/>
  <c r="S924" i="1"/>
  <c r="B925" i="1"/>
  <c r="E925" i="1"/>
  <c r="I925" i="1"/>
  <c r="S925" i="1"/>
  <c r="B926" i="1"/>
  <c r="E926" i="1"/>
  <c r="I926" i="1"/>
  <c r="S926" i="1"/>
  <c r="B927" i="1"/>
  <c r="E927" i="1"/>
  <c r="I927" i="1"/>
  <c r="S927" i="1"/>
  <c r="B928" i="1"/>
  <c r="E928" i="1"/>
  <c r="I928" i="1"/>
  <c r="S928" i="1"/>
  <c r="B929" i="1"/>
  <c r="E929" i="1"/>
  <c r="I929" i="1"/>
  <c r="S929" i="1"/>
  <c r="B930" i="1"/>
  <c r="E930" i="1"/>
  <c r="I930" i="1"/>
  <c r="S930" i="1"/>
  <c r="B931" i="1"/>
  <c r="E931" i="1"/>
  <c r="I931" i="1"/>
  <c r="S931" i="1"/>
  <c r="B932" i="1"/>
  <c r="E932" i="1"/>
  <c r="I932" i="1"/>
  <c r="S932" i="1"/>
  <c r="B933" i="1"/>
  <c r="E933" i="1"/>
  <c r="I933" i="1"/>
  <c r="S933" i="1"/>
  <c r="B934" i="1"/>
  <c r="E934" i="1"/>
  <c r="I934" i="1"/>
  <c r="S934" i="1"/>
  <c r="B935" i="1"/>
  <c r="E935" i="1"/>
  <c r="I935" i="1"/>
  <c r="S935" i="1"/>
  <c r="B936" i="1"/>
  <c r="E936" i="1"/>
  <c r="I936" i="1"/>
  <c r="S936" i="1"/>
  <c r="B937" i="1"/>
  <c r="E937" i="1"/>
  <c r="I937" i="1"/>
  <c r="S937" i="1"/>
  <c r="B938" i="1"/>
  <c r="E938" i="1"/>
  <c r="I938" i="1"/>
  <c r="S938" i="1"/>
  <c r="B939" i="1"/>
  <c r="E939" i="1"/>
  <c r="I939" i="1"/>
  <c r="S939" i="1"/>
  <c r="B940" i="1"/>
  <c r="E940" i="1"/>
  <c r="I940" i="1"/>
  <c r="S940" i="1"/>
  <c r="B941" i="1"/>
  <c r="E941" i="1"/>
  <c r="I941" i="1"/>
  <c r="S941" i="1"/>
  <c r="B942" i="1"/>
  <c r="E942" i="1"/>
  <c r="I942" i="1"/>
  <c r="S942" i="1"/>
  <c r="B943" i="1"/>
  <c r="E943" i="1"/>
  <c r="I943" i="1"/>
  <c r="S943" i="1"/>
  <c r="B944" i="1"/>
  <c r="E944" i="1"/>
  <c r="I944" i="1"/>
  <c r="S944" i="1"/>
  <c r="B945" i="1"/>
  <c r="E945" i="1"/>
  <c r="I945" i="1"/>
  <c r="S945" i="1"/>
  <c r="B946" i="1"/>
  <c r="E946" i="1"/>
  <c r="I946" i="1"/>
  <c r="S946" i="1"/>
  <c r="B947" i="1"/>
  <c r="E947" i="1"/>
  <c r="I947" i="1"/>
  <c r="S947" i="1"/>
  <c r="B948" i="1"/>
  <c r="E948" i="1"/>
  <c r="I948" i="1"/>
  <c r="B949" i="1"/>
  <c r="E949" i="1"/>
  <c r="I949" i="1"/>
  <c r="S949" i="1"/>
  <c r="B950" i="1"/>
  <c r="E950" i="1"/>
  <c r="I950" i="1"/>
  <c r="S950" i="1"/>
  <c r="B951" i="1"/>
  <c r="E951" i="1"/>
  <c r="I951" i="1"/>
  <c r="S951" i="1"/>
  <c r="B952" i="1"/>
  <c r="E952" i="1"/>
  <c r="I952" i="1"/>
  <c r="S952" i="1"/>
  <c r="B953" i="1"/>
  <c r="E953" i="1"/>
  <c r="I953" i="1"/>
  <c r="S953" i="1"/>
  <c r="B954" i="1"/>
  <c r="E954" i="1"/>
  <c r="I954" i="1"/>
  <c r="B955" i="1"/>
  <c r="E955" i="1"/>
  <c r="I955" i="1"/>
  <c r="S955" i="1"/>
  <c r="B956" i="1"/>
  <c r="E956" i="1"/>
  <c r="I956" i="1"/>
  <c r="S956" i="1"/>
  <c r="B957" i="1"/>
  <c r="E957" i="1"/>
  <c r="I957" i="1"/>
  <c r="S957" i="1"/>
  <c r="B958" i="1"/>
  <c r="E958" i="1"/>
  <c r="I958" i="1"/>
  <c r="S958" i="1"/>
  <c r="B959" i="1"/>
  <c r="E959" i="1"/>
  <c r="I959" i="1"/>
  <c r="S959" i="1"/>
  <c r="B960" i="1"/>
  <c r="E960" i="1"/>
  <c r="I960" i="1"/>
  <c r="S960" i="1"/>
  <c r="B961" i="1"/>
  <c r="E961" i="1"/>
  <c r="I961" i="1"/>
  <c r="S961" i="1"/>
  <c r="B962" i="1"/>
  <c r="E962" i="1"/>
  <c r="I962" i="1"/>
  <c r="S962" i="1"/>
  <c r="B963" i="1"/>
  <c r="E963" i="1"/>
  <c r="I963" i="1"/>
  <c r="S963" i="1"/>
  <c r="B964" i="1"/>
  <c r="E964" i="1"/>
  <c r="I964" i="1"/>
  <c r="S964" i="1"/>
  <c r="B965" i="1"/>
  <c r="E965" i="1"/>
  <c r="I965" i="1"/>
  <c r="S965" i="1"/>
  <c r="B966" i="1"/>
  <c r="E966" i="1"/>
  <c r="I966" i="1"/>
  <c r="S966" i="1"/>
  <c r="B967" i="1"/>
  <c r="E967" i="1"/>
  <c r="I967" i="1"/>
  <c r="S967" i="1"/>
  <c r="B968" i="1"/>
  <c r="E968" i="1"/>
  <c r="I968" i="1"/>
  <c r="S968" i="1"/>
  <c r="B969" i="1"/>
  <c r="E969" i="1"/>
  <c r="I969" i="1"/>
  <c r="S969" i="1"/>
  <c r="B970" i="1"/>
  <c r="E970" i="1"/>
  <c r="I970" i="1"/>
  <c r="S970" i="1"/>
  <c r="B971" i="1"/>
  <c r="E971" i="1"/>
  <c r="I971" i="1"/>
  <c r="S971" i="1"/>
  <c r="B972" i="1"/>
  <c r="E972" i="1"/>
  <c r="I972" i="1"/>
  <c r="S972" i="1"/>
  <c r="B973" i="1"/>
  <c r="E973" i="1"/>
  <c r="I973" i="1"/>
  <c r="S973" i="1"/>
  <c r="B974" i="1"/>
  <c r="E974" i="1"/>
  <c r="I974" i="1"/>
  <c r="S974" i="1"/>
  <c r="B975" i="1"/>
  <c r="E975" i="1"/>
  <c r="I975" i="1"/>
  <c r="S975" i="1"/>
  <c r="B976" i="1"/>
  <c r="E976" i="1"/>
  <c r="I976" i="1"/>
  <c r="S976" i="1"/>
  <c r="B977" i="1"/>
  <c r="E977" i="1"/>
  <c r="I977" i="1"/>
  <c r="S977" i="1"/>
  <c r="B978" i="1"/>
  <c r="E978" i="1"/>
  <c r="I978" i="1"/>
  <c r="S978" i="1"/>
  <c r="B979" i="1"/>
  <c r="E979" i="1"/>
  <c r="I979" i="1"/>
  <c r="S979" i="1"/>
  <c r="B980" i="1"/>
  <c r="E980" i="1"/>
  <c r="I980" i="1"/>
  <c r="S980" i="1"/>
  <c r="B981" i="1"/>
  <c r="E981" i="1"/>
  <c r="I981" i="1"/>
  <c r="S981" i="1"/>
  <c r="B982" i="1"/>
  <c r="E982" i="1"/>
  <c r="I982" i="1"/>
  <c r="S982" i="1"/>
  <c r="B983" i="1"/>
  <c r="E983" i="1"/>
  <c r="I983" i="1"/>
  <c r="S983" i="1"/>
  <c r="B984" i="1"/>
  <c r="E984" i="1"/>
  <c r="I984" i="1"/>
  <c r="S984" i="1"/>
  <c r="B985" i="1"/>
  <c r="E985" i="1"/>
  <c r="I985" i="1"/>
  <c r="S985" i="1"/>
  <c r="B986" i="1"/>
  <c r="E986" i="1"/>
  <c r="I986" i="1"/>
  <c r="S986" i="1"/>
  <c r="B987" i="1"/>
  <c r="E987" i="1"/>
  <c r="I987" i="1"/>
  <c r="S987" i="1"/>
  <c r="B988" i="1"/>
  <c r="E988" i="1"/>
  <c r="I988" i="1"/>
  <c r="S988" i="1"/>
  <c r="B989" i="1"/>
  <c r="E989" i="1"/>
  <c r="I989" i="1"/>
  <c r="S989" i="1"/>
  <c r="B990" i="1"/>
  <c r="E990" i="1"/>
  <c r="I990" i="1"/>
  <c r="S990" i="1"/>
  <c r="B991" i="1"/>
  <c r="E991" i="1"/>
  <c r="I991" i="1"/>
  <c r="S991" i="1"/>
  <c r="B992" i="1"/>
  <c r="E992" i="1"/>
  <c r="I992" i="1"/>
  <c r="S992" i="1"/>
  <c r="B993" i="1"/>
  <c r="E993" i="1"/>
  <c r="I993" i="1"/>
  <c r="S993" i="1"/>
  <c r="B994" i="1"/>
  <c r="E994" i="1"/>
  <c r="I994" i="1"/>
  <c r="S994" i="1"/>
  <c r="B995" i="1"/>
  <c r="E995" i="1"/>
  <c r="I995" i="1"/>
  <c r="S995" i="1"/>
  <c r="B996" i="1"/>
  <c r="E996" i="1"/>
  <c r="I996" i="1"/>
  <c r="S996" i="1"/>
  <c r="B997" i="1"/>
  <c r="E997" i="1"/>
  <c r="I997" i="1"/>
  <c r="S997" i="1"/>
  <c r="B998" i="1"/>
  <c r="E998" i="1"/>
  <c r="I998" i="1"/>
  <c r="S998" i="1"/>
  <c r="B999" i="1"/>
  <c r="E999" i="1"/>
  <c r="I999" i="1"/>
  <c r="S999" i="1"/>
  <c r="B1000" i="1"/>
  <c r="E1000" i="1"/>
  <c r="I1000" i="1"/>
  <c r="S1000" i="1"/>
  <c r="B1001" i="1"/>
  <c r="E1001" i="1"/>
  <c r="I1001" i="1"/>
  <c r="S1001" i="1"/>
  <c r="B1002" i="1"/>
  <c r="E1002" i="1"/>
  <c r="I1002" i="1"/>
  <c r="S1002" i="1"/>
  <c r="B1003" i="1"/>
  <c r="E1003" i="1"/>
  <c r="I1003" i="1"/>
  <c r="S1003" i="1"/>
  <c r="B1004" i="1"/>
  <c r="E1004" i="1"/>
  <c r="I1004" i="1"/>
  <c r="S1004" i="1"/>
  <c r="B1005" i="1"/>
  <c r="E1005" i="1"/>
  <c r="I1005" i="1"/>
  <c r="S1005" i="1"/>
  <c r="B1006" i="1"/>
  <c r="E1006" i="1"/>
  <c r="I1006" i="1"/>
  <c r="S1006" i="1"/>
  <c r="B1007" i="1"/>
  <c r="E1007" i="1"/>
  <c r="I1007" i="1"/>
  <c r="S1007" i="1"/>
  <c r="B1008" i="1"/>
  <c r="E1008" i="1"/>
  <c r="I1008" i="1"/>
  <c r="S1008" i="1"/>
  <c r="B1009" i="1"/>
  <c r="E1009" i="1"/>
  <c r="I1009" i="1"/>
  <c r="S1009" i="1"/>
  <c r="B1010" i="1"/>
  <c r="E1010" i="1"/>
  <c r="I1010" i="1"/>
  <c r="S1010" i="1"/>
  <c r="B1011" i="1"/>
  <c r="E1011" i="1"/>
  <c r="I1011" i="1"/>
  <c r="S1011" i="1"/>
  <c r="B1012" i="1"/>
  <c r="E1012" i="1"/>
  <c r="I1012" i="1"/>
  <c r="S1012" i="1"/>
  <c r="B1013" i="1"/>
  <c r="E1013" i="1"/>
  <c r="I1013" i="1"/>
  <c r="S1013" i="1"/>
  <c r="B1014" i="1"/>
  <c r="E1014" i="1"/>
  <c r="I1014" i="1"/>
  <c r="S1014" i="1"/>
  <c r="B1015" i="1"/>
  <c r="E1015" i="1"/>
  <c r="I1015" i="1"/>
  <c r="S1015" i="1"/>
  <c r="B1016" i="1"/>
  <c r="E1016" i="1"/>
  <c r="I1016" i="1"/>
  <c r="S1016" i="1"/>
  <c r="B1017" i="1"/>
  <c r="E1017" i="1"/>
  <c r="I1017" i="1"/>
  <c r="S1017" i="1"/>
  <c r="B1018" i="1"/>
  <c r="E1018" i="1"/>
  <c r="I1018" i="1"/>
  <c r="S1018" i="1"/>
  <c r="B1019" i="1"/>
  <c r="E1019" i="1"/>
  <c r="I1019" i="1"/>
  <c r="S1019" i="1"/>
  <c r="B1020" i="1"/>
  <c r="E1020" i="1"/>
  <c r="I1020" i="1"/>
  <c r="S1020" i="1"/>
  <c r="B1021" i="1"/>
  <c r="E1021" i="1"/>
  <c r="I1021" i="1"/>
  <c r="S1021" i="1"/>
  <c r="B1022" i="1"/>
  <c r="E1022" i="1"/>
  <c r="I1022" i="1"/>
  <c r="S1022" i="1"/>
  <c r="B1023" i="1"/>
  <c r="E1023" i="1"/>
  <c r="I1023" i="1"/>
  <c r="S1023" i="1"/>
  <c r="B1024" i="1"/>
  <c r="E1024" i="1"/>
  <c r="I1024" i="1"/>
  <c r="S1024" i="1"/>
  <c r="B1025" i="1"/>
  <c r="E1025" i="1"/>
  <c r="I1025" i="1"/>
  <c r="S1025" i="1"/>
  <c r="B1026" i="1"/>
  <c r="E1026" i="1"/>
  <c r="I1026" i="1"/>
  <c r="S1026" i="1"/>
  <c r="B1027" i="1"/>
  <c r="E1027" i="1"/>
  <c r="I1027" i="1"/>
  <c r="S1027" i="1"/>
  <c r="B1028" i="1"/>
  <c r="E1028" i="1"/>
  <c r="I1028" i="1"/>
  <c r="S1028" i="1"/>
  <c r="B1029" i="1"/>
  <c r="E1029" i="1"/>
  <c r="I1029" i="1"/>
  <c r="S1029" i="1"/>
  <c r="B1030" i="1"/>
  <c r="E1030" i="1"/>
  <c r="I1030" i="1"/>
  <c r="S1030" i="1"/>
  <c r="B1031" i="1"/>
  <c r="E1031" i="1"/>
  <c r="I1031" i="1"/>
  <c r="S1031" i="1"/>
  <c r="B1032" i="1"/>
  <c r="E1032" i="1"/>
  <c r="I1032" i="1"/>
  <c r="S1032" i="1"/>
  <c r="B1033" i="1"/>
  <c r="E1033" i="1"/>
  <c r="I1033" i="1"/>
  <c r="S1033" i="1"/>
  <c r="B1034" i="1"/>
  <c r="E1034" i="1"/>
  <c r="I1034" i="1"/>
  <c r="S1034" i="1"/>
  <c r="B1035" i="1"/>
  <c r="E1035" i="1"/>
  <c r="I1035" i="1"/>
  <c r="S1035" i="1"/>
  <c r="B1036" i="1"/>
  <c r="E1036" i="1"/>
  <c r="I1036" i="1"/>
  <c r="S1036" i="1"/>
  <c r="B1037" i="1"/>
  <c r="E1037" i="1"/>
  <c r="I1037" i="1"/>
  <c r="S1037" i="1"/>
  <c r="B1038" i="1"/>
  <c r="E1038" i="1"/>
  <c r="I1038" i="1"/>
  <c r="S1038" i="1"/>
  <c r="B1039" i="1"/>
  <c r="E1039" i="1"/>
  <c r="I1039" i="1"/>
  <c r="S1039" i="1"/>
  <c r="B1040" i="1"/>
  <c r="E1040" i="1"/>
  <c r="I1040" i="1"/>
  <c r="S1040" i="1"/>
  <c r="B1041" i="1"/>
  <c r="E1041" i="1"/>
  <c r="I1041" i="1"/>
  <c r="S1041" i="1"/>
  <c r="B1042" i="1"/>
  <c r="E1042" i="1"/>
  <c r="I1042" i="1"/>
  <c r="S1042" i="1"/>
  <c r="B1043" i="1"/>
  <c r="E1043" i="1"/>
  <c r="I1043" i="1"/>
  <c r="S1043" i="1"/>
  <c r="B1044" i="1"/>
  <c r="E1044" i="1"/>
  <c r="I1044" i="1"/>
  <c r="S1044" i="1"/>
  <c r="B1045" i="1"/>
  <c r="E1045" i="1"/>
  <c r="I1045" i="1"/>
  <c r="S1045" i="1"/>
  <c r="B1046" i="1"/>
  <c r="E1046" i="1"/>
  <c r="I1046" i="1"/>
  <c r="S1046" i="1"/>
  <c r="B1047" i="1"/>
  <c r="E1047" i="1"/>
  <c r="I1047" i="1"/>
  <c r="S1047" i="1"/>
  <c r="B1048" i="1"/>
  <c r="E1048" i="1"/>
  <c r="I1048" i="1"/>
  <c r="S1048" i="1"/>
  <c r="B1049" i="1"/>
  <c r="E1049" i="1"/>
  <c r="I1049" i="1"/>
  <c r="S1049" i="1"/>
  <c r="B1050" i="1"/>
  <c r="E1050" i="1"/>
  <c r="I1050" i="1"/>
  <c r="S1050" i="1"/>
  <c r="B1051" i="1"/>
  <c r="E1051" i="1"/>
  <c r="I1051" i="1"/>
  <c r="S1051" i="1"/>
  <c r="B1052" i="1"/>
  <c r="E1052" i="1"/>
  <c r="I1052" i="1"/>
  <c r="S1052" i="1"/>
  <c r="B1053" i="1"/>
  <c r="E1053" i="1"/>
  <c r="I1053" i="1"/>
  <c r="S1053" i="1"/>
  <c r="B1054" i="1"/>
  <c r="E1054" i="1"/>
  <c r="I1054" i="1"/>
  <c r="S1054" i="1"/>
  <c r="B1055" i="1"/>
  <c r="E1055" i="1"/>
  <c r="I1055" i="1"/>
  <c r="S1055" i="1"/>
  <c r="B1056" i="1"/>
  <c r="E1056" i="1"/>
  <c r="I1056" i="1"/>
  <c r="S1056" i="1"/>
  <c r="B1057" i="1"/>
  <c r="E1057" i="1"/>
  <c r="I1057" i="1"/>
  <c r="S1057" i="1"/>
  <c r="B1058" i="1"/>
  <c r="E1058" i="1"/>
  <c r="I1058" i="1"/>
  <c r="S1058" i="1"/>
  <c r="B1059" i="1"/>
  <c r="E1059" i="1"/>
  <c r="I1059" i="1"/>
  <c r="S1059" i="1"/>
  <c r="B1060" i="1"/>
  <c r="E1060" i="1"/>
  <c r="I1060" i="1"/>
  <c r="S1060" i="1"/>
  <c r="B1061" i="1"/>
  <c r="E1061" i="1"/>
  <c r="I1061" i="1"/>
  <c r="S1061" i="1"/>
  <c r="B1062" i="1"/>
  <c r="E1062" i="1"/>
  <c r="I1062" i="1"/>
  <c r="S1062" i="1"/>
  <c r="B1063" i="1"/>
  <c r="E1063" i="1"/>
  <c r="I1063" i="1"/>
  <c r="S1063" i="1"/>
  <c r="B1064" i="1"/>
  <c r="E1064" i="1"/>
  <c r="I1064" i="1"/>
  <c r="S1064" i="1"/>
  <c r="B1065" i="1"/>
  <c r="E1065" i="1"/>
  <c r="I1065" i="1"/>
  <c r="S1065" i="1"/>
  <c r="B1066" i="1"/>
  <c r="E1066" i="1"/>
  <c r="I1066" i="1"/>
  <c r="S1066" i="1"/>
  <c r="B1067" i="1"/>
  <c r="E1067" i="1"/>
  <c r="I1067" i="1"/>
  <c r="S1067" i="1"/>
  <c r="B1068" i="1"/>
  <c r="E1068" i="1"/>
  <c r="I1068" i="1"/>
  <c r="S1068" i="1"/>
  <c r="B1069" i="1"/>
  <c r="E1069" i="1"/>
  <c r="I1069" i="1"/>
  <c r="S1069" i="1"/>
  <c r="B1070" i="1"/>
  <c r="E1070" i="1"/>
  <c r="I1070" i="1"/>
  <c r="S1070" i="1"/>
  <c r="B1071" i="1"/>
  <c r="E1071" i="1"/>
  <c r="I1071" i="1"/>
  <c r="S1071" i="1"/>
  <c r="B1072" i="1"/>
  <c r="E1072" i="1"/>
  <c r="I1072" i="1"/>
  <c r="S1072" i="1"/>
  <c r="B1073" i="1"/>
  <c r="E1073" i="1"/>
  <c r="I1073" i="1"/>
  <c r="S1073" i="1"/>
  <c r="B1074" i="1"/>
  <c r="E1074" i="1"/>
  <c r="I1074" i="1"/>
  <c r="S1074" i="1"/>
  <c r="B1075" i="1"/>
  <c r="E1075" i="1"/>
  <c r="I1075" i="1"/>
  <c r="S1075" i="1"/>
  <c r="B1076" i="1"/>
  <c r="E1076" i="1"/>
  <c r="I1076" i="1"/>
  <c r="S1076" i="1"/>
  <c r="B1077" i="1"/>
  <c r="E1077" i="1"/>
  <c r="I1077" i="1"/>
  <c r="S1077" i="1"/>
  <c r="B1078" i="1"/>
  <c r="E1078" i="1"/>
  <c r="I1078" i="1"/>
  <c r="S1078" i="1"/>
  <c r="B1079" i="1"/>
  <c r="E1079" i="1"/>
  <c r="I1079" i="1"/>
  <c r="S1079" i="1"/>
  <c r="B1080" i="1"/>
  <c r="E1080" i="1"/>
  <c r="I1080" i="1"/>
  <c r="S1080" i="1"/>
  <c r="B1081" i="1"/>
  <c r="E1081" i="1"/>
  <c r="I1081" i="1"/>
  <c r="S1081" i="1"/>
  <c r="B1082" i="1"/>
  <c r="E1082" i="1"/>
  <c r="I1082" i="1"/>
  <c r="S1082" i="1"/>
  <c r="B1083" i="1"/>
  <c r="E1083" i="1"/>
  <c r="I1083" i="1"/>
  <c r="S1083" i="1"/>
  <c r="B1084" i="1"/>
  <c r="E1084" i="1"/>
  <c r="I1084" i="1"/>
  <c r="S1084" i="1"/>
  <c r="B1085" i="1"/>
  <c r="E1085" i="1"/>
  <c r="I1085" i="1"/>
  <c r="S1085" i="1"/>
  <c r="B1086" i="1"/>
  <c r="E1086" i="1"/>
  <c r="I1086" i="1"/>
  <c r="S1086" i="1"/>
  <c r="B1087" i="1"/>
  <c r="E1087" i="1"/>
  <c r="I1087" i="1"/>
  <c r="S1087" i="1"/>
  <c r="B1088" i="1"/>
  <c r="E1088" i="1"/>
  <c r="I1088" i="1"/>
  <c r="S1088" i="1"/>
  <c r="B1089" i="1"/>
  <c r="E1089" i="1"/>
  <c r="I1089" i="1"/>
  <c r="S1089" i="1"/>
  <c r="B1090" i="1"/>
  <c r="E1090" i="1"/>
  <c r="I1090" i="1"/>
  <c r="S1090" i="1"/>
  <c r="B1091" i="1"/>
  <c r="E1091" i="1"/>
  <c r="I1091" i="1"/>
  <c r="S1091" i="1"/>
  <c r="B1092" i="1"/>
  <c r="E1092" i="1"/>
  <c r="I1092" i="1"/>
  <c r="S1092" i="1"/>
  <c r="B1093" i="1"/>
  <c r="E1093" i="1"/>
  <c r="I1093" i="1"/>
  <c r="S1093" i="1"/>
  <c r="B1094" i="1"/>
  <c r="E1094" i="1"/>
  <c r="I1094" i="1"/>
  <c r="S1094" i="1"/>
  <c r="B1095" i="1"/>
  <c r="E1095" i="1"/>
  <c r="I1095" i="1"/>
  <c r="S1095" i="1"/>
  <c r="B1096" i="1"/>
  <c r="E1096" i="1"/>
  <c r="I1096" i="1"/>
  <c r="S1096" i="1"/>
  <c r="B1097" i="1"/>
  <c r="E1097" i="1"/>
  <c r="I1097" i="1"/>
  <c r="S1097" i="1"/>
  <c r="B1098" i="1"/>
  <c r="E1098" i="1"/>
  <c r="I1098" i="1"/>
  <c r="S1098" i="1"/>
  <c r="B1099" i="1"/>
  <c r="E1099" i="1"/>
  <c r="I1099" i="1"/>
  <c r="S1099" i="1"/>
  <c r="B1100" i="1"/>
  <c r="E1100" i="1"/>
  <c r="I1100" i="1"/>
  <c r="S1100" i="1"/>
  <c r="B1101" i="1"/>
  <c r="E1101" i="1"/>
  <c r="I1101" i="1"/>
  <c r="S1101" i="1"/>
  <c r="B1102" i="1"/>
  <c r="E1102" i="1"/>
  <c r="I1102" i="1"/>
  <c r="S1102" i="1"/>
  <c r="B1103" i="1"/>
  <c r="E1103" i="1"/>
  <c r="I1103" i="1"/>
  <c r="S1103" i="1"/>
  <c r="B1104" i="1"/>
  <c r="E1104" i="1"/>
  <c r="I1104" i="1"/>
  <c r="S1104" i="1"/>
  <c r="B1105" i="1"/>
  <c r="E1105" i="1"/>
  <c r="I1105" i="1"/>
  <c r="S1105" i="1"/>
  <c r="B1106" i="1"/>
  <c r="E1106" i="1"/>
  <c r="I1106" i="1"/>
  <c r="S1106" i="1"/>
  <c r="B1107" i="1"/>
  <c r="E1107" i="1"/>
  <c r="I1107" i="1"/>
  <c r="S1107" i="1"/>
  <c r="B1108" i="1"/>
  <c r="E1108" i="1"/>
  <c r="I1108" i="1"/>
  <c r="S1108" i="1"/>
  <c r="B1109" i="1"/>
  <c r="E1109" i="1"/>
  <c r="I1109" i="1"/>
  <c r="S1109" i="1"/>
  <c r="B1110" i="1"/>
  <c r="E1110" i="1"/>
  <c r="I1110" i="1"/>
  <c r="S1110" i="1"/>
  <c r="B1111" i="1"/>
  <c r="E1111" i="1"/>
  <c r="I1111" i="1"/>
  <c r="S1111" i="1"/>
  <c r="B1112" i="1"/>
  <c r="E1112" i="1"/>
  <c r="I1112" i="1"/>
  <c r="S1112" i="1"/>
  <c r="B1113" i="1"/>
  <c r="E1113" i="1"/>
  <c r="I1113" i="1"/>
  <c r="S1113" i="1"/>
  <c r="B1114" i="1"/>
  <c r="E1114" i="1"/>
  <c r="I1114" i="1"/>
  <c r="S1114" i="1"/>
  <c r="B1115" i="1"/>
  <c r="E1115" i="1"/>
  <c r="I1115" i="1"/>
  <c r="S1115" i="1"/>
  <c r="B1116" i="1"/>
  <c r="E1116" i="1"/>
  <c r="I1116" i="1"/>
  <c r="S1116" i="1"/>
  <c r="B1117" i="1"/>
  <c r="E1117" i="1"/>
  <c r="I1117" i="1"/>
  <c r="S1117" i="1"/>
  <c r="B1118" i="1"/>
  <c r="E1118" i="1"/>
  <c r="I1118" i="1"/>
  <c r="S1118" i="1"/>
  <c r="B1119" i="1"/>
  <c r="E1119" i="1"/>
  <c r="I1119" i="1"/>
  <c r="S1119" i="1"/>
  <c r="B1120" i="1"/>
  <c r="E1120" i="1"/>
  <c r="I1120" i="1"/>
  <c r="S1120" i="1"/>
  <c r="B1121" i="1"/>
  <c r="E1121" i="1"/>
  <c r="I1121" i="1"/>
  <c r="S1121" i="1"/>
  <c r="B1122" i="1"/>
  <c r="E1122" i="1"/>
  <c r="I1122" i="1"/>
  <c r="S1122" i="1"/>
  <c r="B1123" i="1"/>
  <c r="E1123" i="1"/>
  <c r="I1123" i="1"/>
  <c r="S1123" i="1"/>
  <c r="B1124" i="1"/>
  <c r="E1124" i="1"/>
  <c r="I1124" i="1"/>
  <c r="S1124" i="1"/>
  <c r="B1125" i="1"/>
  <c r="E1125" i="1"/>
  <c r="I1125" i="1"/>
  <c r="S1125" i="1"/>
  <c r="B1126" i="1"/>
  <c r="E1126" i="1"/>
  <c r="I1126" i="1"/>
  <c r="S1126" i="1"/>
  <c r="B1127" i="1"/>
  <c r="E1127" i="1"/>
  <c r="I1127" i="1"/>
  <c r="B1128" i="1"/>
  <c r="E1128" i="1"/>
  <c r="I1128" i="1"/>
  <c r="S1128" i="1"/>
  <c r="B1129" i="1"/>
  <c r="E1129" i="1"/>
  <c r="I1129" i="1"/>
  <c r="S1129" i="1"/>
  <c r="B1130" i="1"/>
  <c r="E1130" i="1"/>
  <c r="I1130" i="1"/>
  <c r="S1130" i="1"/>
  <c r="B1131" i="1"/>
  <c r="E1131" i="1"/>
  <c r="I1131" i="1"/>
  <c r="S1131" i="1"/>
  <c r="B1132" i="1"/>
  <c r="E1132" i="1"/>
  <c r="I1132" i="1"/>
  <c r="S1132" i="1"/>
  <c r="B1133" i="1"/>
  <c r="E1133" i="1"/>
  <c r="I1133" i="1"/>
  <c r="S1133" i="1"/>
  <c r="B1134" i="1"/>
  <c r="E1134" i="1"/>
  <c r="I1134" i="1"/>
  <c r="S1134" i="1"/>
  <c r="B1135" i="1"/>
  <c r="E1135" i="1"/>
  <c r="I1135" i="1"/>
  <c r="S1135" i="1"/>
  <c r="B1136" i="1"/>
  <c r="E1136" i="1"/>
  <c r="I1136" i="1"/>
  <c r="S1136" i="1"/>
  <c r="B1137" i="1"/>
  <c r="E1137" i="1"/>
  <c r="I1137" i="1"/>
  <c r="S1137" i="1"/>
  <c r="B1138" i="1"/>
  <c r="E1138" i="1"/>
  <c r="I1138" i="1"/>
  <c r="S1138" i="1"/>
  <c r="B1139" i="1"/>
  <c r="E1139" i="1"/>
  <c r="I1139" i="1"/>
  <c r="S1139" i="1"/>
  <c r="B1140" i="1"/>
  <c r="E1140" i="1"/>
  <c r="I1140" i="1"/>
  <c r="S1140" i="1"/>
  <c r="B1141" i="1"/>
  <c r="E1141" i="1"/>
  <c r="I1141" i="1"/>
  <c r="S1141" i="1"/>
  <c r="B1142" i="1"/>
  <c r="E1142" i="1"/>
  <c r="I1142" i="1"/>
  <c r="S1142" i="1"/>
  <c r="B1143" i="1"/>
  <c r="E1143" i="1"/>
  <c r="I1143" i="1"/>
  <c r="S1143" i="1"/>
  <c r="B1144" i="1"/>
  <c r="E1144" i="1"/>
  <c r="I1144" i="1"/>
  <c r="S1144" i="1"/>
  <c r="B1145" i="1"/>
  <c r="E1145" i="1"/>
  <c r="I1145" i="1"/>
  <c r="S1145" i="1"/>
  <c r="B1146" i="1"/>
  <c r="E1146" i="1"/>
  <c r="I1146" i="1"/>
  <c r="S1146" i="1"/>
  <c r="B1147" i="1"/>
  <c r="E1147" i="1"/>
  <c r="I1147" i="1"/>
  <c r="S1147" i="1"/>
  <c r="B1148" i="1"/>
  <c r="E1148" i="1"/>
  <c r="I1148" i="1"/>
  <c r="S1148" i="1"/>
  <c r="B1149" i="1"/>
  <c r="E1149" i="1"/>
  <c r="I1149" i="1"/>
  <c r="S1149" i="1"/>
  <c r="B1150" i="1"/>
  <c r="E1150" i="1"/>
  <c r="I1150" i="1"/>
  <c r="S1150" i="1"/>
  <c r="B1151" i="1"/>
  <c r="E1151" i="1"/>
  <c r="I1151" i="1"/>
  <c r="S1151" i="1"/>
  <c r="B1152" i="1"/>
  <c r="E1152" i="1"/>
  <c r="I1152" i="1"/>
  <c r="S1152" i="1"/>
  <c r="B1153" i="1"/>
  <c r="E1153" i="1"/>
  <c r="I1153" i="1"/>
  <c r="S1153" i="1"/>
  <c r="B1154" i="1"/>
  <c r="E1154" i="1"/>
  <c r="I1154" i="1"/>
  <c r="S1154" i="1"/>
  <c r="B1155" i="1"/>
  <c r="E1155" i="1"/>
  <c r="I1155" i="1"/>
  <c r="S1155" i="1"/>
  <c r="B1156" i="1"/>
  <c r="E1156" i="1"/>
  <c r="I1156" i="1"/>
  <c r="S1156" i="1"/>
  <c r="B1157" i="1"/>
  <c r="E1157" i="1"/>
  <c r="I1157" i="1"/>
  <c r="S1157" i="1"/>
  <c r="B1158" i="1"/>
  <c r="E1158" i="1"/>
  <c r="I1158" i="1"/>
  <c r="S1158" i="1"/>
  <c r="B1159" i="1"/>
  <c r="E1159" i="1"/>
  <c r="I1159" i="1"/>
  <c r="S1159" i="1"/>
  <c r="B1160" i="1"/>
  <c r="E1160" i="1"/>
  <c r="I1160" i="1"/>
  <c r="S1160" i="1"/>
  <c r="B1161" i="1"/>
  <c r="E1161" i="1"/>
  <c r="I1161" i="1"/>
  <c r="S1161" i="1"/>
  <c r="B1162" i="1"/>
  <c r="E1162" i="1"/>
  <c r="I1162" i="1"/>
  <c r="S1162" i="1"/>
  <c r="B1163" i="1"/>
  <c r="E1163" i="1"/>
  <c r="I1163" i="1"/>
  <c r="S1163" i="1"/>
  <c r="B1164" i="1"/>
  <c r="E1164" i="1"/>
  <c r="I1164" i="1"/>
  <c r="S1164" i="1"/>
  <c r="B1165" i="1"/>
  <c r="E1165" i="1"/>
  <c r="I1165" i="1"/>
  <c r="S1165" i="1"/>
  <c r="B1166" i="1"/>
  <c r="E1166" i="1"/>
  <c r="I1166" i="1"/>
  <c r="S1166" i="1"/>
  <c r="B1167" i="1"/>
  <c r="E1167" i="1"/>
  <c r="I1167" i="1"/>
  <c r="S1167" i="1"/>
  <c r="B1168" i="1"/>
  <c r="E1168" i="1"/>
  <c r="I1168" i="1"/>
  <c r="S1168" i="1"/>
  <c r="B1169" i="1"/>
  <c r="E1169" i="1"/>
  <c r="I1169" i="1"/>
  <c r="S1169" i="1"/>
  <c r="B1170" i="1"/>
  <c r="E1170" i="1"/>
  <c r="I1170" i="1"/>
  <c r="S1170" i="1"/>
  <c r="B1171" i="1"/>
  <c r="E1171" i="1"/>
  <c r="I1171" i="1"/>
  <c r="S1171" i="1"/>
  <c r="B1172" i="1"/>
  <c r="E1172" i="1"/>
  <c r="I1172" i="1"/>
  <c r="S1172" i="1"/>
  <c r="B1173" i="1"/>
  <c r="E1173" i="1"/>
  <c r="I1173" i="1"/>
  <c r="S1173" i="1"/>
  <c r="B1174" i="1"/>
  <c r="E1174" i="1"/>
  <c r="I1174" i="1"/>
  <c r="S1174" i="1"/>
  <c r="B1175" i="1"/>
  <c r="E1175" i="1"/>
  <c r="I1175" i="1"/>
  <c r="S1175" i="1"/>
  <c r="B1176" i="1"/>
  <c r="E1176" i="1"/>
  <c r="I1176" i="1"/>
  <c r="S1176" i="1"/>
  <c r="B1177" i="1"/>
  <c r="E1177" i="1"/>
  <c r="I1177" i="1"/>
  <c r="S1177" i="1"/>
  <c r="B1178" i="1"/>
  <c r="E1178" i="1"/>
  <c r="I1178" i="1"/>
  <c r="S1178" i="1"/>
  <c r="B1179" i="1"/>
  <c r="E1179" i="1"/>
  <c r="I1179" i="1"/>
  <c r="S1179" i="1"/>
  <c r="B1180" i="1"/>
  <c r="E1180" i="1"/>
  <c r="I1180" i="1"/>
  <c r="S1180" i="1"/>
  <c r="B1181" i="1"/>
  <c r="E1181" i="1"/>
  <c r="I1181" i="1"/>
  <c r="S1181" i="1"/>
  <c r="B1182" i="1"/>
  <c r="E1182" i="1"/>
  <c r="I1182" i="1"/>
  <c r="S1182" i="1"/>
  <c r="B1183" i="1"/>
  <c r="E1183" i="1"/>
  <c r="I1183" i="1"/>
  <c r="S1183" i="1"/>
  <c r="B1184" i="1"/>
  <c r="E1184" i="1"/>
  <c r="I1184" i="1"/>
  <c r="S1184" i="1"/>
  <c r="B1185" i="1"/>
  <c r="E1185" i="1"/>
  <c r="I1185" i="1"/>
  <c r="S1185" i="1"/>
  <c r="B1186" i="1"/>
  <c r="E1186" i="1"/>
  <c r="I1186" i="1"/>
  <c r="S1186" i="1"/>
  <c r="B1187" i="1"/>
  <c r="E1187" i="1"/>
  <c r="I1187" i="1"/>
  <c r="S1187" i="1"/>
  <c r="B1188" i="1"/>
  <c r="E1188" i="1"/>
  <c r="I1188" i="1"/>
  <c r="S1188" i="1"/>
  <c r="B1189" i="1"/>
  <c r="E1189" i="1"/>
  <c r="I1189" i="1"/>
  <c r="S1189" i="1"/>
  <c r="B1190" i="1"/>
  <c r="E1190" i="1"/>
  <c r="I1190" i="1"/>
  <c r="S1190" i="1"/>
  <c r="B1191" i="1"/>
  <c r="E1191" i="1"/>
  <c r="I1191" i="1"/>
  <c r="S1191" i="1"/>
  <c r="B1192" i="1"/>
  <c r="E1192" i="1"/>
  <c r="I1192" i="1"/>
  <c r="S1192" i="1"/>
  <c r="B1193" i="1"/>
  <c r="E1193" i="1"/>
  <c r="I1193" i="1"/>
  <c r="S1193" i="1"/>
  <c r="B1194" i="1"/>
  <c r="E1194" i="1"/>
  <c r="I1194" i="1"/>
  <c r="S1194" i="1"/>
  <c r="B1195" i="1"/>
  <c r="E1195" i="1"/>
  <c r="I1195" i="1"/>
  <c r="S1195" i="1"/>
  <c r="B1196" i="1"/>
  <c r="E1196" i="1"/>
  <c r="I1196" i="1"/>
  <c r="S1196" i="1"/>
  <c r="B1197" i="1"/>
  <c r="E1197" i="1"/>
  <c r="I1197" i="1"/>
  <c r="S1197" i="1"/>
  <c r="B1198" i="1"/>
  <c r="E1198" i="1"/>
  <c r="I1198" i="1"/>
  <c r="S1198" i="1"/>
  <c r="B1199" i="1"/>
  <c r="E1199" i="1"/>
  <c r="I1199" i="1"/>
  <c r="S1199" i="1"/>
  <c r="B1200" i="1"/>
  <c r="E1200" i="1"/>
  <c r="I1200" i="1"/>
  <c r="S1200" i="1"/>
  <c r="B1201" i="1"/>
  <c r="E1201" i="1"/>
  <c r="I1201" i="1"/>
  <c r="S1201" i="1"/>
  <c r="B1202" i="1"/>
  <c r="E1202" i="1"/>
  <c r="I1202" i="1"/>
  <c r="S1202" i="1"/>
  <c r="B1203" i="1"/>
  <c r="E1203" i="1"/>
  <c r="I1203" i="1"/>
  <c r="S1203" i="1"/>
  <c r="B1204" i="1"/>
  <c r="E1204" i="1"/>
  <c r="I1204" i="1"/>
  <c r="S1204" i="1"/>
  <c r="B1205" i="1"/>
  <c r="E1205" i="1"/>
  <c r="I1205" i="1"/>
  <c r="S1205" i="1"/>
  <c r="B1206" i="1"/>
  <c r="E1206" i="1"/>
  <c r="I1206" i="1"/>
  <c r="S1206" i="1"/>
  <c r="B1207" i="1"/>
  <c r="E1207" i="1"/>
  <c r="I1207" i="1"/>
  <c r="S1207" i="1"/>
  <c r="B1208" i="1"/>
  <c r="E1208" i="1"/>
  <c r="I1208" i="1"/>
  <c r="S1208" i="1"/>
  <c r="B1209" i="1"/>
  <c r="E1209" i="1"/>
  <c r="I1209" i="1"/>
  <c r="S1209" i="1"/>
  <c r="B1210" i="1"/>
  <c r="E1210" i="1"/>
  <c r="I1210" i="1"/>
  <c r="S1210" i="1"/>
  <c r="B1211" i="1"/>
  <c r="E1211" i="1"/>
  <c r="I1211" i="1"/>
  <c r="S1211" i="1"/>
  <c r="B1212" i="1"/>
  <c r="E1212" i="1"/>
  <c r="I1212" i="1"/>
  <c r="S1212" i="1"/>
  <c r="B1213" i="1"/>
  <c r="E1213" i="1"/>
  <c r="I1213" i="1"/>
  <c r="S1213" i="1"/>
  <c r="B1214" i="1"/>
  <c r="E1214" i="1"/>
  <c r="I1214" i="1"/>
  <c r="S1214" i="1"/>
  <c r="B1215" i="1"/>
  <c r="E1215" i="1"/>
  <c r="I1215" i="1"/>
  <c r="S1215" i="1"/>
  <c r="B1216" i="1"/>
  <c r="E1216" i="1"/>
  <c r="I1216" i="1"/>
  <c r="S1216" i="1"/>
  <c r="B1217" i="1"/>
  <c r="E1217" i="1"/>
  <c r="I1217" i="1"/>
  <c r="S1217" i="1"/>
  <c r="B1218" i="1"/>
  <c r="E1218" i="1"/>
  <c r="I1218" i="1"/>
  <c r="S1218" i="1"/>
  <c r="B1219" i="1"/>
  <c r="E1219" i="1"/>
  <c r="I1219" i="1"/>
  <c r="S1219" i="1"/>
  <c r="B1220" i="1"/>
  <c r="E1220" i="1"/>
  <c r="I1220" i="1"/>
  <c r="S1220" i="1"/>
  <c r="B1221" i="1"/>
  <c r="E1221" i="1"/>
  <c r="I1221" i="1"/>
  <c r="S1221" i="1"/>
  <c r="B1222" i="1"/>
  <c r="E1222" i="1"/>
  <c r="I1222" i="1"/>
  <c r="S1222" i="1"/>
  <c r="B1223" i="1"/>
  <c r="E1223" i="1"/>
  <c r="I1223" i="1"/>
  <c r="S1223" i="1"/>
  <c r="B1224" i="1"/>
  <c r="E1224" i="1"/>
  <c r="I1224" i="1"/>
  <c r="S1224" i="1"/>
  <c r="B1225" i="1"/>
  <c r="E1225" i="1"/>
  <c r="I1225" i="1"/>
  <c r="S1225" i="1"/>
  <c r="B1226" i="1"/>
  <c r="E1226" i="1"/>
  <c r="I1226" i="1"/>
  <c r="S1226" i="1"/>
  <c r="B1227" i="1"/>
  <c r="E1227" i="1"/>
  <c r="I1227" i="1"/>
  <c r="S1227" i="1"/>
  <c r="B1228" i="1"/>
  <c r="E1228" i="1"/>
  <c r="I1228" i="1"/>
  <c r="S1228" i="1"/>
  <c r="B1229" i="1"/>
  <c r="E1229" i="1"/>
  <c r="I1229" i="1"/>
  <c r="S1229" i="1"/>
  <c r="B1230" i="1"/>
  <c r="E1230" i="1"/>
  <c r="I1230" i="1"/>
  <c r="S1230" i="1"/>
  <c r="B1231" i="1"/>
  <c r="E1231" i="1"/>
  <c r="I1231" i="1"/>
  <c r="S1231" i="1"/>
  <c r="B1232" i="1"/>
  <c r="E1232" i="1"/>
  <c r="I1232" i="1"/>
  <c r="S1232" i="1"/>
  <c r="B1233" i="1"/>
  <c r="E1233" i="1"/>
  <c r="I1233" i="1"/>
  <c r="S1233" i="1"/>
  <c r="B1234" i="1"/>
  <c r="E1234" i="1"/>
  <c r="I1234" i="1"/>
  <c r="S1234" i="1"/>
  <c r="B1235" i="1"/>
  <c r="E1235" i="1"/>
  <c r="I1235" i="1"/>
  <c r="S1235" i="1"/>
  <c r="B1236" i="1"/>
  <c r="E1236" i="1"/>
  <c r="I1236" i="1"/>
  <c r="S1236" i="1"/>
  <c r="B1237" i="1"/>
  <c r="E1237" i="1"/>
  <c r="I1237" i="1"/>
  <c r="S1237" i="1"/>
  <c r="B1238" i="1"/>
  <c r="E1238" i="1"/>
  <c r="I1238" i="1"/>
  <c r="S1238" i="1"/>
  <c r="B1239" i="1"/>
  <c r="E1239" i="1"/>
  <c r="I1239" i="1"/>
  <c r="S1239" i="1"/>
  <c r="B1240" i="1"/>
  <c r="E1240" i="1"/>
  <c r="I1240" i="1"/>
  <c r="S1240" i="1"/>
  <c r="B1241" i="1"/>
  <c r="E1241" i="1"/>
  <c r="I1241" i="1"/>
  <c r="S1241" i="1"/>
  <c r="B1242" i="1"/>
  <c r="E1242" i="1"/>
  <c r="I1242" i="1"/>
  <c r="S1242" i="1"/>
  <c r="B1243" i="1"/>
  <c r="E1243" i="1"/>
  <c r="I1243" i="1"/>
  <c r="S1243" i="1"/>
  <c r="B1244" i="1"/>
  <c r="E1244" i="1"/>
  <c r="I1244" i="1"/>
  <c r="S1244" i="1"/>
  <c r="B1245" i="1"/>
  <c r="E1245" i="1"/>
  <c r="I1245" i="1"/>
  <c r="S1245" i="1"/>
  <c r="B1246" i="1"/>
  <c r="E1246" i="1"/>
  <c r="I1246" i="1"/>
  <c r="S1246" i="1"/>
  <c r="B1247" i="1"/>
  <c r="E1247" i="1"/>
  <c r="I1247" i="1"/>
  <c r="S1247" i="1"/>
  <c r="B1248" i="1"/>
  <c r="E1248" i="1"/>
  <c r="I1248" i="1"/>
  <c r="S1248" i="1"/>
  <c r="B1249" i="1"/>
  <c r="E1249" i="1"/>
  <c r="I1249" i="1"/>
  <c r="S1249" i="1"/>
  <c r="B1250" i="1"/>
  <c r="E1250" i="1"/>
  <c r="I1250" i="1"/>
  <c r="S1250" i="1"/>
  <c r="B1251" i="1"/>
  <c r="E1251" i="1"/>
  <c r="I1251" i="1"/>
  <c r="S1251" i="1"/>
  <c r="B1252" i="1"/>
  <c r="E1252" i="1"/>
  <c r="I1252" i="1"/>
  <c r="S1252" i="1"/>
  <c r="B1253" i="1"/>
  <c r="E1253" i="1"/>
  <c r="I1253" i="1"/>
  <c r="S1253" i="1"/>
  <c r="B1254" i="1"/>
  <c r="E1254" i="1"/>
  <c r="I1254" i="1"/>
  <c r="S1254" i="1"/>
  <c r="B1255" i="1"/>
  <c r="E1255" i="1"/>
  <c r="I1255" i="1"/>
  <c r="S1255" i="1"/>
  <c r="B1256" i="1"/>
  <c r="E1256" i="1"/>
  <c r="I1256" i="1"/>
  <c r="S1256" i="1"/>
  <c r="B1257" i="1"/>
  <c r="E1257" i="1"/>
  <c r="I1257" i="1"/>
  <c r="S1257" i="1"/>
  <c r="B1258" i="1"/>
  <c r="E1258" i="1"/>
  <c r="I1258" i="1"/>
  <c r="S1258" i="1"/>
  <c r="B1259" i="1"/>
  <c r="E1259" i="1"/>
  <c r="I1259" i="1"/>
  <c r="S1259" i="1"/>
  <c r="B1260" i="1"/>
  <c r="E1260" i="1"/>
  <c r="I1260" i="1"/>
  <c r="S1260" i="1"/>
  <c r="B1261" i="1"/>
  <c r="E1261" i="1"/>
  <c r="I1261" i="1"/>
  <c r="S1261" i="1"/>
  <c r="B1262" i="1"/>
  <c r="E1262" i="1"/>
  <c r="I1262" i="1"/>
  <c r="S1262" i="1"/>
  <c r="B1263" i="1"/>
  <c r="E1263" i="1"/>
  <c r="I1263" i="1"/>
  <c r="S1263" i="1"/>
  <c r="B1264" i="1"/>
  <c r="E1264" i="1"/>
  <c r="I1264" i="1"/>
  <c r="S1264" i="1"/>
  <c r="B1265" i="1"/>
  <c r="E1265" i="1"/>
  <c r="I1265" i="1"/>
  <c r="S1265" i="1"/>
  <c r="B1266" i="1"/>
  <c r="E1266" i="1"/>
  <c r="I1266" i="1"/>
  <c r="S1266" i="1"/>
  <c r="B1267" i="1"/>
  <c r="E1267" i="1"/>
  <c r="I1267" i="1"/>
  <c r="S1267" i="1"/>
  <c r="B1268" i="1"/>
  <c r="E1268" i="1"/>
  <c r="I1268" i="1"/>
  <c r="S1268" i="1"/>
  <c r="B1269" i="1"/>
  <c r="E1269" i="1"/>
  <c r="I1269" i="1"/>
  <c r="S1269" i="1"/>
  <c r="B1270" i="1"/>
  <c r="E1270" i="1"/>
  <c r="I1270" i="1"/>
  <c r="S1270" i="1"/>
  <c r="B1271" i="1"/>
  <c r="E1271" i="1"/>
  <c r="I1271" i="1"/>
  <c r="S1271" i="1"/>
  <c r="B1272" i="1"/>
  <c r="E1272" i="1"/>
  <c r="I1272" i="1"/>
  <c r="S1272" i="1"/>
  <c r="B1273" i="1"/>
  <c r="E1273" i="1"/>
  <c r="I1273" i="1"/>
  <c r="S1273" i="1"/>
  <c r="B1274" i="1"/>
  <c r="E1274" i="1"/>
  <c r="I1274" i="1"/>
  <c r="S1274" i="1"/>
  <c r="B1275" i="1"/>
  <c r="E1275" i="1"/>
  <c r="I1275" i="1"/>
  <c r="S1275" i="1"/>
  <c r="B1276" i="1"/>
  <c r="E1276" i="1"/>
  <c r="I1276" i="1"/>
  <c r="S1276" i="1"/>
  <c r="B1277" i="1"/>
  <c r="E1277" i="1"/>
  <c r="I1277" i="1"/>
  <c r="S1277" i="1"/>
  <c r="B1278" i="1"/>
  <c r="E1278" i="1"/>
  <c r="I1278" i="1"/>
  <c r="S1278" i="1"/>
  <c r="B1279" i="1"/>
  <c r="E1279" i="1"/>
  <c r="I1279" i="1"/>
  <c r="S1279" i="1"/>
  <c r="B1280" i="1"/>
  <c r="E1280" i="1"/>
  <c r="I1280" i="1"/>
  <c r="S1280" i="1"/>
  <c r="B1281" i="1"/>
  <c r="E1281" i="1"/>
  <c r="I1281" i="1"/>
  <c r="S1281" i="1"/>
  <c r="B1282" i="1"/>
  <c r="E1282" i="1"/>
  <c r="I1282" i="1"/>
  <c r="S1282" i="1"/>
  <c r="B1283" i="1"/>
  <c r="E1283" i="1"/>
  <c r="I1283" i="1"/>
  <c r="S1283" i="1"/>
  <c r="B1284" i="1"/>
  <c r="E1284" i="1"/>
  <c r="I1284" i="1"/>
  <c r="S1284" i="1"/>
  <c r="B1285" i="1"/>
  <c r="E1285" i="1"/>
  <c r="I1285" i="1"/>
  <c r="S1285" i="1"/>
  <c r="B1286" i="1"/>
  <c r="E1286" i="1"/>
  <c r="I1286" i="1"/>
  <c r="S1286" i="1"/>
  <c r="B1287" i="1"/>
  <c r="E1287" i="1"/>
  <c r="I1287" i="1"/>
  <c r="S1287" i="1"/>
  <c r="B1288" i="1"/>
  <c r="E1288" i="1"/>
  <c r="I1288" i="1"/>
  <c r="S1288" i="1"/>
  <c r="B1289" i="1"/>
  <c r="E1289" i="1"/>
  <c r="I1289" i="1"/>
  <c r="S1289" i="1"/>
  <c r="B1290" i="1"/>
  <c r="E1290" i="1"/>
  <c r="I1290" i="1"/>
  <c r="S1290" i="1"/>
  <c r="B1291" i="1"/>
  <c r="E1291" i="1"/>
  <c r="I1291" i="1"/>
  <c r="S1291" i="1"/>
  <c r="B1292" i="1"/>
  <c r="E1292" i="1"/>
  <c r="I1292" i="1"/>
  <c r="S1292" i="1"/>
  <c r="B1293" i="1"/>
  <c r="E1293" i="1"/>
  <c r="I1293" i="1"/>
  <c r="S1293" i="1"/>
  <c r="B1294" i="1"/>
  <c r="E1294" i="1"/>
  <c r="I1294" i="1"/>
  <c r="S1294" i="1"/>
  <c r="B1295" i="1"/>
  <c r="E1295" i="1"/>
  <c r="I1295" i="1"/>
  <c r="S1295" i="1"/>
  <c r="B1296" i="1"/>
  <c r="E1296" i="1"/>
  <c r="I1296" i="1"/>
  <c r="S1296" i="1"/>
  <c r="B1297" i="1"/>
  <c r="E1297" i="1"/>
  <c r="I1297" i="1"/>
  <c r="S1297" i="1"/>
  <c r="B1298" i="1"/>
  <c r="E1298" i="1"/>
  <c r="I1298" i="1"/>
  <c r="S1298" i="1"/>
  <c r="B1299" i="1"/>
  <c r="E1299" i="1"/>
  <c r="I1299" i="1"/>
  <c r="S1299" i="1"/>
  <c r="B1300" i="1"/>
  <c r="E1300" i="1"/>
  <c r="I1300" i="1"/>
  <c r="S1300" i="1"/>
  <c r="B1301" i="1"/>
  <c r="E1301" i="1"/>
  <c r="I1301" i="1"/>
  <c r="S1301" i="1"/>
  <c r="B1302" i="1"/>
  <c r="E1302" i="1"/>
  <c r="I1302" i="1"/>
  <c r="B1303" i="1"/>
  <c r="E1303" i="1"/>
  <c r="I1303" i="1"/>
  <c r="S1303" i="1"/>
  <c r="B1304" i="1"/>
  <c r="E1304" i="1"/>
  <c r="I1304" i="1"/>
  <c r="S1304" i="1"/>
  <c r="B1305" i="1"/>
  <c r="E1305" i="1"/>
  <c r="I1305" i="1"/>
  <c r="S1305" i="1"/>
  <c r="B1306" i="1"/>
  <c r="E1306" i="1"/>
  <c r="I1306" i="1"/>
  <c r="S1306" i="1"/>
  <c r="B1307" i="1"/>
  <c r="E1307" i="1"/>
  <c r="I1307" i="1"/>
  <c r="S1307" i="1"/>
  <c r="B1308" i="1"/>
  <c r="E1308" i="1"/>
  <c r="I1308" i="1"/>
  <c r="S1308" i="1"/>
  <c r="B1309" i="1"/>
  <c r="E1309" i="1"/>
  <c r="I1309" i="1"/>
  <c r="S1309" i="1"/>
  <c r="B1310" i="1"/>
  <c r="E1310" i="1"/>
  <c r="I1310" i="1"/>
  <c r="S1310" i="1"/>
  <c r="B1311" i="1"/>
  <c r="E1311" i="1"/>
  <c r="I1311" i="1"/>
  <c r="S1311" i="1"/>
  <c r="B1312" i="1"/>
  <c r="E1312" i="1"/>
  <c r="I1312" i="1"/>
  <c r="S1312" i="1"/>
  <c r="B1313" i="1"/>
  <c r="E1313" i="1"/>
  <c r="I1313" i="1"/>
  <c r="S1313" i="1"/>
  <c r="B1314" i="1"/>
  <c r="E1314" i="1"/>
  <c r="I1314" i="1"/>
  <c r="S1314" i="1"/>
  <c r="B1315" i="1"/>
  <c r="E1315" i="1"/>
  <c r="I1315" i="1"/>
  <c r="S1315" i="1"/>
  <c r="B1316" i="1"/>
  <c r="E1316" i="1"/>
  <c r="I1316" i="1"/>
  <c r="S1316" i="1"/>
  <c r="B1317" i="1"/>
  <c r="E1317" i="1"/>
  <c r="I1317" i="1"/>
  <c r="S1317" i="1"/>
  <c r="B1318" i="1"/>
  <c r="E1318" i="1"/>
  <c r="I1318" i="1"/>
  <c r="S1318" i="1"/>
  <c r="B1319" i="1"/>
  <c r="E1319" i="1"/>
  <c r="I1319" i="1"/>
  <c r="S1319" i="1"/>
  <c r="B1320" i="1"/>
  <c r="E1320" i="1"/>
  <c r="I1320" i="1"/>
  <c r="S1320" i="1"/>
  <c r="B1321" i="1"/>
  <c r="E1321" i="1"/>
  <c r="I1321" i="1"/>
  <c r="S1321" i="1"/>
  <c r="B1322" i="1"/>
  <c r="E1322" i="1"/>
  <c r="I1322" i="1"/>
  <c r="S1322" i="1"/>
  <c r="B1323" i="1"/>
  <c r="E1323" i="1"/>
  <c r="I1323" i="1"/>
  <c r="S1323" i="1"/>
  <c r="B1324" i="1"/>
  <c r="E1324" i="1"/>
  <c r="I1324" i="1"/>
  <c r="S1324" i="1"/>
  <c r="B1325" i="1"/>
  <c r="E1325" i="1"/>
  <c r="I1325" i="1"/>
  <c r="S1325" i="1"/>
  <c r="B1326" i="1"/>
  <c r="E1326" i="1"/>
  <c r="I1326" i="1"/>
  <c r="S1326" i="1"/>
  <c r="B1327" i="1"/>
  <c r="E1327" i="1"/>
  <c r="I1327" i="1"/>
  <c r="S1327" i="1"/>
  <c r="B1328" i="1"/>
  <c r="E1328" i="1"/>
  <c r="I1328" i="1"/>
  <c r="S1328" i="1"/>
  <c r="B1329" i="1"/>
  <c r="E1329" i="1"/>
  <c r="I1329" i="1"/>
  <c r="S1329" i="1"/>
  <c r="B1330" i="1"/>
  <c r="E1330" i="1"/>
  <c r="I1330" i="1"/>
  <c r="S1330" i="1"/>
  <c r="B1331" i="1"/>
  <c r="E1331" i="1"/>
  <c r="I1331" i="1"/>
  <c r="S1331" i="1"/>
  <c r="B1332" i="1"/>
  <c r="E1332" i="1"/>
  <c r="I1332" i="1"/>
  <c r="S1332" i="1"/>
  <c r="B1333" i="1"/>
  <c r="E1333" i="1"/>
  <c r="I1333" i="1"/>
  <c r="S1333" i="1"/>
  <c r="B1334" i="1"/>
  <c r="E1334" i="1"/>
  <c r="I1334" i="1"/>
  <c r="S1334" i="1"/>
  <c r="B1335" i="1"/>
  <c r="E1335" i="1"/>
  <c r="I1335" i="1"/>
  <c r="S1335" i="1"/>
  <c r="B1336" i="1"/>
  <c r="E1336" i="1"/>
  <c r="I1336" i="1"/>
  <c r="S1336" i="1"/>
  <c r="B1337" i="1"/>
  <c r="E1337" i="1"/>
  <c r="I1337" i="1"/>
  <c r="S1337" i="1"/>
  <c r="B1338" i="1"/>
  <c r="E1338" i="1"/>
  <c r="I1338" i="1"/>
  <c r="S1338" i="1"/>
  <c r="B1339" i="1"/>
  <c r="E1339" i="1"/>
  <c r="I1339" i="1"/>
  <c r="S1339" i="1"/>
  <c r="B1340" i="1"/>
  <c r="E1340" i="1"/>
  <c r="I1340" i="1"/>
  <c r="S1340" i="1"/>
  <c r="B1341" i="1"/>
  <c r="E1341" i="1"/>
  <c r="I1341" i="1"/>
  <c r="S1341" i="1"/>
  <c r="B1342" i="1"/>
  <c r="E1342" i="1"/>
  <c r="I1342" i="1"/>
  <c r="S1342" i="1"/>
  <c r="B1343" i="1"/>
  <c r="E1343" i="1"/>
  <c r="I1343" i="1"/>
  <c r="S1343" i="1"/>
  <c r="B1344" i="1"/>
  <c r="E1344" i="1"/>
  <c r="I1344" i="1"/>
  <c r="S1344" i="1"/>
  <c r="B1345" i="1"/>
  <c r="E1345" i="1"/>
  <c r="I1345" i="1"/>
  <c r="S1345" i="1"/>
  <c r="B1346" i="1"/>
  <c r="E1346" i="1"/>
  <c r="I1346" i="1"/>
  <c r="S1346" i="1"/>
  <c r="B1347" i="1"/>
  <c r="E1347" i="1"/>
  <c r="I1347" i="1"/>
  <c r="S1347" i="1"/>
  <c r="B1348" i="1"/>
  <c r="E1348" i="1"/>
  <c r="I1348" i="1"/>
  <c r="S1348" i="1"/>
  <c r="B1349" i="1"/>
  <c r="E1349" i="1"/>
  <c r="I1349" i="1"/>
  <c r="S1349" i="1"/>
  <c r="B1350" i="1"/>
  <c r="E1350" i="1"/>
  <c r="I1350" i="1"/>
  <c r="S1350" i="1"/>
  <c r="B1351" i="1"/>
  <c r="E1351" i="1"/>
  <c r="I1351" i="1"/>
  <c r="S1351" i="1"/>
  <c r="B1352" i="1"/>
  <c r="E1352" i="1"/>
  <c r="I1352" i="1"/>
  <c r="S1352" i="1"/>
  <c r="B1353" i="1"/>
  <c r="E1353" i="1"/>
  <c r="I1353" i="1"/>
  <c r="S1353" i="1"/>
  <c r="B1354" i="1"/>
  <c r="E1354" i="1"/>
  <c r="I1354" i="1"/>
  <c r="S1354" i="1"/>
  <c r="B1355" i="1"/>
  <c r="E1355" i="1"/>
  <c r="I1355" i="1"/>
  <c r="S1355" i="1"/>
  <c r="B1356" i="1"/>
  <c r="E1356" i="1"/>
  <c r="I1356" i="1"/>
  <c r="S1356" i="1"/>
  <c r="B1357" i="1"/>
  <c r="E1357" i="1"/>
  <c r="I1357" i="1"/>
  <c r="S1357" i="1"/>
  <c r="B1358" i="1"/>
  <c r="E1358" i="1"/>
  <c r="I1358" i="1"/>
  <c r="S1358" i="1"/>
  <c r="B1359" i="1"/>
  <c r="E1359" i="1"/>
  <c r="I1359" i="1"/>
  <c r="S1359" i="1"/>
  <c r="B1360" i="1"/>
  <c r="E1360" i="1"/>
  <c r="I1360" i="1"/>
  <c r="S1360" i="1"/>
  <c r="B1361" i="1"/>
  <c r="E1361" i="1"/>
  <c r="I1361" i="1"/>
  <c r="S1361" i="1"/>
  <c r="B1362" i="1"/>
  <c r="E1362" i="1"/>
  <c r="I1362" i="1"/>
  <c r="S1362" i="1"/>
  <c r="B1363" i="1"/>
  <c r="E1363" i="1"/>
  <c r="I1363" i="1"/>
  <c r="S1363" i="1"/>
  <c r="B1364" i="1"/>
  <c r="E1364" i="1"/>
  <c r="I1364" i="1"/>
  <c r="S1364" i="1"/>
  <c r="B1365" i="1"/>
  <c r="E1365" i="1"/>
  <c r="I1365" i="1"/>
  <c r="S1365" i="1"/>
  <c r="B1366" i="1"/>
  <c r="E1366" i="1"/>
  <c r="I1366" i="1"/>
  <c r="S1366" i="1"/>
  <c r="B1367" i="1"/>
  <c r="E1367" i="1"/>
  <c r="I1367" i="1"/>
  <c r="S1367" i="1"/>
  <c r="B1368" i="1"/>
  <c r="E1368" i="1"/>
  <c r="I1368" i="1"/>
  <c r="S1368" i="1"/>
  <c r="B1369" i="1"/>
  <c r="E1369" i="1"/>
  <c r="I1369" i="1"/>
  <c r="S1369" i="1"/>
  <c r="B1370" i="1"/>
  <c r="E1370" i="1"/>
  <c r="I1370" i="1"/>
  <c r="S1370" i="1"/>
  <c r="B1371" i="1"/>
  <c r="E1371" i="1"/>
  <c r="I1371" i="1"/>
  <c r="S1371" i="1"/>
  <c r="B1372" i="1"/>
  <c r="E1372" i="1"/>
  <c r="I1372" i="1"/>
  <c r="S1372" i="1"/>
  <c r="B1373" i="1"/>
  <c r="E1373" i="1"/>
  <c r="I1373" i="1"/>
  <c r="S1373" i="1"/>
  <c r="B1374" i="1"/>
  <c r="E1374" i="1"/>
  <c r="I1374" i="1"/>
  <c r="S1374" i="1"/>
  <c r="B1375" i="1"/>
  <c r="E1375" i="1"/>
  <c r="I1375" i="1"/>
  <c r="S1375" i="1"/>
  <c r="B1376" i="1"/>
  <c r="E1376" i="1"/>
  <c r="I1376" i="1"/>
  <c r="S1376" i="1"/>
  <c r="B1377" i="1"/>
  <c r="E1377" i="1"/>
  <c r="I1377" i="1"/>
  <c r="S1377" i="1"/>
  <c r="B1378" i="1"/>
  <c r="E1378" i="1"/>
  <c r="I1378" i="1"/>
  <c r="S1378" i="1"/>
  <c r="B1379" i="1"/>
  <c r="E1379" i="1"/>
  <c r="I1379" i="1"/>
  <c r="S1379" i="1"/>
  <c r="B1380" i="1"/>
  <c r="E1380" i="1"/>
  <c r="I1380" i="1"/>
  <c r="S1380" i="1"/>
  <c r="B1381" i="1"/>
  <c r="E1381" i="1"/>
  <c r="I1381" i="1"/>
  <c r="S1381" i="1"/>
  <c r="B1382" i="1"/>
  <c r="E1382" i="1"/>
  <c r="I1382" i="1"/>
  <c r="S1382" i="1"/>
  <c r="B1383" i="1"/>
  <c r="E1383" i="1"/>
  <c r="I1383" i="1"/>
  <c r="S1383" i="1"/>
  <c r="B1384" i="1"/>
  <c r="E1384" i="1"/>
  <c r="I1384" i="1"/>
  <c r="S1384" i="1"/>
  <c r="B1385" i="1"/>
  <c r="E1385" i="1"/>
  <c r="I1385" i="1"/>
  <c r="S1385" i="1"/>
  <c r="B1386" i="1"/>
  <c r="E1386" i="1"/>
  <c r="I1386" i="1"/>
  <c r="S1386" i="1"/>
  <c r="B1387" i="1"/>
  <c r="E1387" i="1"/>
  <c r="I1387" i="1"/>
  <c r="S1387" i="1"/>
  <c r="B1388" i="1"/>
  <c r="E1388" i="1"/>
  <c r="I1388" i="1"/>
  <c r="S1388" i="1"/>
  <c r="B1389" i="1"/>
  <c r="E1389" i="1"/>
  <c r="I1389" i="1"/>
  <c r="S1389" i="1"/>
  <c r="B1390" i="1"/>
  <c r="E1390" i="1"/>
  <c r="I1390" i="1"/>
  <c r="S1390" i="1"/>
  <c r="B1391" i="1"/>
  <c r="E1391" i="1"/>
  <c r="I1391" i="1"/>
  <c r="S1391" i="1"/>
  <c r="B1392" i="1"/>
  <c r="E1392" i="1"/>
  <c r="I1392" i="1"/>
  <c r="S1392" i="1"/>
  <c r="B1393" i="1"/>
  <c r="E1393" i="1"/>
  <c r="I1393" i="1"/>
  <c r="S1393" i="1"/>
  <c r="B1394" i="1"/>
  <c r="E1394" i="1"/>
  <c r="I1394" i="1"/>
  <c r="S1394" i="1"/>
  <c r="B1395" i="1"/>
  <c r="E1395" i="1"/>
  <c r="I1395" i="1"/>
  <c r="S1395" i="1"/>
  <c r="B1396" i="1"/>
  <c r="E1396" i="1"/>
  <c r="I1396" i="1"/>
  <c r="S1396" i="1"/>
  <c r="B1397" i="1"/>
  <c r="E1397" i="1"/>
  <c r="I1397" i="1"/>
  <c r="S1397" i="1"/>
  <c r="B1398" i="1"/>
  <c r="E1398" i="1"/>
  <c r="I1398" i="1"/>
  <c r="S1398" i="1"/>
  <c r="B1399" i="1"/>
  <c r="E1399" i="1"/>
  <c r="I1399" i="1"/>
  <c r="S1399" i="1"/>
  <c r="B1400" i="1"/>
  <c r="E1400" i="1"/>
  <c r="I1400" i="1"/>
  <c r="S1400" i="1"/>
  <c r="B1401" i="1"/>
  <c r="E1401" i="1"/>
  <c r="I1401" i="1"/>
  <c r="S1401" i="1"/>
  <c r="B1402" i="1"/>
  <c r="E1402" i="1"/>
  <c r="I1402" i="1"/>
  <c r="S1402" i="1"/>
  <c r="B1403" i="1"/>
  <c r="E1403" i="1"/>
  <c r="I1403" i="1"/>
  <c r="S1403" i="1"/>
  <c r="B1404" i="1"/>
  <c r="E1404" i="1"/>
  <c r="I1404" i="1"/>
  <c r="S1404" i="1"/>
  <c r="B1405" i="1"/>
  <c r="E1405" i="1"/>
  <c r="I1405" i="1"/>
  <c r="S1405" i="1"/>
  <c r="B1406" i="1"/>
  <c r="E1406" i="1"/>
  <c r="I1406" i="1"/>
  <c r="S1406" i="1"/>
  <c r="B1407" i="1"/>
  <c r="E1407" i="1"/>
  <c r="I1407" i="1"/>
  <c r="S1407" i="1"/>
  <c r="B1408" i="1"/>
  <c r="E1408" i="1"/>
  <c r="I1408" i="1"/>
  <c r="S1408" i="1"/>
  <c r="B1409" i="1"/>
  <c r="E1409" i="1"/>
  <c r="I1409" i="1"/>
  <c r="S1409" i="1"/>
  <c r="B1410" i="1"/>
  <c r="E1410" i="1"/>
  <c r="I1410" i="1"/>
  <c r="S1410" i="1"/>
  <c r="B1411" i="1"/>
  <c r="E1411" i="1"/>
  <c r="I1411" i="1"/>
  <c r="S1411" i="1"/>
  <c r="B1412" i="1"/>
  <c r="E1412" i="1"/>
  <c r="I1412" i="1"/>
  <c r="S1412" i="1"/>
  <c r="B1413" i="1"/>
  <c r="E1413" i="1"/>
  <c r="I1413" i="1"/>
  <c r="S1413" i="1"/>
  <c r="B1414" i="1"/>
  <c r="E1414" i="1"/>
  <c r="I1414" i="1"/>
  <c r="S1414" i="1"/>
  <c r="B1415" i="1"/>
  <c r="E1415" i="1"/>
  <c r="I1415" i="1"/>
  <c r="S1415" i="1"/>
  <c r="B1416" i="1"/>
  <c r="E1416" i="1"/>
  <c r="I1416" i="1"/>
  <c r="S1416" i="1"/>
  <c r="B1417" i="1"/>
  <c r="E1417" i="1"/>
  <c r="I1417" i="1"/>
  <c r="S1417" i="1"/>
  <c r="B1418" i="1"/>
  <c r="E1418" i="1"/>
  <c r="I1418" i="1"/>
  <c r="S1418" i="1"/>
  <c r="B1419" i="1"/>
  <c r="E1419" i="1"/>
  <c r="I1419" i="1"/>
  <c r="S1419" i="1"/>
  <c r="B1420" i="1"/>
  <c r="E1420" i="1"/>
  <c r="I1420" i="1"/>
  <c r="S1420" i="1"/>
  <c r="B1421" i="1"/>
  <c r="E1421" i="1"/>
  <c r="I1421" i="1"/>
  <c r="S1421" i="1"/>
  <c r="B1422" i="1"/>
  <c r="E1422" i="1"/>
  <c r="I1422" i="1"/>
  <c r="S1422" i="1"/>
  <c r="B1423" i="1"/>
  <c r="E1423" i="1"/>
  <c r="I1423" i="1"/>
  <c r="S1423" i="1"/>
  <c r="B1424" i="1"/>
  <c r="E1424" i="1"/>
  <c r="I1424" i="1"/>
  <c r="S1424" i="1"/>
  <c r="B1425" i="1"/>
  <c r="E1425" i="1"/>
  <c r="I1425" i="1"/>
  <c r="S1425" i="1"/>
  <c r="B1426" i="1"/>
  <c r="E1426" i="1"/>
  <c r="I1426" i="1"/>
  <c r="S1426" i="1"/>
  <c r="B1427" i="1"/>
  <c r="E1427" i="1"/>
  <c r="I1427" i="1"/>
  <c r="S1427" i="1"/>
  <c r="B1428" i="1"/>
  <c r="E1428" i="1"/>
  <c r="I1428" i="1"/>
  <c r="S1428" i="1"/>
  <c r="B1429" i="1"/>
  <c r="E1429" i="1"/>
  <c r="I1429" i="1"/>
  <c r="S1429" i="1"/>
  <c r="B1430" i="1"/>
  <c r="E1430" i="1"/>
  <c r="I1430" i="1"/>
  <c r="B1431" i="1"/>
  <c r="E1431" i="1"/>
  <c r="I1431" i="1"/>
  <c r="S1431" i="1"/>
  <c r="B1432" i="1"/>
  <c r="E1432" i="1"/>
  <c r="I1432" i="1"/>
  <c r="S1432" i="1"/>
  <c r="B1433" i="1"/>
  <c r="E1433" i="1"/>
  <c r="I1433" i="1"/>
  <c r="S1433" i="1"/>
  <c r="B1434" i="1"/>
  <c r="E1434" i="1"/>
  <c r="I1434" i="1"/>
  <c r="S1434" i="1"/>
  <c r="B1435" i="1"/>
  <c r="E1435" i="1"/>
  <c r="I1435" i="1"/>
  <c r="S1435" i="1"/>
  <c r="B1436" i="1"/>
  <c r="E1436" i="1"/>
  <c r="I1436" i="1"/>
  <c r="S1436" i="1"/>
  <c r="B1437" i="1"/>
  <c r="E1437" i="1"/>
  <c r="I1437" i="1"/>
  <c r="S1437" i="1"/>
  <c r="B1438" i="1"/>
  <c r="E1438" i="1"/>
  <c r="I1438" i="1"/>
  <c r="S1438" i="1"/>
  <c r="B1439" i="1"/>
  <c r="E1439" i="1"/>
  <c r="I1439" i="1"/>
  <c r="S1439" i="1"/>
  <c r="B1440" i="1"/>
  <c r="E1440" i="1"/>
  <c r="I1440" i="1"/>
  <c r="S1440" i="1"/>
  <c r="B1441" i="1"/>
  <c r="E1441" i="1"/>
  <c r="I1441" i="1"/>
  <c r="S1441" i="1"/>
  <c r="B1442" i="1"/>
  <c r="E1442" i="1"/>
  <c r="I1442" i="1"/>
  <c r="S1442" i="1"/>
  <c r="B1443" i="1"/>
  <c r="E1443" i="1"/>
  <c r="I1443" i="1"/>
  <c r="S1443" i="1"/>
  <c r="B1444" i="1"/>
  <c r="E1444" i="1"/>
  <c r="I1444" i="1"/>
  <c r="S1444" i="1"/>
  <c r="B1445" i="1"/>
  <c r="E1445" i="1"/>
  <c r="I1445" i="1"/>
  <c r="S1445" i="1"/>
  <c r="B1446" i="1"/>
  <c r="E1446" i="1"/>
  <c r="I1446" i="1"/>
  <c r="S1446" i="1"/>
  <c r="B1447" i="1"/>
  <c r="E1447" i="1"/>
  <c r="I1447" i="1"/>
  <c r="S1447" i="1"/>
  <c r="B1448" i="1"/>
  <c r="E1448" i="1"/>
  <c r="I1448" i="1"/>
  <c r="S1448" i="1"/>
  <c r="B1449" i="1"/>
  <c r="E1449" i="1"/>
  <c r="I1449" i="1"/>
  <c r="S1449" i="1"/>
  <c r="B1450" i="1"/>
  <c r="E1450" i="1"/>
  <c r="I1450" i="1"/>
  <c r="S1450" i="1"/>
  <c r="B1451" i="1"/>
  <c r="E1451" i="1"/>
  <c r="I1451" i="1"/>
  <c r="S1451" i="1"/>
  <c r="B1452" i="1"/>
  <c r="E1452" i="1"/>
  <c r="I1452" i="1"/>
  <c r="S1452" i="1"/>
  <c r="B1453" i="1"/>
  <c r="E1453" i="1"/>
  <c r="I1453" i="1"/>
  <c r="S1453" i="1"/>
  <c r="B1454" i="1"/>
  <c r="E1454" i="1"/>
  <c r="I1454" i="1"/>
  <c r="S1454" i="1"/>
  <c r="B1455" i="1"/>
  <c r="E1455" i="1"/>
  <c r="I1455" i="1"/>
  <c r="S1455" i="1"/>
  <c r="B1456" i="1"/>
  <c r="E1456" i="1"/>
  <c r="I1456" i="1"/>
  <c r="S1456" i="1"/>
  <c r="B1457" i="1"/>
  <c r="E1457" i="1"/>
  <c r="I1457" i="1"/>
  <c r="S1457" i="1"/>
  <c r="B1458" i="1"/>
  <c r="E1458" i="1"/>
  <c r="I1458" i="1"/>
  <c r="S1458" i="1"/>
  <c r="B1459" i="1"/>
  <c r="E1459" i="1"/>
  <c r="I1459" i="1"/>
  <c r="S1459" i="1"/>
  <c r="B1460" i="1"/>
  <c r="E1460" i="1"/>
  <c r="I1460" i="1"/>
  <c r="S1460" i="1"/>
  <c r="B1461" i="1"/>
  <c r="E1461" i="1"/>
  <c r="I1461" i="1"/>
  <c r="S1461" i="1"/>
  <c r="B1462" i="1"/>
  <c r="E1462" i="1"/>
  <c r="I1462" i="1"/>
  <c r="S1462" i="1"/>
  <c r="B1463" i="1"/>
  <c r="E1463" i="1"/>
  <c r="I1463" i="1"/>
  <c r="S1463" i="1"/>
  <c r="B1464" i="1"/>
  <c r="E1464" i="1"/>
  <c r="I1464" i="1"/>
  <c r="S1464" i="1"/>
  <c r="B1465" i="1"/>
  <c r="E1465" i="1"/>
  <c r="I1465" i="1"/>
  <c r="S1465" i="1"/>
  <c r="B1466" i="1"/>
  <c r="E1466" i="1"/>
  <c r="I1466" i="1"/>
  <c r="S1466" i="1"/>
  <c r="B1467" i="1"/>
  <c r="E1467" i="1"/>
  <c r="I1467" i="1"/>
  <c r="S1467" i="1"/>
  <c r="B1468" i="1"/>
  <c r="E1468" i="1"/>
  <c r="I1468" i="1"/>
  <c r="S1468" i="1"/>
  <c r="B1469" i="1"/>
  <c r="E1469" i="1"/>
  <c r="I1469" i="1"/>
  <c r="S1469" i="1"/>
  <c r="B1470" i="1"/>
  <c r="E1470" i="1"/>
  <c r="I1470" i="1"/>
  <c r="S1470" i="1"/>
  <c r="B1471" i="1"/>
  <c r="E1471" i="1"/>
  <c r="I1471" i="1"/>
  <c r="S1471" i="1"/>
  <c r="B1472" i="1"/>
  <c r="E1472" i="1"/>
  <c r="I1472" i="1"/>
  <c r="S1472" i="1"/>
  <c r="B1473" i="1"/>
  <c r="E1473" i="1"/>
  <c r="I1473" i="1"/>
  <c r="S1473" i="1"/>
  <c r="B1474" i="1"/>
  <c r="E1474" i="1"/>
  <c r="I1474" i="1"/>
  <c r="S1474" i="1"/>
  <c r="B1475" i="1"/>
  <c r="E1475" i="1"/>
  <c r="I1475" i="1"/>
  <c r="S1475" i="1"/>
  <c r="B1476" i="1"/>
  <c r="E1476" i="1"/>
  <c r="I1476" i="1"/>
  <c r="S1476" i="1"/>
  <c r="B1477" i="1"/>
  <c r="E1477" i="1"/>
  <c r="I1477" i="1"/>
  <c r="S1477" i="1"/>
  <c r="B1478" i="1"/>
  <c r="E1478" i="1"/>
  <c r="I1478" i="1"/>
  <c r="S1478" i="1"/>
  <c r="B1479" i="1"/>
  <c r="E1479" i="1"/>
  <c r="I1479" i="1"/>
  <c r="S1479" i="1"/>
  <c r="B1480" i="1"/>
  <c r="E1480" i="1"/>
  <c r="I1480" i="1"/>
  <c r="S1480" i="1"/>
  <c r="B1481" i="1"/>
  <c r="E1481" i="1"/>
  <c r="I1481" i="1"/>
  <c r="S1481" i="1"/>
  <c r="B1482" i="1"/>
  <c r="E1482" i="1"/>
  <c r="I1482" i="1"/>
  <c r="S1482" i="1"/>
  <c r="B1483" i="1"/>
  <c r="E1483" i="1"/>
  <c r="I1483" i="1"/>
  <c r="S1483" i="1"/>
  <c r="B1484" i="1"/>
  <c r="E1484" i="1"/>
  <c r="I1484" i="1"/>
  <c r="S1484" i="1"/>
  <c r="B1485" i="1"/>
  <c r="E1485" i="1"/>
  <c r="I1485" i="1"/>
  <c r="S1485" i="1"/>
  <c r="B1486" i="1"/>
  <c r="E1486" i="1"/>
  <c r="I1486" i="1"/>
  <c r="S1486" i="1"/>
  <c r="B1487" i="1"/>
  <c r="E1487" i="1"/>
  <c r="I1487" i="1"/>
  <c r="S1487" i="1"/>
  <c r="B1488" i="1"/>
  <c r="E1488" i="1"/>
  <c r="I1488" i="1"/>
  <c r="S1488" i="1"/>
  <c r="B1489" i="1"/>
  <c r="E1489" i="1"/>
  <c r="I1489" i="1"/>
  <c r="S1489" i="1"/>
  <c r="B1490" i="1"/>
  <c r="E1490" i="1"/>
  <c r="I1490" i="1"/>
  <c r="S1490" i="1"/>
  <c r="B1491" i="1"/>
  <c r="E1491" i="1"/>
  <c r="I1491" i="1"/>
  <c r="S1491" i="1"/>
  <c r="B1492" i="1"/>
  <c r="E1492" i="1"/>
  <c r="I1492" i="1"/>
  <c r="S1492" i="1"/>
  <c r="B1493" i="1"/>
  <c r="E1493" i="1"/>
  <c r="I1493" i="1"/>
  <c r="S1493" i="1"/>
  <c r="B1494" i="1"/>
  <c r="E1494" i="1"/>
  <c r="I1494" i="1"/>
  <c r="S1494" i="1"/>
  <c r="B1495" i="1"/>
  <c r="E1495" i="1"/>
  <c r="I1495" i="1"/>
  <c r="S1495" i="1"/>
  <c r="B1496" i="1"/>
  <c r="E1496" i="1"/>
  <c r="I1496" i="1"/>
  <c r="S1496" i="1"/>
  <c r="B1497" i="1"/>
  <c r="E1497" i="1"/>
  <c r="I1497" i="1"/>
  <c r="S1497" i="1"/>
  <c r="B1498" i="1"/>
  <c r="E1498" i="1"/>
  <c r="I1498" i="1"/>
  <c r="S1498" i="1"/>
  <c r="B1499" i="1"/>
  <c r="E1499" i="1"/>
  <c r="I1499" i="1"/>
  <c r="S1499" i="1"/>
  <c r="B1500" i="1"/>
  <c r="E1500" i="1"/>
  <c r="I1500" i="1"/>
  <c r="S1500" i="1"/>
  <c r="B1501" i="1"/>
  <c r="E1501" i="1"/>
  <c r="I1501" i="1"/>
  <c r="S1501" i="1"/>
  <c r="B1502" i="1"/>
  <c r="E1502" i="1"/>
  <c r="I1502" i="1"/>
  <c r="S1502" i="1"/>
  <c r="B1503" i="1"/>
  <c r="E1503" i="1"/>
  <c r="I1503" i="1"/>
  <c r="S1503" i="1"/>
  <c r="B1504" i="1"/>
  <c r="E1504" i="1"/>
  <c r="I1504" i="1"/>
  <c r="S1504" i="1"/>
  <c r="B1505" i="1"/>
  <c r="E1505" i="1"/>
  <c r="I1505" i="1"/>
  <c r="S1505" i="1"/>
  <c r="B1506" i="1"/>
  <c r="E1506" i="1"/>
  <c r="I1506" i="1"/>
  <c r="S1506" i="1"/>
  <c r="B1507" i="1"/>
  <c r="E1507" i="1"/>
  <c r="I1507" i="1"/>
  <c r="S1507" i="1"/>
  <c r="B1508" i="1"/>
  <c r="E1508" i="1"/>
  <c r="I1508" i="1"/>
  <c r="S1508" i="1"/>
  <c r="B1509" i="1"/>
  <c r="E1509" i="1"/>
  <c r="I1509" i="1"/>
  <c r="S1509" i="1"/>
  <c r="B1510" i="1"/>
  <c r="E1510" i="1"/>
  <c r="I1510" i="1"/>
  <c r="S1510" i="1"/>
  <c r="B1511" i="1"/>
  <c r="E1511" i="1"/>
  <c r="I1511" i="1"/>
  <c r="S1511" i="1"/>
  <c r="B1512" i="1"/>
  <c r="E1512" i="1"/>
  <c r="I1512" i="1"/>
  <c r="S1512" i="1"/>
  <c r="B1513" i="1"/>
  <c r="E1513" i="1"/>
  <c r="I1513" i="1"/>
  <c r="S1513" i="1"/>
  <c r="B1514" i="1"/>
  <c r="E1514" i="1"/>
  <c r="I1514" i="1"/>
  <c r="S1514" i="1"/>
  <c r="B1515" i="1"/>
  <c r="E1515" i="1"/>
  <c r="I1515" i="1"/>
  <c r="S1515" i="1"/>
  <c r="B1516" i="1"/>
  <c r="E1516" i="1"/>
  <c r="I1516" i="1"/>
  <c r="S1516" i="1"/>
  <c r="B1517" i="1"/>
  <c r="E1517" i="1"/>
  <c r="I1517" i="1"/>
  <c r="S1517" i="1"/>
  <c r="B1518" i="1"/>
  <c r="E1518" i="1"/>
  <c r="I1518" i="1"/>
  <c r="S1518" i="1"/>
  <c r="B1519" i="1"/>
  <c r="E1519" i="1"/>
  <c r="I1519" i="1"/>
  <c r="S1519" i="1"/>
  <c r="B1520" i="1"/>
  <c r="E1520" i="1"/>
  <c r="I1520" i="1"/>
  <c r="S1520" i="1"/>
  <c r="B1521" i="1"/>
  <c r="E1521" i="1"/>
  <c r="I1521" i="1"/>
  <c r="S1521" i="1"/>
  <c r="B1522" i="1"/>
  <c r="E1522" i="1"/>
  <c r="I1522" i="1"/>
  <c r="S1522" i="1"/>
  <c r="B1523" i="1"/>
  <c r="E1523" i="1"/>
  <c r="I1523" i="1"/>
  <c r="S1523" i="1"/>
  <c r="B1524" i="1"/>
  <c r="E1524" i="1"/>
  <c r="I1524" i="1"/>
  <c r="S1524" i="1"/>
  <c r="B1525" i="1"/>
  <c r="E1525" i="1"/>
  <c r="I1525" i="1"/>
  <c r="S1525" i="1"/>
  <c r="B1526" i="1"/>
  <c r="E1526" i="1"/>
  <c r="I1526" i="1"/>
  <c r="S1526" i="1"/>
  <c r="B1527" i="1"/>
  <c r="E1527" i="1"/>
  <c r="I1527" i="1"/>
  <c r="S1527" i="1"/>
  <c r="B1528" i="1"/>
  <c r="E1528" i="1"/>
  <c r="I1528" i="1"/>
  <c r="S1528" i="1"/>
  <c r="B1529" i="1"/>
  <c r="E1529" i="1"/>
  <c r="I1529" i="1"/>
  <c r="S1529" i="1"/>
  <c r="B1530" i="1"/>
  <c r="E1530" i="1"/>
  <c r="I1530" i="1"/>
  <c r="S1530" i="1"/>
  <c r="B1531" i="1"/>
  <c r="E1531" i="1"/>
  <c r="I1531" i="1"/>
  <c r="S1531" i="1"/>
  <c r="B1532" i="1"/>
  <c r="E1532" i="1"/>
  <c r="I1532" i="1"/>
  <c r="S1532" i="1"/>
  <c r="B1533" i="1"/>
  <c r="E1533" i="1"/>
  <c r="I1533" i="1"/>
  <c r="S1533" i="1"/>
  <c r="B1534" i="1"/>
  <c r="E1534" i="1"/>
  <c r="I1534" i="1"/>
  <c r="S1534" i="1"/>
  <c r="B1535" i="1"/>
  <c r="E1535" i="1"/>
  <c r="I1535" i="1"/>
  <c r="S1535" i="1"/>
  <c r="B1536" i="1"/>
  <c r="E1536" i="1"/>
  <c r="I1536" i="1"/>
  <c r="S1536" i="1"/>
  <c r="B1537" i="1"/>
  <c r="E1537" i="1"/>
  <c r="I1537" i="1"/>
  <c r="S1537" i="1"/>
  <c r="B1538" i="1"/>
  <c r="E1538" i="1"/>
  <c r="I1538" i="1"/>
  <c r="S1538" i="1"/>
  <c r="B1539" i="1"/>
  <c r="E1539" i="1"/>
  <c r="I1539" i="1"/>
  <c r="S1539" i="1"/>
  <c r="B1540" i="1"/>
  <c r="E1540" i="1"/>
  <c r="I1540" i="1"/>
  <c r="S1540" i="1"/>
  <c r="B1541" i="1"/>
  <c r="E1541" i="1"/>
  <c r="I1541" i="1"/>
  <c r="S1541" i="1"/>
  <c r="B1542" i="1"/>
  <c r="E1542" i="1"/>
  <c r="I1542" i="1"/>
  <c r="S1542" i="1"/>
  <c r="B1543" i="1"/>
  <c r="E1543" i="1"/>
  <c r="I1543" i="1"/>
  <c r="B1544" i="1"/>
  <c r="E1544" i="1"/>
  <c r="I1544" i="1"/>
  <c r="S1544" i="1"/>
  <c r="B1545" i="1"/>
  <c r="E1545" i="1"/>
  <c r="I1545" i="1"/>
  <c r="S1545" i="1"/>
  <c r="B1546" i="1"/>
  <c r="E1546" i="1"/>
  <c r="I1546" i="1"/>
  <c r="S1546" i="1"/>
  <c r="B1547" i="1"/>
  <c r="E1547" i="1"/>
  <c r="I1547" i="1"/>
  <c r="S1547" i="1"/>
  <c r="B1548" i="1"/>
  <c r="E1548" i="1"/>
  <c r="I1548" i="1"/>
  <c r="S1548" i="1"/>
  <c r="B1549" i="1"/>
  <c r="E1549" i="1"/>
  <c r="I1549" i="1"/>
  <c r="S1549" i="1"/>
  <c r="B1550" i="1"/>
  <c r="E1550" i="1"/>
  <c r="I1550" i="1"/>
  <c r="S1550" i="1"/>
  <c r="B1551" i="1"/>
  <c r="E1551" i="1"/>
  <c r="I1551" i="1"/>
  <c r="S1551" i="1"/>
  <c r="B1552" i="1"/>
  <c r="E1552" i="1"/>
  <c r="I1552" i="1"/>
  <c r="S1552" i="1"/>
  <c r="B1553" i="1"/>
  <c r="E1553" i="1"/>
  <c r="I1553" i="1"/>
  <c r="S1553" i="1"/>
  <c r="B1554" i="1"/>
  <c r="E1554" i="1"/>
  <c r="I1554" i="1"/>
  <c r="S1554" i="1"/>
  <c r="B1555" i="1"/>
  <c r="E1555" i="1"/>
  <c r="I1555" i="1"/>
  <c r="B1556" i="1"/>
  <c r="E1556" i="1"/>
  <c r="I1556" i="1"/>
  <c r="S1556" i="1"/>
  <c r="B1557" i="1"/>
  <c r="E1557" i="1"/>
  <c r="I1557" i="1"/>
  <c r="S1557" i="1"/>
  <c r="B1558" i="1"/>
  <c r="E1558" i="1"/>
  <c r="I1558" i="1"/>
  <c r="B1559" i="1"/>
  <c r="E1559" i="1"/>
  <c r="I1559" i="1"/>
  <c r="S1559" i="1"/>
  <c r="B1560" i="1"/>
  <c r="E1560" i="1"/>
  <c r="I1560" i="1"/>
  <c r="S1560" i="1"/>
  <c r="B1561" i="1"/>
  <c r="E1561" i="1"/>
  <c r="I1561" i="1"/>
  <c r="S1561" i="1"/>
  <c r="B1562" i="1"/>
  <c r="E1562" i="1"/>
  <c r="I1562" i="1"/>
  <c r="S1562" i="1"/>
  <c r="B1563" i="1"/>
  <c r="E1563" i="1"/>
  <c r="I1563" i="1"/>
  <c r="S1563" i="1"/>
  <c r="B1564" i="1"/>
  <c r="E1564" i="1"/>
  <c r="I1564" i="1"/>
  <c r="S1564" i="1"/>
  <c r="B1565" i="1"/>
  <c r="E1565" i="1"/>
  <c r="I1565" i="1"/>
  <c r="B1566" i="1"/>
  <c r="E1566" i="1"/>
  <c r="I1566" i="1"/>
  <c r="S1566" i="1"/>
  <c r="B1567" i="1"/>
  <c r="E1567" i="1"/>
  <c r="I1567" i="1"/>
  <c r="B1568" i="1"/>
  <c r="E1568" i="1"/>
  <c r="I1568" i="1"/>
  <c r="S1568" i="1"/>
  <c r="B1569" i="1"/>
  <c r="E1569" i="1"/>
  <c r="I1569" i="1"/>
  <c r="S1569" i="1"/>
  <c r="B1570" i="1"/>
  <c r="E1570" i="1"/>
  <c r="I1570" i="1"/>
  <c r="S1570" i="1"/>
  <c r="B1571" i="1"/>
  <c r="E1571" i="1"/>
  <c r="I1571" i="1"/>
  <c r="S1571" i="1"/>
  <c r="B1572" i="1"/>
  <c r="E1572" i="1"/>
  <c r="I1572" i="1"/>
  <c r="S1572" i="1"/>
  <c r="B1573" i="1"/>
  <c r="E1573" i="1"/>
  <c r="I1573" i="1"/>
  <c r="S1573" i="1"/>
  <c r="B1574" i="1"/>
  <c r="E1574" i="1"/>
  <c r="I1574" i="1"/>
  <c r="S1574" i="1"/>
  <c r="B1575" i="1"/>
  <c r="E1575" i="1"/>
  <c r="I1575" i="1"/>
  <c r="S1575" i="1"/>
  <c r="B1576" i="1"/>
  <c r="E1576" i="1"/>
  <c r="I1576" i="1"/>
  <c r="S1576" i="1"/>
  <c r="B1577" i="1"/>
  <c r="E1577" i="1"/>
  <c r="I1577" i="1"/>
  <c r="S1577" i="1"/>
  <c r="B1578" i="1"/>
  <c r="E1578" i="1"/>
  <c r="I1578" i="1"/>
  <c r="S1578" i="1"/>
  <c r="B1579" i="1"/>
  <c r="E1579" i="1"/>
  <c r="I1579" i="1"/>
  <c r="S1579" i="1"/>
  <c r="B1580" i="1"/>
  <c r="E1580" i="1"/>
  <c r="I1580" i="1"/>
  <c r="S1580" i="1"/>
  <c r="B1581" i="1"/>
  <c r="E1581" i="1"/>
  <c r="I1581" i="1"/>
  <c r="S1581" i="1"/>
  <c r="B1582" i="1"/>
  <c r="E1582" i="1"/>
  <c r="I1582" i="1"/>
  <c r="S1582" i="1"/>
  <c r="B1583" i="1"/>
  <c r="E1583" i="1"/>
  <c r="I1583" i="1"/>
  <c r="S1583" i="1"/>
  <c r="B1584" i="1"/>
  <c r="E1584" i="1"/>
  <c r="I1584" i="1"/>
  <c r="S1584" i="1"/>
  <c r="B1585" i="1"/>
  <c r="E1585" i="1"/>
  <c r="I1585" i="1"/>
  <c r="S1585" i="1"/>
  <c r="B1586" i="1"/>
  <c r="E1586" i="1"/>
  <c r="I1586" i="1"/>
  <c r="S1586" i="1"/>
  <c r="B1587" i="1"/>
  <c r="E1587" i="1"/>
  <c r="I1587" i="1"/>
  <c r="S1587" i="1"/>
  <c r="B1588" i="1"/>
  <c r="E1588" i="1"/>
  <c r="I1588" i="1"/>
  <c r="S1588" i="1"/>
  <c r="B1589" i="1"/>
  <c r="E1589" i="1"/>
  <c r="I1589" i="1"/>
  <c r="S1589" i="1"/>
  <c r="B1590" i="1"/>
  <c r="E1590" i="1"/>
  <c r="I1590" i="1"/>
  <c r="S1590" i="1"/>
  <c r="B1591" i="1"/>
  <c r="E1591" i="1"/>
  <c r="I1591" i="1"/>
  <c r="S1591" i="1"/>
  <c r="B1592" i="1"/>
  <c r="E1592" i="1"/>
  <c r="I1592" i="1"/>
  <c r="S1592" i="1"/>
  <c r="B1593" i="1"/>
  <c r="E1593" i="1"/>
  <c r="I1593" i="1"/>
  <c r="S1593" i="1"/>
  <c r="B1594" i="1"/>
  <c r="E1594" i="1"/>
  <c r="I1594" i="1"/>
  <c r="S1594" i="1"/>
  <c r="B1595" i="1"/>
  <c r="E1595" i="1"/>
  <c r="I1595" i="1"/>
  <c r="S1595" i="1"/>
  <c r="B1596" i="1"/>
  <c r="E1596" i="1"/>
  <c r="I1596" i="1"/>
  <c r="S1596" i="1"/>
  <c r="B1597" i="1"/>
  <c r="E1597" i="1"/>
  <c r="I1597" i="1"/>
  <c r="S1597" i="1"/>
  <c r="B1598" i="1"/>
  <c r="E1598" i="1"/>
  <c r="I1598" i="1"/>
  <c r="S1598" i="1"/>
  <c r="B1599" i="1"/>
  <c r="E1599" i="1"/>
  <c r="I1599" i="1"/>
  <c r="S1599" i="1"/>
  <c r="B1600" i="1"/>
  <c r="E1600" i="1"/>
  <c r="I1600" i="1"/>
  <c r="S1600" i="1"/>
  <c r="B1601" i="1"/>
  <c r="E1601" i="1"/>
  <c r="I1601" i="1"/>
  <c r="S1601" i="1"/>
  <c r="B1602" i="1"/>
  <c r="E1602" i="1"/>
  <c r="I1602" i="1"/>
  <c r="S1602" i="1"/>
  <c r="B1603" i="1"/>
  <c r="E1603" i="1"/>
  <c r="I1603" i="1"/>
  <c r="S1603" i="1"/>
  <c r="B1604" i="1"/>
  <c r="E1604" i="1"/>
  <c r="I1604" i="1"/>
  <c r="S1604" i="1"/>
  <c r="B1605" i="1"/>
  <c r="E1605" i="1"/>
  <c r="I1605" i="1"/>
  <c r="S1605" i="1"/>
  <c r="B1606" i="1"/>
  <c r="E1606" i="1"/>
  <c r="I1606" i="1"/>
  <c r="S1606" i="1"/>
  <c r="B1607" i="1"/>
  <c r="E1607" i="1"/>
  <c r="I1607" i="1"/>
  <c r="S1607" i="1"/>
  <c r="B1608" i="1"/>
  <c r="E1608" i="1"/>
  <c r="I1608" i="1"/>
  <c r="S1608" i="1"/>
  <c r="B1609" i="1"/>
  <c r="E1609" i="1"/>
  <c r="I1609" i="1"/>
  <c r="S1609" i="1"/>
  <c r="B1610" i="1"/>
  <c r="E1610" i="1"/>
  <c r="I1610" i="1"/>
  <c r="S1610" i="1"/>
  <c r="B1611" i="1"/>
  <c r="E1611" i="1"/>
  <c r="I1611" i="1"/>
  <c r="S1611" i="1"/>
  <c r="B1612" i="1"/>
  <c r="E1612" i="1"/>
  <c r="I1612" i="1"/>
  <c r="S1612" i="1"/>
  <c r="B1613" i="1"/>
  <c r="E1613" i="1"/>
  <c r="I1613" i="1"/>
  <c r="S1613" i="1"/>
  <c r="B1614" i="1"/>
  <c r="E1614" i="1"/>
  <c r="I1614" i="1"/>
  <c r="S1614" i="1"/>
  <c r="B1615" i="1"/>
  <c r="E1615" i="1"/>
  <c r="I1615" i="1"/>
  <c r="S1615" i="1"/>
  <c r="B1616" i="1"/>
  <c r="E1616" i="1"/>
  <c r="I1616" i="1"/>
  <c r="S1616" i="1"/>
  <c r="B1617" i="1"/>
  <c r="E1617" i="1"/>
  <c r="I1617" i="1"/>
  <c r="S1617" i="1"/>
  <c r="B1618" i="1"/>
  <c r="E1618" i="1"/>
  <c r="I1618" i="1"/>
  <c r="S1618" i="1"/>
  <c r="B1619" i="1"/>
  <c r="E1619" i="1"/>
  <c r="I1619" i="1"/>
  <c r="S1619" i="1"/>
  <c r="B1620" i="1"/>
  <c r="E1620" i="1"/>
  <c r="I1620" i="1"/>
  <c r="S1620" i="1"/>
  <c r="B1621" i="1"/>
  <c r="E1621" i="1"/>
  <c r="I1621" i="1"/>
  <c r="S1621" i="1"/>
  <c r="B1622" i="1"/>
  <c r="E1622" i="1"/>
  <c r="I1622" i="1"/>
  <c r="S1622" i="1"/>
  <c r="B1623" i="1"/>
  <c r="E1623" i="1"/>
  <c r="I1623" i="1"/>
  <c r="S1623" i="1"/>
  <c r="B1624" i="1"/>
  <c r="E1624" i="1"/>
  <c r="I1624" i="1"/>
  <c r="S1624" i="1"/>
  <c r="B1625" i="1"/>
  <c r="E1625" i="1"/>
  <c r="I1625" i="1"/>
  <c r="S1625" i="1"/>
  <c r="B1626" i="1"/>
  <c r="E1626" i="1"/>
  <c r="I1626" i="1"/>
  <c r="S1626" i="1"/>
  <c r="B1627" i="1"/>
  <c r="E1627" i="1"/>
  <c r="I1627" i="1"/>
  <c r="S1627" i="1"/>
  <c r="B1628" i="1"/>
  <c r="E1628" i="1"/>
  <c r="I1628" i="1"/>
  <c r="S1628" i="1"/>
  <c r="B1629" i="1"/>
  <c r="E1629" i="1"/>
  <c r="I1629" i="1"/>
  <c r="S1629" i="1"/>
  <c r="B1630" i="1"/>
  <c r="E1630" i="1"/>
  <c r="I1630" i="1"/>
  <c r="S1630" i="1"/>
  <c r="B1631" i="1"/>
  <c r="E1631" i="1"/>
  <c r="I1631" i="1"/>
  <c r="S1631" i="1"/>
  <c r="B1632" i="1"/>
  <c r="E1632" i="1"/>
  <c r="I1632" i="1"/>
  <c r="S1632" i="1"/>
  <c r="B1633" i="1"/>
  <c r="E1633" i="1"/>
  <c r="I1633" i="1"/>
  <c r="S1633" i="1"/>
  <c r="B1634" i="1"/>
  <c r="E1634" i="1"/>
  <c r="I1634" i="1"/>
  <c r="S1634" i="1"/>
  <c r="B1635" i="1"/>
  <c r="E1635" i="1"/>
  <c r="I1635" i="1"/>
  <c r="S1635" i="1"/>
  <c r="B1636" i="1"/>
  <c r="E1636" i="1"/>
  <c r="I1636" i="1"/>
  <c r="S1636" i="1"/>
  <c r="B1637" i="1"/>
  <c r="E1637" i="1"/>
  <c r="I1637" i="1"/>
  <c r="S1637" i="1"/>
  <c r="B1638" i="1"/>
  <c r="E1638" i="1"/>
  <c r="I1638" i="1"/>
  <c r="S1638" i="1"/>
  <c r="B1639" i="1"/>
  <c r="E1639" i="1"/>
  <c r="I1639" i="1"/>
  <c r="S1639" i="1"/>
  <c r="B1640" i="1"/>
  <c r="E1640" i="1"/>
  <c r="I1640" i="1"/>
  <c r="S1640" i="1"/>
  <c r="B1641" i="1"/>
  <c r="E1641" i="1"/>
  <c r="I1641" i="1"/>
  <c r="S1641" i="1"/>
  <c r="B1642" i="1"/>
  <c r="E1642" i="1"/>
  <c r="I1642" i="1"/>
  <c r="S1642" i="1"/>
  <c r="B1643" i="1"/>
  <c r="E1643" i="1"/>
  <c r="I1643" i="1"/>
  <c r="S1643" i="1"/>
  <c r="B1644" i="1"/>
  <c r="E1644" i="1"/>
  <c r="I1644" i="1"/>
  <c r="S1644" i="1"/>
  <c r="B1645" i="1"/>
  <c r="E1645" i="1"/>
  <c r="I1645" i="1"/>
  <c r="S1645" i="1"/>
  <c r="B1646" i="1"/>
  <c r="E1646" i="1"/>
  <c r="I1646" i="1"/>
  <c r="S1646" i="1"/>
  <c r="B1647" i="1"/>
  <c r="E1647" i="1"/>
  <c r="I1647" i="1"/>
  <c r="S1647" i="1"/>
  <c r="B1648" i="1"/>
  <c r="E1648" i="1"/>
  <c r="I1648" i="1"/>
  <c r="S1648" i="1"/>
  <c r="B1649" i="1"/>
  <c r="E1649" i="1"/>
  <c r="I1649" i="1"/>
  <c r="S1649" i="1"/>
  <c r="B1650" i="1"/>
  <c r="E1650" i="1"/>
  <c r="I1650" i="1"/>
  <c r="S1650" i="1"/>
  <c r="B1651" i="1"/>
  <c r="E1651" i="1"/>
  <c r="I1651" i="1"/>
  <c r="S1651" i="1"/>
  <c r="B1652" i="1"/>
  <c r="E1652" i="1"/>
  <c r="I1652" i="1"/>
  <c r="S1652" i="1"/>
  <c r="B1653" i="1"/>
  <c r="E1653" i="1"/>
  <c r="I1653" i="1"/>
  <c r="S1653" i="1"/>
  <c r="B1654" i="1"/>
  <c r="E1654" i="1"/>
  <c r="I1654" i="1"/>
  <c r="S1654" i="1"/>
  <c r="B1655" i="1"/>
  <c r="E1655" i="1"/>
  <c r="I1655" i="1"/>
  <c r="S1655" i="1"/>
  <c r="B1656" i="1"/>
  <c r="E1656" i="1"/>
  <c r="I1656" i="1"/>
  <c r="S1656" i="1"/>
  <c r="B1657" i="1"/>
  <c r="E1657" i="1"/>
  <c r="I1657" i="1"/>
  <c r="S1657" i="1"/>
  <c r="B1658" i="1"/>
  <c r="E1658" i="1"/>
  <c r="I1658" i="1"/>
  <c r="S1658" i="1"/>
  <c r="B1659" i="1"/>
  <c r="E1659" i="1"/>
  <c r="I1659" i="1"/>
  <c r="S1659" i="1"/>
  <c r="B1660" i="1"/>
  <c r="E1660" i="1"/>
  <c r="I1660" i="1"/>
  <c r="S1660" i="1"/>
  <c r="B1661" i="1"/>
  <c r="E1661" i="1"/>
  <c r="I1661" i="1"/>
  <c r="S1661" i="1"/>
  <c r="B1662" i="1"/>
  <c r="E1662" i="1"/>
  <c r="I1662" i="1"/>
  <c r="S1662" i="1"/>
  <c r="B1663" i="1"/>
  <c r="E1663" i="1"/>
  <c r="I1663" i="1"/>
  <c r="S1663" i="1"/>
  <c r="B1664" i="1"/>
  <c r="E1664" i="1"/>
  <c r="I1664" i="1"/>
  <c r="S1664" i="1"/>
  <c r="B1665" i="1"/>
  <c r="E1665" i="1"/>
  <c r="I1665" i="1"/>
  <c r="S1665" i="1"/>
  <c r="B1666" i="1"/>
  <c r="E1666" i="1"/>
  <c r="I1666" i="1"/>
  <c r="S1666" i="1"/>
  <c r="B1667" i="1"/>
  <c r="E1667" i="1"/>
  <c r="I1667" i="1"/>
  <c r="S1667" i="1"/>
  <c r="B1668" i="1"/>
  <c r="E1668" i="1"/>
  <c r="I1668" i="1"/>
  <c r="S1668" i="1"/>
  <c r="B1669" i="1"/>
  <c r="E1669" i="1"/>
  <c r="I1669" i="1"/>
  <c r="S1669" i="1"/>
  <c r="B1670" i="1"/>
  <c r="E1670" i="1"/>
  <c r="I1670" i="1"/>
  <c r="S1670" i="1"/>
  <c r="B1671" i="1"/>
  <c r="E1671" i="1"/>
  <c r="I1671" i="1"/>
  <c r="S1671" i="1"/>
  <c r="B1672" i="1"/>
  <c r="E1672" i="1"/>
  <c r="I1672" i="1"/>
  <c r="S1672" i="1"/>
  <c r="B1673" i="1"/>
  <c r="E1673" i="1"/>
  <c r="I1673" i="1"/>
  <c r="S1673" i="1"/>
  <c r="B1674" i="1"/>
  <c r="E1674" i="1"/>
  <c r="I1674" i="1"/>
  <c r="S1674" i="1"/>
  <c r="B1675" i="1"/>
  <c r="E1675" i="1"/>
  <c r="I1675" i="1"/>
  <c r="S1675" i="1"/>
  <c r="B1676" i="1"/>
  <c r="E1676" i="1"/>
  <c r="I1676" i="1"/>
  <c r="S1676" i="1"/>
  <c r="B1677" i="1"/>
  <c r="E1677" i="1"/>
  <c r="I1677" i="1"/>
  <c r="S1677" i="1"/>
  <c r="B1678" i="1"/>
  <c r="E1678" i="1"/>
  <c r="I1678" i="1"/>
  <c r="S1678" i="1"/>
  <c r="B1679" i="1"/>
  <c r="E1679" i="1"/>
  <c r="I1679" i="1"/>
  <c r="B1680" i="1"/>
  <c r="E1680" i="1"/>
  <c r="I1680" i="1"/>
  <c r="S1680" i="1"/>
  <c r="B1681" i="1"/>
  <c r="E1681" i="1"/>
  <c r="I1681" i="1"/>
  <c r="S1681" i="1"/>
  <c r="B1682" i="1"/>
  <c r="E1682" i="1"/>
  <c r="I1682" i="1"/>
  <c r="S1682" i="1"/>
  <c r="B1683" i="1"/>
  <c r="E1683" i="1"/>
  <c r="I1683" i="1"/>
  <c r="S1683" i="1"/>
  <c r="B1684" i="1"/>
  <c r="E1684" i="1"/>
  <c r="I1684" i="1"/>
  <c r="S1684" i="1"/>
  <c r="B1685" i="1"/>
  <c r="E1685" i="1"/>
  <c r="I1685" i="1"/>
  <c r="S1685" i="1"/>
  <c r="B1686" i="1"/>
  <c r="E1686" i="1"/>
  <c r="I1686" i="1"/>
  <c r="S1686" i="1"/>
  <c r="B1687" i="1"/>
  <c r="E1687" i="1"/>
  <c r="I1687" i="1"/>
  <c r="S1687" i="1"/>
  <c r="B1688" i="1"/>
  <c r="E1688" i="1"/>
  <c r="I1688" i="1"/>
  <c r="S1688" i="1"/>
  <c r="B1689" i="1"/>
  <c r="E1689" i="1"/>
  <c r="I1689" i="1"/>
  <c r="S1689" i="1"/>
  <c r="B1690" i="1"/>
  <c r="E1690" i="1"/>
  <c r="I1690" i="1"/>
  <c r="S1690" i="1"/>
  <c r="B1691" i="1"/>
  <c r="E1691" i="1"/>
  <c r="I1691" i="1"/>
  <c r="S1691" i="1"/>
  <c r="B1692" i="1"/>
  <c r="E1692" i="1"/>
  <c r="I1692" i="1"/>
  <c r="S1692" i="1"/>
  <c r="B1693" i="1"/>
  <c r="E1693" i="1"/>
  <c r="I1693" i="1"/>
  <c r="S1693" i="1"/>
  <c r="B1694" i="1"/>
  <c r="E1694" i="1"/>
  <c r="I1694" i="1"/>
  <c r="S1694" i="1"/>
  <c r="B1695" i="1"/>
  <c r="E1695" i="1"/>
  <c r="I1695" i="1"/>
  <c r="S1695" i="1"/>
  <c r="B1696" i="1"/>
  <c r="E1696" i="1"/>
  <c r="I1696" i="1"/>
  <c r="S1696" i="1"/>
  <c r="B1697" i="1"/>
  <c r="E1697" i="1"/>
  <c r="I1697" i="1"/>
  <c r="S1697" i="1"/>
  <c r="B1698" i="1"/>
  <c r="E1698" i="1"/>
  <c r="I1698" i="1"/>
  <c r="S1698" i="1"/>
  <c r="B1699" i="1"/>
  <c r="E1699" i="1"/>
  <c r="I1699" i="1"/>
  <c r="S1699" i="1"/>
  <c r="B1700" i="1"/>
  <c r="E1700" i="1"/>
  <c r="I1700" i="1"/>
  <c r="S1700" i="1"/>
  <c r="B1701" i="1"/>
  <c r="E1701" i="1"/>
  <c r="I1701" i="1"/>
  <c r="S1701" i="1"/>
  <c r="B1702" i="1"/>
  <c r="E1702" i="1"/>
  <c r="I1702" i="1"/>
  <c r="S1702" i="1"/>
  <c r="B1703" i="1"/>
  <c r="E1703" i="1"/>
  <c r="I1703" i="1"/>
  <c r="S1703" i="1"/>
  <c r="B1704" i="1"/>
  <c r="E1704" i="1"/>
  <c r="I1704" i="1"/>
  <c r="S1704" i="1"/>
  <c r="B1705" i="1"/>
  <c r="E1705" i="1"/>
  <c r="I1705" i="1"/>
  <c r="S1705" i="1"/>
  <c r="B1706" i="1"/>
  <c r="E1706" i="1"/>
  <c r="I1706" i="1"/>
  <c r="S1706" i="1"/>
  <c r="B1707" i="1"/>
  <c r="E1707" i="1"/>
  <c r="I1707" i="1"/>
  <c r="S1707" i="1"/>
  <c r="B1708" i="1"/>
  <c r="E1708" i="1"/>
  <c r="I1708" i="1"/>
  <c r="S1708" i="1"/>
  <c r="B1709" i="1"/>
  <c r="E1709" i="1"/>
  <c r="I1709" i="1"/>
  <c r="S1709" i="1"/>
  <c r="B1710" i="1"/>
  <c r="E1710" i="1"/>
  <c r="I1710" i="1"/>
  <c r="S1710" i="1"/>
  <c r="B1711" i="1"/>
  <c r="E1711" i="1"/>
  <c r="I1711" i="1"/>
  <c r="S1711" i="1"/>
  <c r="B1712" i="1"/>
  <c r="E1712" i="1"/>
  <c r="I1712" i="1"/>
  <c r="S1712" i="1"/>
  <c r="B1713" i="1"/>
  <c r="E1713" i="1"/>
  <c r="I1713" i="1"/>
  <c r="S1713" i="1"/>
  <c r="B1714" i="1"/>
  <c r="E1714" i="1"/>
  <c r="I1714" i="1"/>
  <c r="S1714" i="1"/>
  <c r="B1715" i="1"/>
  <c r="E1715" i="1"/>
  <c r="I1715" i="1"/>
  <c r="S1715" i="1"/>
  <c r="B1716" i="1"/>
  <c r="E1716" i="1"/>
  <c r="I1716" i="1"/>
  <c r="S1716" i="1"/>
  <c r="B1717" i="1"/>
  <c r="E1717" i="1"/>
  <c r="I1717" i="1"/>
  <c r="S1717" i="1"/>
  <c r="B1718" i="1"/>
  <c r="E1718" i="1"/>
  <c r="I1718" i="1"/>
  <c r="S1718" i="1"/>
  <c r="B1719" i="1"/>
  <c r="E1719" i="1"/>
  <c r="I1719" i="1"/>
  <c r="S1719" i="1"/>
  <c r="B1720" i="1"/>
  <c r="E1720" i="1"/>
  <c r="I1720" i="1"/>
  <c r="S1720" i="1"/>
  <c r="B1721" i="1"/>
  <c r="E1721" i="1"/>
  <c r="I1721" i="1"/>
  <c r="S1721" i="1"/>
  <c r="B1722" i="1"/>
  <c r="E1722" i="1"/>
  <c r="I1722" i="1"/>
  <c r="S1722" i="1"/>
  <c r="B1723" i="1"/>
  <c r="E1723" i="1"/>
  <c r="I1723" i="1"/>
  <c r="S1723" i="1"/>
  <c r="B1724" i="1"/>
  <c r="E1724" i="1"/>
  <c r="I1724" i="1"/>
  <c r="S1724" i="1"/>
  <c r="B1725" i="1"/>
  <c r="E1725" i="1"/>
  <c r="I1725" i="1"/>
  <c r="S1725" i="1"/>
  <c r="B1726" i="1"/>
  <c r="E1726" i="1"/>
  <c r="I1726" i="1"/>
  <c r="S1726" i="1"/>
  <c r="B1727" i="1"/>
  <c r="E1727" i="1"/>
  <c r="I1727" i="1"/>
  <c r="S1727" i="1"/>
  <c r="B1728" i="1"/>
  <c r="E1728" i="1"/>
  <c r="I1728" i="1"/>
  <c r="S1728" i="1"/>
  <c r="B1729" i="1"/>
  <c r="E1729" i="1"/>
  <c r="I1729" i="1"/>
  <c r="S1729" i="1"/>
  <c r="B1730" i="1"/>
  <c r="E1730" i="1"/>
  <c r="I1730" i="1"/>
  <c r="S1730" i="1"/>
  <c r="B1731" i="1"/>
  <c r="E1731" i="1"/>
  <c r="I1731" i="1"/>
  <c r="S1731" i="1"/>
  <c r="B1732" i="1"/>
  <c r="E1732" i="1"/>
  <c r="I1732" i="1"/>
  <c r="S1732" i="1"/>
  <c r="B1733" i="1"/>
  <c r="E1733" i="1"/>
  <c r="I1733" i="1"/>
  <c r="S1733" i="1"/>
  <c r="B1734" i="1"/>
  <c r="E1734" i="1"/>
  <c r="I1734" i="1"/>
  <c r="S1734" i="1"/>
  <c r="B1735" i="1"/>
  <c r="E1735" i="1"/>
  <c r="I1735" i="1"/>
  <c r="S1735" i="1"/>
  <c r="B1736" i="1"/>
  <c r="E1736" i="1"/>
  <c r="I1736" i="1"/>
  <c r="S1736" i="1"/>
  <c r="B1737" i="1"/>
  <c r="E1737" i="1"/>
  <c r="I1737" i="1"/>
  <c r="S1737" i="1"/>
  <c r="B1738" i="1"/>
  <c r="E1738" i="1"/>
  <c r="I1738" i="1"/>
  <c r="S1738" i="1"/>
  <c r="B1739" i="1"/>
  <c r="E1739" i="1"/>
  <c r="I1739" i="1"/>
  <c r="S1739" i="1"/>
  <c r="B1740" i="1"/>
  <c r="E1740" i="1"/>
  <c r="I1740" i="1"/>
  <c r="S1740" i="1"/>
  <c r="B1741" i="1"/>
  <c r="E1741" i="1"/>
  <c r="I1741" i="1"/>
  <c r="S1741" i="1"/>
  <c r="B1742" i="1"/>
  <c r="E1742" i="1"/>
  <c r="I1742" i="1"/>
  <c r="S1742" i="1"/>
  <c r="B1743" i="1"/>
  <c r="E1743" i="1"/>
  <c r="I1743" i="1"/>
  <c r="S1743" i="1"/>
  <c r="B1744" i="1"/>
  <c r="E1744" i="1"/>
  <c r="I1744" i="1"/>
  <c r="S1744" i="1"/>
  <c r="B1745" i="1"/>
  <c r="E1745" i="1"/>
  <c r="I1745" i="1"/>
  <c r="S1745" i="1"/>
  <c r="B1746" i="1"/>
  <c r="E1746" i="1"/>
  <c r="I1746" i="1"/>
  <c r="S1746" i="1"/>
  <c r="B1747" i="1"/>
  <c r="E1747" i="1"/>
  <c r="I1747" i="1"/>
  <c r="S1747" i="1"/>
  <c r="B1748" i="1"/>
  <c r="E1748" i="1"/>
  <c r="I1748" i="1"/>
  <c r="S1748" i="1"/>
  <c r="B1749" i="1"/>
  <c r="E1749" i="1"/>
  <c r="I1749" i="1"/>
  <c r="S1749" i="1"/>
  <c r="B1750" i="1"/>
  <c r="E1750" i="1"/>
  <c r="I1750" i="1"/>
  <c r="S1750" i="1"/>
  <c r="B1751" i="1"/>
  <c r="E1751" i="1"/>
  <c r="I1751" i="1"/>
  <c r="S1751" i="1"/>
  <c r="B1752" i="1"/>
  <c r="E1752" i="1"/>
  <c r="I1752" i="1"/>
  <c r="S1752" i="1"/>
  <c r="B1753" i="1"/>
  <c r="E1753" i="1"/>
  <c r="I1753" i="1"/>
  <c r="S1753" i="1"/>
  <c r="B1754" i="1"/>
  <c r="E1754" i="1"/>
  <c r="I1754" i="1"/>
  <c r="S1754" i="1"/>
  <c r="B1755" i="1"/>
  <c r="E1755" i="1"/>
  <c r="I1755" i="1"/>
  <c r="S1755" i="1"/>
  <c r="B1756" i="1"/>
  <c r="E1756" i="1"/>
  <c r="I1756" i="1"/>
  <c r="S1756" i="1"/>
  <c r="B1757" i="1"/>
  <c r="E1757" i="1"/>
  <c r="I1757" i="1"/>
  <c r="B1758" i="1"/>
  <c r="E1758" i="1"/>
  <c r="I1758" i="1"/>
  <c r="S1758" i="1"/>
  <c r="B1759" i="1"/>
  <c r="E1759" i="1"/>
  <c r="I1759" i="1"/>
  <c r="S1759" i="1"/>
  <c r="B1760" i="1"/>
  <c r="E1760" i="1"/>
  <c r="I1760" i="1"/>
  <c r="B1761" i="1"/>
  <c r="E1761" i="1"/>
  <c r="I1761" i="1"/>
  <c r="S1761" i="1"/>
  <c r="B1762" i="1"/>
  <c r="E1762" i="1"/>
  <c r="I1762" i="1"/>
  <c r="S1762" i="1"/>
  <c r="B1763" i="1"/>
  <c r="E1763" i="1"/>
  <c r="I1763" i="1"/>
  <c r="S1763" i="1"/>
  <c r="B1764" i="1"/>
  <c r="E1764" i="1"/>
  <c r="I1764" i="1"/>
  <c r="S1764" i="1"/>
  <c r="B1765" i="1"/>
  <c r="E1765" i="1"/>
  <c r="I1765" i="1"/>
  <c r="S1765" i="1"/>
  <c r="B1766" i="1"/>
  <c r="E1766" i="1"/>
  <c r="I1766" i="1"/>
  <c r="S1766" i="1"/>
  <c r="B1767" i="1"/>
  <c r="E1767" i="1"/>
  <c r="I1767" i="1"/>
  <c r="S1767" i="1"/>
  <c r="B1768" i="1"/>
  <c r="E1768" i="1"/>
  <c r="I1768" i="1"/>
  <c r="S1768" i="1"/>
  <c r="B1769" i="1"/>
  <c r="E1769" i="1"/>
  <c r="I1769" i="1"/>
  <c r="S1769" i="1"/>
  <c r="B1770" i="1"/>
  <c r="E1770" i="1"/>
  <c r="I1770" i="1"/>
  <c r="S1770" i="1"/>
  <c r="B1771" i="1"/>
  <c r="E1771" i="1"/>
  <c r="I1771" i="1"/>
  <c r="S1771" i="1"/>
  <c r="B1772" i="1"/>
  <c r="E1772" i="1"/>
  <c r="I1772" i="1"/>
  <c r="S1772" i="1"/>
  <c r="B1773" i="1"/>
  <c r="E1773" i="1"/>
  <c r="I1773" i="1"/>
  <c r="B1774" i="1"/>
  <c r="E1774" i="1"/>
  <c r="I1774" i="1"/>
  <c r="S1774" i="1"/>
  <c r="B1775" i="1"/>
  <c r="E1775" i="1"/>
  <c r="I1775" i="1"/>
  <c r="S1775" i="1"/>
  <c r="B1776" i="1"/>
  <c r="E1776" i="1"/>
  <c r="I1776" i="1"/>
  <c r="S1776" i="1"/>
  <c r="B1777" i="1"/>
  <c r="E1777" i="1"/>
  <c r="I1777" i="1"/>
  <c r="S1777" i="1"/>
  <c r="B1778" i="1"/>
  <c r="E1778" i="1"/>
  <c r="I1778" i="1"/>
  <c r="S1778" i="1"/>
  <c r="B1779" i="1"/>
  <c r="E1779" i="1"/>
  <c r="I1779" i="1"/>
  <c r="S1779" i="1"/>
  <c r="B1780" i="1"/>
  <c r="E1780" i="1"/>
  <c r="I1780" i="1"/>
  <c r="S1780" i="1"/>
  <c r="B1781" i="1"/>
  <c r="E1781" i="1"/>
  <c r="I1781" i="1"/>
  <c r="S1781" i="1"/>
  <c r="B1782" i="1"/>
  <c r="E1782" i="1"/>
  <c r="I1782" i="1"/>
  <c r="S1782" i="1"/>
  <c r="B1783" i="1"/>
  <c r="E1783" i="1"/>
  <c r="I1783" i="1"/>
  <c r="S1783" i="1"/>
  <c r="B1784" i="1"/>
  <c r="E1784" i="1"/>
  <c r="I1784" i="1"/>
  <c r="S1784" i="1"/>
  <c r="B1785" i="1"/>
  <c r="E1785" i="1"/>
  <c r="I1785" i="1"/>
  <c r="S1785" i="1"/>
  <c r="B1786" i="1"/>
  <c r="E1786" i="1"/>
  <c r="I1786" i="1"/>
  <c r="S1786" i="1"/>
  <c r="B1787" i="1"/>
  <c r="E1787" i="1"/>
  <c r="I1787" i="1"/>
  <c r="S1787" i="1"/>
  <c r="B1788" i="1"/>
  <c r="E1788" i="1"/>
  <c r="I1788" i="1"/>
  <c r="S1788" i="1"/>
  <c r="B1789" i="1"/>
  <c r="E1789" i="1"/>
  <c r="I1789" i="1"/>
  <c r="S1789" i="1"/>
  <c r="B1790" i="1"/>
  <c r="E1790" i="1"/>
  <c r="I1790" i="1"/>
  <c r="S1790" i="1"/>
  <c r="B1791" i="1"/>
  <c r="E1791" i="1"/>
  <c r="I1791" i="1"/>
  <c r="S1791" i="1"/>
  <c r="B1792" i="1"/>
  <c r="E1792" i="1"/>
  <c r="I1792" i="1"/>
  <c r="S1792" i="1"/>
  <c r="B1793" i="1"/>
  <c r="E1793" i="1"/>
  <c r="I1793" i="1"/>
  <c r="S1793" i="1"/>
  <c r="B1794" i="1"/>
  <c r="E1794" i="1"/>
  <c r="I1794" i="1"/>
  <c r="S1794" i="1"/>
  <c r="B1795" i="1"/>
  <c r="E1795" i="1"/>
  <c r="I1795" i="1"/>
  <c r="S1795" i="1"/>
  <c r="B1796" i="1"/>
  <c r="E1796" i="1"/>
  <c r="I1796" i="1"/>
  <c r="S1796" i="1"/>
  <c r="B1797" i="1"/>
  <c r="E1797" i="1"/>
  <c r="I1797" i="1"/>
  <c r="S1797" i="1"/>
  <c r="B1798" i="1"/>
  <c r="E1798" i="1"/>
  <c r="I1798" i="1"/>
  <c r="S1798" i="1"/>
  <c r="B1799" i="1"/>
  <c r="E1799" i="1"/>
  <c r="I1799" i="1"/>
  <c r="S1799" i="1"/>
  <c r="B1800" i="1"/>
  <c r="E1800" i="1"/>
  <c r="I1800" i="1"/>
  <c r="S1800" i="1"/>
  <c r="B1801" i="1"/>
  <c r="E1801" i="1"/>
  <c r="I1801" i="1"/>
  <c r="S1801" i="1"/>
  <c r="B1802" i="1"/>
  <c r="E1802" i="1"/>
  <c r="I1802" i="1"/>
  <c r="S1802" i="1"/>
  <c r="B1803" i="1"/>
  <c r="E1803" i="1"/>
  <c r="I1803" i="1"/>
  <c r="S1803" i="1"/>
  <c r="B1804" i="1"/>
  <c r="E1804" i="1"/>
  <c r="I1804" i="1"/>
  <c r="S1804" i="1"/>
  <c r="B1805" i="1"/>
  <c r="E1805" i="1"/>
  <c r="I1805" i="1"/>
  <c r="S1805" i="1"/>
  <c r="B1806" i="1"/>
  <c r="E1806" i="1"/>
  <c r="I1806" i="1"/>
  <c r="S1806" i="1"/>
  <c r="B1807" i="1"/>
  <c r="E1807" i="1"/>
  <c r="I1807" i="1"/>
  <c r="S1807" i="1"/>
  <c r="B1808" i="1"/>
  <c r="E1808" i="1"/>
  <c r="I1808" i="1"/>
  <c r="S1808" i="1"/>
  <c r="B1809" i="1"/>
  <c r="E1809" i="1"/>
  <c r="I1809" i="1"/>
  <c r="S1809" i="1"/>
  <c r="B1810" i="1"/>
  <c r="E1810" i="1"/>
  <c r="I1810" i="1"/>
  <c r="S1810" i="1"/>
  <c r="B1811" i="1"/>
  <c r="E1811" i="1"/>
  <c r="I1811" i="1"/>
  <c r="S1811" i="1"/>
  <c r="B1812" i="1"/>
  <c r="E1812" i="1"/>
  <c r="I1812" i="1"/>
  <c r="S1812" i="1"/>
  <c r="B1813" i="1"/>
  <c r="E1813" i="1"/>
  <c r="I1813" i="1"/>
  <c r="S1813" i="1"/>
  <c r="B1814" i="1"/>
  <c r="E1814" i="1"/>
  <c r="I1814" i="1"/>
  <c r="S1814" i="1"/>
  <c r="B1815" i="1"/>
  <c r="E1815" i="1"/>
  <c r="I1815" i="1"/>
  <c r="S1815" i="1"/>
  <c r="B1816" i="1"/>
  <c r="E1816" i="1"/>
  <c r="I1816" i="1"/>
  <c r="S1816" i="1"/>
  <c r="B1817" i="1"/>
  <c r="E1817" i="1"/>
  <c r="I1817" i="1"/>
  <c r="S1817" i="1"/>
  <c r="B1818" i="1"/>
  <c r="E1818" i="1"/>
  <c r="I1818" i="1"/>
  <c r="S1818" i="1"/>
  <c r="B1819" i="1"/>
  <c r="E1819" i="1"/>
  <c r="I1819" i="1"/>
  <c r="S1819" i="1"/>
  <c r="B1820" i="1"/>
  <c r="E1820" i="1"/>
  <c r="I1820" i="1"/>
  <c r="S1820" i="1"/>
  <c r="B1821" i="1"/>
  <c r="E1821" i="1"/>
  <c r="I1821" i="1"/>
  <c r="S1821" i="1"/>
  <c r="B1822" i="1"/>
  <c r="E1822" i="1"/>
  <c r="I1822" i="1"/>
  <c r="S1822" i="1"/>
  <c r="B1823" i="1"/>
  <c r="E1823" i="1"/>
  <c r="I1823" i="1"/>
  <c r="S1823" i="1"/>
  <c r="B1824" i="1"/>
  <c r="E1824" i="1"/>
  <c r="I1824" i="1"/>
  <c r="S1824" i="1"/>
  <c r="B1825" i="1"/>
  <c r="E1825" i="1"/>
  <c r="I1825" i="1"/>
  <c r="S1825" i="1"/>
  <c r="B1826" i="1"/>
  <c r="E1826" i="1"/>
  <c r="I1826" i="1"/>
  <c r="S1826" i="1"/>
  <c r="B1827" i="1"/>
  <c r="E1827" i="1"/>
  <c r="I1827" i="1"/>
  <c r="S1827" i="1"/>
  <c r="B1828" i="1"/>
  <c r="E1828" i="1"/>
  <c r="I1828" i="1"/>
  <c r="S1828" i="1"/>
  <c r="B1829" i="1"/>
  <c r="E1829" i="1"/>
  <c r="I1829" i="1"/>
  <c r="S1829" i="1"/>
  <c r="B1830" i="1"/>
  <c r="E1830" i="1"/>
  <c r="I1830" i="1"/>
  <c r="S1830" i="1"/>
  <c r="B1831" i="1"/>
  <c r="E1831" i="1"/>
  <c r="I1831" i="1"/>
  <c r="S1831" i="1"/>
  <c r="B1832" i="1"/>
  <c r="E1832" i="1"/>
  <c r="I1832" i="1"/>
  <c r="S1832" i="1"/>
  <c r="B1833" i="1"/>
  <c r="E1833" i="1"/>
  <c r="I1833" i="1"/>
  <c r="S1833" i="1"/>
  <c r="B1834" i="1"/>
  <c r="E1834" i="1"/>
  <c r="I1834" i="1"/>
  <c r="S1834" i="1"/>
  <c r="B1835" i="1"/>
  <c r="E1835" i="1"/>
  <c r="I1835" i="1"/>
  <c r="S1835" i="1"/>
  <c r="B1836" i="1"/>
  <c r="E1836" i="1"/>
  <c r="I1836" i="1"/>
  <c r="S1836" i="1"/>
  <c r="B1837" i="1"/>
  <c r="E1837" i="1"/>
  <c r="I1837" i="1"/>
  <c r="S1837" i="1"/>
  <c r="B1838" i="1"/>
  <c r="E1838" i="1"/>
  <c r="I1838" i="1"/>
  <c r="S1838" i="1"/>
  <c r="B1839" i="1"/>
  <c r="E1839" i="1"/>
  <c r="I1839" i="1"/>
  <c r="S1839" i="1"/>
  <c r="B1840" i="1"/>
  <c r="E1840" i="1"/>
  <c r="I1840" i="1"/>
  <c r="S1840" i="1"/>
  <c r="B1841" i="1"/>
  <c r="E1841" i="1"/>
  <c r="I1841" i="1"/>
  <c r="S1841" i="1"/>
  <c r="B1842" i="1"/>
  <c r="E1842" i="1"/>
  <c r="I1842" i="1"/>
  <c r="S1842" i="1"/>
  <c r="B1843" i="1"/>
  <c r="E1843" i="1"/>
  <c r="I1843" i="1"/>
  <c r="S1843" i="1"/>
  <c r="B1844" i="1"/>
  <c r="E1844" i="1"/>
  <c r="I1844" i="1"/>
  <c r="S1844" i="1"/>
  <c r="B1845" i="1"/>
  <c r="E1845" i="1"/>
  <c r="I1845" i="1"/>
  <c r="S1845" i="1"/>
  <c r="B1846" i="1"/>
  <c r="E1846" i="1"/>
  <c r="I1846" i="1"/>
  <c r="S1846" i="1"/>
  <c r="B1847" i="1"/>
  <c r="E1847" i="1"/>
  <c r="I1847" i="1"/>
  <c r="S1847" i="1"/>
  <c r="B1848" i="1"/>
  <c r="E1848" i="1"/>
  <c r="I1848" i="1"/>
  <c r="S1848" i="1"/>
  <c r="B1849" i="1"/>
  <c r="E1849" i="1"/>
  <c r="I1849" i="1"/>
  <c r="S1849" i="1"/>
  <c r="B1850" i="1"/>
  <c r="E1850" i="1"/>
  <c r="I1850" i="1"/>
  <c r="S1850" i="1"/>
  <c r="B1851" i="1"/>
  <c r="E1851" i="1"/>
  <c r="I1851" i="1"/>
  <c r="S1851" i="1"/>
  <c r="B1852" i="1"/>
  <c r="E1852" i="1"/>
  <c r="I1852" i="1"/>
  <c r="S1852" i="1"/>
  <c r="B1853" i="1"/>
  <c r="E1853" i="1"/>
  <c r="I1853" i="1"/>
  <c r="S1853" i="1"/>
  <c r="B1854" i="1"/>
  <c r="E1854" i="1"/>
  <c r="I1854" i="1"/>
  <c r="S1854" i="1"/>
  <c r="B1855" i="1"/>
  <c r="E1855" i="1"/>
  <c r="I1855" i="1"/>
  <c r="S1855" i="1"/>
  <c r="B1856" i="1"/>
  <c r="E1856" i="1"/>
  <c r="I1856" i="1"/>
  <c r="B1857" i="1"/>
  <c r="E1857" i="1"/>
  <c r="I1857" i="1"/>
  <c r="S1857" i="1"/>
  <c r="B1858" i="1"/>
  <c r="E1858" i="1"/>
  <c r="I1858" i="1"/>
  <c r="S1858" i="1"/>
  <c r="B1859" i="1"/>
  <c r="E1859" i="1"/>
  <c r="I1859" i="1"/>
  <c r="S1859" i="1"/>
  <c r="B1860" i="1"/>
  <c r="E1860" i="1"/>
  <c r="I1860" i="1"/>
  <c r="S1860" i="1"/>
  <c r="B1861" i="1"/>
  <c r="E1861" i="1"/>
  <c r="I1861" i="1"/>
  <c r="S1861" i="1"/>
  <c r="B1862" i="1"/>
  <c r="E1862" i="1"/>
  <c r="I1862" i="1"/>
  <c r="S1862" i="1"/>
  <c r="B1863" i="1"/>
  <c r="E1863" i="1"/>
  <c r="I1863" i="1"/>
  <c r="S1863" i="1"/>
  <c r="B1864" i="1"/>
  <c r="E1864" i="1"/>
  <c r="I1864" i="1"/>
  <c r="S1864" i="1"/>
  <c r="B1865" i="1"/>
  <c r="E1865" i="1"/>
  <c r="I1865" i="1"/>
  <c r="S1865" i="1"/>
  <c r="B1866" i="1"/>
  <c r="E1866" i="1"/>
  <c r="I1866" i="1"/>
  <c r="S1866" i="1"/>
  <c r="B1867" i="1"/>
  <c r="E1867" i="1"/>
  <c r="I1867" i="1"/>
  <c r="B1868" i="1"/>
  <c r="E1868" i="1"/>
  <c r="I1868" i="1"/>
  <c r="S1868" i="1"/>
  <c r="B1869" i="1"/>
  <c r="E1869" i="1"/>
  <c r="I1869" i="1"/>
  <c r="S1869" i="1"/>
  <c r="B1870" i="1"/>
  <c r="E1870" i="1"/>
  <c r="I1870" i="1"/>
  <c r="S1870" i="1"/>
  <c r="B1871" i="1"/>
  <c r="E1871" i="1"/>
  <c r="I1871" i="1"/>
  <c r="S1871" i="1"/>
  <c r="B1872" i="1"/>
  <c r="E1872" i="1"/>
  <c r="I1872" i="1"/>
  <c r="S1872" i="1"/>
  <c r="B1873" i="1"/>
  <c r="E1873" i="1"/>
  <c r="I1873" i="1"/>
  <c r="S1873" i="1"/>
  <c r="B1874" i="1"/>
  <c r="E1874" i="1"/>
  <c r="I1874" i="1"/>
  <c r="S1874" i="1"/>
  <c r="B1875" i="1"/>
  <c r="E1875" i="1"/>
  <c r="I1875" i="1"/>
  <c r="S1875" i="1"/>
  <c r="B1876" i="1"/>
  <c r="E1876" i="1"/>
  <c r="I1876" i="1"/>
  <c r="S1876" i="1"/>
  <c r="B1877" i="1"/>
  <c r="E1877" i="1"/>
  <c r="I1877" i="1"/>
  <c r="S1877" i="1"/>
  <c r="B1878" i="1"/>
  <c r="E1878" i="1"/>
  <c r="I1878" i="1"/>
  <c r="S1878" i="1"/>
  <c r="B1879" i="1"/>
  <c r="E1879" i="1"/>
  <c r="I1879" i="1"/>
  <c r="S1879" i="1"/>
  <c r="B1880" i="1"/>
  <c r="E1880" i="1"/>
  <c r="I1880" i="1"/>
  <c r="S1880" i="1"/>
  <c r="B1881" i="1"/>
  <c r="E1881" i="1"/>
  <c r="I1881" i="1"/>
  <c r="S1881" i="1"/>
  <c r="B1882" i="1"/>
  <c r="E1882" i="1"/>
  <c r="I1882" i="1"/>
  <c r="S1882" i="1"/>
  <c r="B1883" i="1"/>
  <c r="E1883" i="1"/>
  <c r="I1883" i="1"/>
  <c r="S1883" i="1"/>
  <c r="B1884" i="1"/>
  <c r="E1884" i="1"/>
  <c r="I1884" i="1"/>
  <c r="S1884" i="1"/>
  <c r="B1885" i="1"/>
  <c r="E1885" i="1"/>
  <c r="I1885" i="1"/>
  <c r="S1885" i="1"/>
  <c r="B1886" i="1"/>
  <c r="E1886" i="1"/>
  <c r="I1886" i="1"/>
  <c r="S1886" i="1"/>
  <c r="B1887" i="1"/>
  <c r="E1887" i="1"/>
  <c r="I1887" i="1"/>
  <c r="S1887" i="1"/>
  <c r="B1888" i="1"/>
  <c r="E1888" i="1"/>
  <c r="I1888" i="1"/>
  <c r="S1888" i="1"/>
  <c r="B1889" i="1"/>
  <c r="E1889" i="1"/>
  <c r="I1889" i="1"/>
  <c r="S1889" i="1"/>
  <c r="B1890" i="1"/>
  <c r="E1890" i="1"/>
  <c r="I1890" i="1"/>
  <c r="S1890" i="1"/>
  <c r="B1891" i="1"/>
  <c r="E1891" i="1"/>
  <c r="I1891" i="1"/>
  <c r="S1891" i="1"/>
  <c r="B1892" i="1"/>
  <c r="E1892" i="1"/>
  <c r="I1892" i="1"/>
  <c r="S1892" i="1"/>
  <c r="B1893" i="1"/>
  <c r="E1893" i="1"/>
  <c r="I1893" i="1"/>
  <c r="S1893" i="1"/>
  <c r="B1894" i="1"/>
  <c r="E1894" i="1"/>
  <c r="I1894" i="1"/>
  <c r="S1894" i="1"/>
  <c r="B1895" i="1"/>
  <c r="E1895" i="1"/>
  <c r="I1895" i="1"/>
  <c r="S1895" i="1"/>
  <c r="B1896" i="1"/>
  <c r="E1896" i="1"/>
  <c r="I1896" i="1"/>
  <c r="S1896" i="1"/>
  <c r="B1897" i="1"/>
  <c r="E1897" i="1"/>
  <c r="I1897" i="1"/>
  <c r="S1897" i="1"/>
  <c r="B1898" i="1"/>
  <c r="E1898" i="1"/>
  <c r="I1898" i="1"/>
  <c r="S1898" i="1"/>
  <c r="B1899" i="1"/>
  <c r="E1899" i="1"/>
  <c r="I1899" i="1"/>
  <c r="S1899" i="1"/>
  <c r="B1900" i="1"/>
  <c r="E1900" i="1"/>
  <c r="I1900" i="1"/>
  <c r="S1900" i="1"/>
  <c r="B1901" i="1"/>
  <c r="E1901" i="1"/>
  <c r="I1901" i="1"/>
  <c r="S1901" i="1"/>
  <c r="B1902" i="1"/>
  <c r="E1902" i="1"/>
  <c r="I1902" i="1"/>
  <c r="S1902" i="1"/>
  <c r="B1903" i="1"/>
  <c r="E1903" i="1"/>
  <c r="I1903" i="1"/>
  <c r="S1903" i="1"/>
  <c r="B1904" i="1"/>
  <c r="E1904" i="1"/>
  <c r="I1904" i="1"/>
  <c r="S1904" i="1"/>
  <c r="B1905" i="1"/>
  <c r="E1905" i="1"/>
  <c r="I1905" i="1"/>
  <c r="S1905" i="1"/>
  <c r="B1906" i="1"/>
  <c r="E1906" i="1"/>
  <c r="I1906" i="1"/>
  <c r="S1906" i="1"/>
  <c r="B1907" i="1"/>
  <c r="E1907" i="1"/>
  <c r="I1907" i="1"/>
  <c r="S1907" i="1"/>
  <c r="B1908" i="1"/>
  <c r="E1908" i="1"/>
  <c r="I1908" i="1"/>
  <c r="S1908" i="1"/>
  <c r="B1909" i="1"/>
  <c r="E1909" i="1"/>
  <c r="I1909" i="1"/>
  <c r="S1909" i="1"/>
  <c r="B1910" i="1"/>
  <c r="E1910" i="1"/>
  <c r="I1910" i="1"/>
  <c r="S1910" i="1"/>
  <c r="B1911" i="1"/>
  <c r="E1911" i="1"/>
  <c r="I1911" i="1"/>
  <c r="S1911" i="1"/>
  <c r="B1912" i="1"/>
  <c r="E1912" i="1"/>
  <c r="I1912" i="1"/>
  <c r="S1912" i="1"/>
  <c r="B1913" i="1"/>
  <c r="E1913" i="1"/>
  <c r="I1913" i="1"/>
  <c r="S1913" i="1"/>
  <c r="B1914" i="1"/>
  <c r="E1914" i="1"/>
  <c r="I1914" i="1"/>
  <c r="S1914" i="1"/>
  <c r="B1915" i="1"/>
  <c r="E1915" i="1"/>
  <c r="I1915" i="1"/>
  <c r="S1915" i="1"/>
  <c r="B1916" i="1"/>
  <c r="E1916" i="1"/>
  <c r="I1916" i="1"/>
  <c r="S1916" i="1"/>
  <c r="B1917" i="1"/>
  <c r="E1917" i="1"/>
  <c r="I1917" i="1"/>
  <c r="S1917" i="1"/>
  <c r="B1918" i="1"/>
  <c r="E1918" i="1"/>
  <c r="I1918" i="1"/>
  <c r="S1918" i="1"/>
  <c r="B1919" i="1"/>
  <c r="E1919" i="1"/>
  <c r="I1919" i="1"/>
  <c r="S1919" i="1"/>
  <c r="B1920" i="1"/>
  <c r="E1920" i="1"/>
  <c r="I1920" i="1"/>
  <c r="S1920" i="1"/>
  <c r="B1921" i="1"/>
  <c r="E1921" i="1"/>
  <c r="I1921" i="1"/>
  <c r="S1921" i="1"/>
  <c r="B1922" i="1"/>
  <c r="E1922" i="1"/>
  <c r="I1922" i="1"/>
  <c r="S1922" i="1"/>
  <c r="B1923" i="1"/>
  <c r="E1923" i="1"/>
  <c r="I1923" i="1"/>
  <c r="S1923" i="1"/>
  <c r="B1924" i="1"/>
  <c r="E1924" i="1"/>
  <c r="I1924" i="1"/>
  <c r="S1924" i="1"/>
  <c r="B1925" i="1"/>
  <c r="E1925" i="1"/>
  <c r="I1925" i="1"/>
  <c r="S1925" i="1"/>
  <c r="B1926" i="1"/>
  <c r="E1926" i="1"/>
  <c r="I1926" i="1"/>
  <c r="S1926" i="1"/>
  <c r="B1927" i="1"/>
  <c r="E1927" i="1"/>
  <c r="I1927" i="1"/>
  <c r="S1927" i="1"/>
  <c r="B1928" i="1"/>
  <c r="E1928" i="1"/>
  <c r="I1928" i="1"/>
  <c r="S1928" i="1"/>
  <c r="B1929" i="1"/>
  <c r="E1929" i="1"/>
  <c r="I1929" i="1"/>
  <c r="S1929" i="1"/>
  <c r="B1930" i="1"/>
  <c r="E1930" i="1"/>
  <c r="I1930" i="1"/>
  <c r="S1930" i="1"/>
  <c r="B1931" i="1"/>
  <c r="E1931" i="1"/>
  <c r="I1931" i="1"/>
  <c r="S1931" i="1"/>
  <c r="B1932" i="1"/>
  <c r="E1932" i="1"/>
  <c r="I1932" i="1"/>
  <c r="S1932" i="1"/>
  <c r="B1933" i="1"/>
  <c r="E1933" i="1"/>
  <c r="I1933" i="1"/>
  <c r="S1933" i="1"/>
  <c r="B1934" i="1"/>
  <c r="E1934" i="1"/>
  <c r="I1934" i="1"/>
  <c r="S1934" i="1"/>
  <c r="B1935" i="1"/>
  <c r="E1935" i="1"/>
  <c r="I1935" i="1"/>
  <c r="S1935" i="1"/>
  <c r="B1936" i="1"/>
  <c r="E1936" i="1"/>
  <c r="I1936" i="1"/>
  <c r="S1936" i="1"/>
  <c r="B1937" i="1"/>
  <c r="E1937" i="1"/>
  <c r="I1937" i="1"/>
  <c r="S1937" i="1"/>
  <c r="B1938" i="1"/>
  <c r="E1938" i="1"/>
  <c r="I1938" i="1"/>
  <c r="S1938" i="1"/>
  <c r="B1939" i="1"/>
  <c r="E1939" i="1"/>
  <c r="I1939" i="1"/>
  <c r="S1939" i="1"/>
  <c r="B1940" i="1"/>
  <c r="E1940" i="1"/>
  <c r="I1940" i="1"/>
  <c r="S1940" i="1"/>
  <c r="B1941" i="1"/>
  <c r="E1941" i="1"/>
  <c r="I1941" i="1"/>
  <c r="S1941" i="1"/>
  <c r="B1942" i="1"/>
  <c r="E1942" i="1"/>
  <c r="I1942" i="1"/>
  <c r="S1942" i="1"/>
  <c r="B1943" i="1"/>
  <c r="E1943" i="1"/>
  <c r="I1943" i="1"/>
  <c r="S1943" i="1"/>
  <c r="B1944" i="1"/>
  <c r="E1944" i="1"/>
  <c r="I1944" i="1"/>
  <c r="S1944" i="1"/>
  <c r="B1945" i="1"/>
  <c r="E1945" i="1"/>
  <c r="I1945" i="1"/>
  <c r="S1945" i="1"/>
  <c r="B1946" i="1"/>
  <c r="E1946" i="1"/>
  <c r="I1946" i="1"/>
  <c r="S1946" i="1"/>
  <c r="B1947" i="1"/>
  <c r="E1947" i="1"/>
  <c r="I1947" i="1"/>
  <c r="S1947" i="1"/>
  <c r="B1948" i="1"/>
  <c r="E1948" i="1"/>
  <c r="I1948" i="1"/>
  <c r="S1948" i="1"/>
  <c r="B1949" i="1"/>
  <c r="E1949" i="1"/>
  <c r="I1949" i="1"/>
  <c r="S1949" i="1"/>
  <c r="B1950" i="1"/>
  <c r="E1950" i="1"/>
  <c r="I1950" i="1"/>
  <c r="S1950" i="1"/>
  <c r="B1951" i="1"/>
  <c r="E1951" i="1"/>
  <c r="I1951" i="1"/>
  <c r="S1951" i="1"/>
  <c r="B1952" i="1"/>
  <c r="E1952" i="1"/>
  <c r="I1952" i="1"/>
  <c r="S1952" i="1"/>
  <c r="B1953" i="1"/>
  <c r="E1953" i="1"/>
  <c r="I1953" i="1"/>
  <c r="S1953" i="1"/>
  <c r="B1954" i="1"/>
  <c r="E1954" i="1"/>
  <c r="I1954" i="1"/>
  <c r="S1954" i="1"/>
  <c r="B1955" i="1"/>
  <c r="E1955" i="1"/>
  <c r="I1955" i="1"/>
  <c r="S1955" i="1"/>
  <c r="B1956" i="1"/>
  <c r="E1956" i="1"/>
  <c r="I1956" i="1"/>
  <c r="S1956" i="1"/>
  <c r="B1957" i="1"/>
  <c r="E1957" i="1"/>
  <c r="I1957" i="1"/>
  <c r="S1957" i="1"/>
  <c r="B1958" i="1"/>
  <c r="E1958" i="1"/>
  <c r="I1958" i="1"/>
  <c r="S1958" i="1"/>
  <c r="B1959" i="1"/>
  <c r="E1959" i="1"/>
  <c r="I1959" i="1"/>
  <c r="S1959" i="1"/>
  <c r="B1960" i="1"/>
  <c r="E1960" i="1"/>
  <c r="I1960" i="1"/>
  <c r="S1960" i="1"/>
  <c r="B1961" i="1"/>
  <c r="E1961" i="1"/>
  <c r="I1961" i="1"/>
  <c r="S1961" i="1"/>
  <c r="B1962" i="1"/>
  <c r="E1962" i="1"/>
  <c r="I1962" i="1"/>
  <c r="S1962" i="1"/>
  <c r="B1963" i="1"/>
  <c r="E1963" i="1"/>
  <c r="I1963" i="1"/>
  <c r="S1963" i="1"/>
  <c r="B1964" i="1"/>
  <c r="E1964" i="1"/>
  <c r="I1964" i="1"/>
  <c r="S1964" i="1"/>
  <c r="B1965" i="1"/>
  <c r="E1965" i="1"/>
  <c r="I1965" i="1"/>
  <c r="S1965" i="1"/>
  <c r="B1966" i="1"/>
  <c r="E1966" i="1"/>
  <c r="I1966" i="1"/>
  <c r="S1966" i="1"/>
  <c r="B1967" i="1"/>
  <c r="E1967" i="1"/>
  <c r="I1967" i="1"/>
  <c r="S1967" i="1"/>
  <c r="B1968" i="1"/>
  <c r="E1968" i="1"/>
  <c r="I1968" i="1"/>
  <c r="S1968" i="1"/>
  <c r="B1969" i="1"/>
  <c r="E1969" i="1"/>
  <c r="I1969" i="1"/>
  <c r="S1969" i="1"/>
  <c r="B1970" i="1"/>
  <c r="E1970" i="1"/>
  <c r="I1970" i="1"/>
  <c r="S1970" i="1"/>
  <c r="B1971" i="1"/>
  <c r="E1971" i="1"/>
  <c r="I1971" i="1"/>
  <c r="S1971" i="1"/>
  <c r="B1972" i="1"/>
  <c r="E1972" i="1"/>
  <c r="I1972" i="1"/>
  <c r="S1972" i="1"/>
  <c r="B1973" i="1"/>
  <c r="E1973" i="1"/>
  <c r="I1973" i="1"/>
  <c r="S1973" i="1"/>
  <c r="B1974" i="1"/>
  <c r="E1974" i="1"/>
  <c r="I1974" i="1"/>
  <c r="S1974" i="1"/>
  <c r="B1975" i="1"/>
  <c r="E1975" i="1"/>
  <c r="I1975" i="1"/>
  <c r="S1975" i="1"/>
  <c r="B1976" i="1"/>
  <c r="E1976" i="1"/>
  <c r="I1976" i="1"/>
  <c r="S1976" i="1"/>
  <c r="B1977" i="1"/>
  <c r="E1977" i="1"/>
  <c r="I1977" i="1"/>
  <c r="S1977" i="1"/>
  <c r="B1978" i="1"/>
  <c r="E1978" i="1"/>
  <c r="I1978" i="1"/>
  <c r="S1978" i="1"/>
  <c r="B1979" i="1"/>
  <c r="E1979" i="1"/>
  <c r="I1979" i="1"/>
  <c r="S1979" i="1"/>
  <c r="B1980" i="1"/>
  <c r="E1980" i="1"/>
  <c r="I1980" i="1"/>
  <c r="S1980" i="1"/>
  <c r="B1981" i="1"/>
  <c r="E1981" i="1"/>
  <c r="I1981" i="1"/>
  <c r="S1981" i="1"/>
  <c r="B1982" i="1"/>
  <c r="E1982" i="1"/>
  <c r="I1982" i="1"/>
  <c r="S1982" i="1"/>
  <c r="B1983" i="1"/>
  <c r="E1983" i="1"/>
  <c r="I1983" i="1"/>
  <c r="S1983" i="1"/>
  <c r="B1984" i="1"/>
  <c r="E1984" i="1"/>
  <c r="I1984" i="1"/>
  <c r="S1984" i="1"/>
  <c r="B1985" i="1"/>
  <c r="E1985" i="1"/>
  <c r="I1985" i="1"/>
  <c r="S1985" i="1"/>
  <c r="B1986" i="1"/>
  <c r="E1986" i="1"/>
  <c r="I1986" i="1"/>
  <c r="S1986" i="1"/>
  <c r="B1987" i="1"/>
  <c r="E1987" i="1"/>
  <c r="I1987" i="1"/>
  <c r="S1987" i="1"/>
  <c r="B1988" i="1"/>
  <c r="E1988" i="1"/>
  <c r="I1988" i="1"/>
  <c r="S1988" i="1"/>
  <c r="B1989" i="1"/>
  <c r="E1989" i="1"/>
  <c r="I1989" i="1"/>
  <c r="S1989" i="1"/>
  <c r="B1990" i="1"/>
  <c r="E1990" i="1"/>
  <c r="I1990" i="1"/>
  <c r="S1990" i="1"/>
  <c r="B1991" i="1"/>
  <c r="E1991" i="1"/>
  <c r="I1991" i="1"/>
  <c r="S1991" i="1"/>
  <c r="B1992" i="1"/>
  <c r="E1992" i="1"/>
  <c r="I1992" i="1"/>
  <c r="S1992" i="1"/>
  <c r="B1993" i="1"/>
  <c r="E1993" i="1"/>
  <c r="I1993" i="1"/>
  <c r="S1993" i="1"/>
  <c r="B1994" i="1"/>
  <c r="E1994" i="1"/>
  <c r="I1994" i="1"/>
  <c r="S1994" i="1"/>
  <c r="B1995" i="1"/>
  <c r="E1995" i="1"/>
  <c r="I1995" i="1"/>
  <c r="S1995" i="1"/>
  <c r="B1996" i="1"/>
  <c r="E1996" i="1"/>
  <c r="I1996" i="1"/>
  <c r="S1996" i="1"/>
  <c r="B1997" i="1"/>
  <c r="E1997" i="1"/>
  <c r="I1997" i="1"/>
  <c r="S1997" i="1"/>
  <c r="B1998" i="1"/>
  <c r="E1998" i="1"/>
  <c r="I1998" i="1"/>
  <c r="S1998" i="1"/>
  <c r="B1999" i="1"/>
  <c r="E1999" i="1"/>
  <c r="I1999" i="1"/>
  <c r="S1999" i="1"/>
  <c r="B2000" i="1"/>
  <c r="E2000" i="1"/>
  <c r="I2000" i="1"/>
  <c r="S2000" i="1"/>
  <c r="B2001" i="1"/>
  <c r="E2001" i="1"/>
  <c r="I2001" i="1"/>
  <c r="S2001" i="1"/>
  <c r="B2002" i="1"/>
  <c r="E2002" i="1"/>
  <c r="I2002" i="1"/>
  <c r="S2002" i="1"/>
  <c r="B2003" i="1"/>
  <c r="E2003" i="1"/>
  <c r="I2003" i="1"/>
  <c r="S2003" i="1"/>
  <c r="B2004" i="1"/>
  <c r="E2004" i="1"/>
  <c r="I2004" i="1"/>
  <c r="S2004" i="1"/>
  <c r="B2005" i="1"/>
  <c r="E2005" i="1"/>
  <c r="I2005" i="1"/>
  <c r="S2005" i="1"/>
  <c r="B2006" i="1"/>
  <c r="E2006" i="1"/>
  <c r="I2006" i="1"/>
  <c r="S2006" i="1"/>
  <c r="B2007" i="1"/>
  <c r="E2007" i="1"/>
  <c r="I2007" i="1"/>
  <c r="S2007" i="1"/>
  <c r="B2008" i="1"/>
  <c r="E2008" i="1"/>
  <c r="I2008" i="1"/>
  <c r="S2008" i="1"/>
  <c r="B2009" i="1"/>
  <c r="E2009" i="1"/>
  <c r="I2009" i="1"/>
  <c r="S2009" i="1"/>
  <c r="B2010" i="1"/>
  <c r="E2010" i="1"/>
  <c r="I2010" i="1"/>
  <c r="S2010" i="1"/>
  <c r="B2011" i="1"/>
  <c r="E2011" i="1"/>
  <c r="I2011" i="1"/>
  <c r="S2011" i="1"/>
  <c r="B2012" i="1"/>
  <c r="E2012" i="1"/>
  <c r="I2012" i="1"/>
  <c r="S2012" i="1"/>
  <c r="B2013" i="1"/>
  <c r="E2013" i="1"/>
  <c r="I2013" i="1"/>
  <c r="S2013" i="1"/>
  <c r="B2014" i="1"/>
  <c r="E2014" i="1"/>
  <c r="I2014" i="1"/>
  <c r="S2014" i="1"/>
  <c r="B2015" i="1"/>
  <c r="E2015" i="1"/>
  <c r="I2015" i="1"/>
  <c r="S2015" i="1"/>
  <c r="B2016" i="1"/>
  <c r="E2016" i="1"/>
  <c r="I2016" i="1"/>
  <c r="S2016" i="1"/>
  <c r="B2017" i="1"/>
  <c r="E2017" i="1"/>
  <c r="I2017" i="1"/>
  <c r="S2017" i="1"/>
  <c r="B2018" i="1"/>
  <c r="E2018" i="1"/>
  <c r="I2018" i="1"/>
  <c r="S2018" i="1"/>
  <c r="B2019" i="1"/>
  <c r="E2019" i="1"/>
  <c r="I2019" i="1"/>
  <c r="S2019" i="1"/>
  <c r="B2020" i="1"/>
  <c r="E2020" i="1"/>
  <c r="I2020" i="1"/>
  <c r="S2020" i="1"/>
  <c r="B2021" i="1"/>
  <c r="E2021" i="1"/>
  <c r="I2021" i="1"/>
  <c r="S2021" i="1"/>
  <c r="B2022" i="1"/>
  <c r="E2022" i="1"/>
  <c r="I2022" i="1"/>
  <c r="S2022" i="1"/>
  <c r="B2023" i="1"/>
  <c r="E2023" i="1"/>
  <c r="I2023" i="1"/>
  <c r="S2023" i="1"/>
  <c r="B2024" i="1"/>
  <c r="E2024" i="1"/>
  <c r="I2024" i="1"/>
  <c r="S2024" i="1"/>
  <c r="B2025" i="1"/>
  <c r="E2025" i="1"/>
  <c r="I2025" i="1"/>
  <c r="S2025" i="1"/>
  <c r="B2026" i="1"/>
  <c r="E2026" i="1"/>
  <c r="I2026" i="1"/>
  <c r="S2026" i="1"/>
  <c r="B2027" i="1"/>
  <c r="E2027" i="1"/>
  <c r="I2027" i="1"/>
  <c r="S2027" i="1"/>
  <c r="B2028" i="1"/>
  <c r="E2028" i="1"/>
  <c r="I2028" i="1"/>
  <c r="S2028" i="1"/>
  <c r="B2029" i="1"/>
  <c r="E2029" i="1"/>
  <c r="I2029" i="1"/>
  <c r="S2029" i="1"/>
  <c r="B2030" i="1"/>
  <c r="E2030" i="1"/>
  <c r="I2030" i="1"/>
  <c r="S2030" i="1"/>
  <c r="B2031" i="1"/>
  <c r="E2031" i="1"/>
  <c r="I2031" i="1"/>
  <c r="S2031" i="1"/>
  <c r="B2032" i="1"/>
  <c r="E2032" i="1"/>
  <c r="I2032" i="1"/>
  <c r="S2032" i="1"/>
  <c r="B2033" i="1"/>
  <c r="E2033" i="1"/>
  <c r="I2033" i="1"/>
  <c r="S2033" i="1"/>
  <c r="B2034" i="1"/>
  <c r="E2034" i="1"/>
  <c r="I2034" i="1"/>
  <c r="S2034" i="1"/>
  <c r="B2035" i="1"/>
  <c r="E2035" i="1"/>
  <c r="I2035" i="1"/>
  <c r="S2035" i="1"/>
  <c r="B2036" i="1"/>
  <c r="E2036" i="1"/>
  <c r="I2036" i="1"/>
  <c r="S2036" i="1"/>
  <c r="B2037" i="1"/>
  <c r="E2037" i="1"/>
  <c r="I2037" i="1"/>
  <c r="S2037" i="1"/>
  <c r="B2038" i="1"/>
  <c r="E2038" i="1"/>
  <c r="I2038" i="1"/>
  <c r="S2038" i="1"/>
  <c r="B2039" i="1"/>
  <c r="E2039" i="1"/>
  <c r="I2039" i="1"/>
  <c r="S2039" i="1"/>
  <c r="B2040" i="1"/>
  <c r="E2040" i="1"/>
  <c r="I2040" i="1"/>
  <c r="S2040" i="1"/>
  <c r="B2041" i="1"/>
  <c r="E2041" i="1"/>
  <c r="I2041" i="1"/>
  <c r="S2041" i="1"/>
  <c r="B2042" i="1"/>
  <c r="E2042" i="1"/>
  <c r="I2042" i="1"/>
  <c r="S2042" i="1"/>
  <c r="B2043" i="1"/>
  <c r="E2043" i="1"/>
  <c r="I2043" i="1"/>
  <c r="S2043" i="1"/>
  <c r="B2044" i="1"/>
  <c r="E2044" i="1"/>
  <c r="I2044" i="1"/>
  <c r="S2044" i="1"/>
  <c r="B2045" i="1"/>
  <c r="E2045" i="1"/>
  <c r="I2045" i="1"/>
  <c r="S2045" i="1"/>
  <c r="B2046" i="1"/>
  <c r="E2046" i="1"/>
  <c r="I2046" i="1"/>
  <c r="S2046" i="1"/>
  <c r="B2047" i="1"/>
  <c r="E2047" i="1"/>
  <c r="I2047" i="1"/>
  <c r="S2047" i="1"/>
  <c r="B2048" i="1"/>
  <c r="E2048" i="1"/>
  <c r="I2048" i="1"/>
  <c r="S2048" i="1"/>
  <c r="B2049" i="1"/>
  <c r="E2049" i="1"/>
  <c r="I2049" i="1"/>
  <c r="S2049" i="1"/>
  <c r="B2050" i="1"/>
  <c r="E2050" i="1"/>
  <c r="I2050" i="1"/>
  <c r="S2050" i="1"/>
  <c r="B2051" i="1"/>
  <c r="E2051" i="1"/>
  <c r="I2051" i="1"/>
  <c r="S2051" i="1"/>
  <c r="B2052" i="1"/>
  <c r="E2052" i="1"/>
  <c r="I2052" i="1"/>
  <c r="S2052" i="1"/>
  <c r="B2053" i="1"/>
  <c r="E2053" i="1"/>
  <c r="I2053" i="1"/>
  <c r="S2053" i="1"/>
  <c r="B2054" i="1"/>
  <c r="E2054" i="1"/>
  <c r="I2054" i="1"/>
  <c r="S2054" i="1"/>
  <c r="B2055" i="1"/>
  <c r="E2055" i="1"/>
  <c r="I2055" i="1"/>
  <c r="S2055" i="1"/>
  <c r="B2056" i="1"/>
  <c r="E2056" i="1"/>
  <c r="I2056" i="1"/>
  <c r="S2056" i="1"/>
  <c r="B2057" i="1"/>
  <c r="E2057" i="1"/>
  <c r="I2057" i="1"/>
  <c r="S2057" i="1"/>
  <c r="B2058" i="1"/>
  <c r="E2058" i="1"/>
  <c r="I2058" i="1"/>
  <c r="S2058" i="1"/>
  <c r="B2059" i="1"/>
  <c r="E2059" i="1"/>
  <c r="I2059" i="1"/>
  <c r="S2059" i="1"/>
  <c r="B2060" i="1"/>
  <c r="E2060" i="1"/>
  <c r="I2060" i="1"/>
  <c r="S2060" i="1"/>
  <c r="B2061" i="1"/>
  <c r="E2061" i="1"/>
  <c r="I2061" i="1"/>
  <c r="S2061" i="1"/>
  <c r="B2062" i="1"/>
  <c r="E2062" i="1"/>
  <c r="I2062" i="1"/>
  <c r="S2062" i="1"/>
  <c r="B2063" i="1"/>
  <c r="E2063" i="1"/>
  <c r="I2063" i="1"/>
  <c r="S2063" i="1"/>
  <c r="B2064" i="1"/>
  <c r="E2064" i="1"/>
  <c r="I2064" i="1"/>
  <c r="S2064" i="1"/>
  <c r="B2065" i="1"/>
  <c r="E2065" i="1"/>
  <c r="I2065" i="1"/>
  <c r="S2065" i="1"/>
  <c r="B2066" i="1"/>
  <c r="E2066" i="1"/>
  <c r="I2066" i="1"/>
  <c r="S2066" i="1"/>
  <c r="B2067" i="1"/>
  <c r="E2067" i="1"/>
  <c r="I2067" i="1"/>
  <c r="S2067" i="1"/>
  <c r="B2068" i="1"/>
  <c r="E2068" i="1"/>
  <c r="I2068" i="1"/>
  <c r="S2068" i="1"/>
  <c r="B2069" i="1"/>
  <c r="E2069" i="1"/>
  <c r="I2069" i="1"/>
  <c r="S2069" i="1"/>
  <c r="B2070" i="1"/>
  <c r="E2070" i="1"/>
  <c r="I2070" i="1"/>
  <c r="S2070" i="1"/>
  <c r="B2071" i="1"/>
  <c r="E2071" i="1"/>
  <c r="I2071" i="1"/>
  <c r="S2071" i="1"/>
  <c r="B2072" i="1"/>
  <c r="E2072" i="1"/>
  <c r="I2072" i="1"/>
  <c r="S2072" i="1"/>
  <c r="B2073" i="1"/>
  <c r="E2073" i="1"/>
  <c r="I2073" i="1"/>
  <c r="S2073" i="1"/>
  <c r="B2074" i="1"/>
  <c r="E2074" i="1"/>
  <c r="I2074" i="1"/>
  <c r="S2074" i="1"/>
  <c r="B2075" i="1"/>
  <c r="E2075" i="1"/>
  <c r="I2075" i="1"/>
  <c r="S2075" i="1"/>
  <c r="B2076" i="1"/>
  <c r="E2076" i="1"/>
  <c r="I2076" i="1"/>
  <c r="S2076" i="1"/>
  <c r="B2077" i="1"/>
  <c r="E2077" i="1"/>
  <c r="I2077" i="1"/>
  <c r="S2077" i="1"/>
  <c r="B2078" i="1"/>
  <c r="E2078" i="1"/>
  <c r="I2078" i="1"/>
  <c r="S2078" i="1"/>
  <c r="B2079" i="1"/>
  <c r="E2079" i="1"/>
  <c r="I2079" i="1"/>
  <c r="S2079" i="1"/>
  <c r="B2080" i="1"/>
  <c r="E2080" i="1"/>
  <c r="I2080" i="1"/>
  <c r="B2081" i="1"/>
  <c r="E2081" i="1"/>
  <c r="I2081" i="1"/>
  <c r="S2081" i="1"/>
  <c r="B2082" i="1"/>
  <c r="E2082" i="1"/>
  <c r="I2082" i="1"/>
  <c r="S2082" i="1"/>
  <c r="B2083" i="1"/>
  <c r="E2083" i="1"/>
  <c r="I2083" i="1"/>
  <c r="S2083" i="1"/>
  <c r="B2084" i="1"/>
  <c r="E2084" i="1"/>
  <c r="I2084" i="1"/>
  <c r="S2084" i="1"/>
  <c r="B2085" i="1"/>
  <c r="E2085" i="1"/>
  <c r="I2085" i="1"/>
  <c r="S2085" i="1"/>
  <c r="B2086" i="1"/>
  <c r="E2086" i="1"/>
  <c r="I2086" i="1"/>
  <c r="S2086" i="1"/>
  <c r="B2087" i="1"/>
  <c r="E2087" i="1"/>
  <c r="I2087" i="1"/>
  <c r="S2087" i="1"/>
  <c r="B2088" i="1"/>
  <c r="E2088" i="1"/>
  <c r="I2088" i="1"/>
  <c r="S2088" i="1"/>
  <c r="B2089" i="1"/>
  <c r="E2089" i="1"/>
  <c r="I2089" i="1"/>
  <c r="S2089" i="1"/>
  <c r="B2090" i="1"/>
  <c r="E2090" i="1"/>
  <c r="I2090" i="1"/>
  <c r="S2090" i="1"/>
  <c r="B2091" i="1"/>
  <c r="E2091" i="1"/>
  <c r="I2091" i="1"/>
  <c r="S2091" i="1"/>
  <c r="B2092" i="1"/>
  <c r="E2092" i="1"/>
  <c r="I2092" i="1"/>
  <c r="S2092" i="1"/>
  <c r="B2093" i="1"/>
  <c r="E2093" i="1"/>
  <c r="I2093" i="1"/>
  <c r="S2093" i="1"/>
  <c r="B2094" i="1"/>
  <c r="E2094" i="1"/>
  <c r="I2094" i="1"/>
  <c r="S2094" i="1"/>
  <c r="B2095" i="1"/>
  <c r="E2095" i="1"/>
  <c r="I2095" i="1"/>
  <c r="S2095" i="1"/>
  <c r="B2096" i="1"/>
  <c r="E2096" i="1"/>
  <c r="I2096" i="1"/>
  <c r="S2096" i="1"/>
  <c r="B2097" i="1"/>
  <c r="E2097" i="1"/>
  <c r="I2097" i="1"/>
  <c r="S2097" i="1"/>
  <c r="B2098" i="1"/>
  <c r="E2098" i="1"/>
  <c r="I2098" i="1"/>
  <c r="S2098" i="1"/>
  <c r="B2099" i="1"/>
  <c r="E2099" i="1"/>
  <c r="I2099" i="1"/>
  <c r="S2099" i="1"/>
  <c r="B2100" i="1"/>
  <c r="E2100" i="1"/>
  <c r="I2100" i="1"/>
  <c r="B2101" i="1"/>
  <c r="E2101" i="1"/>
  <c r="I2101" i="1"/>
  <c r="S2101" i="1"/>
  <c r="B2102" i="1"/>
  <c r="E2102" i="1"/>
  <c r="I2102" i="1"/>
  <c r="S2102" i="1"/>
  <c r="B2103" i="1"/>
  <c r="E2103" i="1"/>
  <c r="I2103" i="1"/>
  <c r="S2103" i="1"/>
  <c r="B2104" i="1"/>
  <c r="E2104" i="1"/>
  <c r="I2104" i="1"/>
  <c r="S2104" i="1"/>
  <c r="B2105" i="1"/>
  <c r="E2105" i="1"/>
  <c r="I2105" i="1"/>
  <c r="S2105" i="1"/>
  <c r="B2106" i="1"/>
  <c r="E2106" i="1"/>
  <c r="I2106" i="1"/>
  <c r="S2106" i="1"/>
  <c r="B2107" i="1"/>
  <c r="E2107" i="1"/>
  <c r="I2107" i="1"/>
  <c r="S2107" i="1"/>
  <c r="B2108" i="1"/>
  <c r="E2108" i="1"/>
  <c r="I2108" i="1"/>
  <c r="S2108" i="1"/>
  <c r="B2109" i="1"/>
  <c r="E2109" i="1"/>
  <c r="I2109" i="1"/>
  <c r="S2109" i="1"/>
  <c r="B2110" i="1"/>
  <c r="E2110" i="1"/>
  <c r="I2110" i="1"/>
  <c r="S2110" i="1"/>
  <c r="B2111" i="1"/>
  <c r="E2111" i="1"/>
  <c r="I2111" i="1"/>
  <c r="S2111" i="1"/>
  <c r="B2112" i="1"/>
  <c r="E2112" i="1"/>
  <c r="I2112" i="1"/>
  <c r="S2112" i="1"/>
  <c r="B2113" i="1"/>
  <c r="E2113" i="1"/>
  <c r="I2113" i="1"/>
  <c r="S2113" i="1"/>
  <c r="B2114" i="1"/>
  <c r="E2114" i="1"/>
  <c r="I2114" i="1"/>
  <c r="S2114" i="1"/>
  <c r="B2115" i="1"/>
  <c r="E2115" i="1"/>
  <c r="I2115" i="1"/>
  <c r="S2115" i="1"/>
  <c r="B2116" i="1"/>
  <c r="E2116" i="1"/>
  <c r="I2116" i="1"/>
  <c r="S2116" i="1"/>
  <c r="B2117" i="1"/>
  <c r="E2117" i="1"/>
  <c r="I2117" i="1"/>
  <c r="S2117" i="1"/>
  <c r="B2118" i="1"/>
  <c r="E2118" i="1"/>
  <c r="I2118" i="1"/>
  <c r="S2118" i="1"/>
  <c r="B2119" i="1"/>
  <c r="E2119" i="1"/>
  <c r="I2119" i="1"/>
  <c r="S2119" i="1"/>
  <c r="B2120" i="1"/>
  <c r="E2120" i="1"/>
  <c r="I2120" i="1"/>
  <c r="S2120" i="1"/>
  <c r="B2121" i="1"/>
  <c r="E2121" i="1"/>
  <c r="I2121" i="1"/>
  <c r="S2121" i="1"/>
  <c r="B2122" i="1"/>
  <c r="E2122" i="1"/>
  <c r="I2122" i="1"/>
  <c r="S2122" i="1"/>
  <c r="B2123" i="1"/>
  <c r="E2123" i="1"/>
  <c r="I2123" i="1"/>
  <c r="S2123" i="1"/>
  <c r="B2124" i="1"/>
  <c r="E2124" i="1"/>
  <c r="I2124" i="1"/>
  <c r="S2124" i="1"/>
  <c r="B2125" i="1"/>
  <c r="E2125" i="1"/>
  <c r="I2125" i="1"/>
  <c r="S2125" i="1"/>
  <c r="B2126" i="1"/>
  <c r="E2126" i="1"/>
  <c r="I2126" i="1"/>
  <c r="S2126" i="1"/>
  <c r="B2127" i="1"/>
  <c r="E2127" i="1"/>
  <c r="I2127" i="1"/>
  <c r="S2127" i="1"/>
  <c r="B2128" i="1"/>
  <c r="E2128" i="1"/>
  <c r="I2128" i="1"/>
  <c r="S2128" i="1"/>
  <c r="B2129" i="1"/>
  <c r="E2129" i="1"/>
  <c r="I2129" i="1"/>
  <c r="S2129" i="1"/>
  <c r="B2130" i="1"/>
  <c r="E2130" i="1"/>
  <c r="I2130" i="1"/>
  <c r="S2130" i="1"/>
  <c r="B2131" i="1"/>
  <c r="E2131" i="1"/>
  <c r="I2131" i="1"/>
  <c r="S2131" i="1"/>
  <c r="B2132" i="1"/>
  <c r="E2132" i="1"/>
  <c r="I2132" i="1"/>
  <c r="S2132" i="1"/>
  <c r="B2133" i="1"/>
  <c r="E2133" i="1"/>
  <c r="I2133" i="1"/>
  <c r="S2133" i="1"/>
  <c r="B2134" i="1"/>
  <c r="E2134" i="1"/>
  <c r="I2134" i="1"/>
  <c r="S2134" i="1"/>
  <c r="B2135" i="1"/>
  <c r="E2135" i="1"/>
  <c r="I2135" i="1"/>
  <c r="S2135" i="1"/>
  <c r="B2136" i="1"/>
  <c r="E2136" i="1"/>
  <c r="I2136" i="1"/>
  <c r="B2137" i="1"/>
  <c r="E2137" i="1"/>
  <c r="I2137" i="1"/>
  <c r="S2137" i="1"/>
  <c r="B2138" i="1"/>
  <c r="E2138" i="1"/>
  <c r="I2138" i="1"/>
  <c r="S2138" i="1"/>
  <c r="B2139" i="1"/>
  <c r="E2139" i="1"/>
  <c r="I2139" i="1"/>
  <c r="S2139" i="1"/>
  <c r="B2140" i="1"/>
  <c r="E2140" i="1"/>
  <c r="I2140" i="1"/>
  <c r="S2140" i="1"/>
  <c r="B2141" i="1"/>
  <c r="E2141" i="1"/>
  <c r="I2141" i="1"/>
  <c r="S2141" i="1"/>
  <c r="B2142" i="1"/>
  <c r="E2142" i="1"/>
  <c r="I2142" i="1"/>
  <c r="S2142" i="1"/>
  <c r="B2143" i="1"/>
  <c r="E2143" i="1"/>
  <c r="I2143" i="1"/>
  <c r="S2143" i="1"/>
  <c r="B2144" i="1"/>
  <c r="E2144" i="1"/>
  <c r="I2144" i="1"/>
  <c r="S2144" i="1"/>
  <c r="B2145" i="1"/>
  <c r="E2145" i="1"/>
  <c r="I2145" i="1"/>
  <c r="S2145" i="1"/>
  <c r="B2146" i="1"/>
  <c r="E2146" i="1"/>
  <c r="I2146" i="1"/>
  <c r="S2146" i="1"/>
  <c r="B2147" i="1"/>
  <c r="E2147" i="1"/>
  <c r="I2147" i="1"/>
  <c r="S2147" i="1"/>
  <c r="B2148" i="1"/>
  <c r="E2148" i="1"/>
  <c r="I2148" i="1"/>
  <c r="S2148" i="1"/>
  <c r="B2149" i="1"/>
  <c r="E2149" i="1"/>
  <c r="I2149" i="1"/>
  <c r="S2149" i="1"/>
  <c r="B2150" i="1"/>
  <c r="E2150" i="1"/>
  <c r="I2150" i="1"/>
  <c r="S2150" i="1"/>
  <c r="B2151" i="1"/>
  <c r="E2151" i="1"/>
  <c r="I2151" i="1"/>
  <c r="S2151" i="1"/>
  <c r="B2152" i="1"/>
  <c r="E2152" i="1"/>
  <c r="I2152" i="1"/>
  <c r="S2152" i="1"/>
  <c r="B2153" i="1"/>
  <c r="E2153" i="1"/>
  <c r="I2153" i="1"/>
  <c r="S2153" i="1"/>
  <c r="B2154" i="1"/>
  <c r="E2154" i="1"/>
  <c r="I2154" i="1"/>
  <c r="S2154" i="1"/>
  <c r="B2155" i="1"/>
  <c r="E2155" i="1"/>
  <c r="I2155" i="1"/>
  <c r="S2155" i="1"/>
  <c r="B2156" i="1"/>
  <c r="E2156" i="1"/>
  <c r="I2156" i="1"/>
  <c r="S2156" i="1"/>
  <c r="B2157" i="1"/>
  <c r="E2157" i="1"/>
  <c r="I2157" i="1"/>
  <c r="S2157" i="1"/>
  <c r="B2158" i="1"/>
  <c r="E2158" i="1"/>
  <c r="I2158" i="1"/>
  <c r="S2158" i="1"/>
  <c r="B2159" i="1"/>
  <c r="E2159" i="1"/>
  <c r="I2159" i="1"/>
  <c r="S2159" i="1"/>
  <c r="B2160" i="1"/>
  <c r="E2160" i="1"/>
  <c r="I2160" i="1"/>
  <c r="S2160" i="1"/>
  <c r="B2161" i="1"/>
  <c r="E2161" i="1"/>
  <c r="I2161" i="1"/>
  <c r="S2161" i="1"/>
  <c r="B2162" i="1"/>
  <c r="E2162" i="1"/>
  <c r="I2162" i="1"/>
  <c r="S2162" i="1"/>
  <c r="B2163" i="1"/>
  <c r="E2163" i="1"/>
  <c r="I2163" i="1"/>
  <c r="S2163" i="1"/>
  <c r="B2164" i="1"/>
  <c r="E2164" i="1"/>
  <c r="I2164" i="1"/>
  <c r="S2164" i="1"/>
  <c r="B2165" i="1"/>
  <c r="E2165" i="1"/>
  <c r="I2165" i="1"/>
  <c r="S2165" i="1"/>
  <c r="B2166" i="1"/>
  <c r="E2166" i="1"/>
  <c r="I2166" i="1"/>
  <c r="S2166" i="1"/>
  <c r="B2167" i="1"/>
  <c r="E2167" i="1"/>
  <c r="I2167" i="1"/>
  <c r="S2167" i="1"/>
  <c r="B2168" i="1"/>
  <c r="E2168" i="1"/>
  <c r="I2168" i="1"/>
  <c r="B2169" i="1"/>
  <c r="E2169" i="1"/>
  <c r="I2169" i="1"/>
  <c r="S2169" i="1"/>
  <c r="B2170" i="1"/>
  <c r="E2170" i="1"/>
  <c r="I2170" i="1"/>
  <c r="S2170" i="1"/>
  <c r="B2171" i="1"/>
  <c r="E2171" i="1"/>
  <c r="I2171" i="1"/>
  <c r="S2171" i="1"/>
  <c r="B2172" i="1"/>
  <c r="E2172" i="1"/>
  <c r="I2172" i="1"/>
  <c r="S2172" i="1"/>
  <c r="B2173" i="1"/>
  <c r="E2173" i="1"/>
  <c r="I2173" i="1"/>
  <c r="S2173" i="1"/>
  <c r="B2174" i="1"/>
  <c r="E2174" i="1"/>
  <c r="I2174" i="1"/>
  <c r="S2174" i="1"/>
  <c r="B2175" i="1"/>
  <c r="E2175" i="1"/>
  <c r="I2175" i="1"/>
  <c r="S2175" i="1"/>
  <c r="B2176" i="1"/>
  <c r="E2176" i="1"/>
  <c r="I2176" i="1"/>
  <c r="S2176" i="1"/>
  <c r="B2177" i="1"/>
  <c r="E2177" i="1"/>
  <c r="I2177" i="1"/>
  <c r="S2177" i="1"/>
  <c r="B2178" i="1"/>
  <c r="E2178" i="1"/>
  <c r="I2178" i="1"/>
  <c r="S2178" i="1"/>
  <c r="B2179" i="1"/>
  <c r="E2179" i="1"/>
  <c r="I2179" i="1"/>
  <c r="S2179" i="1"/>
  <c r="B2180" i="1"/>
  <c r="E2180" i="1"/>
  <c r="I2180" i="1"/>
  <c r="S2180" i="1"/>
  <c r="B2181" i="1"/>
  <c r="E2181" i="1"/>
  <c r="I2181" i="1"/>
  <c r="S2181" i="1"/>
  <c r="B2182" i="1"/>
  <c r="E2182" i="1"/>
  <c r="I2182" i="1"/>
  <c r="S2182" i="1"/>
  <c r="B2183" i="1"/>
  <c r="E2183" i="1"/>
  <c r="I2183" i="1"/>
  <c r="S2183" i="1"/>
  <c r="B2184" i="1"/>
  <c r="E2184" i="1"/>
  <c r="I2184" i="1"/>
  <c r="S2184" i="1"/>
  <c r="B2185" i="1"/>
  <c r="E2185" i="1"/>
  <c r="I2185" i="1"/>
  <c r="S2185" i="1"/>
  <c r="B2186" i="1"/>
  <c r="E2186" i="1"/>
  <c r="I2186" i="1"/>
  <c r="S2186" i="1"/>
  <c r="B2187" i="1"/>
  <c r="E2187" i="1"/>
  <c r="I2187" i="1"/>
  <c r="S2187" i="1"/>
  <c r="B2188" i="1"/>
  <c r="E2188" i="1"/>
  <c r="I2188" i="1"/>
  <c r="S2188" i="1"/>
  <c r="B2189" i="1"/>
  <c r="E2189" i="1"/>
  <c r="I2189" i="1"/>
  <c r="S2189" i="1"/>
  <c r="B2190" i="1"/>
  <c r="E2190" i="1"/>
  <c r="I2190" i="1"/>
  <c r="S2190" i="1"/>
  <c r="B2191" i="1"/>
  <c r="E2191" i="1"/>
  <c r="I2191" i="1"/>
  <c r="S2191" i="1"/>
  <c r="B2192" i="1"/>
  <c r="E2192" i="1"/>
  <c r="I2192" i="1"/>
  <c r="S2192" i="1"/>
  <c r="B2193" i="1"/>
  <c r="E2193" i="1"/>
  <c r="I2193" i="1"/>
  <c r="S2193" i="1"/>
  <c r="B2194" i="1"/>
  <c r="E2194" i="1"/>
  <c r="I2194" i="1"/>
  <c r="S2194" i="1"/>
  <c r="B2195" i="1"/>
  <c r="E2195" i="1"/>
  <c r="I2195" i="1"/>
  <c r="S2195" i="1"/>
  <c r="B2196" i="1"/>
  <c r="E2196" i="1"/>
  <c r="I2196" i="1"/>
  <c r="S2196" i="1"/>
  <c r="B2197" i="1"/>
  <c r="E2197" i="1"/>
  <c r="I2197" i="1"/>
  <c r="S2197" i="1"/>
  <c r="B2198" i="1"/>
  <c r="E2198" i="1"/>
  <c r="I2198" i="1"/>
  <c r="S2198" i="1"/>
  <c r="B2199" i="1"/>
  <c r="E2199" i="1"/>
  <c r="I2199" i="1"/>
  <c r="S2199" i="1"/>
  <c r="B2200" i="1"/>
  <c r="E2200" i="1"/>
  <c r="I2200" i="1"/>
  <c r="S2200" i="1"/>
  <c r="B2201" i="1"/>
  <c r="E2201" i="1"/>
  <c r="I2201" i="1"/>
  <c r="S2201" i="1"/>
  <c r="B2202" i="1"/>
  <c r="E2202" i="1"/>
  <c r="I2202" i="1"/>
  <c r="S2202" i="1"/>
  <c r="B2203" i="1"/>
  <c r="E2203" i="1"/>
  <c r="I2203" i="1"/>
  <c r="S2203" i="1"/>
  <c r="B2204" i="1"/>
  <c r="E2204" i="1"/>
  <c r="I2204" i="1"/>
  <c r="S2204" i="1"/>
  <c r="B2205" i="1"/>
  <c r="E2205" i="1"/>
  <c r="I2205" i="1"/>
  <c r="S2205" i="1"/>
  <c r="B2206" i="1"/>
  <c r="E2206" i="1"/>
  <c r="I2206" i="1"/>
  <c r="S2206" i="1"/>
  <c r="B2207" i="1"/>
  <c r="E2207" i="1"/>
  <c r="I2207" i="1"/>
  <c r="S2207" i="1"/>
  <c r="B2208" i="1"/>
  <c r="E2208" i="1"/>
  <c r="I2208" i="1"/>
  <c r="S2208" i="1"/>
  <c r="B2209" i="1"/>
  <c r="E2209" i="1"/>
  <c r="I2209" i="1"/>
  <c r="S2209" i="1"/>
  <c r="B2210" i="1"/>
  <c r="E2210" i="1"/>
  <c r="I2210" i="1"/>
  <c r="S2210" i="1"/>
  <c r="B2211" i="1"/>
  <c r="E2211" i="1"/>
  <c r="I2211" i="1"/>
  <c r="S2211" i="1"/>
  <c r="B2212" i="1"/>
  <c r="E2212" i="1"/>
  <c r="I2212" i="1"/>
  <c r="S2212" i="1"/>
  <c r="B2213" i="1"/>
  <c r="E2213" i="1"/>
  <c r="I2213" i="1"/>
  <c r="S2213" i="1"/>
  <c r="B2214" i="1"/>
  <c r="E2214" i="1"/>
  <c r="I2214" i="1"/>
  <c r="S2214" i="1"/>
  <c r="B2215" i="1"/>
  <c r="E2215" i="1"/>
  <c r="I2215" i="1"/>
  <c r="S2215" i="1"/>
  <c r="B2216" i="1"/>
  <c r="E2216" i="1"/>
  <c r="I2216" i="1"/>
  <c r="S2216" i="1"/>
  <c r="B2217" i="1"/>
  <c r="E2217" i="1"/>
  <c r="I2217" i="1"/>
  <c r="S2217" i="1"/>
  <c r="B2218" i="1"/>
  <c r="E2218" i="1"/>
  <c r="I2218" i="1"/>
  <c r="S2218" i="1"/>
  <c r="B2219" i="1"/>
  <c r="E2219" i="1"/>
  <c r="I2219" i="1"/>
  <c r="S2219" i="1"/>
  <c r="B2220" i="1"/>
  <c r="E2220" i="1"/>
  <c r="I2220" i="1"/>
  <c r="S2220" i="1"/>
  <c r="B2221" i="1"/>
  <c r="E2221" i="1"/>
  <c r="I2221" i="1"/>
  <c r="S2221" i="1"/>
  <c r="B2222" i="1"/>
  <c r="E2222" i="1"/>
  <c r="I2222" i="1"/>
  <c r="S2222" i="1"/>
  <c r="B2223" i="1"/>
  <c r="E2223" i="1"/>
  <c r="I2223" i="1"/>
  <c r="S2223" i="1"/>
  <c r="B2224" i="1"/>
  <c r="E2224" i="1"/>
  <c r="I2224" i="1"/>
  <c r="S2224" i="1"/>
  <c r="B2225" i="1"/>
  <c r="E2225" i="1"/>
  <c r="I2225" i="1"/>
  <c r="S2225" i="1"/>
  <c r="B2226" i="1"/>
  <c r="E2226" i="1"/>
  <c r="I2226" i="1"/>
  <c r="S2226" i="1"/>
  <c r="B2227" i="1"/>
  <c r="E2227" i="1"/>
  <c r="I2227" i="1"/>
  <c r="S2227" i="1"/>
  <c r="B2228" i="1"/>
  <c r="E2228" i="1"/>
  <c r="I2228" i="1"/>
  <c r="S2228" i="1"/>
  <c r="B2229" i="1"/>
  <c r="E2229" i="1"/>
  <c r="I2229" i="1"/>
  <c r="S2229" i="1"/>
  <c r="B2230" i="1"/>
  <c r="E2230" i="1"/>
  <c r="I2230" i="1"/>
  <c r="S2230" i="1"/>
  <c r="B2231" i="1"/>
  <c r="E2231" i="1"/>
  <c r="I2231" i="1"/>
  <c r="S2231" i="1"/>
  <c r="B2232" i="1"/>
  <c r="E2232" i="1"/>
  <c r="I2232" i="1"/>
  <c r="S2232" i="1"/>
  <c r="B2233" i="1"/>
  <c r="E2233" i="1"/>
  <c r="I2233" i="1"/>
  <c r="S2233" i="1"/>
  <c r="B2234" i="1"/>
  <c r="E2234" i="1"/>
  <c r="I2234" i="1"/>
  <c r="S2234" i="1"/>
  <c r="B2235" i="1"/>
  <c r="E2235" i="1"/>
  <c r="I2235" i="1"/>
  <c r="S2235" i="1"/>
  <c r="B2236" i="1"/>
  <c r="E2236" i="1"/>
  <c r="I2236" i="1"/>
  <c r="S2236" i="1"/>
  <c r="B2237" i="1"/>
  <c r="E2237" i="1"/>
  <c r="I2237" i="1"/>
  <c r="S2237" i="1"/>
  <c r="B2238" i="1"/>
  <c r="E2238" i="1"/>
  <c r="I2238" i="1"/>
  <c r="S2238" i="1"/>
  <c r="B2239" i="1"/>
  <c r="E2239" i="1"/>
  <c r="I2239" i="1"/>
  <c r="S2239" i="1"/>
  <c r="B2240" i="1"/>
  <c r="E2240" i="1"/>
  <c r="I2240" i="1"/>
  <c r="S2240" i="1"/>
  <c r="B2241" i="1"/>
  <c r="E2241" i="1"/>
  <c r="I2241" i="1"/>
  <c r="S2241" i="1"/>
  <c r="B2242" i="1"/>
  <c r="E2242" i="1"/>
  <c r="I2242" i="1"/>
  <c r="S2242" i="1"/>
  <c r="B2243" i="1"/>
  <c r="E2243" i="1"/>
  <c r="I2243" i="1"/>
  <c r="S2243" i="1"/>
  <c r="B2244" i="1"/>
  <c r="E2244" i="1"/>
  <c r="I2244" i="1"/>
  <c r="S2244" i="1"/>
  <c r="B2245" i="1"/>
  <c r="E2245" i="1"/>
  <c r="I2245" i="1"/>
  <c r="S2245" i="1"/>
  <c r="B2246" i="1"/>
  <c r="E2246" i="1"/>
  <c r="I2246" i="1"/>
  <c r="S2246" i="1"/>
  <c r="B2247" i="1"/>
  <c r="E2247" i="1"/>
  <c r="I2247" i="1"/>
  <c r="S2247" i="1"/>
  <c r="B2248" i="1"/>
  <c r="E2248" i="1"/>
  <c r="I2248" i="1"/>
  <c r="S2248" i="1"/>
  <c r="B2249" i="1"/>
  <c r="E2249" i="1"/>
  <c r="I2249" i="1"/>
  <c r="S2249" i="1"/>
  <c r="B2250" i="1"/>
  <c r="E2250" i="1"/>
  <c r="I2250" i="1"/>
  <c r="S2250" i="1"/>
  <c r="B2251" i="1"/>
  <c r="E2251" i="1"/>
  <c r="I2251" i="1"/>
  <c r="S2251" i="1"/>
  <c r="B2252" i="1"/>
  <c r="E2252" i="1"/>
  <c r="I2252" i="1"/>
  <c r="S2252" i="1"/>
  <c r="B2253" i="1"/>
  <c r="E2253" i="1"/>
  <c r="I2253" i="1"/>
  <c r="S2253" i="1"/>
  <c r="B2254" i="1"/>
  <c r="E2254" i="1"/>
  <c r="I2254" i="1"/>
  <c r="S2254" i="1"/>
  <c r="B2255" i="1"/>
  <c r="E2255" i="1"/>
  <c r="I2255" i="1"/>
  <c r="S2255" i="1"/>
  <c r="B2256" i="1"/>
  <c r="E2256" i="1"/>
  <c r="I2256" i="1"/>
  <c r="S2256" i="1"/>
  <c r="B2257" i="1"/>
  <c r="E2257" i="1"/>
  <c r="I2257" i="1"/>
  <c r="S2257" i="1"/>
  <c r="B2258" i="1"/>
  <c r="E2258" i="1"/>
  <c r="I2258" i="1"/>
  <c r="S2258" i="1"/>
  <c r="B2259" i="1"/>
  <c r="E2259" i="1"/>
  <c r="I2259" i="1"/>
  <c r="S2259" i="1"/>
  <c r="B2260" i="1"/>
  <c r="E2260" i="1"/>
  <c r="I2260" i="1"/>
  <c r="S2260" i="1"/>
  <c r="B2261" i="1"/>
  <c r="E2261" i="1"/>
  <c r="I2261" i="1"/>
  <c r="S2261" i="1"/>
  <c r="B2262" i="1"/>
  <c r="E2262" i="1"/>
  <c r="I2262" i="1"/>
  <c r="S2262" i="1"/>
  <c r="B2263" i="1"/>
  <c r="E2263" i="1"/>
  <c r="I2263" i="1"/>
  <c r="S2263" i="1"/>
  <c r="B2264" i="1"/>
  <c r="E2264" i="1"/>
  <c r="I2264" i="1"/>
  <c r="S2264" i="1"/>
  <c r="B2265" i="1"/>
  <c r="E2265" i="1"/>
  <c r="I2265" i="1"/>
  <c r="S2265" i="1"/>
  <c r="B2266" i="1"/>
  <c r="E2266" i="1"/>
  <c r="I2266" i="1"/>
  <c r="S2266" i="1"/>
  <c r="B2267" i="1"/>
  <c r="E2267" i="1"/>
  <c r="I2267" i="1"/>
  <c r="S2267" i="1"/>
  <c r="B2268" i="1"/>
  <c r="E2268" i="1"/>
  <c r="I2268" i="1"/>
  <c r="S2268" i="1"/>
  <c r="B2269" i="1"/>
  <c r="E2269" i="1"/>
  <c r="I2269" i="1"/>
  <c r="S2269" i="1"/>
  <c r="B2270" i="1"/>
  <c r="E2270" i="1"/>
  <c r="I2270" i="1"/>
  <c r="S2270" i="1"/>
  <c r="B2271" i="1"/>
  <c r="E2271" i="1"/>
  <c r="I2271" i="1"/>
  <c r="S2271" i="1"/>
  <c r="B2272" i="1"/>
  <c r="E2272" i="1"/>
  <c r="I2272" i="1"/>
  <c r="S2272" i="1"/>
  <c r="B2273" i="1"/>
  <c r="E2273" i="1"/>
  <c r="I2273" i="1"/>
  <c r="S2273" i="1"/>
  <c r="B2274" i="1"/>
  <c r="E2274" i="1"/>
  <c r="I2274" i="1"/>
  <c r="S2274" i="1"/>
  <c r="B2275" i="1"/>
  <c r="E2275" i="1"/>
  <c r="I2275" i="1"/>
  <c r="S2275" i="1"/>
  <c r="B2276" i="1"/>
  <c r="E2276" i="1"/>
  <c r="I2276" i="1"/>
  <c r="S2276" i="1"/>
  <c r="B2277" i="1"/>
  <c r="E2277" i="1"/>
  <c r="I2277" i="1"/>
  <c r="S2277" i="1"/>
  <c r="B2278" i="1"/>
  <c r="E2278" i="1"/>
  <c r="I2278" i="1"/>
  <c r="S2278" i="1"/>
  <c r="B2279" i="1"/>
  <c r="E2279" i="1"/>
  <c r="I2279" i="1"/>
  <c r="S2279" i="1"/>
  <c r="B2280" i="1"/>
  <c r="E2280" i="1"/>
  <c r="I2280" i="1"/>
  <c r="S2280" i="1"/>
  <c r="B2281" i="1"/>
  <c r="E2281" i="1"/>
  <c r="I2281" i="1"/>
  <c r="S2281" i="1"/>
  <c r="B2282" i="1"/>
  <c r="E2282" i="1"/>
  <c r="I2282" i="1"/>
  <c r="S2282" i="1"/>
  <c r="B2283" i="1"/>
  <c r="E2283" i="1"/>
  <c r="I2283" i="1"/>
  <c r="S2283" i="1"/>
  <c r="B2284" i="1"/>
  <c r="E2284" i="1"/>
  <c r="I2284" i="1"/>
  <c r="S2284" i="1"/>
  <c r="B2285" i="1"/>
  <c r="E2285" i="1"/>
  <c r="I2285" i="1"/>
  <c r="S2285" i="1"/>
  <c r="B2286" i="1"/>
  <c r="E2286" i="1"/>
  <c r="I2286" i="1"/>
  <c r="S2286" i="1"/>
  <c r="B2287" i="1"/>
  <c r="E2287" i="1"/>
  <c r="I2287" i="1"/>
  <c r="S2287" i="1"/>
  <c r="B2288" i="1"/>
  <c r="E2288" i="1"/>
  <c r="I2288" i="1"/>
  <c r="B2289" i="1"/>
  <c r="E2289" i="1"/>
  <c r="I2289" i="1"/>
  <c r="S2289" i="1"/>
  <c r="B2290" i="1"/>
  <c r="E2290" i="1"/>
  <c r="I2290" i="1"/>
  <c r="S2290" i="1"/>
  <c r="B2291" i="1"/>
  <c r="E2291" i="1"/>
  <c r="I2291" i="1"/>
  <c r="S2291" i="1"/>
  <c r="B2292" i="1"/>
  <c r="E2292" i="1"/>
  <c r="I2292" i="1"/>
  <c r="S2292" i="1"/>
  <c r="B2293" i="1"/>
  <c r="E2293" i="1"/>
  <c r="I2293" i="1"/>
  <c r="S2293" i="1"/>
  <c r="B2294" i="1"/>
  <c r="E2294" i="1"/>
  <c r="I2294" i="1"/>
  <c r="S2294" i="1"/>
  <c r="B2295" i="1"/>
  <c r="E2295" i="1"/>
  <c r="I2295" i="1"/>
  <c r="S2295" i="1"/>
  <c r="B2296" i="1"/>
  <c r="E2296" i="1"/>
  <c r="I2296" i="1"/>
  <c r="S2296" i="1"/>
  <c r="B2297" i="1"/>
  <c r="E2297" i="1"/>
  <c r="I2297" i="1"/>
  <c r="S2297" i="1"/>
  <c r="B2298" i="1"/>
  <c r="E2298" i="1"/>
  <c r="I2298" i="1"/>
  <c r="S2298" i="1"/>
  <c r="B2299" i="1"/>
  <c r="E2299" i="1"/>
  <c r="I2299" i="1"/>
  <c r="S2299" i="1"/>
  <c r="B2300" i="1"/>
  <c r="E2300" i="1"/>
  <c r="I2300" i="1"/>
  <c r="S2300" i="1"/>
  <c r="B2301" i="1"/>
  <c r="E2301" i="1"/>
  <c r="I2301" i="1"/>
  <c r="S2301" i="1"/>
  <c r="B2302" i="1"/>
  <c r="E2302" i="1"/>
  <c r="I2302" i="1"/>
  <c r="S2302" i="1"/>
  <c r="B2303" i="1"/>
  <c r="E2303" i="1"/>
  <c r="I2303" i="1"/>
  <c r="S2303" i="1"/>
  <c r="B2304" i="1"/>
  <c r="E2304" i="1"/>
  <c r="I2304" i="1"/>
  <c r="S2304" i="1"/>
  <c r="B2305" i="1"/>
  <c r="E2305" i="1"/>
  <c r="I2305" i="1"/>
  <c r="S2305" i="1"/>
  <c r="B2306" i="1"/>
  <c r="E2306" i="1"/>
  <c r="I2306" i="1"/>
  <c r="S2306" i="1"/>
  <c r="B2307" i="1"/>
  <c r="E2307" i="1"/>
  <c r="I2307" i="1"/>
  <c r="S2307" i="1"/>
  <c r="B2308" i="1"/>
  <c r="E2308" i="1"/>
  <c r="I2308" i="1"/>
  <c r="S2308" i="1"/>
  <c r="B2309" i="1"/>
  <c r="E2309" i="1"/>
  <c r="I2309" i="1"/>
  <c r="S2309" i="1"/>
  <c r="B2310" i="1"/>
  <c r="E2310" i="1"/>
  <c r="I2310" i="1"/>
  <c r="S2310" i="1"/>
  <c r="B2311" i="1"/>
  <c r="E2311" i="1"/>
  <c r="I2311" i="1"/>
  <c r="S2311" i="1"/>
  <c r="B2312" i="1"/>
  <c r="E2312" i="1"/>
  <c r="I2312" i="1"/>
  <c r="S2312" i="1"/>
  <c r="B2313" i="1"/>
  <c r="E2313" i="1"/>
  <c r="I2313" i="1"/>
  <c r="S2313" i="1"/>
  <c r="B2314" i="1"/>
  <c r="E2314" i="1"/>
  <c r="I2314" i="1"/>
  <c r="S2314" i="1"/>
  <c r="B2315" i="1"/>
  <c r="E2315" i="1"/>
  <c r="I2315" i="1"/>
  <c r="B2316" i="1"/>
  <c r="E2316" i="1"/>
  <c r="I2316" i="1"/>
  <c r="S2316" i="1"/>
  <c r="B2317" i="1"/>
  <c r="E2317" i="1"/>
  <c r="I2317" i="1"/>
  <c r="S2317" i="1"/>
  <c r="B2318" i="1"/>
  <c r="E2318" i="1"/>
  <c r="I2318" i="1"/>
  <c r="S2318" i="1"/>
  <c r="B2319" i="1"/>
  <c r="E2319" i="1"/>
  <c r="I2319" i="1"/>
  <c r="S2319" i="1"/>
  <c r="B2320" i="1"/>
  <c r="E2320" i="1"/>
  <c r="I2320" i="1"/>
  <c r="S2320" i="1"/>
  <c r="B2321" i="1"/>
  <c r="E2321" i="1"/>
  <c r="I2321" i="1"/>
  <c r="S2321" i="1"/>
  <c r="B2322" i="1"/>
  <c r="E2322" i="1"/>
  <c r="I2322" i="1"/>
  <c r="S2322" i="1"/>
  <c r="B2323" i="1"/>
  <c r="E2323" i="1"/>
  <c r="I2323" i="1"/>
  <c r="S2323" i="1"/>
  <c r="B2324" i="1"/>
  <c r="E2324" i="1"/>
  <c r="I2324" i="1"/>
  <c r="S2324" i="1"/>
  <c r="B2325" i="1"/>
  <c r="E2325" i="1"/>
  <c r="I2325" i="1"/>
  <c r="S2325" i="1"/>
  <c r="B2326" i="1"/>
  <c r="E2326" i="1"/>
  <c r="I2326" i="1"/>
  <c r="S2326" i="1"/>
  <c r="B2327" i="1"/>
  <c r="E2327" i="1"/>
  <c r="I2327" i="1"/>
  <c r="S2327" i="1"/>
  <c r="B2328" i="1"/>
  <c r="E2328" i="1"/>
  <c r="I2328" i="1"/>
  <c r="S2328" i="1"/>
  <c r="B2329" i="1"/>
  <c r="E2329" i="1"/>
  <c r="I2329" i="1"/>
  <c r="S2329" i="1"/>
  <c r="B2330" i="1"/>
  <c r="E2330" i="1"/>
  <c r="I2330" i="1"/>
  <c r="S2330" i="1"/>
  <c r="B2331" i="1"/>
  <c r="E2331" i="1"/>
  <c r="I2331" i="1"/>
  <c r="S2331" i="1"/>
  <c r="B2332" i="1"/>
  <c r="E2332" i="1"/>
  <c r="I2332" i="1"/>
  <c r="S2332" i="1"/>
  <c r="B2333" i="1"/>
  <c r="E2333" i="1"/>
  <c r="I2333" i="1"/>
  <c r="S2333" i="1"/>
  <c r="B2334" i="1"/>
  <c r="E2334" i="1"/>
  <c r="I2334" i="1"/>
  <c r="S2334" i="1"/>
  <c r="B2335" i="1"/>
  <c r="E2335" i="1"/>
  <c r="I2335" i="1"/>
  <c r="S2335" i="1"/>
  <c r="B2336" i="1"/>
  <c r="E2336" i="1"/>
  <c r="I2336" i="1"/>
  <c r="S2336" i="1"/>
  <c r="B2337" i="1"/>
  <c r="E2337" i="1"/>
  <c r="I2337" i="1"/>
  <c r="S2337" i="1"/>
  <c r="B2338" i="1"/>
  <c r="E2338" i="1"/>
  <c r="I2338" i="1"/>
  <c r="S2338" i="1"/>
  <c r="B2339" i="1"/>
  <c r="E2339" i="1"/>
  <c r="I2339" i="1"/>
  <c r="S2339" i="1"/>
  <c r="B2340" i="1"/>
  <c r="E2340" i="1"/>
  <c r="I2340" i="1"/>
  <c r="S2340" i="1"/>
  <c r="B2341" i="1"/>
  <c r="E2341" i="1"/>
  <c r="I2341" i="1"/>
  <c r="S2341" i="1"/>
  <c r="B2342" i="1"/>
  <c r="E2342" i="1"/>
  <c r="I2342" i="1"/>
  <c r="S2342" i="1"/>
  <c r="B2343" i="1"/>
  <c r="E2343" i="1"/>
  <c r="I2343" i="1"/>
  <c r="S2343" i="1"/>
  <c r="B2344" i="1"/>
  <c r="E2344" i="1"/>
  <c r="I2344" i="1"/>
  <c r="S2344" i="1"/>
  <c r="B2345" i="1"/>
  <c r="E2345" i="1"/>
  <c r="I2345" i="1"/>
  <c r="S2345" i="1"/>
  <c r="B2346" i="1"/>
  <c r="E2346" i="1"/>
  <c r="I2346" i="1"/>
  <c r="B2347" i="1"/>
  <c r="E2347" i="1"/>
  <c r="I2347" i="1"/>
  <c r="S2347" i="1"/>
  <c r="B2348" i="1"/>
  <c r="E2348" i="1"/>
  <c r="I2348" i="1"/>
  <c r="S2348" i="1"/>
  <c r="B2349" i="1"/>
  <c r="E2349" i="1"/>
  <c r="I2349" i="1"/>
  <c r="S2349" i="1"/>
  <c r="B2350" i="1"/>
  <c r="E2350" i="1"/>
  <c r="I2350" i="1"/>
  <c r="S2350" i="1"/>
  <c r="B2351" i="1"/>
  <c r="E2351" i="1"/>
  <c r="I2351" i="1"/>
  <c r="S2351" i="1"/>
  <c r="B2352" i="1"/>
  <c r="E2352" i="1"/>
  <c r="I2352" i="1"/>
  <c r="S2352" i="1"/>
  <c r="B2353" i="1"/>
  <c r="E2353" i="1"/>
  <c r="I2353" i="1"/>
  <c r="S2353" i="1"/>
  <c r="B2354" i="1"/>
  <c r="E2354" i="1"/>
  <c r="I2354" i="1"/>
  <c r="S2354" i="1"/>
  <c r="B2355" i="1"/>
  <c r="E2355" i="1"/>
  <c r="I2355" i="1"/>
  <c r="S2355" i="1"/>
  <c r="B2356" i="1"/>
  <c r="E2356" i="1"/>
  <c r="I2356" i="1"/>
  <c r="S2356" i="1"/>
  <c r="B2357" i="1"/>
  <c r="E2357" i="1"/>
  <c r="I2357" i="1"/>
  <c r="S2357" i="1"/>
  <c r="B2358" i="1"/>
  <c r="E2358" i="1"/>
  <c r="I2358" i="1"/>
  <c r="S2358" i="1"/>
  <c r="B2359" i="1"/>
  <c r="E2359" i="1"/>
  <c r="I2359" i="1"/>
  <c r="S2359" i="1"/>
  <c r="B2360" i="1"/>
  <c r="E2360" i="1"/>
  <c r="I2360" i="1"/>
  <c r="S2360" i="1"/>
  <c r="B2361" i="1"/>
  <c r="E2361" i="1"/>
  <c r="I2361" i="1"/>
  <c r="S2361" i="1"/>
  <c r="B2362" i="1"/>
  <c r="E2362" i="1"/>
  <c r="I2362" i="1"/>
  <c r="S2362" i="1"/>
  <c r="B2363" i="1"/>
  <c r="E2363" i="1"/>
  <c r="I2363" i="1"/>
  <c r="S2363" i="1"/>
  <c r="B2364" i="1"/>
  <c r="E2364" i="1"/>
  <c r="I2364" i="1"/>
  <c r="S2364" i="1"/>
  <c r="B2365" i="1"/>
  <c r="E2365" i="1"/>
  <c r="I2365" i="1"/>
  <c r="S2365" i="1"/>
  <c r="B2366" i="1"/>
  <c r="E2366" i="1"/>
  <c r="I2366" i="1"/>
  <c r="S2366" i="1"/>
  <c r="B2367" i="1"/>
  <c r="E2367" i="1"/>
  <c r="I2367" i="1"/>
  <c r="S2367" i="1"/>
  <c r="B2368" i="1"/>
  <c r="E2368" i="1"/>
  <c r="I2368" i="1"/>
  <c r="S2368" i="1"/>
  <c r="B2369" i="1"/>
  <c r="E2369" i="1"/>
  <c r="I2369" i="1"/>
  <c r="S2369" i="1"/>
  <c r="B2370" i="1"/>
  <c r="E2370" i="1"/>
  <c r="I2370" i="1"/>
  <c r="S2370" i="1"/>
  <c r="B2371" i="1"/>
  <c r="E2371" i="1"/>
  <c r="I2371" i="1"/>
  <c r="S2371" i="1"/>
  <c r="B2372" i="1"/>
  <c r="E2372" i="1"/>
  <c r="I2372" i="1"/>
  <c r="S2372" i="1"/>
  <c r="B2373" i="1"/>
  <c r="E2373" i="1"/>
  <c r="I2373" i="1"/>
  <c r="S2373" i="1"/>
  <c r="B2374" i="1"/>
  <c r="E2374" i="1"/>
  <c r="I2374" i="1"/>
  <c r="S2374" i="1"/>
  <c r="B2375" i="1"/>
  <c r="E2375" i="1"/>
  <c r="I2375" i="1"/>
  <c r="S2375" i="1"/>
  <c r="B2376" i="1"/>
  <c r="E2376" i="1"/>
  <c r="I2376" i="1"/>
  <c r="S2376" i="1"/>
  <c r="B2377" i="1"/>
  <c r="E2377" i="1"/>
  <c r="I2377" i="1"/>
  <c r="S2377" i="1"/>
  <c r="B2378" i="1"/>
  <c r="E2378" i="1"/>
  <c r="I2378" i="1"/>
  <c r="S2378" i="1"/>
  <c r="B2379" i="1"/>
  <c r="E2379" i="1"/>
  <c r="I2379" i="1"/>
  <c r="S2379" i="1"/>
  <c r="B2380" i="1"/>
  <c r="E2380" i="1"/>
  <c r="I2380" i="1"/>
  <c r="S2380" i="1"/>
  <c r="B2381" i="1"/>
  <c r="E2381" i="1"/>
  <c r="I2381" i="1"/>
  <c r="S2381" i="1"/>
  <c r="B2382" i="1"/>
  <c r="E2382" i="1"/>
  <c r="I2382" i="1"/>
  <c r="S2382" i="1"/>
  <c r="B2383" i="1"/>
  <c r="E2383" i="1"/>
  <c r="I2383" i="1"/>
  <c r="S2383" i="1"/>
  <c r="B2384" i="1"/>
  <c r="E2384" i="1"/>
  <c r="I2384" i="1"/>
  <c r="S2384" i="1"/>
  <c r="B2385" i="1"/>
  <c r="E2385" i="1"/>
  <c r="I2385" i="1"/>
  <c r="S2385" i="1"/>
  <c r="B2386" i="1"/>
  <c r="E2386" i="1"/>
  <c r="I2386" i="1"/>
  <c r="S2386" i="1"/>
  <c r="B2387" i="1"/>
  <c r="E2387" i="1"/>
  <c r="I2387" i="1"/>
  <c r="S2387" i="1"/>
  <c r="B2388" i="1"/>
  <c r="E2388" i="1"/>
  <c r="I2388" i="1"/>
  <c r="S2388" i="1"/>
  <c r="B2389" i="1"/>
  <c r="E2389" i="1"/>
  <c r="I2389" i="1"/>
  <c r="S2389" i="1"/>
  <c r="B2390" i="1"/>
  <c r="E2390" i="1"/>
  <c r="I2390" i="1"/>
  <c r="S2390" i="1"/>
  <c r="B2391" i="1"/>
  <c r="E2391" i="1"/>
  <c r="I2391" i="1"/>
  <c r="S2391" i="1"/>
  <c r="B2392" i="1"/>
  <c r="E2392" i="1"/>
  <c r="I2392" i="1"/>
  <c r="S2392" i="1"/>
  <c r="B2393" i="1"/>
  <c r="E2393" i="1"/>
  <c r="I2393" i="1"/>
  <c r="S2393" i="1"/>
  <c r="B2394" i="1"/>
  <c r="E2394" i="1"/>
  <c r="I2394" i="1"/>
  <c r="S2394" i="1"/>
  <c r="B2395" i="1"/>
  <c r="E2395" i="1"/>
  <c r="I2395" i="1"/>
  <c r="S2395" i="1"/>
  <c r="B2396" i="1"/>
  <c r="E2396" i="1"/>
  <c r="I2396" i="1"/>
  <c r="B2397" i="1"/>
  <c r="E2397" i="1"/>
  <c r="I2397" i="1"/>
  <c r="S2397" i="1"/>
  <c r="B2398" i="1"/>
  <c r="E2398" i="1"/>
  <c r="I2398" i="1"/>
  <c r="S2398" i="1"/>
  <c r="B2399" i="1"/>
  <c r="E2399" i="1"/>
  <c r="I2399" i="1"/>
  <c r="S2399" i="1"/>
  <c r="B2400" i="1"/>
  <c r="E2400" i="1"/>
  <c r="I2400" i="1"/>
  <c r="S2400" i="1"/>
  <c r="B2401" i="1"/>
  <c r="E2401" i="1"/>
  <c r="I2401" i="1"/>
  <c r="S2401" i="1"/>
  <c r="B2402" i="1"/>
  <c r="E2402" i="1"/>
  <c r="I2402" i="1"/>
  <c r="S2402" i="1"/>
  <c r="B2403" i="1"/>
  <c r="E2403" i="1"/>
  <c r="I2403" i="1"/>
  <c r="S2403" i="1"/>
  <c r="B2404" i="1"/>
  <c r="E2404" i="1"/>
  <c r="I2404" i="1"/>
  <c r="S2404" i="1"/>
  <c r="B2405" i="1"/>
  <c r="E2405" i="1"/>
  <c r="I2405" i="1"/>
  <c r="S2405" i="1"/>
  <c r="B2406" i="1"/>
  <c r="E2406" i="1"/>
  <c r="I2406" i="1"/>
  <c r="S2406" i="1"/>
  <c r="B2407" i="1"/>
  <c r="E2407" i="1"/>
  <c r="I2407" i="1"/>
  <c r="S2407" i="1"/>
  <c r="B2408" i="1"/>
  <c r="E2408" i="1"/>
  <c r="I2408" i="1"/>
  <c r="S2408" i="1"/>
  <c r="B2409" i="1"/>
  <c r="E2409" i="1"/>
  <c r="I2409" i="1"/>
  <c r="S2409" i="1"/>
  <c r="B2410" i="1"/>
  <c r="E2410" i="1"/>
  <c r="I2410" i="1"/>
  <c r="S2410" i="1"/>
  <c r="B2411" i="1"/>
  <c r="E2411" i="1"/>
  <c r="I2411" i="1"/>
  <c r="S2411" i="1"/>
  <c r="B2412" i="1"/>
  <c r="E2412" i="1"/>
  <c r="I2412" i="1"/>
  <c r="S2412" i="1"/>
  <c r="B2413" i="1"/>
  <c r="E2413" i="1"/>
  <c r="I2413" i="1"/>
  <c r="S2413" i="1"/>
  <c r="B2414" i="1"/>
  <c r="E2414" i="1"/>
  <c r="I2414" i="1"/>
  <c r="S2414" i="1"/>
  <c r="B2415" i="1"/>
  <c r="E2415" i="1"/>
  <c r="I2415" i="1"/>
  <c r="S2415" i="1"/>
  <c r="B2416" i="1"/>
  <c r="E2416" i="1"/>
  <c r="I2416" i="1"/>
  <c r="S2416" i="1"/>
  <c r="B2417" i="1"/>
  <c r="E2417" i="1"/>
  <c r="I2417" i="1"/>
  <c r="B2418" i="1"/>
  <c r="E2418" i="1"/>
  <c r="I2418" i="1"/>
  <c r="S2418" i="1"/>
  <c r="B2419" i="1"/>
  <c r="E2419" i="1"/>
  <c r="I2419" i="1"/>
  <c r="S2419" i="1"/>
  <c r="B2420" i="1"/>
  <c r="E2420" i="1"/>
  <c r="I2420" i="1"/>
  <c r="S2420" i="1"/>
  <c r="B2421" i="1"/>
  <c r="E2421" i="1"/>
  <c r="I2421" i="1"/>
  <c r="S2421" i="1"/>
  <c r="B2422" i="1"/>
  <c r="E2422" i="1"/>
  <c r="I2422" i="1"/>
  <c r="S2422" i="1"/>
  <c r="B2423" i="1"/>
  <c r="E2423" i="1"/>
  <c r="I2423" i="1"/>
  <c r="S2423" i="1"/>
  <c r="B2424" i="1"/>
  <c r="E2424" i="1"/>
  <c r="I2424" i="1"/>
  <c r="S2424" i="1"/>
  <c r="B2425" i="1"/>
  <c r="E2425" i="1"/>
  <c r="I2425" i="1"/>
  <c r="S2425" i="1"/>
  <c r="B2426" i="1"/>
  <c r="E2426" i="1"/>
  <c r="I2426" i="1"/>
  <c r="S2426" i="1"/>
  <c r="B2427" i="1"/>
  <c r="E2427" i="1"/>
  <c r="I2427" i="1"/>
  <c r="S2427" i="1"/>
  <c r="B2428" i="1"/>
  <c r="E2428" i="1"/>
  <c r="I2428" i="1"/>
  <c r="S2428" i="1"/>
  <c r="B2429" i="1"/>
  <c r="E2429" i="1"/>
  <c r="I2429" i="1"/>
  <c r="S2429" i="1"/>
  <c r="B2430" i="1"/>
  <c r="E2430" i="1"/>
  <c r="I2430" i="1"/>
  <c r="S2430" i="1"/>
  <c r="B2431" i="1"/>
  <c r="E2431" i="1"/>
  <c r="I2431" i="1"/>
  <c r="S2431" i="1"/>
  <c r="B2432" i="1"/>
  <c r="E2432" i="1"/>
  <c r="I2432" i="1"/>
  <c r="S2432" i="1"/>
  <c r="B2433" i="1"/>
  <c r="E2433" i="1"/>
  <c r="I2433" i="1"/>
  <c r="S2433" i="1"/>
  <c r="B2434" i="1"/>
  <c r="E2434" i="1"/>
  <c r="I2434" i="1"/>
  <c r="S2434" i="1"/>
  <c r="B2435" i="1"/>
  <c r="E2435" i="1"/>
  <c r="I2435" i="1"/>
  <c r="S2435" i="1"/>
  <c r="B2436" i="1"/>
  <c r="E2436" i="1"/>
  <c r="I2436" i="1"/>
  <c r="S2436" i="1"/>
  <c r="B2437" i="1"/>
  <c r="E2437" i="1"/>
  <c r="I2437" i="1"/>
  <c r="S2437" i="1"/>
  <c r="B2438" i="1"/>
  <c r="E2438" i="1"/>
  <c r="I2438" i="1"/>
  <c r="S2438" i="1"/>
  <c r="B2439" i="1"/>
  <c r="E2439" i="1"/>
  <c r="I2439" i="1"/>
  <c r="S2439" i="1"/>
  <c r="B2440" i="1"/>
  <c r="E2440" i="1"/>
  <c r="I2440" i="1"/>
  <c r="S2440" i="1"/>
  <c r="B2441" i="1"/>
  <c r="E2441" i="1"/>
  <c r="I2441" i="1"/>
  <c r="S2441" i="1"/>
  <c r="B2442" i="1"/>
  <c r="E2442" i="1"/>
  <c r="I2442" i="1"/>
  <c r="S2442" i="1"/>
  <c r="B2443" i="1"/>
  <c r="E2443" i="1"/>
  <c r="I2443" i="1"/>
  <c r="S2443" i="1"/>
  <c r="B2444" i="1"/>
  <c r="E2444" i="1"/>
  <c r="I2444" i="1"/>
  <c r="S2444" i="1"/>
  <c r="B2445" i="1"/>
  <c r="E2445" i="1"/>
  <c r="I2445" i="1"/>
  <c r="S2445" i="1"/>
  <c r="B2446" i="1"/>
  <c r="E2446" i="1"/>
  <c r="I2446" i="1"/>
  <c r="S2446" i="1"/>
  <c r="B2447" i="1"/>
  <c r="E2447" i="1"/>
  <c r="I2447" i="1"/>
  <c r="S2447" i="1"/>
  <c r="B2448" i="1"/>
  <c r="E2448" i="1"/>
  <c r="I2448" i="1"/>
  <c r="S2448" i="1"/>
  <c r="B2449" i="1"/>
  <c r="E2449" i="1"/>
  <c r="I2449" i="1"/>
  <c r="S2449" i="1"/>
  <c r="B2450" i="1"/>
  <c r="E2450" i="1"/>
  <c r="I2450" i="1"/>
  <c r="B2451" i="1"/>
  <c r="E2451" i="1"/>
  <c r="I2451" i="1"/>
  <c r="S2451" i="1"/>
  <c r="B2452" i="1"/>
  <c r="E2452" i="1"/>
  <c r="I2452" i="1"/>
  <c r="S2452" i="1"/>
  <c r="B2453" i="1"/>
  <c r="E2453" i="1"/>
  <c r="I2453" i="1"/>
  <c r="S2453" i="1"/>
  <c r="B2454" i="1"/>
  <c r="E2454" i="1"/>
  <c r="I2454" i="1"/>
  <c r="S2454" i="1"/>
  <c r="B2455" i="1"/>
  <c r="E2455" i="1"/>
  <c r="I2455" i="1"/>
  <c r="S2455" i="1"/>
  <c r="B2456" i="1"/>
  <c r="E2456" i="1"/>
  <c r="I2456" i="1"/>
  <c r="S2456" i="1"/>
  <c r="B2457" i="1"/>
  <c r="E2457" i="1"/>
  <c r="I2457" i="1"/>
  <c r="S2457" i="1"/>
  <c r="B2458" i="1"/>
  <c r="E2458" i="1"/>
  <c r="I2458" i="1"/>
  <c r="S2458" i="1"/>
  <c r="B2459" i="1"/>
  <c r="E2459" i="1"/>
  <c r="I2459" i="1"/>
  <c r="S2459" i="1"/>
  <c r="B2460" i="1"/>
  <c r="E2460" i="1"/>
  <c r="I2460" i="1"/>
  <c r="S2460" i="1"/>
  <c r="B2461" i="1"/>
  <c r="E2461" i="1"/>
  <c r="I2461" i="1"/>
  <c r="S2461" i="1"/>
  <c r="B2462" i="1"/>
  <c r="E2462" i="1"/>
  <c r="I2462" i="1"/>
  <c r="S2462" i="1"/>
  <c r="B2463" i="1"/>
  <c r="E2463" i="1"/>
  <c r="I2463" i="1"/>
  <c r="S2463" i="1"/>
  <c r="B2464" i="1"/>
  <c r="E2464" i="1"/>
  <c r="I2464" i="1"/>
  <c r="S2464" i="1"/>
  <c r="B2465" i="1"/>
  <c r="E2465" i="1"/>
  <c r="I2465" i="1"/>
  <c r="S2465" i="1"/>
  <c r="B2466" i="1"/>
  <c r="E2466" i="1"/>
  <c r="I2466" i="1"/>
  <c r="S2466" i="1"/>
  <c r="B2467" i="1"/>
  <c r="E2467" i="1"/>
  <c r="I2467" i="1"/>
  <c r="S2467" i="1"/>
  <c r="B2468" i="1"/>
  <c r="E2468" i="1"/>
  <c r="I2468" i="1"/>
  <c r="S2468" i="1"/>
  <c r="B2469" i="1"/>
  <c r="E2469" i="1"/>
  <c r="I2469" i="1"/>
  <c r="S2469" i="1"/>
  <c r="B2470" i="1"/>
  <c r="E2470" i="1"/>
  <c r="I2470" i="1"/>
  <c r="S2470" i="1"/>
  <c r="B2471" i="1"/>
  <c r="E2471" i="1"/>
  <c r="I2471" i="1"/>
  <c r="S2471" i="1"/>
  <c r="B2472" i="1"/>
  <c r="E2472" i="1"/>
  <c r="I2472" i="1"/>
  <c r="S2472" i="1"/>
  <c r="B2473" i="1"/>
  <c r="E2473" i="1"/>
  <c r="I2473" i="1"/>
  <c r="S2473" i="1"/>
  <c r="B2474" i="1"/>
  <c r="E2474" i="1"/>
  <c r="I2474" i="1"/>
  <c r="S2474" i="1"/>
  <c r="B2475" i="1"/>
  <c r="E2475" i="1"/>
  <c r="I2475" i="1"/>
  <c r="S2475" i="1"/>
  <c r="B2476" i="1"/>
  <c r="E2476" i="1"/>
  <c r="I2476" i="1"/>
  <c r="S2476" i="1"/>
  <c r="B2477" i="1"/>
  <c r="E2477" i="1"/>
  <c r="I2477" i="1"/>
  <c r="S2477" i="1"/>
  <c r="B2478" i="1"/>
  <c r="E2478" i="1"/>
  <c r="I2478" i="1"/>
  <c r="S2478" i="1"/>
  <c r="B2479" i="1"/>
  <c r="E2479" i="1"/>
  <c r="I2479" i="1"/>
  <c r="S2479" i="1"/>
  <c r="B2480" i="1"/>
  <c r="E2480" i="1"/>
  <c r="I2480" i="1"/>
  <c r="S2480" i="1"/>
  <c r="B2481" i="1"/>
  <c r="E2481" i="1"/>
  <c r="I2481" i="1"/>
  <c r="S2481" i="1"/>
  <c r="B2482" i="1"/>
  <c r="E2482" i="1"/>
  <c r="I2482" i="1"/>
  <c r="S2482" i="1"/>
  <c r="B2483" i="1"/>
  <c r="E2483" i="1"/>
  <c r="I2483" i="1"/>
  <c r="S2483" i="1"/>
  <c r="B2484" i="1"/>
  <c r="E2484" i="1"/>
  <c r="I2484" i="1"/>
  <c r="S2484" i="1"/>
  <c r="B2485" i="1"/>
  <c r="E2485" i="1"/>
  <c r="I2485" i="1"/>
  <c r="S2485" i="1"/>
  <c r="B2486" i="1"/>
  <c r="E2486" i="1"/>
  <c r="I2486" i="1"/>
  <c r="S2486" i="1"/>
  <c r="B2487" i="1"/>
  <c r="E2487" i="1"/>
  <c r="I2487" i="1"/>
  <c r="S2487" i="1"/>
  <c r="B2488" i="1"/>
  <c r="E2488" i="1"/>
  <c r="I2488" i="1"/>
  <c r="S2488" i="1"/>
  <c r="B2489" i="1"/>
  <c r="E2489" i="1"/>
  <c r="I2489" i="1"/>
  <c r="S2489" i="1"/>
  <c r="B2490" i="1"/>
  <c r="E2490" i="1"/>
  <c r="I2490" i="1"/>
  <c r="S2490" i="1"/>
  <c r="B2491" i="1"/>
  <c r="E2491" i="1"/>
  <c r="I2491" i="1"/>
  <c r="S2491" i="1"/>
  <c r="B2492" i="1"/>
  <c r="E2492" i="1"/>
  <c r="I2492" i="1"/>
  <c r="S2492" i="1"/>
  <c r="B2493" i="1"/>
  <c r="E2493" i="1"/>
  <c r="I2493" i="1"/>
  <c r="S2493" i="1"/>
  <c r="B2494" i="1"/>
  <c r="E2494" i="1"/>
  <c r="I2494" i="1"/>
  <c r="S2494" i="1"/>
  <c r="B2495" i="1"/>
  <c r="E2495" i="1"/>
  <c r="I2495" i="1"/>
  <c r="S2495" i="1"/>
  <c r="B2496" i="1"/>
  <c r="E2496" i="1"/>
  <c r="I2496" i="1"/>
  <c r="S2496" i="1"/>
  <c r="B2497" i="1"/>
  <c r="E2497" i="1"/>
  <c r="I2497" i="1"/>
  <c r="S2497" i="1"/>
  <c r="B2498" i="1"/>
  <c r="E2498" i="1"/>
  <c r="I2498" i="1"/>
  <c r="S2498" i="1"/>
  <c r="B2499" i="1"/>
  <c r="E2499" i="1"/>
  <c r="I2499" i="1"/>
  <c r="S2499" i="1"/>
  <c r="B2500" i="1"/>
  <c r="E2500" i="1"/>
  <c r="I2500" i="1"/>
  <c r="S2500" i="1"/>
  <c r="B2501" i="1"/>
  <c r="E2501" i="1"/>
  <c r="I2501" i="1"/>
  <c r="S2501" i="1"/>
  <c r="B2502" i="1"/>
  <c r="E2502" i="1"/>
  <c r="I2502" i="1"/>
  <c r="S2502" i="1"/>
  <c r="B2503" i="1"/>
  <c r="E2503" i="1"/>
  <c r="I2503" i="1"/>
  <c r="S2503" i="1"/>
  <c r="B2504" i="1"/>
  <c r="E2504" i="1"/>
  <c r="I2504" i="1"/>
  <c r="S2504" i="1"/>
  <c r="B2505" i="1"/>
  <c r="E2505" i="1"/>
  <c r="I2505" i="1"/>
  <c r="S2505" i="1"/>
  <c r="B2506" i="1"/>
  <c r="E2506" i="1"/>
  <c r="I2506" i="1"/>
  <c r="S2506" i="1"/>
  <c r="B2507" i="1"/>
  <c r="E2507" i="1"/>
  <c r="I2507" i="1"/>
  <c r="S2507" i="1"/>
  <c r="B2508" i="1"/>
  <c r="E2508" i="1"/>
  <c r="I2508" i="1"/>
  <c r="S2508" i="1"/>
  <c r="B2509" i="1"/>
  <c r="E2509" i="1"/>
  <c r="I2509" i="1"/>
  <c r="S2509" i="1"/>
  <c r="B2510" i="1"/>
  <c r="E2510" i="1"/>
  <c r="I2510" i="1"/>
  <c r="S2510" i="1"/>
  <c r="B2511" i="1"/>
  <c r="E2511" i="1"/>
  <c r="I2511" i="1"/>
  <c r="S2511" i="1"/>
  <c r="B2512" i="1"/>
  <c r="E2512" i="1"/>
  <c r="I2512" i="1"/>
  <c r="S2512" i="1"/>
  <c r="B2513" i="1"/>
  <c r="E2513" i="1"/>
  <c r="I2513" i="1"/>
  <c r="S2513" i="1"/>
  <c r="B2514" i="1"/>
  <c r="E2514" i="1"/>
  <c r="I2514" i="1"/>
  <c r="S2514" i="1"/>
  <c r="B2515" i="1"/>
  <c r="E2515" i="1"/>
  <c r="I2515" i="1"/>
  <c r="S2515" i="1"/>
  <c r="B2516" i="1"/>
  <c r="E2516" i="1"/>
  <c r="I2516" i="1"/>
  <c r="S2516" i="1"/>
  <c r="B2517" i="1"/>
  <c r="E2517" i="1"/>
  <c r="I2517" i="1"/>
  <c r="S2517" i="1"/>
  <c r="B2518" i="1"/>
  <c r="E2518" i="1"/>
  <c r="I2518" i="1"/>
  <c r="S2518" i="1"/>
  <c r="B2519" i="1"/>
  <c r="E2519" i="1"/>
  <c r="I2519" i="1"/>
  <c r="S2519" i="1"/>
  <c r="B2520" i="1"/>
  <c r="E2520" i="1"/>
  <c r="I2520" i="1"/>
  <c r="S2520" i="1"/>
  <c r="B2521" i="1"/>
  <c r="E2521" i="1"/>
  <c r="I2521" i="1"/>
  <c r="S2521" i="1"/>
  <c r="B2522" i="1"/>
  <c r="E2522" i="1"/>
  <c r="I2522" i="1"/>
  <c r="S2522" i="1"/>
  <c r="B2523" i="1"/>
  <c r="E2523" i="1"/>
  <c r="I2523" i="1"/>
  <c r="S2523" i="1"/>
  <c r="B2524" i="1"/>
  <c r="E2524" i="1"/>
  <c r="I2524" i="1"/>
  <c r="S2524" i="1"/>
  <c r="B2525" i="1"/>
  <c r="E2525" i="1"/>
  <c r="I2525" i="1"/>
  <c r="S2525" i="1"/>
  <c r="B2526" i="1"/>
  <c r="E2526" i="1"/>
  <c r="I2526" i="1"/>
  <c r="B2527" i="1"/>
  <c r="E2527" i="1"/>
  <c r="I2527" i="1"/>
  <c r="S2527" i="1"/>
  <c r="B2528" i="1"/>
  <c r="E2528" i="1"/>
  <c r="I2528" i="1"/>
  <c r="S2528" i="1"/>
  <c r="B2529" i="1"/>
  <c r="E2529" i="1"/>
  <c r="I2529" i="1"/>
  <c r="S2529" i="1"/>
  <c r="B2530" i="1"/>
  <c r="E2530" i="1"/>
  <c r="I2530" i="1"/>
  <c r="S2530" i="1"/>
  <c r="B2531" i="1"/>
  <c r="E2531" i="1"/>
  <c r="I2531" i="1"/>
  <c r="S2531" i="1"/>
  <c r="B2532" i="1"/>
  <c r="E2532" i="1"/>
  <c r="I2532" i="1"/>
  <c r="S2532" i="1"/>
  <c r="B2533" i="1"/>
  <c r="E2533" i="1"/>
  <c r="I2533" i="1"/>
  <c r="S2533" i="1"/>
  <c r="B2534" i="1"/>
  <c r="E2534" i="1"/>
  <c r="I2534" i="1"/>
  <c r="S2534" i="1"/>
  <c r="B2535" i="1"/>
  <c r="E2535" i="1"/>
  <c r="I2535" i="1"/>
  <c r="S2535" i="1"/>
  <c r="B2536" i="1"/>
  <c r="E2536" i="1"/>
  <c r="I2536" i="1"/>
  <c r="S2536" i="1"/>
  <c r="B2537" i="1"/>
  <c r="E2537" i="1"/>
  <c r="I2537" i="1"/>
  <c r="S2537" i="1"/>
  <c r="B2538" i="1"/>
  <c r="E2538" i="1"/>
  <c r="I2538" i="1"/>
  <c r="S2538" i="1"/>
  <c r="B2539" i="1"/>
  <c r="E2539" i="1"/>
  <c r="I2539" i="1"/>
  <c r="S2539" i="1"/>
  <c r="B2540" i="1"/>
  <c r="E2540" i="1"/>
  <c r="I2540" i="1"/>
  <c r="S2540" i="1"/>
  <c r="B2541" i="1"/>
  <c r="E2541" i="1"/>
  <c r="I2541" i="1"/>
  <c r="S2541" i="1"/>
  <c r="B2542" i="1"/>
  <c r="E2542" i="1"/>
  <c r="I2542" i="1"/>
  <c r="S2542" i="1"/>
  <c r="B2543" i="1"/>
  <c r="E2543" i="1"/>
  <c r="I2543" i="1"/>
  <c r="S2543" i="1"/>
  <c r="B2544" i="1"/>
  <c r="E2544" i="1"/>
  <c r="I2544" i="1"/>
  <c r="S2544" i="1"/>
  <c r="B2545" i="1"/>
  <c r="E2545" i="1"/>
  <c r="I2545" i="1"/>
  <c r="S2545" i="1"/>
  <c r="B2546" i="1"/>
  <c r="E2546" i="1"/>
  <c r="I2546" i="1"/>
  <c r="S2546" i="1"/>
  <c r="B2547" i="1"/>
  <c r="E2547" i="1"/>
  <c r="I2547" i="1"/>
  <c r="S2547" i="1"/>
  <c r="B2548" i="1"/>
  <c r="E2548" i="1"/>
  <c r="I2548" i="1"/>
  <c r="S2548" i="1"/>
  <c r="B2549" i="1"/>
  <c r="E2549" i="1"/>
  <c r="I2549" i="1"/>
  <c r="S2549" i="1"/>
  <c r="B2550" i="1"/>
  <c r="E2550" i="1"/>
  <c r="I2550" i="1"/>
  <c r="S2550" i="1"/>
  <c r="B2551" i="1"/>
  <c r="E2551" i="1"/>
  <c r="I2551" i="1"/>
  <c r="S2551" i="1"/>
  <c r="B2552" i="1"/>
  <c r="E2552" i="1"/>
  <c r="I2552" i="1"/>
  <c r="S2552" i="1"/>
  <c r="B2553" i="1"/>
  <c r="E2553" i="1"/>
  <c r="I2553" i="1"/>
  <c r="S2553" i="1"/>
  <c r="B2554" i="1"/>
  <c r="E2554" i="1"/>
  <c r="I2554" i="1"/>
  <c r="S2554" i="1"/>
  <c r="B2555" i="1"/>
  <c r="E2555" i="1"/>
  <c r="I2555" i="1"/>
  <c r="S2555" i="1"/>
  <c r="B2556" i="1"/>
  <c r="E2556" i="1"/>
  <c r="I2556" i="1"/>
  <c r="S2556" i="1"/>
  <c r="B2557" i="1"/>
  <c r="E2557" i="1"/>
  <c r="I2557" i="1"/>
  <c r="S2557" i="1"/>
  <c r="B2558" i="1"/>
  <c r="E2558" i="1"/>
  <c r="I2558" i="1"/>
  <c r="S2558" i="1"/>
  <c r="B2559" i="1"/>
  <c r="E2559" i="1"/>
  <c r="I2559" i="1"/>
  <c r="S2559" i="1"/>
  <c r="B2560" i="1"/>
  <c r="E2560" i="1"/>
  <c r="I2560" i="1"/>
  <c r="S2560" i="1"/>
  <c r="B2561" i="1"/>
  <c r="E2561" i="1"/>
  <c r="I2561" i="1"/>
  <c r="S2561" i="1"/>
  <c r="B2562" i="1"/>
  <c r="E2562" i="1"/>
  <c r="I2562" i="1"/>
  <c r="S2562" i="1"/>
  <c r="B2563" i="1"/>
  <c r="E2563" i="1"/>
  <c r="I2563" i="1"/>
  <c r="S2563" i="1"/>
  <c r="B2564" i="1"/>
  <c r="E2564" i="1"/>
  <c r="I2564" i="1"/>
  <c r="S2564" i="1"/>
  <c r="B2565" i="1"/>
  <c r="E2565" i="1"/>
  <c r="I2565" i="1"/>
  <c r="S2565" i="1"/>
  <c r="B2566" i="1"/>
  <c r="E2566" i="1"/>
  <c r="I2566" i="1"/>
  <c r="S2566" i="1"/>
  <c r="B2567" i="1"/>
  <c r="E2567" i="1"/>
  <c r="I2567" i="1"/>
  <c r="S2567" i="1"/>
  <c r="B2568" i="1"/>
  <c r="E2568" i="1"/>
  <c r="I2568" i="1"/>
  <c r="S2568" i="1"/>
  <c r="B2569" i="1"/>
  <c r="E2569" i="1"/>
  <c r="I2569" i="1"/>
  <c r="S2569" i="1"/>
  <c r="B2570" i="1"/>
  <c r="E2570" i="1"/>
  <c r="I2570" i="1"/>
  <c r="S2570" i="1"/>
  <c r="B2571" i="1"/>
  <c r="E2571" i="1"/>
  <c r="I2571" i="1"/>
  <c r="S2571" i="1"/>
  <c r="B2572" i="1"/>
  <c r="E2572" i="1"/>
  <c r="I2572" i="1"/>
  <c r="S2572" i="1"/>
  <c r="B2573" i="1"/>
  <c r="E2573" i="1"/>
  <c r="I2573" i="1"/>
  <c r="S2573" i="1"/>
  <c r="B2574" i="1"/>
  <c r="E2574" i="1"/>
  <c r="I2574" i="1"/>
  <c r="S2574" i="1"/>
  <c r="B2575" i="1"/>
  <c r="E2575" i="1"/>
  <c r="I2575" i="1"/>
  <c r="S2575" i="1"/>
  <c r="B2576" i="1"/>
  <c r="E2576" i="1"/>
  <c r="I2576" i="1"/>
  <c r="S2576" i="1"/>
  <c r="B2577" i="1"/>
  <c r="E2577" i="1"/>
  <c r="I2577" i="1"/>
  <c r="S2577" i="1"/>
  <c r="B2578" i="1"/>
  <c r="E2578" i="1"/>
  <c r="I2578" i="1"/>
  <c r="S2578" i="1"/>
  <c r="B2579" i="1"/>
  <c r="E2579" i="1"/>
  <c r="I2579" i="1"/>
  <c r="S2579" i="1"/>
  <c r="B2580" i="1"/>
  <c r="E2580" i="1"/>
  <c r="I2580" i="1"/>
  <c r="S2580" i="1"/>
  <c r="B2581" i="1"/>
  <c r="E2581" i="1"/>
  <c r="I2581" i="1"/>
  <c r="S2581" i="1"/>
  <c r="B2582" i="1"/>
  <c r="E2582" i="1"/>
  <c r="I2582" i="1"/>
  <c r="S2582" i="1"/>
  <c r="B2583" i="1"/>
  <c r="E2583" i="1"/>
  <c r="I2583" i="1"/>
  <c r="S2583" i="1"/>
  <c r="B2584" i="1"/>
  <c r="E2584" i="1"/>
  <c r="I2584" i="1"/>
  <c r="S2584" i="1"/>
  <c r="B2585" i="1"/>
  <c r="E2585" i="1"/>
  <c r="I2585" i="1"/>
  <c r="S2585" i="1"/>
  <c r="B2586" i="1"/>
  <c r="E2586" i="1"/>
  <c r="I2586" i="1"/>
  <c r="S2586" i="1"/>
  <c r="B2587" i="1"/>
  <c r="E2587" i="1"/>
  <c r="I2587" i="1"/>
  <c r="S2587" i="1"/>
  <c r="B2588" i="1"/>
  <c r="E2588" i="1"/>
  <c r="I2588" i="1"/>
  <c r="S2588" i="1"/>
  <c r="B2589" i="1"/>
  <c r="E2589" i="1"/>
  <c r="I2589" i="1"/>
  <c r="S2589" i="1"/>
  <c r="B2590" i="1"/>
  <c r="E2590" i="1"/>
  <c r="I2590" i="1"/>
  <c r="S2590" i="1"/>
  <c r="B2591" i="1"/>
  <c r="E2591" i="1"/>
  <c r="I2591" i="1"/>
  <c r="S2591" i="1"/>
  <c r="B2592" i="1"/>
  <c r="E2592" i="1"/>
  <c r="I2592" i="1"/>
  <c r="S2592" i="1"/>
  <c r="B2593" i="1"/>
  <c r="E2593" i="1"/>
  <c r="I2593" i="1"/>
  <c r="S2593" i="1"/>
  <c r="B2594" i="1"/>
  <c r="E2594" i="1"/>
  <c r="I2594" i="1"/>
  <c r="S2594" i="1"/>
  <c r="B2595" i="1"/>
  <c r="E2595" i="1"/>
  <c r="I2595" i="1"/>
  <c r="S2595" i="1"/>
  <c r="B2596" i="1"/>
  <c r="E2596" i="1"/>
  <c r="I2596" i="1"/>
  <c r="S2596" i="1"/>
  <c r="B2597" i="1"/>
  <c r="E2597" i="1"/>
  <c r="I2597" i="1"/>
  <c r="S2597" i="1"/>
  <c r="B2598" i="1"/>
  <c r="E2598" i="1"/>
  <c r="I2598" i="1"/>
  <c r="S2598" i="1"/>
  <c r="B2599" i="1"/>
  <c r="E2599" i="1"/>
  <c r="I2599" i="1"/>
  <c r="S2599" i="1"/>
  <c r="B2600" i="1"/>
  <c r="E2600" i="1"/>
  <c r="I2600" i="1"/>
  <c r="S2600" i="1"/>
  <c r="B2601" i="1"/>
  <c r="E2601" i="1"/>
  <c r="I2601" i="1"/>
  <c r="S2601" i="1"/>
  <c r="B2602" i="1"/>
  <c r="E2602" i="1"/>
  <c r="I2602" i="1"/>
  <c r="S2602" i="1"/>
  <c r="B2603" i="1"/>
  <c r="E2603" i="1"/>
  <c r="I2603" i="1"/>
  <c r="S2603" i="1"/>
  <c r="B2604" i="1"/>
  <c r="E2604" i="1"/>
  <c r="I2604" i="1"/>
  <c r="S2604" i="1"/>
  <c r="B2605" i="1"/>
  <c r="E2605" i="1"/>
  <c r="I2605" i="1"/>
  <c r="S2605" i="1"/>
  <c r="B2606" i="1"/>
  <c r="E2606" i="1"/>
  <c r="I2606" i="1"/>
  <c r="S2606" i="1"/>
  <c r="B2607" i="1"/>
  <c r="E2607" i="1"/>
  <c r="I2607" i="1"/>
  <c r="S2607" i="1"/>
  <c r="B2608" i="1"/>
  <c r="E2608" i="1"/>
  <c r="I2608" i="1"/>
  <c r="S2608" i="1"/>
  <c r="B2609" i="1"/>
  <c r="E2609" i="1"/>
  <c r="I2609" i="1"/>
  <c r="S2609" i="1"/>
  <c r="B2610" i="1"/>
  <c r="E2610" i="1"/>
  <c r="I2610" i="1"/>
  <c r="S2610" i="1"/>
  <c r="B2611" i="1"/>
  <c r="E2611" i="1"/>
  <c r="I2611" i="1"/>
  <c r="S2611" i="1"/>
  <c r="B2612" i="1"/>
  <c r="E2612" i="1"/>
  <c r="I2612" i="1"/>
  <c r="S2612" i="1"/>
  <c r="B2613" i="1"/>
  <c r="E2613" i="1"/>
  <c r="I2613" i="1"/>
  <c r="S2613" i="1"/>
  <c r="B2614" i="1"/>
  <c r="E2614" i="1"/>
  <c r="I2614" i="1"/>
  <c r="S2614" i="1"/>
  <c r="B2615" i="1"/>
  <c r="E2615" i="1"/>
  <c r="I2615" i="1"/>
  <c r="S2615" i="1"/>
  <c r="B2616" i="1"/>
  <c r="E2616" i="1"/>
  <c r="I2616" i="1"/>
  <c r="S2616" i="1"/>
  <c r="B2617" i="1"/>
  <c r="E2617" i="1"/>
  <c r="I2617" i="1"/>
  <c r="S2617" i="1"/>
  <c r="B2618" i="1"/>
  <c r="E2618" i="1"/>
  <c r="I2618" i="1"/>
  <c r="S2618" i="1"/>
  <c r="B2619" i="1"/>
  <c r="E2619" i="1"/>
  <c r="I2619" i="1"/>
  <c r="S2619" i="1"/>
  <c r="B2620" i="1"/>
  <c r="E2620" i="1"/>
  <c r="I2620" i="1"/>
  <c r="S2620" i="1"/>
  <c r="B2621" i="1"/>
  <c r="E2621" i="1"/>
  <c r="I2621" i="1"/>
  <c r="S2621" i="1"/>
  <c r="B2622" i="1"/>
  <c r="E2622" i="1"/>
  <c r="I2622" i="1"/>
  <c r="S2622" i="1"/>
  <c r="B2623" i="1"/>
  <c r="E2623" i="1"/>
  <c r="I2623" i="1"/>
  <c r="S2623" i="1"/>
  <c r="B2624" i="1"/>
  <c r="E2624" i="1"/>
  <c r="I2624" i="1"/>
  <c r="S2624" i="1"/>
  <c r="B2625" i="1"/>
  <c r="E2625" i="1"/>
  <c r="I2625" i="1"/>
  <c r="S2625" i="1"/>
  <c r="B2626" i="1"/>
  <c r="E2626" i="1"/>
  <c r="I2626" i="1"/>
  <c r="S2626" i="1"/>
  <c r="B2627" i="1"/>
  <c r="E2627" i="1"/>
  <c r="I2627" i="1"/>
  <c r="S2627" i="1"/>
  <c r="B2628" i="1"/>
  <c r="E2628" i="1"/>
  <c r="I2628" i="1"/>
  <c r="S2628" i="1"/>
  <c r="B2629" i="1"/>
  <c r="E2629" i="1"/>
  <c r="I2629" i="1"/>
  <c r="S2629" i="1"/>
  <c r="B2630" i="1"/>
  <c r="E2630" i="1"/>
  <c r="I2630" i="1"/>
  <c r="S2630" i="1"/>
  <c r="B2631" i="1"/>
  <c r="E2631" i="1"/>
  <c r="I2631" i="1"/>
  <c r="S2631" i="1"/>
  <c r="B2632" i="1"/>
  <c r="E2632" i="1"/>
  <c r="I2632" i="1"/>
  <c r="B2633" i="1"/>
  <c r="E2633" i="1"/>
  <c r="I2633" i="1"/>
  <c r="S2633" i="1"/>
  <c r="B2634" i="1"/>
  <c r="E2634" i="1"/>
  <c r="I2634" i="1"/>
  <c r="S2634" i="1"/>
  <c r="B2635" i="1"/>
  <c r="E2635" i="1"/>
  <c r="I2635" i="1"/>
  <c r="S2635" i="1"/>
  <c r="B2636" i="1"/>
  <c r="E2636" i="1"/>
  <c r="I2636" i="1"/>
  <c r="S2636" i="1"/>
  <c r="B2637" i="1"/>
  <c r="E2637" i="1"/>
  <c r="I2637" i="1"/>
  <c r="S2637" i="1"/>
  <c r="B2638" i="1"/>
  <c r="E2638" i="1"/>
  <c r="I2638" i="1"/>
  <c r="S2638" i="1"/>
  <c r="B2639" i="1"/>
  <c r="E2639" i="1"/>
  <c r="I2639" i="1"/>
  <c r="S2639" i="1"/>
  <c r="B2640" i="1"/>
  <c r="E2640" i="1"/>
  <c r="I2640" i="1"/>
  <c r="S2640" i="1"/>
  <c r="B2641" i="1"/>
  <c r="E2641" i="1"/>
  <c r="I2641" i="1"/>
  <c r="S2641" i="1"/>
  <c r="B2642" i="1"/>
  <c r="E2642" i="1"/>
  <c r="I2642" i="1"/>
  <c r="S2642" i="1"/>
  <c r="B2643" i="1"/>
  <c r="E2643" i="1"/>
  <c r="I2643" i="1"/>
  <c r="S2643" i="1"/>
  <c r="B2644" i="1"/>
  <c r="E2644" i="1"/>
  <c r="I2644" i="1"/>
  <c r="S2644" i="1"/>
  <c r="B2645" i="1"/>
  <c r="E2645" i="1"/>
  <c r="I2645" i="1"/>
  <c r="S2645" i="1"/>
  <c r="B2646" i="1"/>
  <c r="E2646" i="1"/>
  <c r="I2646" i="1"/>
  <c r="S2646" i="1"/>
  <c r="B2647" i="1"/>
  <c r="E2647" i="1"/>
  <c r="I2647" i="1"/>
  <c r="S2647" i="1"/>
  <c r="B2648" i="1"/>
  <c r="E2648" i="1"/>
  <c r="I2648" i="1"/>
  <c r="S2648" i="1"/>
  <c r="B2649" i="1"/>
  <c r="E2649" i="1"/>
  <c r="I2649" i="1"/>
  <c r="S2649" i="1"/>
  <c r="B2650" i="1"/>
  <c r="E2650" i="1"/>
  <c r="I2650" i="1"/>
  <c r="S2650" i="1"/>
  <c r="B2651" i="1"/>
  <c r="E2651" i="1"/>
  <c r="I2651" i="1"/>
  <c r="S2651" i="1"/>
  <c r="B2652" i="1"/>
  <c r="E2652" i="1"/>
  <c r="I2652" i="1"/>
  <c r="S2652" i="1"/>
  <c r="B2653" i="1"/>
  <c r="E2653" i="1"/>
  <c r="I2653" i="1"/>
  <c r="S2653" i="1"/>
  <c r="B2654" i="1"/>
  <c r="E2654" i="1"/>
  <c r="I2654" i="1"/>
  <c r="S2654" i="1"/>
  <c r="B2655" i="1"/>
  <c r="E2655" i="1"/>
  <c r="I2655" i="1"/>
  <c r="S2655" i="1"/>
  <c r="B2656" i="1"/>
  <c r="E2656" i="1"/>
  <c r="I2656" i="1"/>
  <c r="S2656" i="1"/>
  <c r="B2657" i="1"/>
  <c r="E2657" i="1"/>
  <c r="I2657" i="1"/>
  <c r="S2657" i="1"/>
  <c r="B2658" i="1"/>
  <c r="E2658" i="1"/>
  <c r="I2658" i="1"/>
  <c r="S2658" i="1"/>
  <c r="B2659" i="1"/>
  <c r="E2659" i="1"/>
  <c r="I2659" i="1"/>
  <c r="S2659" i="1"/>
  <c r="B2660" i="1"/>
  <c r="E2660" i="1"/>
  <c r="I2660" i="1"/>
  <c r="S2660" i="1"/>
  <c r="B2661" i="1"/>
  <c r="E2661" i="1"/>
  <c r="I2661" i="1"/>
  <c r="S2661" i="1"/>
  <c r="B2662" i="1"/>
  <c r="E2662" i="1"/>
  <c r="I2662" i="1"/>
  <c r="S2662" i="1"/>
  <c r="B2663" i="1"/>
  <c r="E2663" i="1"/>
  <c r="I2663" i="1"/>
  <c r="S2663" i="1"/>
  <c r="B2664" i="1"/>
  <c r="E2664" i="1"/>
  <c r="I2664" i="1"/>
  <c r="S2664" i="1"/>
  <c r="B2665" i="1"/>
  <c r="E2665" i="1"/>
  <c r="I2665" i="1"/>
  <c r="S2665" i="1"/>
  <c r="B2666" i="1"/>
  <c r="E2666" i="1"/>
  <c r="I2666" i="1"/>
  <c r="S2666" i="1"/>
  <c r="B2667" i="1"/>
  <c r="E2667" i="1"/>
  <c r="I2667" i="1"/>
  <c r="S2667" i="1"/>
  <c r="B2668" i="1"/>
  <c r="E2668" i="1"/>
  <c r="I2668" i="1"/>
  <c r="S2668" i="1"/>
  <c r="B2669" i="1"/>
  <c r="E2669" i="1"/>
  <c r="I2669" i="1"/>
  <c r="S2669" i="1"/>
  <c r="B2670" i="1"/>
  <c r="E2670" i="1"/>
  <c r="I2670" i="1"/>
  <c r="S2670" i="1"/>
  <c r="B2671" i="1"/>
  <c r="E2671" i="1"/>
  <c r="I2671" i="1"/>
  <c r="S2671" i="1"/>
  <c r="B2672" i="1"/>
  <c r="E2672" i="1"/>
  <c r="I2672" i="1"/>
  <c r="S2672" i="1"/>
  <c r="B2673" i="1"/>
  <c r="E2673" i="1"/>
  <c r="I2673" i="1"/>
  <c r="S2673" i="1"/>
  <c r="B2674" i="1"/>
  <c r="E2674" i="1"/>
  <c r="I2674" i="1"/>
  <c r="S2674" i="1"/>
  <c r="B2675" i="1"/>
  <c r="E2675" i="1"/>
  <c r="I2675" i="1"/>
  <c r="S2675" i="1"/>
  <c r="B2676" i="1"/>
  <c r="E2676" i="1"/>
  <c r="I2676" i="1"/>
  <c r="S2676" i="1"/>
  <c r="B2677" i="1"/>
  <c r="E2677" i="1"/>
  <c r="I2677" i="1"/>
  <c r="S2677" i="1"/>
  <c r="B2678" i="1"/>
  <c r="E2678" i="1"/>
  <c r="I2678" i="1"/>
  <c r="S2678" i="1"/>
  <c r="B2679" i="1"/>
  <c r="E2679" i="1"/>
  <c r="I2679" i="1"/>
  <c r="S2679" i="1"/>
  <c r="B2680" i="1"/>
  <c r="E2680" i="1"/>
  <c r="I2680" i="1"/>
  <c r="S2680" i="1"/>
  <c r="B2681" i="1"/>
  <c r="E2681" i="1"/>
  <c r="I2681" i="1"/>
  <c r="S2681" i="1"/>
  <c r="B2682" i="1"/>
  <c r="E2682" i="1"/>
  <c r="I2682" i="1"/>
  <c r="S2682" i="1"/>
  <c r="B2683" i="1"/>
  <c r="E2683" i="1"/>
  <c r="I2683" i="1"/>
  <c r="S2683" i="1"/>
  <c r="B2684" i="1"/>
  <c r="E2684" i="1"/>
  <c r="I2684" i="1"/>
  <c r="S2684" i="1"/>
  <c r="B2685" i="1"/>
  <c r="E2685" i="1"/>
  <c r="I2685" i="1"/>
  <c r="S2685" i="1"/>
  <c r="B2686" i="1"/>
  <c r="E2686" i="1"/>
  <c r="I2686" i="1"/>
  <c r="S2686" i="1"/>
  <c r="B2687" i="1"/>
  <c r="E2687" i="1"/>
  <c r="I2687" i="1"/>
  <c r="S2687" i="1"/>
  <c r="B2688" i="1"/>
  <c r="E2688" i="1"/>
  <c r="I2688" i="1"/>
  <c r="S2688" i="1"/>
  <c r="B2689" i="1"/>
  <c r="E2689" i="1"/>
  <c r="I2689" i="1"/>
  <c r="S2689" i="1"/>
  <c r="B2690" i="1"/>
  <c r="E2690" i="1"/>
  <c r="I2690" i="1"/>
  <c r="S2690" i="1"/>
  <c r="B2691" i="1"/>
  <c r="E2691" i="1"/>
  <c r="I2691" i="1"/>
  <c r="S2691" i="1"/>
  <c r="B2692" i="1"/>
  <c r="E2692" i="1"/>
  <c r="I2692" i="1"/>
  <c r="S2692" i="1"/>
  <c r="B2693" i="1"/>
  <c r="E2693" i="1"/>
  <c r="I2693" i="1"/>
  <c r="S2693" i="1"/>
  <c r="B2694" i="1"/>
  <c r="E2694" i="1"/>
  <c r="I2694" i="1"/>
  <c r="S2694" i="1"/>
  <c r="B2695" i="1"/>
  <c r="E2695" i="1"/>
  <c r="I2695" i="1"/>
  <c r="S2695" i="1"/>
  <c r="B2696" i="1"/>
  <c r="E2696" i="1"/>
  <c r="I2696" i="1"/>
  <c r="S2696" i="1"/>
  <c r="B2697" i="1"/>
  <c r="E2697" i="1"/>
  <c r="I2697" i="1"/>
  <c r="S2697" i="1"/>
  <c r="B2698" i="1"/>
  <c r="E2698" i="1"/>
  <c r="I2698" i="1"/>
  <c r="S2698" i="1"/>
  <c r="B2699" i="1"/>
  <c r="E2699" i="1"/>
  <c r="I2699" i="1"/>
  <c r="S2699" i="1"/>
  <c r="B2700" i="1"/>
  <c r="E2700" i="1"/>
  <c r="I2700" i="1"/>
  <c r="S2700" i="1"/>
  <c r="B2701" i="1"/>
  <c r="E2701" i="1"/>
  <c r="I2701" i="1"/>
  <c r="S2701" i="1"/>
  <c r="B2702" i="1"/>
  <c r="E2702" i="1"/>
  <c r="I2702" i="1"/>
  <c r="S2702" i="1"/>
  <c r="B2703" i="1"/>
  <c r="E2703" i="1"/>
  <c r="I2703" i="1"/>
  <c r="S2703" i="1"/>
  <c r="B2704" i="1"/>
  <c r="E2704" i="1"/>
  <c r="I2704" i="1"/>
  <c r="S2704" i="1"/>
  <c r="B2705" i="1"/>
  <c r="E2705" i="1"/>
  <c r="I2705" i="1"/>
  <c r="S2705" i="1"/>
  <c r="B2706" i="1"/>
  <c r="E2706" i="1"/>
  <c r="I2706" i="1"/>
  <c r="S2706" i="1"/>
  <c r="B2707" i="1"/>
  <c r="E2707" i="1"/>
  <c r="I2707" i="1"/>
  <c r="S2707" i="1"/>
  <c r="B2708" i="1"/>
  <c r="E2708" i="1"/>
  <c r="I2708" i="1"/>
  <c r="S2708" i="1"/>
  <c r="B2709" i="1"/>
  <c r="E2709" i="1"/>
  <c r="I2709" i="1"/>
  <c r="S2709" i="1"/>
  <c r="B2710" i="1"/>
  <c r="E2710" i="1"/>
  <c r="I2710" i="1"/>
  <c r="S2710" i="1"/>
  <c r="B2711" i="1"/>
  <c r="E2711" i="1"/>
  <c r="I2711" i="1"/>
  <c r="S2711" i="1"/>
  <c r="B2712" i="1"/>
  <c r="E2712" i="1"/>
  <c r="I2712" i="1"/>
  <c r="S2712" i="1"/>
  <c r="B2713" i="1"/>
  <c r="E2713" i="1"/>
  <c r="I2713" i="1"/>
  <c r="S2713" i="1"/>
  <c r="B2714" i="1"/>
  <c r="E2714" i="1"/>
  <c r="I2714" i="1"/>
  <c r="S2714" i="1"/>
  <c r="B2715" i="1"/>
  <c r="E2715" i="1"/>
  <c r="I2715" i="1"/>
  <c r="S2715" i="1"/>
  <c r="B2716" i="1"/>
  <c r="E2716" i="1"/>
  <c r="I2716" i="1"/>
  <c r="S2716" i="1"/>
  <c r="B2717" i="1"/>
  <c r="E2717" i="1"/>
  <c r="I2717" i="1"/>
  <c r="S2717" i="1"/>
  <c r="B2718" i="1"/>
  <c r="E2718" i="1"/>
  <c r="I2718" i="1"/>
  <c r="S2718" i="1"/>
  <c r="B2719" i="1"/>
  <c r="E2719" i="1"/>
  <c r="I2719" i="1"/>
  <c r="S2719" i="1"/>
  <c r="B2720" i="1"/>
  <c r="E2720" i="1"/>
  <c r="I2720" i="1"/>
  <c r="S2720" i="1"/>
  <c r="B2721" i="1"/>
  <c r="E2721" i="1"/>
  <c r="I2721" i="1"/>
  <c r="S2721" i="1"/>
  <c r="B2722" i="1"/>
  <c r="E2722" i="1"/>
  <c r="I2722" i="1"/>
  <c r="S2722" i="1"/>
  <c r="B2723" i="1"/>
  <c r="E2723" i="1"/>
  <c r="I2723" i="1"/>
  <c r="S2723" i="1"/>
  <c r="B2724" i="1"/>
  <c r="E2724" i="1"/>
  <c r="I2724" i="1"/>
  <c r="S2724" i="1"/>
  <c r="B2725" i="1"/>
  <c r="E2725" i="1"/>
  <c r="I2725" i="1"/>
  <c r="S2725" i="1"/>
  <c r="B2726" i="1"/>
  <c r="E2726" i="1"/>
  <c r="I2726" i="1"/>
  <c r="S2726" i="1"/>
  <c r="B2727" i="1"/>
  <c r="E2727" i="1"/>
  <c r="I2727" i="1"/>
  <c r="S2727" i="1"/>
  <c r="B2728" i="1"/>
  <c r="E2728" i="1"/>
  <c r="I2728" i="1"/>
  <c r="B2729" i="1"/>
  <c r="E2729" i="1"/>
  <c r="I2729" i="1"/>
  <c r="S2729" i="1"/>
  <c r="B2730" i="1"/>
  <c r="E2730" i="1"/>
  <c r="I2730" i="1"/>
  <c r="S2730" i="1"/>
  <c r="B2731" i="1"/>
  <c r="E2731" i="1"/>
  <c r="I2731" i="1"/>
  <c r="S2731" i="1"/>
  <c r="B2732" i="1"/>
  <c r="E2732" i="1"/>
  <c r="I2732" i="1"/>
  <c r="S2732" i="1"/>
  <c r="B2733" i="1"/>
  <c r="E2733" i="1"/>
  <c r="I2733" i="1"/>
  <c r="S2733" i="1"/>
  <c r="B2734" i="1"/>
  <c r="E2734" i="1"/>
  <c r="I2734" i="1"/>
  <c r="S2734" i="1"/>
  <c r="B2735" i="1"/>
  <c r="E2735" i="1"/>
  <c r="I2735" i="1"/>
  <c r="S2735" i="1"/>
  <c r="B2736" i="1"/>
  <c r="E2736" i="1"/>
  <c r="I2736" i="1"/>
  <c r="S2736" i="1"/>
  <c r="B2737" i="1"/>
  <c r="E2737" i="1"/>
  <c r="I2737" i="1"/>
  <c r="S2737" i="1"/>
  <c r="B2738" i="1"/>
  <c r="E2738" i="1"/>
  <c r="I2738" i="1"/>
  <c r="S2738" i="1"/>
  <c r="B2739" i="1"/>
  <c r="E2739" i="1"/>
  <c r="I2739" i="1"/>
  <c r="S2739" i="1"/>
  <c r="B2740" i="1"/>
  <c r="E2740" i="1"/>
  <c r="I2740" i="1"/>
  <c r="S2740" i="1"/>
  <c r="B2741" i="1"/>
  <c r="E2741" i="1"/>
  <c r="I2741" i="1"/>
  <c r="S2741" i="1"/>
  <c r="B2742" i="1"/>
  <c r="E2742" i="1"/>
  <c r="I2742" i="1"/>
  <c r="S2742" i="1"/>
  <c r="B2743" i="1"/>
  <c r="E2743" i="1"/>
  <c r="I2743" i="1"/>
  <c r="S2743" i="1"/>
  <c r="B2744" i="1"/>
  <c r="E2744" i="1"/>
  <c r="I2744" i="1"/>
  <c r="S2744" i="1"/>
  <c r="B2745" i="1"/>
  <c r="E2745" i="1"/>
  <c r="I2745" i="1"/>
  <c r="S2745" i="1"/>
  <c r="B2746" i="1"/>
  <c r="E2746" i="1"/>
  <c r="I2746" i="1"/>
  <c r="S2746" i="1"/>
  <c r="B2747" i="1"/>
  <c r="E2747" i="1"/>
  <c r="I2747" i="1"/>
  <c r="S2747" i="1"/>
  <c r="B2748" i="1"/>
  <c r="E2748" i="1"/>
  <c r="I2748" i="1"/>
  <c r="B2749" i="1"/>
  <c r="E2749" i="1"/>
  <c r="I2749" i="1"/>
  <c r="S2749" i="1"/>
  <c r="B2750" i="1"/>
  <c r="E2750" i="1"/>
  <c r="I2750" i="1"/>
  <c r="S2750" i="1"/>
  <c r="B2751" i="1"/>
  <c r="E2751" i="1"/>
  <c r="I2751" i="1"/>
  <c r="S2751" i="1"/>
  <c r="B2752" i="1"/>
  <c r="E2752" i="1"/>
  <c r="I2752" i="1"/>
  <c r="S2752" i="1"/>
  <c r="B2753" i="1"/>
  <c r="E2753" i="1"/>
  <c r="I2753" i="1"/>
  <c r="S2753" i="1"/>
  <c r="B2754" i="1"/>
  <c r="E2754" i="1"/>
  <c r="I2754" i="1"/>
  <c r="S2754" i="1"/>
  <c r="B2755" i="1"/>
  <c r="E2755" i="1"/>
  <c r="I2755" i="1"/>
  <c r="S2755" i="1"/>
  <c r="B2756" i="1"/>
  <c r="E2756" i="1"/>
  <c r="I2756" i="1"/>
  <c r="S2756" i="1"/>
  <c r="B2757" i="1"/>
  <c r="E2757" i="1"/>
  <c r="I2757" i="1"/>
  <c r="S2757" i="1"/>
  <c r="B2758" i="1"/>
  <c r="E2758" i="1"/>
  <c r="I2758" i="1"/>
  <c r="S2758" i="1"/>
  <c r="B2759" i="1"/>
  <c r="E2759" i="1"/>
  <c r="I2759" i="1"/>
  <c r="S2759" i="1"/>
  <c r="B2760" i="1"/>
  <c r="E2760" i="1"/>
  <c r="I2760" i="1"/>
  <c r="S2760" i="1"/>
  <c r="B2761" i="1"/>
  <c r="E2761" i="1"/>
  <c r="I2761" i="1"/>
  <c r="S2761" i="1"/>
  <c r="B2762" i="1"/>
  <c r="E2762" i="1"/>
  <c r="I2762" i="1"/>
  <c r="S2762" i="1"/>
  <c r="B2763" i="1"/>
  <c r="E2763" i="1"/>
  <c r="I2763" i="1"/>
  <c r="S2763" i="1"/>
  <c r="B2764" i="1"/>
  <c r="E2764" i="1"/>
  <c r="I2764" i="1"/>
  <c r="S2764" i="1"/>
  <c r="B2765" i="1"/>
  <c r="E2765" i="1"/>
  <c r="I2765" i="1"/>
  <c r="S2765" i="1"/>
  <c r="B2766" i="1"/>
  <c r="E2766" i="1"/>
  <c r="I2766" i="1"/>
  <c r="S2766" i="1"/>
  <c r="B2767" i="1"/>
  <c r="E2767" i="1"/>
  <c r="I2767" i="1"/>
  <c r="S2767" i="1"/>
  <c r="B2768" i="1"/>
  <c r="E2768" i="1"/>
  <c r="I2768" i="1"/>
  <c r="S2768" i="1"/>
  <c r="B2769" i="1"/>
  <c r="E2769" i="1"/>
  <c r="I2769" i="1"/>
  <c r="S2769" i="1"/>
  <c r="B2770" i="1"/>
  <c r="E2770" i="1"/>
  <c r="I2770" i="1"/>
  <c r="S2770" i="1"/>
  <c r="B2771" i="1"/>
  <c r="E2771" i="1"/>
  <c r="I2771" i="1"/>
  <c r="S2771" i="1"/>
  <c r="B2772" i="1"/>
  <c r="E2772" i="1"/>
  <c r="I2772" i="1"/>
  <c r="S2772" i="1"/>
  <c r="B2773" i="1"/>
  <c r="E2773" i="1"/>
  <c r="I2773" i="1"/>
  <c r="S2773" i="1"/>
  <c r="B2774" i="1"/>
  <c r="E2774" i="1"/>
  <c r="I2774" i="1"/>
  <c r="S2774" i="1"/>
  <c r="B2775" i="1"/>
  <c r="E2775" i="1"/>
  <c r="I2775" i="1"/>
  <c r="S2775" i="1"/>
  <c r="B2776" i="1"/>
  <c r="E2776" i="1"/>
  <c r="I2776" i="1"/>
  <c r="S2776" i="1"/>
  <c r="B2777" i="1"/>
  <c r="E2777" i="1"/>
  <c r="I2777" i="1"/>
  <c r="S2777" i="1"/>
  <c r="B2778" i="1"/>
  <c r="E2778" i="1"/>
  <c r="I2778" i="1"/>
  <c r="S2778" i="1"/>
  <c r="B2779" i="1"/>
  <c r="E2779" i="1"/>
  <c r="I2779" i="1"/>
  <c r="S2779" i="1"/>
  <c r="B2780" i="1"/>
  <c r="E2780" i="1"/>
  <c r="I2780" i="1"/>
  <c r="S2780" i="1"/>
  <c r="B2781" i="1"/>
  <c r="E2781" i="1"/>
  <c r="I2781" i="1"/>
  <c r="S2781" i="1"/>
  <c r="B2782" i="1"/>
  <c r="E2782" i="1"/>
  <c r="I2782" i="1"/>
  <c r="S2782" i="1"/>
  <c r="B2783" i="1"/>
  <c r="E2783" i="1"/>
  <c r="I2783" i="1"/>
  <c r="S2783" i="1"/>
  <c r="B2784" i="1"/>
  <c r="E2784" i="1"/>
  <c r="I2784" i="1"/>
  <c r="S2784" i="1"/>
  <c r="B2785" i="1"/>
  <c r="E2785" i="1"/>
  <c r="I2785" i="1"/>
  <c r="S2785" i="1"/>
  <c r="B2786" i="1"/>
  <c r="E2786" i="1"/>
  <c r="I2786" i="1"/>
  <c r="S2786" i="1"/>
  <c r="B2787" i="1"/>
  <c r="E2787" i="1"/>
  <c r="I2787" i="1"/>
  <c r="S2787" i="1"/>
  <c r="B2788" i="1"/>
  <c r="E2788" i="1"/>
  <c r="I2788" i="1"/>
  <c r="S2788" i="1"/>
  <c r="B2789" i="1"/>
  <c r="E2789" i="1"/>
  <c r="I2789" i="1"/>
  <c r="S2789" i="1"/>
  <c r="B2790" i="1"/>
  <c r="E2790" i="1"/>
  <c r="I2790" i="1"/>
  <c r="S2790" i="1"/>
  <c r="B2791" i="1"/>
  <c r="E2791" i="1"/>
  <c r="I2791" i="1"/>
  <c r="S2791" i="1"/>
  <c r="B2792" i="1"/>
  <c r="E2792" i="1"/>
  <c r="I2792" i="1"/>
  <c r="S2792" i="1"/>
  <c r="B2793" i="1"/>
  <c r="E2793" i="1"/>
  <c r="I2793" i="1"/>
  <c r="S2793" i="1"/>
  <c r="B2794" i="1"/>
  <c r="E2794" i="1"/>
  <c r="I2794" i="1"/>
  <c r="S2794" i="1"/>
  <c r="B2795" i="1"/>
  <c r="E2795" i="1"/>
  <c r="I2795" i="1"/>
  <c r="S2795" i="1"/>
  <c r="B2796" i="1"/>
  <c r="E2796" i="1"/>
  <c r="I2796" i="1"/>
  <c r="S2796" i="1"/>
  <c r="B2797" i="1"/>
  <c r="E2797" i="1"/>
  <c r="I2797" i="1"/>
  <c r="S2797" i="1"/>
  <c r="B2798" i="1"/>
  <c r="E2798" i="1"/>
  <c r="I2798" i="1"/>
  <c r="S2798" i="1"/>
  <c r="B2799" i="1"/>
  <c r="E2799" i="1"/>
  <c r="I2799" i="1"/>
  <c r="S2799" i="1"/>
  <c r="B2800" i="1"/>
  <c r="E2800" i="1"/>
  <c r="I2800" i="1"/>
  <c r="S2800" i="1"/>
  <c r="B2801" i="1"/>
  <c r="E2801" i="1"/>
  <c r="I2801" i="1"/>
  <c r="B2802" i="1"/>
  <c r="E2802" i="1"/>
  <c r="I2802" i="1"/>
  <c r="S2802" i="1"/>
  <c r="B2803" i="1"/>
  <c r="E2803" i="1"/>
  <c r="I2803" i="1"/>
  <c r="S2803" i="1"/>
  <c r="B2804" i="1"/>
  <c r="E2804" i="1"/>
  <c r="I2804" i="1"/>
  <c r="S2804" i="1"/>
  <c r="B2805" i="1"/>
  <c r="E2805" i="1"/>
  <c r="I2805" i="1"/>
  <c r="S2805" i="1"/>
  <c r="B2806" i="1"/>
  <c r="E2806" i="1"/>
  <c r="I2806" i="1"/>
  <c r="S2806" i="1"/>
  <c r="B2807" i="1"/>
  <c r="E2807" i="1"/>
  <c r="I2807" i="1"/>
  <c r="S2807" i="1"/>
  <c r="B2808" i="1"/>
  <c r="E2808" i="1"/>
  <c r="I2808" i="1"/>
  <c r="S2808" i="1"/>
  <c r="B2809" i="1"/>
  <c r="E2809" i="1"/>
  <c r="I2809" i="1"/>
  <c r="S2809" i="1"/>
  <c r="B2810" i="1"/>
  <c r="E2810" i="1"/>
  <c r="I2810" i="1"/>
  <c r="S2810" i="1"/>
  <c r="B2811" i="1"/>
  <c r="E2811" i="1"/>
  <c r="I2811" i="1"/>
  <c r="S2811" i="1"/>
  <c r="B2812" i="1"/>
  <c r="E2812" i="1"/>
  <c r="I2812" i="1"/>
  <c r="S2812" i="1"/>
  <c r="B2813" i="1"/>
  <c r="E2813" i="1"/>
  <c r="I2813" i="1"/>
  <c r="S2813" i="1"/>
  <c r="B2814" i="1"/>
  <c r="E2814" i="1"/>
  <c r="I2814" i="1"/>
  <c r="S2814" i="1"/>
  <c r="B2815" i="1"/>
  <c r="E2815" i="1"/>
  <c r="I2815" i="1"/>
  <c r="S2815" i="1"/>
  <c r="B2816" i="1"/>
  <c r="E2816" i="1"/>
  <c r="I2816" i="1"/>
  <c r="S2816" i="1"/>
  <c r="B2817" i="1"/>
  <c r="E2817" i="1"/>
  <c r="I2817" i="1"/>
  <c r="S2817" i="1"/>
  <c r="B2818" i="1"/>
  <c r="E2818" i="1"/>
  <c r="I2818" i="1"/>
  <c r="S2818" i="1"/>
  <c r="B2819" i="1"/>
  <c r="E2819" i="1"/>
  <c r="I2819" i="1"/>
  <c r="S2819" i="1"/>
  <c r="B2820" i="1"/>
  <c r="E2820" i="1"/>
  <c r="I2820" i="1"/>
  <c r="S2820" i="1"/>
  <c r="B2821" i="1"/>
  <c r="E2821" i="1"/>
  <c r="I2821" i="1"/>
  <c r="B2822" i="1"/>
  <c r="E2822" i="1"/>
  <c r="I2822" i="1"/>
  <c r="S2822" i="1"/>
  <c r="B2823" i="1"/>
  <c r="E2823" i="1"/>
  <c r="I2823" i="1"/>
  <c r="S2823" i="1"/>
  <c r="B2824" i="1"/>
  <c r="E2824" i="1"/>
  <c r="I2824" i="1"/>
  <c r="S2824" i="1"/>
  <c r="B2825" i="1"/>
  <c r="E2825" i="1"/>
  <c r="I2825" i="1"/>
  <c r="S2825" i="1"/>
  <c r="B2826" i="1"/>
  <c r="E2826" i="1"/>
  <c r="I2826" i="1"/>
  <c r="S2826" i="1"/>
  <c r="B2827" i="1"/>
  <c r="E2827" i="1"/>
  <c r="I2827" i="1"/>
  <c r="S2827" i="1"/>
  <c r="B2828" i="1"/>
  <c r="E2828" i="1"/>
  <c r="I2828" i="1"/>
  <c r="S2828" i="1"/>
  <c r="B2829" i="1"/>
  <c r="E2829" i="1"/>
  <c r="I2829" i="1"/>
  <c r="S2829" i="1"/>
  <c r="B2830" i="1"/>
  <c r="E2830" i="1"/>
  <c r="I2830" i="1"/>
  <c r="S2830" i="1"/>
  <c r="B2831" i="1"/>
  <c r="E2831" i="1"/>
  <c r="I2831" i="1"/>
  <c r="S2831" i="1"/>
  <c r="B2832" i="1"/>
  <c r="E2832" i="1"/>
  <c r="I2832" i="1"/>
  <c r="S2832" i="1"/>
  <c r="B2833" i="1"/>
  <c r="E2833" i="1"/>
  <c r="I2833" i="1"/>
  <c r="S2833" i="1"/>
  <c r="B2834" i="1"/>
  <c r="E2834" i="1"/>
  <c r="I2834" i="1"/>
  <c r="S2834" i="1"/>
  <c r="B2835" i="1"/>
  <c r="E2835" i="1"/>
  <c r="I2835" i="1"/>
  <c r="S2835" i="1"/>
  <c r="B2836" i="1"/>
  <c r="E2836" i="1"/>
  <c r="I2836" i="1"/>
  <c r="S2836" i="1"/>
  <c r="B2837" i="1"/>
  <c r="E2837" i="1"/>
  <c r="I2837" i="1"/>
  <c r="S2837" i="1"/>
  <c r="B2838" i="1"/>
  <c r="E2838" i="1"/>
  <c r="I2838" i="1"/>
  <c r="S2838" i="1"/>
  <c r="B2839" i="1"/>
  <c r="E2839" i="1"/>
  <c r="I2839" i="1"/>
  <c r="S2839" i="1"/>
  <c r="B2840" i="1"/>
  <c r="E2840" i="1"/>
  <c r="I2840" i="1"/>
  <c r="S2840" i="1"/>
  <c r="B2841" i="1"/>
  <c r="E2841" i="1"/>
  <c r="I2841" i="1"/>
  <c r="S2841" i="1"/>
  <c r="B2842" i="1"/>
  <c r="E2842" i="1"/>
  <c r="I2842" i="1"/>
  <c r="S2842" i="1"/>
  <c r="B2843" i="1"/>
  <c r="E2843" i="1"/>
  <c r="I2843" i="1"/>
  <c r="S2843" i="1"/>
  <c r="B2844" i="1"/>
  <c r="E2844" i="1"/>
  <c r="I2844" i="1"/>
  <c r="S2844" i="1"/>
  <c r="B2845" i="1"/>
  <c r="E2845" i="1"/>
  <c r="I2845" i="1"/>
  <c r="S2845" i="1"/>
  <c r="B2846" i="1"/>
  <c r="E2846" i="1"/>
  <c r="I2846" i="1"/>
  <c r="S2846" i="1"/>
  <c r="B2847" i="1"/>
  <c r="E2847" i="1"/>
  <c r="I2847" i="1"/>
  <c r="S2847" i="1"/>
  <c r="B2848" i="1"/>
  <c r="E2848" i="1"/>
  <c r="I2848" i="1"/>
  <c r="S2848" i="1"/>
  <c r="B2849" i="1"/>
  <c r="E2849" i="1"/>
  <c r="I2849" i="1"/>
  <c r="S2849" i="1"/>
  <c r="B2850" i="1"/>
  <c r="E2850" i="1"/>
  <c r="I2850" i="1"/>
  <c r="S2850" i="1"/>
  <c r="B2851" i="1"/>
  <c r="E2851" i="1"/>
  <c r="I2851" i="1"/>
  <c r="S2851" i="1"/>
  <c r="B2852" i="1"/>
  <c r="E2852" i="1"/>
  <c r="I2852" i="1"/>
  <c r="S2852" i="1"/>
  <c r="B2853" i="1"/>
  <c r="E2853" i="1"/>
  <c r="I2853" i="1"/>
  <c r="S2853" i="1"/>
  <c r="B2854" i="1"/>
  <c r="E2854" i="1"/>
  <c r="I2854" i="1"/>
  <c r="S2854" i="1"/>
  <c r="B2855" i="1"/>
  <c r="E2855" i="1"/>
  <c r="I2855" i="1"/>
  <c r="S2855" i="1"/>
  <c r="B2856" i="1"/>
  <c r="E2856" i="1"/>
  <c r="I2856" i="1"/>
  <c r="S2856" i="1"/>
  <c r="B2857" i="1"/>
  <c r="E2857" i="1"/>
  <c r="I2857" i="1"/>
  <c r="S2857" i="1"/>
  <c r="B2858" i="1"/>
  <c r="E2858" i="1"/>
  <c r="I2858" i="1"/>
  <c r="S2858" i="1"/>
  <c r="B2859" i="1"/>
  <c r="E2859" i="1"/>
  <c r="I2859" i="1"/>
  <c r="S2859" i="1"/>
  <c r="B2860" i="1"/>
  <c r="E2860" i="1"/>
  <c r="I2860" i="1"/>
  <c r="S2860" i="1"/>
  <c r="B2861" i="1"/>
  <c r="E2861" i="1"/>
  <c r="I2861" i="1"/>
  <c r="S2861" i="1"/>
  <c r="B2862" i="1"/>
  <c r="E2862" i="1"/>
  <c r="I2862" i="1"/>
  <c r="S2862" i="1"/>
  <c r="B2863" i="1"/>
  <c r="E2863" i="1"/>
  <c r="I2863" i="1"/>
  <c r="S2863" i="1"/>
  <c r="B2864" i="1"/>
  <c r="E2864" i="1"/>
  <c r="I2864" i="1"/>
  <c r="S2864" i="1"/>
  <c r="B2865" i="1"/>
  <c r="E2865" i="1"/>
  <c r="I2865" i="1"/>
  <c r="S2865" i="1"/>
  <c r="B2866" i="1"/>
  <c r="E2866" i="1"/>
  <c r="I2866" i="1"/>
  <c r="S2866" i="1"/>
  <c r="B2867" i="1"/>
  <c r="E2867" i="1"/>
  <c r="I2867" i="1"/>
  <c r="S2867" i="1"/>
  <c r="B2868" i="1"/>
  <c r="E2868" i="1"/>
  <c r="I2868" i="1"/>
  <c r="S2868" i="1"/>
  <c r="B2869" i="1"/>
  <c r="E2869" i="1"/>
  <c r="I2869" i="1"/>
  <c r="S2869" i="1"/>
  <c r="B2870" i="1"/>
  <c r="E2870" i="1"/>
  <c r="I2870" i="1"/>
  <c r="S2870" i="1"/>
  <c r="B2871" i="1"/>
  <c r="E2871" i="1"/>
  <c r="I2871" i="1"/>
  <c r="S2871" i="1"/>
  <c r="B2872" i="1"/>
  <c r="E2872" i="1"/>
  <c r="I2872" i="1"/>
  <c r="S2872" i="1"/>
  <c r="B2873" i="1"/>
  <c r="E2873" i="1"/>
  <c r="I2873" i="1"/>
  <c r="S2873" i="1"/>
  <c r="B2874" i="1"/>
  <c r="E2874" i="1"/>
  <c r="I2874" i="1"/>
  <c r="S2874" i="1"/>
  <c r="B2875" i="1"/>
  <c r="E2875" i="1"/>
  <c r="I2875" i="1"/>
  <c r="S2875" i="1"/>
  <c r="B2876" i="1"/>
  <c r="E2876" i="1"/>
  <c r="I2876" i="1"/>
  <c r="S2876" i="1"/>
  <c r="B2877" i="1"/>
  <c r="E2877" i="1"/>
  <c r="I2877" i="1"/>
  <c r="S2877" i="1"/>
  <c r="B2878" i="1"/>
  <c r="E2878" i="1"/>
  <c r="I2878" i="1"/>
  <c r="B2879" i="1"/>
  <c r="E2879" i="1"/>
  <c r="I2879" i="1"/>
  <c r="S2879" i="1"/>
  <c r="B2880" i="1"/>
  <c r="E2880" i="1"/>
  <c r="I2880" i="1"/>
  <c r="S2880" i="1"/>
  <c r="B2881" i="1"/>
  <c r="E2881" i="1"/>
  <c r="H2881" i="1"/>
  <c r="I2881" i="1"/>
  <c r="S2881" i="1"/>
  <c r="B2882" i="1"/>
  <c r="E2882" i="1"/>
  <c r="I2882" i="1"/>
  <c r="S2882" i="1"/>
  <c r="B2883" i="1"/>
  <c r="E2883" i="1"/>
  <c r="I2883" i="1"/>
  <c r="S2883" i="1"/>
  <c r="B2884" i="1"/>
  <c r="E2884" i="1"/>
  <c r="I2884" i="1"/>
  <c r="S2884" i="1"/>
  <c r="B2885" i="1"/>
  <c r="E2885" i="1"/>
  <c r="I2885" i="1"/>
  <c r="S2885" i="1"/>
  <c r="B2886" i="1"/>
  <c r="E2886" i="1"/>
  <c r="I2886" i="1"/>
  <c r="S2886" i="1"/>
  <c r="B2887" i="1"/>
  <c r="E2887" i="1"/>
  <c r="I2887" i="1"/>
  <c r="S2887" i="1"/>
  <c r="B2888" i="1"/>
  <c r="E2888" i="1"/>
  <c r="I2888" i="1"/>
  <c r="S2888" i="1"/>
  <c r="B2889" i="1"/>
  <c r="E2889" i="1"/>
  <c r="I2889" i="1"/>
  <c r="S2889" i="1"/>
  <c r="B2890" i="1"/>
  <c r="E2890" i="1"/>
  <c r="I2890" i="1"/>
  <c r="S2890" i="1"/>
  <c r="B2891" i="1"/>
  <c r="E2891" i="1"/>
  <c r="I2891" i="1"/>
  <c r="S2891" i="1"/>
  <c r="B2892" i="1"/>
  <c r="E2892" i="1"/>
  <c r="I2892" i="1"/>
  <c r="S2892" i="1"/>
  <c r="B2893" i="1"/>
  <c r="E2893" i="1"/>
  <c r="I2893" i="1"/>
  <c r="S2893" i="1"/>
  <c r="B2894" i="1"/>
  <c r="E2894" i="1"/>
  <c r="I2894" i="1"/>
  <c r="S2894" i="1"/>
  <c r="B2895" i="1"/>
  <c r="E2895" i="1"/>
  <c r="I2895" i="1"/>
  <c r="S2895" i="1"/>
  <c r="B2896" i="1"/>
  <c r="E2896" i="1"/>
  <c r="I2896" i="1"/>
  <c r="S2896" i="1"/>
  <c r="B2897" i="1"/>
  <c r="E2897" i="1"/>
  <c r="I2897" i="1"/>
  <c r="S2897" i="1"/>
  <c r="B2898" i="1"/>
  <c r="E2898" i="1"/>
  <c r="I2898" i="1"/>
  <c r="S2898" i="1"/>
  <c r="B2899" i="1"/>
  <c r="E2899" i="1"/>
  <c r="I2899" i="1"/>
  <c r="S2899" i="1"/>
  <c r="B2900" i="1"/>
  <c r="E2900" i="1"/>
  <c r="I2900" i="1"/>
  <c r="S2900" i="1"/>
  <c r="B2901" i="1"/>
  <c r="E2901" i="1"/>
  <c r="I2901" i="1"/>
  <c r="S2901" i="1"/>
  <c r="B2902" i="1"/>
  <c r="E2902" i="1"/>
  <c r="I2902" i="1"/>
  <c r="S2902" i="1"/>
  <c r="B2903" i="1"/>
  <c r="E2903" i="1"/>
  <c r="I2903" i="1"/>
  <c r="S2903" i="1"/>
  <c r="B2904" i="1"/>
  <c r="E2904" i="1"/>
  <c r="I2904" i="1"/>
  <c r="S2904" i="1"/>
  <c r="B2905" i="1"/>
  <c r="E2905" i="1"/>
  <c r="I2905" i="1"/>
  <c r="S2905" i="1"/>
  <c r="B2906" i="1"/>
  <c r="E2906" i="1"/>
  <c r="I2906" i="1"/>
  <c r="S2906" i="1"/>
  <c r="B2907" i="1"/>
  <c r="E2907" i="1"/>
  <c r="I2907" i="1"/>
  <c r="S2907" i="1"/>
  <c r="B2908" i="1"/>
  <c r="E2908" i="1"/>
  <c r="I2908" i="1"/>
  <c r="S2908" i="1"/>
  <c r="B2909" i="1"/>
  <c r="E2909" i="1"/>
  <c r="I2909" i="1"/>
  <c r="S2909" i="1"/>
  <c r="B2910" i="1"/>
  <c r="E2910" i="1"/>
  <c r="I2910" i="1"/>
  <c r="S2910" i="1"/>
  <c r="B2911" i="1"/>
  <c r="E2911" i="1"/>
  <c r="I2911" i="1"/>
  <c r="S2911" i="1"/>
  <c r="B2912" i="1"/>
  <c r="E2912" i="1"/>
  <c r="I2912" i="1"/>
  <c r="S2912" i="1"/>
  <c r="B2913" i="1"/>
  <c r="E2913" i="1"/>
  <c r="I2913" i="1"/>
  <c r="S2913" i="1"/>
  <c r="B2914" i="1"/>
  <c r="E2914" i="1"/>
  <c r="I2914" i="1"/>
  <c r="S2914" i="1"/>
  <c r="B2915" i="1"/>
  <c r="E2915" i="1"/>
  <c r="I2915" i="1"/>
  <c r="S2915" i="1"/>
  <c r="B2916" i="1"/>
  <c r="E2916" i="1"/>
  <c r="I2916" i="1"/>
  <c r="S2916" i="1"/>
  <c r="B2917" i="1"/>
  <c r="E2917" i="1"/>
  <c r="I2917" i="1"/>
  <c r="S2917" i="1"/>
  <c r="B2918" i="1"/>
  <c r="E2918" i="1"/>
  <c r="I2918" i="1"/>
  <c r="S2918" i="1"/>
  <c r="B2919" i="1"/>
  <c r="E2919" i="1"/>
  <c r="I2919" i="1"/>
  <c r="S2919" i="1"/>
  <c r="B2920" i="1"/>
  <c r="E2920" i="1"/>
  <c r="I2920" i="1"/>
  <c r="S2920" i="1"/>
  <c r="B2921" i="1"/>
  <c r="E2921" i="1"/>
  <c r="I2921" i="1"/>
  <c r="S2921" i="1"/>
  <c r="B2922" i="1"/>
  <c r="E2922" i="1"/>
  <c r="I2922" i="1"/>
  <c r="S2922" i="1"/>
  <c r="B2923" i="1"/>
  <c r="E2923" i="1"/>
  <c r="I2923" i="1"/>
  <c r="S2923" i="1"/>
  <c r="B2924" i="1"/>
  <c r="E2924" i="1"/>
  <c r="I2924" i="1"/>
  <c r="S2924" i="1"/>
  <c r="B2925" i="1"/>
  <c r="E2925" i="1"/>
  <c r="I2925" i="1"/>
  <c r="S2925" i="1"/>
  <c r="B2926" i="1"/>
  <c r="E2926" i="1"/>
  <c r="I2926" i="1"/>
  <c r="S2926" i="1"/>
  <c r="B2927" i="1"/>
  <c r="E2927" i="1"/>
  <c r="I2927" i="1"/>
  <c r="S2927" i="1"/>
  <c r="B2928" i="1"/>
  <c r="E2928" i="1"/>
  <c r="I2928" i="1"/>
  <c r="S2928" i="1"/>
  <c r="B2929" i="1"/>
  <c r="E2929" i="1"/>
  <c r="I2929" i="1"/>
  <c r="S2929" i="1"/>
  <c r="B2930" i="1"/>
  <c r="E2930" i="1"/>
  <c r="I2930" i="1"/>
  <c r="S2930" i="1"/>
  <c r="B2931" i="1"/>
  <c r="E2931" i="1"/>
  <c r="I2931" i="1"/>
  <c r="S2931" i="1"/>
  <c r="B2932" i="1"/>
  <c r="E2932" i="1"/>
  <c r="I2932" i="1"/>
  <c r="S2932" i="1"/>
  <c r="B2933" i="1"/>
  <c r="E2933" i="1"/>
  <c r="I2933" i="1"/>
  <c r="S2933" i="1"/>
  <c r="B2934" i="1"/>
  <c r="E2934" i="1"/>
  <c r="I2934" i="1"/>
  <c r="S2934" i="1"/>
  <c r="B2935" i="1"/>
  <c r="E2935" i="1"/>
  <c r="I2935" i="1"/>
  <c r="S2935" i="1"/>
  <c r="B2936" i="1"/>
  <c r="E2936" i="1"/>
  <c r="I2936" i="1"/>
  <c r="S2936" i="1"/>
  <c r="B2937" i="1"/>
  <c r="E2937" i="1"/>
  <c r="I2937" i="1"/>
  <c r="S2937" i="1"/>
  <c r="B2938" i="1"/>
  <c r="E2938" i="1"/>
  <c r="I2938" i="1"/>
  <c r="S2938" i="1"/>
  <c r="B2939" i="1"/>
  <c r="E2939" i="1"/>
  <c r="I2939" i="1"/>
  <c r="S2939" i="1"/>
  <c r="B2940" i="1"/>
  <c r="E2940" i="1"/>
  <c r="I2940" i="1"/>
  <c r="S2940" i="1"/>
  <c r="B2941" i="1"/>
  <c r="E2941" i="1"/>
  <c r="I2941" i="1"/>
  <c r="S2941" i="1"/>
  <c r="B2942" i="1"/>
  <c r="E2942" i="1"/>
  <c r="I2942" i="1"/>
  <c r="S2942" i="1"/>
  <c r="B2943" i="1"/>
  <c r="E2943" i="1"/>
  <c r="I2943" i="1"/>
  <c r="S2943" i="1"/>
  <c r="B2944" i="1"/>
  <c r="E2944" i="1"/>
  <c r="I2944" i="1"/>
  <c r="S2944" i="1"/>
  <c r="B2945" i="1"/>
  <c r="E2945" i="1"/>
  <c r="I2945" i="1"/>
  <c r="S2945" i="1"/>
  <c r="B2946" i="1"/>
  <c r="E2946" i="1"/>
  <c r="I2946" i="1"/>
  <c r="S2946" i="1"/>
  <c r="B2947" i="1"/>
  <c r="E2947" i="1"/>
  <c r="I2947" i="1"/>
  <c r="S2947" i="1"/>
  <c r="B2948" i="1"/>
  <c r="E2948" i="1"/>
  <c r="I2948" i="1"/>
  <c r="S2948" i="1"/>
  <c r="B2949" i="1"/>
  <c r="E2949" i="1"/>
  <c r="I2949" i="1"/>
  <c r="S2949" i="1"/>
  <c r="B2950" i="1"/>
  <c r="E2950" i="1"/>
  <c r="I2950" i="1"/>
  <c r="S2950" i="1"/>
  <c r="B2951" i="1"/>
  <c r="E2951" i="1"/>
  <c r="I2951" i="1"/>
  <c r="S2951" i="1"/>
  <c r="B2952" i="1"/>
  <c r="E2952" i="1"/>
  <c r="I2952" i="1"/>
  <c r="S2952" i="1"/>
  <c r="B2953" i="1"/>
  <c r="E2953" i="1"/>
  <c r="I2953" i="1"/>
  <c r="S2953" i="1"/>
  <c r="B2954" i="1"/>
  <c r="E2954" i="1"/>
  <c r="I2954" i="1"/>
  <c r="S2954" i="1"/>
  <c r="B2955" i="1"/>
  <c r="E2955" i="1"/>
  <c r="I2955" i="1"/>
  <c r="S2955" i="1"/>
  <c r="B2956" i="1"/>
  <c r="E2956" i="1"/>
  <c r="I2956" i="1"/>
  <c r="S2956" i="1"/>
  <c r="B2957" i="1"/>
  <c r="E2957" i="1"/>
  <c r="I2957" i="1"/>
  <c r="S2957" i="1"/>
  <c r="B2958" i="1"/>
  <c r="E2958" i="1"/>
  <c r="I2958" i="1"/>
  <c r="S2958" i="1"/>
  <c r="B2959" i="1"/>
  <c r="E2959" i="1"/>
  <c r="I2959" i="1"/>
  <c r="S2959" i="1"/>
  <c r="B2960" i="1"/>
  <c r="E2960" i="1"/>
  <c r="I2960" i="1"/>
  <c r="S2960" i="1"/>
  <c r="B2961" i="1"/>
  <c r="E2961" i="1"/>
  <c r="I2961" i="1"/>
  <c r="S2961" i="1"/>
  <c r="B2962" i="1"/>
  <c r="E2962" i="1"/>
  <c r="I2962" i="1"/>
  <c r="S2962" i="1"/>
  <c r="B2963" i="1"/>
  <c r="E2963" i="1"/>
  <c r="I2963" i="1"/>
  <c r="S2963" i="1"/>
  <c r="B2964" i="1"/>
  <c r="E2964" i="1"/>
  <c r="I2964" i="1"/>
  <c r="B2965" i="1"/>
  <c r="E2965" i="1"/>
  <c r="I2965" i="1"/>
  <c r="S2965" i="1"/>
  <c r="B2966" i="1"/>
  <c r="E2966" i="1"/>
  <c r="I2966" i="1"/>
  <c r="S2966" i="1"/>
  <c r="B2967" i="1"/>
  <c r="E2967" i="1"/>
  <c r="I2967" i="1"/>
  <c r="S2967" i="1"/>
  <c r="B2968" i="1"/>
  <c r="E2968" i="1"/>
  <c r="I2968" i="1"/>
  <c r="S2968" i="1"/>
  <c r="B2969" i="1"/>
  <c r="E2969" i="1"/>
  <c r="I2969" i="1"/>
  <c r="S2969" i="1"/>
  <c r="B2970" i="1"/>
  <c r="E2970" i="1"/>
  <c r="I2970" i="1"/>
  <c r="S2970" i="1"/>
  <c r="B2971" i="1"/>
  <c r="E2971" i="1"/>
  <c r="I2971" i="1"/>
  <c r="S2971" i="1"/>
  <c r="B2972" i="1"/>
  <c r="E2972" i="1"/>
  <c r="I2972" i="1"/>
  <c r="S2972" i="1"/>
  <c r="B2973" i="1"/>
  <c r="E2973" i="1"/>
  <c r="I2973" i="1"/>
  <c r="S2973" i="1"/>
  <c r="B2974" i="1"/>
  <c r="E2974" i="1"/>
  <c r="I2974" i="1"/>
  <c r="S2974" i="1"/>
  <c r="B2975" i="1"/>
  <c r="E2975" i="1"/>
  <c r="I2975" i="1"/>
  <c r="S2975" i="1"/>
  <c r="B2976" i="1"/>
  <c r="E2976" i="1"/>
  <c r="I2976" i="1"/>
  <c r="S2976" i="1"/>
  <c r="B2977" i="1"/>
  <c r="E2977" i="1"/>
  <c r="I2977" i="1"/>
  <c r="S2977" i="1"/>
  <c r="B2978" i="1"/>
  <c r="E2978" i="1"/>
  <c r="I2978" i="1"/>
  <c r="S2978" i="1"/>
  <c r="B2979" i="1"/>
  <c r="E2979" i="1"/>
  <c r="I2979" i="1"/>
  <c r="S2979" i="1"/>
  <c r="B2980" i="1"/>
  <c r="E2980" i="1"/>
  <c r="I2980" i="1"/>
  <c r="S2980" i="1"/>
  <c r="B2981" i="1"/>
  <c r="E2981" i="1"/>
  <c r="I2981" i="1"/>
  <c r="S2981" i="1"/>
  <c r="B2982" i="1"/>
  <c r="E2982" i="1"/>
  <c r="I2982" i="1"/>
  <c r="S2982" i="1"/>
  <c r="B2983" i="1"/>
  <c r="E2983" i="1"/>
  <c r="I2983" i="1"/>
  <c r="S2983" i="1"/>
  <c r="B2984" i="1"/>
  <c r="E2984" i="1"/>
  <c r="I2984" i="1"/>
  <c r="S2984" i="1"/>
  <c r="B2985" i="1"/>
  <c r="E2985" i="1"/>
  <c r="I2985" i="1"/>
  <c r="S2985" i="1"/>
  <c r="B2986" i="1"/>
  <c r="E2986" i="1"/>
  <c r="I2986" i="1"/>
  <c r="S2986" i="1"/>
  <c r="B2987" i="1"/>
  <c r="E2987" i="1"/>
  <c r="I2987" i="1"/>
  <c r="S2987" i="1"/>
  <c r="B2988" i="1"/>
  <c r="E2988" i="1"/>
  <c r="I2988" i="1"/>
  <c r="S2988" i="1"/>
  <c r="B2989" i="1"/>
  <c r="E2989" i="1"/>
  <c r="I2989" i="1"/>
  <c r="S2989" i="1"/>
  <c r="B2990" i="1"/>
  <c r="E2990" i="1"/>
  <c r="I2990" i="1"/>
  <c r="S2990" i="1"/>
  <c r="B2991" i="1"/>
  <c r="E2991" i="1"/>
  <c r="I2991" i="1"/>
  <c r="S2991" i="1"/>
  <c r="B2992" i="1"/>
  <c r="E2992" i="1"/>
  <c r="I2992" i="1"/>
  <c r="S2992" i="1"/>
  <c r="B2993" i="1"/>
  <c r="E2993" i="1"/>
  <c r="I2993" i="1"/>
  <c r="S2993" i="1"/>
  <c r="B2994" i="1"/>
  <c r="E2994" i="1"/>
  <c r="I2994" i="1"/>
  <c r="S2994" i="1"/>
  <c r="B2995" i="1"/>
  <c r="E2995" i="1"/>
  <c r="I2995" i="1"/>
  <c r="S2995" i="1"/>
  <c r="B2996" i="1"/>
  <c r="E2996" i="1"/>
  <c r="I2996" i="1"/>
  <c r="S2996" i="1"/>
  <c r="B2997" i="1"/>
  <c r="E2997" i="1"/>
  <c r="I2997" i="1"/>
  <c r="S2997" i="1"/>
  <c r="B2998" i="1"/>
  <c r="E2998" i="1"/>
  <c r="I2998" i="1"/>
  <c r="S2998" i="1"/>
  <c r="B2999" i="1"/>
  <c r="E2999" i="1"/>
  <c r="I2999" i="1"/>
  <c r="S2999" i="1"/>
  <c r="B3000" i="1"/>
  <c r="E3000" i="1"/>
  <c r="I3000" i="1"/>
  <c r="S3000" i="1"/>
  <c r="B3001" i="1"/>
  <c r="E3001" i="1"/>
  <c r="I3001" i="1"/>
  <c r="S3001" i="1"/>
  <c r="B3002" i="1"/>
  <c r="E3002" i="1"/>
  <c r="I3002" i="1"/>
  <c r="S3002" i="1"/>
  <c r="B3003" i="1"/>
  <c r="E3003" i="1"/>
  <c r="I3003" i="1"/>
  <c r="S3003" i="1"/>
  <c r="B3004" i="1"/>
  <c r="E3004" i="1"/>
  <c r="I3004" i="1"/>
  <c r="S3004" i="1"/>
  <c r="B3005" i="1"/>
  <c r="E3005" i="1"/>
  <c r="I3005" i="1"/>
  <c r="S3005" i="1"/>
  <c r="B3006" i="1"/>
  <c r="E3006" i="1"/>
  <c r="I3006" i="1"/>
  <c r="S3006" i="1"/>
  <c r="B3007" i="1"/>
  <c r="E3007" i="1"/>
  <c r="I3007" i="1"/>
  <c r="S3007" i="1"/>
  <c r="B3008" i="1"/>
  <c r="E3008" i="1"/>
  <c r="I3008" i="1"/>
  <c r="S3008" i="1"/>
  <c r="B3009" i="1"/>
  <c r="E3009" i="1"/>
  <c r="I3009" i="1"/>
  <c r="S3009" i="1"/>
  <c r="B3010" i="1"/>
  <c r="E3010" i="1"/>
  <c r="I3010" i="1"/>
  <c r="S3010" i="1"/>
  <c r="B3011" i="1"/>
  <c r="E3011" i="1"/>
  <c r="I3011" i="1"/>
  <c r="S3011" i="1"/>
  <c r="B3012" i="1"/>
  <c r="E3012" i="1"/>
  <c r="I3012" i="1"/>
  <c r="S3012" i="1"/>
  <c r="B3013" i="1"/>
  <c r="E3013" i="1"/>
  <c r="I3013" i="1"/>
  <c r="S3013" i="1"/>
  <c r="B3014" i="1"/>
  <c r="E3014" i="1"/>
  <c r="I3014" i="1"/>
  <c r="B3015" i="1"/>
  <c r="E3015" i="1"/>
  <c r="I3015" i="1"/>
  <c r="S3015" i="1"/>
  <c r="B3016" i="1"/>
  <c r="E3016" i="1"/>
  <c r="I3016" i="1"/>
  <c r="S3016" i="1"/>
  <c r="B3017" i="1"/>
  <c r="E3017" i="1"/>
  <c r="I3017" i="1"/>
  <c r="S3017" i="1"/>
  <c r="B3018" i="1"/>
  <c r="E3018" i="1"/>
  <c r="I3018" i="1"/>
  <c r="S3018" i="1"/>
  <c r="B3019" i="1"/>
  <c r="E3019" i="1"/>
  <c r="I3019" i="1"/>
  <c r="S3019" i="1"/>
  <c r="B3020" i="1"/>
  <c r="E3020" i="1"/>
  <c r="I3020" i="1"/>
  <c r="B3021" i="1"/>
  <c r="E3021" i="1"/>
  <c r="I3021" i="1"/>
  <c r="S3021" i="1"/>
  <c r="B3022" i="1"/>
  <c r="E3022" i="1"/>
  <c r="I3022" i="1"/>
  <c r="S3022" i="1"/>
  <c r="B3023" i="1"/>
  <c r="E3023" i="1"/>
  <c r="I3023" i="1"/>
  <c r="S3023" i="1"/>
  <c r="B3024" i="1"/>
  <c r="E3024" i="1"/>
  <c r="I3024" i="1"/>
  <c r="S3024" i="1"/>
  <c r="B3025" i="1"/>
  <c r="E3025" i="1"/>
  <c r="I3025" i="1"/>
  <c r="S3025" i="1"/>
  <c r="B3026" i="1"/>
  <c r="E3026" i="1"/>
  <c r="I3026" i="1"/>
  <c r="S3026" i="1"/>
  <c r="B3027" i="1"/>
  <c r="E3027" i="1"/>
  <c r="I3027" i="1"/>
  <c r="S3027" i="1"/>
  <c r="B3028" i="1"/>
  <c r="E3028" i="1"/>
  <c r="I3028" i="1"/>
  <c r="S3028" i="1"/>
  <c r="B3029" i="1"/>
  <c r="E3029" i="1"/>
  <c r="I3029" i="1"/>
  <c r="S3029" i="1"/>
  <c r="B3030" i="1"/>
  <c r="E3030" i="1"/>
  <c r="I3030" i="1"/>
  <c r="S3030" i="1"/>
  <c r="B3031" i="1"/>
  <c r="E3031" i="1"/>
  <c r="I3031" i="1"/>
  <c r="S3031" i="1"/>
  <c r="B3032" i="1"/>
  <c r="E3032" i="1"/>
  <c r="I3032" i="1"/>
  <c r="S3032" i="1"/>
  <c r="B3033" i="1"/>
  <c r="E3033" i="1"/>
  <c r="I3033" i="1"/>
  <c r="S3033" i="1"/>
  <c r="B3034" i="1"/>
  <c r="E3034" i="1"/>
  <c r="I3034" i="1"/>
  <c r="S3034" i="1"/>
  <c r="B3035" i="1"/>
  <c r="E3035" i="1"/>
  <c r="I3035" i="1"/>
  <c r="S3035" i="1"/>
  <c r="B3036" i="1"/>
  <c r="E3036" i="1"/>
  <c r="I3036" i="1"/>
  <c r="S3036" i="1"/>
  <c r="B3037" i="1"/>
  <c r="E3037" i="1"/>
  <c r="I3037" i="1"/>
  <c r="S3037" i="1"/>
  <c r="B3038" i="1"/>
  <c r="E3038" i="1"/>
  <c r="I3038" i="1"/>
  <c r="S3038" i="1"/>
  <c r="B3039" i="1"/>
  <c r="E3039" i="1"/>
  <c r="I3039" i="1"/>
  <c r="S3039" i="1"/>
  <c r="B3040" i="1"/>
  <c r="E3040" i="1"/>
  <c r="I3040" i="1"/>
  <c r="S3040" i="1"/>
  <c r="B3041" i="1"/>
  <c r="E3041" i="1"/>
  <c r="I3041" i="1"/>
  <c r="S3041" i="1"/>
  <c r="B3042" i="1"/>
  <c r="E3042" i="1"/>
  <c r="I3042" i="1"/>
  <c r="S3042" i="1"/>
  <c r="B3043" i="1"/>
  <c r="E3043" i="1"/>
  <c r="I3043" i="1"/>
  <c r="S3043" i="1"/>
  <c r="B3044" i="1"/>
  <c r="E3044" i="1"/>
  <c r="I3044" i="1"/>
  <c r="S3044" i="1"/>
  <c r="B3045" i="1"/>
  <c r="E3045" i="1"/>
  <c r="I3045" i="1"/>
  <c r="S3045" i="1"/>
  <c r="B3046" i="1"/>
  <c r="E3046" i="1"/>
  <c r="I3046" i="1"/>
  <c r="S3046" i="1"/>
  <c r="B3047" i="1"/>
  <c r="E3047" i="1"/>
  <c r="I3047" i="1"/>
  <c r="S3047" i="1"/>
  <c r="B3048" i="1"/>
  <c r="E3048" i="1"/>
  <c r="I3048" i="1"/>
  <c r="S3048" i="1"/>
  <c r="B3049" i="1"/>
  <c r="E3049" i="1"/>
  <c r="I3049" i="1"/>
  <c r="S3049" i="1"/>
  <c r="B3050" i="1"/>
  <c r="E3050" i="1"/>
  <c r="I3050" i="1"/>
  <c r="S3050" i="1"/>
  <c r="B3051" i="1"/>
  <c r="E3051" i="1"/>
  <c r="I3051" i="1"/>
  <c r="S3051" i="1"/>
  <c r="B3052" i="1"/>
  <c r="E3052" i="1"/>
  <c r="I3052" i="1"/>
  <c r="S3052" i="1"/>
  <c r="B3053" i="1"/>
  <c r="E3053" i="1"/>
  <c r="I3053" i="1"/>
  <c r="S3053" i="1"/>
  <c r="B3054" i="1"/>
  <c r="E3054" i="1"/>
  <c r="I3054" i="1"/>
  <c r="S3054" i="1"/>
  <c r="B3055" i="1"/>
  <c r="E3055" i="1"/>
  <c r="I3055" i="1"/>
  <c r="S3055" i="1"/>
  <c r="B3056" i="1"/>
  <c r="E3056" i="1"/>
  <c r="I3056" i="1"/>
  <c r="S3056" i="1"/>
  <c r="B3057" i="1"/>
  <c r="E3057" i="1"/>
  <c r="I3057" i="1"/>
  <c r="S3057" i="1"/>
  <c r="B3058" i="1"/>
  <c r="E3058" i="1"/>
  <c r="I3058" i="1"/>
  <c r="S3058" i="1"/>
  <c r="B3059" i="1"/>
  <c r="E3059" i="1"/>
  <c r="I3059" i="1"/>
  <c r="B3060" i="1"/>
  <c r="E3060" i="1"/>
  <c r="I3060" i="1"/>
  <c r="S3060" i="1"/>
  <c r="B3061" i="1"/>
  <c r="E3061" i="1"/>
  <c r="I3061" i="1"/>
  <c r="S3061" i="1"/>
  <c r="B3062" i="1"/>
  <c r="E3062" i="1"/>
  <c r="I3062" i="1"/>
  <c r="S3062" i="1"/>
  <c r="B3063" i="1"/>
  <c r="E3063" i="1"/>
  <c r="I3063" i="1"/>
  <c r="S3063" i="1"/>
  <c r="B3064" i="1"/>
  <c r="E3064" i="1"/>
  <c r="I3064" i="1"/>
  <c r="S3064" i="1"/>
  <c r="B3065" i="1"/>
  <c r="E3065" i="1"/>
  <c r="I3065" i="1"/>
  <c r="S3065" i="1"/>
  <c r="B3066" i="1"/>
  <c r="E3066" i="1"/>
  <c r="I3066" i="1"/>
  <c r="S3066" i="1"/>
  <c r="B3067" i="1"/>
  <c r="E3067" i="1"/>
  <c r="I3067" i="1"/>
  <c r="S3067" i="1"/>
  <c r="B3068" i="1"/>
  <c r="E3068" i="1"/>
  <c r="I3068" i="1"/>
  <c r="S3068" i="1"/>
  <c r="B3069" i="1"/>
  <c r="E3069" i="1"/>
  <c r="I3069" i="1"/>
  <c r="S3069" i="1"/>
  <c r="B3070" i="1"/>
  <c r="E3070" i="1"/>
  <c r="I3070" i="1"/>
  <c r="S3070" i="1"/>
  <c r="B3071" i="1"/>
  <c r="E3071" i="1"/>
  <c r="I3071" i="1"/>
  <c r="S3071" i="1"/>
  <c r="B3072" i="1"/>
  <c r="E3072" i="1"/>
  <c r="I3072" i="1"/>
  <c r="S3072" i="1"/>
  <c r="B3073" i="1"/>
  <c r="E3073" i="1"/>
  <c r="I3073" i="1"/>
  <c r="S3073" i="1"/>
  <c r="B3074" i="1"/>
  <c r="E3074" i="1"/>
  <c r="I3074" i="1"/>
  <c r="S3074" i="1"/>
  <c r="B3075" i="1"/>
  <c r="E3075" i="1"/>
  <c r="I3075" i="1"/>
  <c r="S3075" i="1"/>
  <c r="B3076" i="1"/>
  <c r="E3076" i="1"/>
  <c r="I3076" i="1"/>
  <c r="S3076" i="1"/>
  <c r="B3077" i="1"/>
  <c r="E3077" i="1"/>
  <c r="I3077" i="1"/>
  <c r="B3078" i="1"/>
  <c r="E3078" i="1"/>
  <c r="I3078" i="1"/>
  <c r="S3078" i="1"/>
  <c r="B3079" i="1"/>
  <c r="E3079" i="1"/>
  <c r="I3079" i="1"/>
  <c r="S3079" i="1"/>
  <c r="B3080" i="1"/>
  <c r="E3080" i="1"/>
  <c r="I3080" i="1"/>
  <c r="S3080" i="1"/>
  <c r="B3081" i="1"/>
  <c r="E3081" i="1"/>
  <c r="I3081" i="1"/>
  <c r="S3081" i="1"/>
  <c r="B3082" i="1"/>
  <c r="E3082" i="1"/>
  <c r="I3082" i="1"/>
  <c r="S3082" i="1"/>
  <c r="B3083" i="1"/>
  <c r="E3083" i="1"/>
  <c r="I3083" i="1"/>
  <c r="S3083" i="1"/>
  <c r="B3084" i="1"/>
  <c r="E3084" i="1"/>
  <c r="I3084" i="1"/>
  <c r="S3084" i="1"/>
  <c r="B3085" i="1"/>
  <c r="E3085" i="1"/>
  <c r="I3085" i="1"/>
  <c r="S3085" i="1"/>
  <c r="B3086" i="1"/>
  <c r="E3086" i="1"/>
  <c r="I3086" i="1"/>
  <c r="S3086" i="1"/>
  <c r="B3087" i="1"/>
  <c r="E3087" i="1"/>
  <c r="I3087" i="1"/>
  <c r="S3087" i="1"/>
  <c r="B3088" i="1"/>
  <c r="E3088" i="1"/>
  <c r="I3088" i="1"/>
  <c r="S3088" i="1"/>
  <c r="B3089" i="1"/>
  <c r="E3089" i="1"/>
  <c r="I3089" i="1"/>
  <c r="S3089" i="1"/>
  <c r="B3090" i="1"/>
  <c r="E3090" i="1"/>
  <c r="I3090" i="1"/>
  <c r="S3090" i="1"/>
  <c r="B3091" i="1"/>
  <c r="E3091" i="1"/>
  <c r="I3091" i="1"/>
  <c r="S3091" i="1"/>
  <c r="B3092" i="1"/>
  <c r="E3092" i="1"/>
  <c r="I3092" i="1"/>
  <c r="S3092" i="1"/>
  <c r="B3093" i="1"/>
  <c r="E3093" i="1"/>
  <c r="I3093" i="1"/>
  <c r="S3093" i="1"/>
  <c r="B3094" i="1"/>
  <c r="E3094" i="1"/>
  <c r="I3094" i="1"/>
  <c r="S3094" i="1"/>
  <c r="B3095" i="1"/>
  <c r="E3095" i="1"/>
  <c r="I3095" i="1"/>
  <c r="S3095" i="1"/>
  <c r="B3096" i="1"/>
  <c r="E3096" i="1"/>
  <c r="I3096" i="1"/>
  <c r="S3096" i="1"/>
  <c r="B3097" i="1"/>
  <c r="E3097" i="1"/>
  <c r="I3097" i="1"/>
  <c r="S3097" i="1"/>
  <c r="B3098" i="1"/>
  <c r="E3098" i="1"/>
  <c r="I3098" i="1"/>
  <c r="S3098" i="1"/>
  <c r="B3099" i="1"/>
  <c r="E3099" i="1"/>
  <c r="I3099" i="1"/>
  <c r="S3099" i="1"/>
  <c r="B3100" i="1"/>
  <c r="E3100" i="1"/>
  <c r="I3100" i="1"/>
  <c r="S3100" i="1"/>
  <c r="B3101" i="1"/>
  <c r="E3101" i="1"/>
  <c r="I3101" i="1"/>
  <c r="S3101" i="1"/>
  <c r="B3102" i="1"/>
  <c r="E3102" i="1"/>
  <c r="I3102" i="1"/>
  <c r="S3102" i="1"/>
  <c r="B3103" i="1"/>
  <c r="E3103" i="1"/>
  <c r="I3103" i="1"/>
  <c r="S3103" i="1"/>
  <c r="B3104" i="1"/>
  <c r="E3104" i="1"/>
  <c r="I3104" i="1"/>
  <c r="S3104" i="1"/>
  <c r="B3105" i="1"/>
  <c r="E3105" i="1"/>
  <c r="I3105" i="1"/>
  <c r="S3105" i="1"/>
  <c r="B3106" i="1"/>
  <c r="E3106" i="1"/>
  <c r="I3106" i="1"/>
  <c r="S3106" i="1"/>
  <c r="B3107" i="1"/>
  <c r="E3107" i="1"/>
  <c r="I3107" i="1"/>
  <c r="S3107" i="1"/>
  <c r="B3108" i="1"/>
  <c r="E3108" i="1"/>
  <c r="I3108" i="1"/>
  <c r="S3108" i="1"/>
  <c r="B3109" i="1"/>
  <c r="E3109" i="1"/>
  <c r="I3109" i="1"/>
  <c r="S3109" i="1"/>
  <c r="B3110" i="1"/>
  <c r="E3110" i="1"/>
  <c r="I3110" i="1"/>
  <c r="B3111" i="1"/>
  <c r="E3111" i="1"/>
  <c r="I3111" i="1"/>
  <c r="S3111" i="1"/>
  <c r="B3112" i="1"/>
  <c r="E3112" i="1"/>
  <c r="I3112" i="1"/>
  <c r="S3112" i="1"/>
  <c r="B3113" i="1"/>
  <c r="E3113" i="1"/>
  <c r="I3113" i="1"/>
  <c r="S3113" i="1"/>
  <c r="B3114" i="1"/>
  <c r="E3114" i="1"/>
  <c r="I3114" i="1"/>
  <c r="S3114" i="1"/>
  <c r="B3115" i="1"/>
  <c r="E3115" i="1"/>
  <c r="I3115" i="1"/>
  <c r="S3115" i="1"/>
  <c r="B3116" i="1"/>
  <c r="E3116" i="1"/>
  <c r="I3116" i="1"/>
  <c r="S3116" i="1"/>
  <c r="B3117" i="1"/>
  <c r="E3117" i="1"/>
  <c r="I3117" i="1"/>
  <c r="S3117" i="1"/>
  <c r="B3118" i="1"/>
  <c r="E3118" i="1"/>
  <c r="I3118" i="1"/>
  <c r="S3118" i="1"/>
  <c r="B3119" i="1"/>
  <c r="E3119" i="1"/>
  <c r="I3119" i="1"/>
  <c r="S3119" i="1"/>
  <c r="B3120" i="1"/>
  <c r="E3120" i="1"/>
  <c r="I3120" i="1"/>
  <c r="S3120" i="1"/>
  <c r="B3121" i="1"/>
  <c r="E3121" i="1"/>
  <c r="I3121" i="1"/>
  <c r="S3121" i="1"/>
  <c r="B3122" i="1"/>
  <c r="E3122" i="1"/>
  <c r="I3122" i="1"/>
  <c r="S3122" i="1"/>
  <c r="B3123" i="1"/>
  <c r="E3123" i="1"/>
  <c r="I3123" i="1"/>
  <c r="S3123" i="1"/>
  <c r="B3124" i="1"/>
  <c r="E3124" i="1"/>
  <c r="I3124" i="1"/>
  <c r="S3124" i="1"/>
  <c r="B3125" i="1"/>
  <c r="E3125" i="1"/>
  <c r="I3125" i="1"/>
  <c r="S3125" i="1"/>
  <c r="B3126" i="1"/>
  <c r="E3126" i="1"/>
  <c r="I3126" i="1"/>
  <c r="S3126" i="1"/>
  <c r="B3127" i="1"/>
  <c r="E3127" i="1"/>
  <c r="I3127" i="1"/>
  <c r="S3127" i="1"/>
  <c r="B3128" i="1"/>
  <c r="E3128" i="1"/>
  <c r="I3128" i="1"/>
  <c r="S3128" i="1"/>
  <c r="B3129" i="1"/>
  <c r="E3129" i="1"/>
  <c r="I3129" i="1"/>
  <c r="S3129" i="1"/>
  <c r="B3130" i="1"/>
  <c r="E3130" i="1"/>
  <c r="I3130" i="1"/>
  <c r="S3130" i="1"/>
  <c r="B3131" i="1"/>
  <c r="E3131" i="1"/>
  <c r="I3131" i="1"/>
  <c r="S3131" i="1"/>
  <c r="B3132" i="1"/>
  <c r="E3132" i="1"/>
  <c r="I3132" i="1"/>
  <c r="S3132" i="1"/>
  <c r="B3133" i="1"/>
  <c r="E3133" i="1"/>
  <c r="I3133" i="1"/>
  <c r="S3133" i="1"/>
  <c r="B3134" i="1"/>
  <c r="E3134" i="1"/>
  <c r="I3134" i="1"/>
  <c r="S3134" i="1"/>
  <c r="B3135" i="1"/>
  <c r="E3135" i="1"/>
  <c r="I3135" i="1"/>
  <c r="S3135" i="1"/>
  <c r="B3136" i="1"/>
  <c r="E3136" i="1"/>
  <c r="I3136" i="1"/>
  <c r="S3136" i="1"/>
  <c r="B3137" i="1"/>
  <c r="E3137" i="1"/>
  <c r="I3137" i="1"/>
  <c r="S3137" i="1"/>
  <c r="B3138" i="1"/>
  <c r="E3138" i="1"/>
  <c r="I3138" i="1"/>
  <c r="S3138" i="1"/>
  <c r="B3139" i="1"/>
  <c r="E3139" i="1"/>
  <c r="I3139" i="1"/>
  <c r="S3139" i="1"/>
  <c r="B3140" i="1"/>
  <c r="E3140" i="1"/>
  <c r="I3140" i="1"/>
  <c r="S3140" i="1"/>
  <c r="B3141" i="1"/>
  <c r="E3141" i="1"/>
  <c r="I3141" i="1"/>
  <c r="S3141" i="1"/>
  <c r="B3142" i="1"/>
  <c r="E3142" i="1"/>
  <c r="I3142" i="1"/>
  <c r="S3142" i="1"/>
  <c r="B3143" i="1"/>
  <c r="E3143" i="1"/>
  <c r="I3143" i="1"/>
  <c r="S3143" i="1"/>
  <c r="B3144" i="1"/>
  <c r="E3144" i="1"/>
  <c r="I3144" i="1"/>
  <c r="S3144" i="1"/>
  <c r="B3145" i="1"/>
  <c r="E3145" i="1"/>
  <c r="I3145" i="1"/>
  <c r="S3145" i="1"/>
  <c r="B3146" i="1"/>
  <c r="E3146" i="1"/>
  <c r="I3146" i="1"/>
  <c r="S3146" i="1"/>
  <c r="B3147" i="1"/>
  <c r="E3147" i="1"/>
  <c r="I3147" i="1"/>
  <c r="S3147" i="1"/>
  <c r="B3148" i="1"/>
  <c r="E3148" i="1"/>
  <c r="I3148" i="1"/>
  <c r="S3148" i="1"/>
  <c r="B3149" i="1"/>
  <c r="E3149" i="1"/>
  <c r="I3149" i="1"/>
  <c r="S3149" i="1"/>
  <c r="B3150" i="1"/>
  <c r="E3150" i="1"/>
  <c r="I3150" i="1"/>
  <c r="S3150" i="1"/>
  <c r="B3151" i="1"/>
  <c r="E3151" i="1"/>
  <c r="I3151" i="1"/>
  <c r="S3151" i="1"/>
  <c r="B3152" i="1"/>
  <c r="E3152" i="1"/>
  <c r="I3152" i="1"/>
  <c r="S3152" i="1"/>
  <c r="B3153" i="1"/>
  <c r="E3153" i="1"/>
  <c r="I3153" i="1"/>
  <c r="S3153" i="1"/>
  <c r="B3154" i="1"/>
  <c r="E3154" i="1"/>
  <c r="I3154" i="1"/>
  <c r="S3154" i="1"/>
  <c r="B3155" i="1"/>
  <c r="E3155" i="1"/>
  <c r="I3155" i="1"/>
  <c r="S3155" i="1"/>
  <c r="B3156" i="1"/>
  <c r="E3156" i="1"/>
  <c r="I3156" i="1"/>
  <c r="S3156" i="1"/>
  <c r="B3157" i="1"/>
  <c r="E3157" i="1"/>
  <c r="I3157" i="1"/>
  <c r="S3157" i="1"/>
  <c r="B3158" i="1"/>
  <c r="E3158" i="1"/>
  <c r="I3158" i="1"/>
  <c r="S3158" i="1"/>
  <c r="B3159" i="1"/>
  <c r="E3159" i="1"/>
  <c r="I3159" i="1"/>
  <c r="S3159" i="1"/>
  <c r="B3160" i="1"/>
  <c r="E3160" i="1"/>
  <c r="I3160" i="1"/>
  <c r="S3160" i="1"/>
  <c r="B3161" i="1"/>
  <c r="E3161" i="1"/>
  <c r="I3161" i="1"/>
  <c r="S3161" i="1"/>
  <c r="B3162" i="1"/>
  <c r="E3162" i="1"/>
  <c r="I3162" i="1"/>
  <c r="S3162" i="1"/>
  <c r="B3163" i="1"/>
  <c r="E3163" i="1"/>
  <c r="I3163" i="1"/>
  <c r="S3163" i="1"/>
  <c r="B3164" i="1"/>
  <c r="E3164" i="1"/>
  <c r="I3164" i="1"/>
  <c r="S3164" i="1"/>
  <c r="B3165" i="1"/>
  <c r="E3165" i="1"/>
  <c r="I3165" i="1"/>
  <c r="S3165" i="1"/>
  <c r="B3166" i="1"/>
  <c r="E3166" i="1"/>
  <c r="I3166" i="1"/>
  <c r="S3166" i="1"/>
  <c r="B3167" i="1"/>
  <c r="E3167" i="1"/>
  <c r="I3167" i="1"/>
  <c r="S3167" i="1"/>
  <c r="B3168" i="1"/>
  <c r="E3168" i="1"/>
  <c r="I3168" i="1"/>
  <c r="S3168" i="1"/>
  <c r="B3169" i="1"/>
  <c r="E3169" i="1"/>
  <c r="I3169" i="1"/>
  <c r="S3169" i="1"/>
  <c r="B3170" i="1"/>
  <c r="E3170" i="1"/>
  <c r="I3170" i="1"/>
  <c r="S3170" i="1"/>
  <c r="B3171" i="1"/>
  <c r="E3171" i="1"/>
  <c r="I3171" i="1"/>
  <c r="S3171" i="1"/>
  <c r="B3172" i="1"/>
  <c r="E3172" i="1"/>
  <c r="I3172" i="1"/>
  <c r="S3172" i="1"/>
  <c r="B3173" i="1"/>
  <c r="E3173" i="1"/>
  <c r="I3173" i="1"/>
  <c r="S3173" i="1"/>
  <c r="B3174" i="1"/>
  <c r="E3174" i="1"/>
  <c r="I3174" i="1"/>
  <c r="B3175" i="1"/>
  <c r="E3175" i="1"/>
  <c r="I3175" i="1"/>
  <c r="S3175" i="1"/>
  <c r="B3176" i="1"/>
  <c r="E3176" i="1"/>
  <c r="I3176" i="1"/>
  <c r="S3176" i="1"/>
  <c r="B3177" i="1"/>
  <c r="E3177" i="1"/>
  <c r="I3177" i="1"/>
  <c r="S3177" i="1"/>
  <c r="B3178" i="1"/>
  <c r="E3178" i="1"/>
  <c r="I3178" i="1"/>
  <c r="S3178" i="1"/>
  <c r="B3179" i="1"/>
  <c r="E3179" i="1"/>
  <c r="I3179" i="1"/>
  <c r="S3179" i="1"/>
  <c r="B3180" i="1"/>
  <c r="E3180" i="1"/>
  <c r="I3180" i="1"/>
  <c r="S3180" i="1"/>
  <c r="B3181" i="1"/>
  <c r="E3181" i="1"/>
  <c r="I3181" i="1"/>
  <c r="S3181" i="1"/>
  <c r="B3182" i="1"/>
  <c r="E3182" i="1"/>
  <c r="I3182" i="1"/>
  <c r="S3182" i="1"/>
  <c r="B3183" i="1"/>
  <c r="E3183" i="1"/>
  <c r="I3183" i="1"/>
  <c r="S3183" i="1"/>
  <c r="B3184" i="1"/>
  <c r="E3184" i="1"/>
  <c r="I3184" i="1"/>
  <c r="S3184" i="1"/>
  <c r="B3185" i="1"/>
  <c r="E3185" i="1"/>
  <c r="I3185" i="1"/>
  <c r="S3185" i="1"/>
  <c r="B3186" i="1"/>
  <c r="E3186" i="1"/>
  <c r="I3186" i="1"/>
  <c r="S3186" i="1"/>
  <c r="B3187" i="1"/>
  <c r="E3187" i="1"/>
  <c r="I3187" i="1"/>
  <c r="S3187" i="1"/>
  <c r="B3188" i="1"/>
  <c r="E3188" i="1"/>
  <c r="I3188" i="1"/>
  <c r="S3188" i="1"/>
  <c r="B3189" i="1"/>
  <c r="E3189" i="1"/>
  <c r="I3189" i="1"/>
  <c r="S3189" i="1"/>
  <c r="B3190" i="1"/>
  <c r="E3190" i="1"/>
  <c r="I3190" i="1"/>
  <c r="S3190" i="1"/>
  <c r="B3191" i="1"/>
  <c r="E3191" i="1"/>
  <c r="I3191" i="1"/>
  <c r="S3191" i="1"/>
  <c r="B3192" i="1"/>
  <c r="E3192" i="1"/>
  <c r="I3192" i="1"/>
  <c r="S3192" i="1"/>
  <c r="B3193" i="1"/>
  <c r="E3193" i="1"/>
  <c r="I3193" i="1"/>
  <c r="S3193" i="1"/>
  <c r="B3194" i="1"/>
  <c r="E3194" i="1"/>
  <c r="I3194" i="1"/>
  <c r="S3194" i="1"/>
  <c r="B3195" i="1"/>
  <c r="E3195" i="1"/>
  <c r="I3195" i="1"/>
  <c r="S3195" i="1"/>
  <c r="B3196" i="1"/>
  <c r="E3196" i="1"/>
  <c r="I3196" i="1"/>
  <c r="S3196" i="1"/>
  <c r="B3197" i="1"/>
  <c r="E3197" i="1"/>
  <c r="I3197" i="1"/>
  <c r="S3197" i="1"/>
  <c r="B3198" i="1"/>
  <c r="E3198" i="1"/>
  <c r="I3198" i="1"/>
  <c r="S3198" i="1"/>
  <c r="B3199" i="1"/>
  <c r="E3199" i="1"/>
  <c r="I3199" i="1"/>
  <c r="S3199" i="1"/>
  <c r="B3200" i="1"/>
  <c r="E3200" i="1"/>
  <c r="I3200" i="1"/>
  <c r="S3200" i="1"/>
  <c r="B3201" i="1"/>
  <c r="E3201" i="1"/>
  <c r="I3201" i="1"/>
  <c r="S3201" i="1"/>
  <c r="B3202" i="1"/>
  <c r="E3202" i="1"/>
  <c r="I3202" i="1"/>
  <c r="S3202" i="1"/>
  <c r="B3203" i="1"/>
  <c r="E3203" i="1"/>
  <c r="I3203" i="1"/>
  <c r="S3203" i="1"/>
  <c r="B3204" i="1"/>
  <c r="E3204" i="1"/>
  <c r="I3204" i="1"/>
  <c r="S3204" i="1"/>
  <c r="B3205" i="1"/>
  <c r="E3205" i="1"/>
  <c r="I3205" i="1"/>
  <c r="S3205" i="1"/>
  <c r="B3206" i="1"/>
  <c r="E3206" i="1"/>
  <c r="I3206" i="1"/>
  <c r="S3206" i="1"/>
  <c r="B3207" i="1"/>
  <c r="E3207" i="1"/>
  <c r="I3207" i="1"/>
  <c r="S3207" i="1"/>
  <c r="B3208" i="1"/>
  <c r="E3208" i="1"/>
  <c r="I3208" i="1"/>
  <c r="S3208" i="1"/>
  <c r="B3209" i="1"/>
  <c r="E3209" i="1"/>
  <c r="I3209" i="1"/>
  <c r="S3209" i="1"/>
  <c r="B3210" i="1"/>
  <c r="E3210" i="1"/>
  <c r="I3210" i="1"/>
  <c r="S3210" i="1"/>
  <c r="B3211" i="1"/>
  <c r="E3211" i="1"/>
  <c r="I3211" i="1"/>
  <c r="S3211" i="1"/>
  <c r="B3212" i="1"/>
  <c r="E3212" i="1"/>
  <c r="I3212" i="1"/>
  <c r="B3213" i="1"/>
  <c r="E3213" i="1"/>
  <c r="I3213" i="1"/>
  <c r="S3213" i="1"/>
  <c r="B3214" i="1"/>
  <c r="E3214" i="1"/>
  <c r="I3214" i="1"/>
  <c r="S3214" i="1"/>
  <c r="B3215" i="1"/>
  <c r="E3215" i="1"/>
  <c r="I3215" i="1"/>
  <c r="S3215" i="1"/>
  <c r="B3216" i="1"/>
  <c r="E3216" i="1"/>
  <c r="I3216" i="1"/>
  <c r="S3216" i="1"/>
  <c r="B3217" i="1"/>
  <c r="E3217" i="1"/>
  <c r="I3217" i="1"/>
  <c r="S3217" i="1"/>
  <c r="B3218" i="1"/>
  <c r="E3218" i="1"/>
  <c r="I3218" i="1"/>
  <c r="S3218" i="1"/>
  <c r="B3219" i="1"/>
  <c r="E3219" i="1"/>
  <c r="I3219" i="1"/>
  <c r="S3219" i="1"/>
  <c r="B3220" i="1"/>
  <c r="E3220" i="1"/>
  <c r="I3220" i="1"/>
  <c r="S3220" i="1"/>
  <c r="B3221" i="1"/>
  <c r="E3221" i="1"/>
  <c r="I3221" i="1"/>
  <c r="S3221" i="1"/>
  <c r="B3222" i="1"/>
  <c r="E3222" i="1"/>
  <c r="I3222" i="1"/>
  <c r="S3222" i="1"/>
  <c r="B3223" i="1"/>
  <c r="E3223" i="1"/>
  <c r="I3223" i="1"/>
  <c r="S3223" i="1"/>
  <c r="B3224" i="1"/>
  <c r="E3224" i="1"/>
  <c r="I3224" i="1"/>
  <c r="S3224" i="1"/>
  <c r="B3225" i="1"/>
  <c r="E3225" i="1"/>
  <c r="I3225" i="1"/>
  <c r="S3225" i="1"/>
  <c r="B3226" i="1"/>
  <c r="E3226" i="1"/>
  <c r="I3226" i="1"/>
  <c r="S3226" i="1"/>
  <c r="B3227" i="1"/>
  <c r="E3227" i="1"/>
  <c r="I3227" i="1"/>
  <c r="S3227" i="1"/>
  <c r="B3228" i="1"/>
  <c r="E3228" i="1"/>
  <c r="I3228" i="1"/>
  <c r="S3228" i="1"/>
  <c r="B3229" i="1"/>
  <c r="E3229" i="1"/>
  <c r="I3229" i="1"/>
  <c r="S3229" i="1"/>
  <c r="B3230" i="1"/>
  <c r="E3230" i="1"/>
  <c r="I3230" i="1"/>
  <c r="S3230" i="1"/>
  <c r="B3231" i="1"/>
  <c r="E3231" i="1"/>
  <c r="I3231" i="1"/>
  <c r="S3231" i="1"/>
  <c r="B3232" i="1"/>
  <c r="E3232" i="1"/>
  <c r="I3232" i="1"/>
  <c r="B3233" i="1"/>
  <c r="E3233" i="1"/>
  <c r="I3233" i="1"/>
  <c r="S3233" i="1"/>
  <c r="B3234" i="1"/>
  <c r="E3234" i="1"/>
  <c r="I3234" i="1"/>
  <c r="S3234" i="1"/>
  <c r="B3235" i="1"/>
  <c r="E3235" i="1"/>
  <c r="I3235" i="1"/>
  <c r="S3235" i="1"/>
  <c r="B3236" i="1"/>
  <c r="E3236" i="1"/>
  <c r="I3236" i="1"/>
  <c r="S3236" i="1"/>
  <c r="B3237" i="1"/>
  <c r="E3237" i="1"/>
  <c r="I3237" i="1"/>
  <c r="S3237" i="1"/>
  <c r="B3238" i="1"/>
  <c r="E3238" i="1"/>
  <c r="I3238" i="1"/>
  <c r="S3238" i="1"/>
  <c r="B3239" i="1"/>
  <c r="E3239" i="1"/>
  <c r="I3239" i="1"/>
  <c r="S3239" i="1"/>
  <c r="B3240" i="1"/>
  <c r="E3240" i="1"/>
  <c r="I3240" i="1"/>
  <c r="S3240" i="1"/>
  <c r="B3241" i="1"/>
  <c r="E3241" i="1"/>
  <c r="I3241" i="1"/>
  <c r="S3241" i="1"/>
  <c r="B3242" i="1"/>
  <c r="E3242" i="1"/>
  <c r="I3242" i="1"/>
  <c r="S3242" i="1"/>
  <c r="B3243" i="1"/>
  <c r="E3243" i="1"/>
  <c r="I3243" i="1"/>
  <c r="S3243" i="1"/>
  <c r="B3244" i="1"/>
  <c r="E3244" i="1"/>
  <c r="I3244" i="1"/>
  <c r="S3244" i="1"/>
  <c r="B3245" i="1"/>
  <c r="E3245" i="1"/>
  <c r="I3245" i="1"/>
  <c r="S3245" i="1"/>
  <c r="B3246" i="1"/>
  <c r="E3246" i="1"/>
  <c r="I3246" i="1"/>
  <c r="S3246" i="1"/>
  <c r="B3247" i="1"/>
  <c r="E3247" i="1"/>
  <c r="I3247" i="1"/>
  <c r="S3247" i="1"/>
  <c r="B3248" i="1"/>
  <c r="E3248" i="1"/>
  <c r="I3248" i="1"/>
  <c r="S3248" i="1"/>
  <c r="B3249" i="1"/>
  <c r="E3249" i="1"/>
  <c r="I3249" i="1"/>
  <c r="S3249" i="1"/>
  <c r="B3250" i="1"/>
  <c r="E3250" i="1"/>
  <c r="I3250" i="1"/>
  <c r="S3250" i="1"/>
  <c r="B3251" i="1"/>
  <c r="E3251" i="1"/>
  <c r="I3251" i="1"/>
  <c r="S3251" i="1"/>
  <c r="B3252" i="1"/>
  <c r="E3252" i="1"/>
  <c r="I3252" i="1"/>
  <c r="S3252" i="1"/>
  <c r="B3253" i="1"/>
  <c r="E3253" i="1"/>
  <c r="I3253" i="1"/>
  <c r="S3253" i="1"/>
  <c r="B3254" i="1"/>
  <c r="E3254" i="1"/>
  <c r="I3254" i="1"/>
  <c r="S3254" i="1"/>
  <c r="B3255" i="1"/>
  <c r="E3255" i="1"/>
  <c r="I3255" i="1"/>
  <c r="S3255" i="1"/>
  <c r="B3256" i="1"/>
  <c r="E3256" i="1"/>
  <c r="I3256" i="1"/>
  <c r="S3256" i="1"/>
  <c r="B3257" i="1"/>
  <c r="E3257" i="1"/>
  <c r="I3257" i="1"/>
  <c r="S3257" i="1"/>
  <c r="B3258" i="1"/>
  <c r="E3258" i="1"/>
  <c r="I3258" i="1"/>
  <c r="S3258" i="1"/>
  <c r="B3259" i="1"/>
  <c r="E3259" i="1"/>
  <c r="I3259" i="1"/>
  <c r="S3259" i="1"/>
  <c r="B3260" i="1"/>
  <c r="E3260" i="1"/>
  <c r="I3260" i="1"/>
  <c r="S3260" i="1"/>
  <c r="B3261" i="1"/>
  <c r="E3261" i="1"/>
  <c r="I3261" i="1"/>
  <c r="S3261" i="1"/>
  <c r="B3262" i="1"/>
  <c r="E3262" i="1"/>
  <c r="I3262" i="1"/>
  <c r="S3262" i="1"/>
  <c r="B3263" i="1"/>
  <c r="E3263" i="1"/>
  <c r="I3263" i="1"/>
  <c r="S3263" i="1"/>
  <c r="B3264" i="1"/>
  <c r="E3264" i="1"/>
  <c r="I3264" i="1"/>
  <c r="S3264" i="1"/>
  <c r="B3265" i="1"/>
  <c r="E3265" i="1"/>
  <c r="I3265" i="1"/>
  <c r="S3265" i="1"/>
  <c r="B3266" i="1"/>
  <c r="E3266" i="1"/>
  <c r="I3266" i="1"/>
  <c r="S3266" i="1"/>
  <c r="B3267" i="1"/>
  <c r="E3267" i="1"/>
  <c r="I3267" i="1"/>
  <c r="S3267" i="1"/>
  <c r="B3268" i="1"/>
  <c r="E3268" i="1"/>
  <c r="I3268" i="1"/>
  <c r="S3268" i="1"/>
  <c r="B3269" i="1"/>
  <c r="E3269" i="1"/>
  <c r="I3269" i="1"/>
  <c r="S3269" i="1"/>
  <c r="B3270" i="1"/>
  <c r="E3270" i="1"/>
  <c r="I3270" i="1"/>
  <c r="S3270" i="1"/>
  <c r="B3271" i="1"/>
  <c r="E3271" i="1"/>
  <c r="I3271" i="1"/>
  <c r="S3271" i="1"/>
  <c r="B3272" i="1"/>
  <c r="E3272" i="1"/>
  <c r="I3272" i="1"/>
  <c r="S3272" i="1"/>
  <c r="B3273" i="1"/>
  <c r="E3273" i="1"/>
  <c r="I3273" i="1"/>
  <c r="S3273" i="1"/>
  <c r="B3274" i="1"/>
  <c r="E3274" i="1"/>
  <c r="I3274" i="1"/>
  <c r="S3274" i="1"/>
  <c r="B3275" i="1"/>
  <c r="E3275" i="1"/>
  <c r="I3275" i="1"/>
  <c r="S3275" i="1"/>
  <c r="B3276" i="1"/>
  <c r="E3276" i="1"/>
  <c r="I3276" i="1"/>
  <c r="S3276" i="1"/>
  <c r="B3277" i="1"/>
  <c r="E3277" i="1"/>
  <c r="I3277" i="1"/>
  <c r="S3277" i="1"/>
  <c r="B3278" i="1"/>
  <c r="E3278" i="1"/>
  <c r="I3278" i="1"/>
  <c r="S3278" i="1"/>
  <c r="B3279" i="1"/>
  <c r="E3279" i="1"/>
  <c r="I3279" i="1"/>
  <c r="S3279" i="1"/>
  <c r="B3280" i="1"/>
  <c r="E3280" i="1"/>
  <c r="I3280" i="1"/>
  <c r="S3280" i="1"/>
  <c r="B3281" i="1"/>
  <c r="E3281" i="1"/>
  <c r="I3281" i="1"/>
  <c r="B3282" i="1"/>
  <c r="E3282" i="1"/>
  <c r="I3282" i="1"/>
  <c r="S3282" i="1"/>
  <c r="B3283" i="1"/>
  <c r="E3283" i="1"/>
  <c r="I3283" i="1"/>
  <c r="S3283" i="1"/>
  <c r="B3284" i="1"/>
  <c r="E3284" i="1"/>
  <c r="I3284" i="1"/>
  <c r="S3284" i="1"/>
  <c r="B3285" i="1"/>
  <c r="E3285" i="1"/>
  <c r="I3285" i="1"/>
  <c r="S3285" i="1"/>
  <c r="B3286" i="1"/>
  <c r="E3286" i="1"/>
  <c r="I3286" i="1"/>
  <c r="S3286" i="1"/>
  <c r="B3287" i="1"/>
  <c r="E3287" i="1"/>
  <c r="I3287" i="1"/>
  <c r="S3287" i="1"/>
  <c r="B3288" i="1"/>
  <c r="E3288" i="1"/>
  <c r="I3288" i="1"/>
  <c r="S3288" i="1"/>
  <c r="B3289" i="1"/>
  <c r="E3289" i="1"/>
  <c r="I3289" i="1"/>
  <c r="S3289" i="1"/>
  <c r="B3290" i="1"/>
  <c r="E3290" i="1"/>
  <c r="I3290" i="1"/>
  <c r="S3290" i="1"/>
  <c r="B3291" i="1"/>
  <c r="E3291" i="1"/>
  <c r="I3291" i="1"/>
  <c r="S3291" i="1"/>
  <c r="B3292" i="1"/>
  <c r="E3292" i="1"/>
  <c r="I3292" i="1"/>
  <c r="S3292" i="1"/>
  <c r="B3293" i="1"/>
  <c r="E3293" i="1"/>
  <c r="I3293" i="1"/>
  <c r="B3294" i="1"/>
  <c r="E3294" i="1"/>
  <c r="I3294" i="1"/>
  <c r="S3294" i="1"/>
  <c r="B3295" i="1"/>
  <c r="E3295" i="1"/>
  <c r="I3295" i="1"/>
  <c r="S3295" i="1"/>
  <c r="B3296" i="1"/>
  <c r="E3296" i="1"/>
  <c r="I3296" i="1"/>
  <c r="S3296" i="1"/>
  <c r="B3297" i="1"/>
  <c r="E3297" i="1"/>
  <c r="I3297" i="1"/>
  <c r="S3297" i="1"/>
  <c r="B3298" i="1"/>
  <c r="E3298" i="1"/>
  <c r="I3298" i="1"/>
  <c r="S3298" i="1"/>
  <c r="B3299" i="1"/>
  <c r="E3299" i="1"/>
  <c r="I3299" i="1"/>
  <c r="S3299" i="1"/>
  <c r="B3300" i="1"/>
  <c r="E3300" i="1"/>
  <c r="I3300" i="1"/>
  <c r="S3300" i="1"/>
  <c r="B3301" i="1"/>
  <c r="E3301" i="1"/>
  <c r="I3301" i="1"/>
  <c r="S3301" i="1"/>
  <c r="B3302" i="1"/>
  <c r="E3302" i="1"/>
  <c r="I3302" i="1"/>
  <c r="S3302" i="1"/>
  <c r="B3303" i="1"/>
  <c r="E3303" i="1"/>
  <c r="I3303" i="1"/>
  <c r="S3303" i="1"/>
  <c r="B3304" i="1"/>
  <c r="E3304" i="1"/>
  <c r="I3304" i="1"/>
  <c r="S3304" i="1"/>
  <c r="B3305" i="1"/>
  <c r="E3305" i="1"/>
  <c r="I3305" i="1"/>
  <c r="S3305" i="1"/>
  <c r="B3306" i="1"/>
  <c r="E3306" i="1"/>
  <c r="I3306" i="1"/>
  <c r="S3306" i="1"/>
  <c r="B3307" i="1"/>
  <c r="E3307" i="1"/>
  <c r="I3307" i="1"/>
  <c r="S3307" i="1"/>
  <c r="B3308" i="1"/>
  <c r="E3308" i="1"/>
  <c r="I3308" i="1"/>
  <c r="S3308" i="1"/>
  <c r="B3309" i="1"/>
  <c r="E3309" i="1"/>
  <c r="I3309" i="1"/>
  <c r="B3310" i="1"/>
  <c r="E3310" i="1"/>
  <c r="I3310" i="1"/>
  <c r="S3310" i="1"/>
  <c r="B3311" i="1"/>
  <c r="E3311" i="1"/>
  <c r="I3311" i="1"/>
  <c r="S3311" i="1"/>
  <c r="B3312" i="1"/>
  <c r="E3312" i="1"/>
  <c r="I3312" i="1"/>
  <c r="S3312" i="1"/>
  <c r="B3313" i="1"/>
  <c r="E3313" i="1"/>
  <c r="I3313" i="1"/>
  <c r="S3313" i="1"/>
  <c r="B3314" i="1"/>
  <c r="E3314" i="1"/>
  <c r="I3314" i="1"/>
  <c r="S3314" i="1"/>
  <c r="B3315" i="1"/>
  <c r="E3315" i="1"/>
  <c r="I3315" i="1"/>
  <c r="S3315" i="1"/>
  <c r="B3316" i="1"/>
  <c r="E3316" i="1"/>
  <c r="I3316" i="1"/>
  <c r="S3316" i="1"/>
  <c r="B3317" i="1"/>
  <c r="E3317" i="1"/>
  <c r="I3317" i="1"/>
  <c r="S3317" i="1"/>
  <c r="B3318" i="1"/>
  <c r="E3318" i="1"/>
  <c r="I3318" i="1"/>
  <c r="S3318" i="1"/>
  <c r="B3319" i="1"/>
  <c r="E3319" i="1"/>
  <c r="I3319" i="1"/>
  <c r="B3320" i="1"/>
  <c r="E3320" i="1"/>
  <c r="I3320" i="1"/>
  <c r="S3320" i="1"/>
  <c r="B3321" i="1"/>
  <c r="E3321" i="1"/>
  <c r="I3321" i="1"/>
  <c r="S3321" i="1"/>
  <c r="B3322" i="1"/>
  <c r="E3322" i="1"/>
  <c r="I3322" i="1"/>
  <c r="S3322" i="1"/>
  <c r="B3323" i="1"/>
  <c r="E3323" i="1"/>
  <c r="I3323" i="1"/>
  <c r="S3323" i="1"/>
  <c r="B3324" i="1"/>
  <c r="E3324" i="1"/>
  <c r="I3324" i="1"/>
  <c r="S3324" i="1"/>
  <c r="B3325" i="1"/>
  <c r="E3325" i="1"/>
  <c r="I3325" i="1"/>
  <c r="S3325" i="1"/>
  <c r="B3326" i="1"/>
  <c r="E3326" i="1"/>
  <c r="I3326" i="1"/>
  <c r="S3326" i="1"/>
  <c r="B3327" i="1"/>
  <c r="E3327" i="1"/>
  <c r="I3327" i="1"/>
  <c r="S3327" i="1"/>
  <c r="B3328" i="1"/>
  <c r="E3328" i="1"/>
  <c r="I3328" i="1"/>
  <c r="S3328" i="1"/>
  <c r="B3329" i="1"/>
  <c r="E3329" i="1"/>
  <c r="I3329" i="1"/>
  <c r="S3329" i="1"/>
  <c r="B3330" i="1"/>
  <c r="E3330" i="1"/>
  <c r="I3330" i="1"/>
  <c r="S3330" i="1"/>
  <c r="B3331" i="1"/>
  <c r="E3331" i="1"/>
  <c r="I3331" i="1"/>
  <c r="S3331" i="1"/>
  <c r="B3332" i="1"/>
  <c r="E3332" i="1"/>
  <c r="I3332" i="1"/>
  <c r="S3332" i="1"/>
  <c r="B3333" i="1"/>
  <c r="E3333" i="1"/>
  <c r="I3333" i="1"/>
  <c r="S3333" i="1"/>
  <c r="B3334" i="1"/>
  <c r="E3334" i="1"/>
  <c r="I3334" i="1"/>
  <c r="S3334" i="1"/>
  <c r="B3335" i="1"/>
  <c r="E3335" i="1"/>
  <c r="I3335" i="1"/>
  <c r="S3335" i="1"/>
  <c r="B3336" i="1"/>
  <c r="E3336" i="1"/>
  <c r="I3336" i="1"/>
  <c r="S3336" i="1"/>
  <c r="B3337" i="1"/>
  <c r="E3337" i="1"/>
  <c r="I3337" i="1"/>
  <c r="S3337" i="1"/>
  <c r="B3338" i="1"/>
  <c r="E3338" i="1"/>
  <c r="I3338" i="1"/>
  <c r="S3338" i="1"/>
  <c r="B3339" i="1"/>
  <c r="E3339" i="1"/>
  <c r="I3339" i="1"/>
  <c r="S3339" i="1"/>
  <c r="B3340" i="1"/>
  <c r="E3340" i="1"/>
  <c r="I3340" i="1"/>
  <c r="S3340" i="1"/>
  <c r="B3341" i="1"/>
  <c r="E3341" i="1"/>
  <c r="I3341" i="1"/>
  <c r="S3341" i="1"/>
  <c r="B3342" i="1"/>
  <c r="E3342" i="1"/>
  <c r="I3342" i="1"/>
  <c r="S3342" i="1"/>
  <c r="B3343" i="1"/>
  <c r="E3343" i="1"/>
  <c r="I3343" i="1"/>
  <c r="S3343" i="1"/>
  <c r="B3344" i="1"/>
  <c r="E3344" i="1"/>
  <c r="I3344" i="1"/>
  <c r="S3344" i="1"/>
  <c r="B3345" i="1"/>
  <c r="E3345" i="1"/>
  <c r="I3345" i="1"/>
  <c r="S3345" i="1"/>
  <c r="B3346" i="1"/>
  <c r="E3346" i="1"/>
  <c r="I3346" i="1"/>
  <c r="S3346" i="1"/>
  <c r="B3347" i="1"/>
  <c r="E3347" i="1"/>
  <c r="I3347" i="1"/>
  <c r="S3347" i="1"/>
  <c r="B3348" i="1"/>
  <c r="E3348" i="1"/>
  <c r="I3348" i="1"/>
  <c r="S3348" i="1"/>
  <c r="B3349" i="1"/>
  <c r="E3349" i="1"/>
  <c r="I3349" i="1"/>
  <c r="S3349" i="1"/>
  <c r="B3350" i="1"/>
  <c r="E3350" i="1"/>
  <c r="I3350" i="1"/>
  <c r="S3350" i="1"/>
  <c r="B3351" i="1"/>
  <c r="E3351" i="1"/>
  <c r="I3351" i="1"/>
  <c r="S3351" i="1"/>
  <c r="B3352" i="1"/>
  <c r="E3352" i="1"/>
  <c r="I3352" i="1"/>
  <c r="S3352" i="1"/>
  <c r="B3353" i="1"/>
  <c r="E3353" i="1"/>
  <c r="I3353" i="1"/>
  <c r="S3353" i="1"/>
  <c r="B3354" i="1"/>
  <c r="E3354" i="1"/>
  <c r="I3354" i="1"/>
  <c r="S3354" i="1"/>
  <c r="B3355" i="1"/>
  <c r="E3355" i="1"/>
  <c r="I3355" i="1"/>
  <c r="S3355" i="1"/>
  <c r="B3356" i="1"/>
  <c r="E3356" i="1"/>
  <c r="I3356" i="1"/>
  <c r="S3356" i="1"/>
  <c r="B3357" i="1"/>
  <c r="E3357" i="1"/>
  <c r="I3357" i="1"/>
  <c r="S3357" i="1"/>
  <c r="B3358" i="1"/>
  <c r="E3358" i="1"/>
  <c r="I3358" i="1"/>
  <c r="S3358" i="1"/>
  <c r="B3359" i="1"/>
  <c r="E3359" i="1"/>
  <c r="I3359" i="1"/>
  <c r="S3359" i="1"/>
  <c r="B3360" i="1"/>
  <c r="E3360" i="1"/>
  <c r="I3360" i="1"/>
  <c r="S3360" i="1"/>
  <c r="B3361" i="1"/>
  <c r="E3361" i="1"/>
  <c r="I3361" i="1"/>
  <c r="S3361" i="1"/>
  <c r="B3362" i="1"/>
  <c r="E3362" i="1"/>
  <c r="I3362" i="1"/>
  <c r="S3362" i="1"/>
  <c r="B3363" i="1"/>
  <c r="E3363" i="1"/>
  <c r="I3363" i="1"/>
  <c r="S3363" i="1"/>
  <c r="B3364" i="1"/>
  <c r="E3364" i="1"/>
  <c r="I3364" i="1"/>
  <c r="S3364" i="1"/>
  <c r="B3365" i="1"/>
  <c r="E3365" i="1"/>
  <c r="I3365" i="1"/>
  <c r="S3365" i="1"/>
  <c r="B3366" i="1"/>
  <c r="E3366" i="1"/>
  <c r="I3366" i="1"/>
  <c r="S3366" i="1"/>
  <c r="B3367" i="1"/>
  <c r="E3367" i="1"/>
  <c r="I3367" i="1"/>
  <c r="S3367" i="1"/>
  <c r="B3368" i="1"/>
  <c r="E3368" i="1"/>
  <c r="I3368" i="1"/>
  <c r="S3368" i="1"/>
  <c r="B3369" i="1"/>
  <c r="E3369" i="1"/>
  <c r="I3369" i="1"/>
  <c r="S3369" i="1"/>
  <c r="B3370" i="1"/>
  <c r="E3370" i="1"/>
  <c r="I3370" i="1"/>
  <c r="S3370" i="1"/>
  <c r="B3371" i="1"/>
  <c r="E3371" i="1"/>
  <c r="I3371" i="1"/>
  <c r="S3371" i="1"/>
  <c r="B3372" i="1"/>
  <c r="E3372" i="1"/>
  <c r="I3372" i="1"/>
  <c r="S3372" i="1"/>
  <c r="B3373" i="1"/>
  <c r="E3373" i="1"/>
  <c r="I3373" i="1"/>
  <c r="S3373" i="1"/>
  <c r="B3374" i="1"/>
  <c r="E3374" i="1"/>
  <c r="I3374" i="1"/>
  <c r="S3374" i="1"/>
  <c r="B3375" i="1"/>
  <c r="E3375" i="1"/>
  <c r="I3375" i="1"/>
  <c r="S3375" i="1"/>
  <c r="B3376" i="1"/>
  <c r="E3376" i="1"/>
  <c r="I3376" i="1"/>
  <c r="S3376" i="1"/>
  <c r="B3377" i="1"/>
  <c r="E3377" i="1"/>
  <c r="I3377" i="1"/>
  <c r="S3377" i="1"/>
  <c r="B3378" i="1"/>
  <c r="E3378" i="1"/>
  <c r="I3378" i="1"/>
  <c r="S3378" i="1"/>
  <c r="B3379" i="1"/>
  <c r="E3379" i="1"/>
  <c r="I3379" i="1"/>
  <c r="S3379" i="1"/>
  <c r="B3380" i="1"/>
  <c r="E3380" i="1"/>
  <c r="I3380" i="1"/>
  <c r="S3380" i="1"/>
  <c r="B3381" i="1"/>
  <c r="E3381" i="1"/>
  <c r="I3381" i="1"/>
  <c r="S3381" i="1"/>
  <c r="B3382" i="1"/>
  <c r="E3382" i="1"/>
  <c r="I3382" i="1"/>
  <c r="B3383" i="1"/>
  <c r="E3383" i="1"/>
  <c r="I3383" i="1"/>
  <c r="S3383" i="1"/>
  <c r="B3384" i="1"/>
  <c r="E3384" i="1"/>
  <c r="I3384" i="1"/>
  <c r="S3384" i="1"/>
  <c r="B3385" i="1"/>
  <c r="E3385" i="1"/>
  <c r="I3385" i="1"/>
  <c r="S3385" i="1"/>
  <c r="B3386" i="1"/>
  <c r="E3386" i="1"/>
  <c r="I3386" i="1"/>
  <c r="S3386" i="1"/>
  <c r="B3387" i="1"/>
  <c r="E3387" i="1"/>
  <c r="I3387" i="1"/>
  <c r="S3387" i="1"/>
  <c r="B3388" i="1"/>
  <c r="E3388" i="1"/>
  <c r="I3388" i="1"/>
  <c r="S3388" i="1"/>
  <c r="B3389" i="1"/>
  <c r="E3389" i="1"/>
  <c r="I3389" i="1"/>
  <c r="S3389" i="1"/>
  <c r="B3390" i="1"/>
  <c r="E3390" i="1"/>
  <c r="I3390" i="1"/>
  <c r="S3390" i="1"/>
  <c r="B3391" i="1"/>
  <c r="E3391" i="1"/>
  <c r="I3391" i="1"/>
  <c r="S3391" i="1"/>
  <c r="B3392" i="1"/>
  <c r="E3392" i="1"/>
  <c r="I3392" i="1"/>
  <c r="S3392" i="1"/>
  <c r="B3393" i="1"/>
  <c r="E3393" i="1"/>
  <c r="I3393" i="1"/>
  <c r="S3393" i="1"/>
  <c r="B3394" i="1"/>
  <c r="E3394" i="1"/>
  <c r="I3394" i="1"/>
  <c r="S3394" i="1"/>
  <c r="B3395" i="1"/>
  <c r="E3395" i="1"/>
  <c r="I3395" i="1"/>
  <c r="S3395" i="1"/>
  <c r="B3396" i="1"/>
  <c r="E3396" i="1"/>
  <c r="I3396" i="1"/>
  <c r="S3396" i="1"/>
  <c r="B3397" i="1"/>
  <c r="E3397" i="1"/>
  <c r="I3397" i="1"/>
  <c r="S3397" i="1"/>
  <c r="B3398" i="1"/>
  <c r="E3398" i="1"/>
  <c r="I3398" i="1"/>
  <c r="S3398" i="1"/>
  <c r="B3399" i="1"/>
  <c r="E3399" i="1"/>
  <c r="I3399" i="1"/>
  <c r="S3399" i="1"/>
  <c r="B3400" i="1"/>
  <c r="E3400" i="1"/>
  <c r="I3400" i="1"/>
  <c r="S3400" i="1"/>
  <c r="B3401" i="1"/>
  <c r="E3401" i="1"/>
  <c r="I3401" i="1"/>
  <c r="S3401" i="1"/>
  <c r="B3402" i="1"/>
  <c r="E3402" i="1"/>
  <c r="I3402" i="1"/>
  <c r="S3402" i="1"/>
  <c r="B3403" i="1"/>
  <c r="E3403" i="1"/>
  <c r="I3403" i="1"/>
  <c r="S3403" i="1"/>
  <c r="B3404" i="1"/>
  <c r="E3404" i="1"/>
  <c r="I3404" i="1"/>
  <c r="S3404" i="1"/>
  <c r="B3405" i="1"/>
  <c r="E3405" i="1"/>
  <c r="I3405" i="1"/>
  <c r="S3405" i="1"/>
  <c r="B3406" i="1"/>
  <c r="E3406" i="1"/>
  <c r="I3406" i="1"/>
  <c r="S3406" i="1"/>
  <c r="B3407" i="1"/>
  <c r="E3407" i="1"/>
  <c r="I3407" i="1"/>
  <c r="S3407" i="1"/>
  <c r="B3408" i="1"/>
  <c r="E3408" i="1"/>
  <c r="I3408" i="1"/>
  <c r="S3408" i="1"/>
  <c r="B3409" i="1"/>
  <c r="E3409" i="1"/>
  <c r="I3409" i="1"/>
  <c r="S3409" i="1"/>
  <c r="B3410" i="1"/>
  <c r="E3410" i="1"/>
  <c r="I3410" i="1"/>
  <c r="S3410" i="1"/>
  <c r="B3411" i="1"/>
  <c r="E3411" i="1"/>
  <c r="I3411" i="1"/>
  <c r="S3411" i="1"/>
  <c r="B3412" i="1"/>
  <c r="E3412" i="1"/>
  <c r="I3412" i="1"/>
  <c r="S3412" i="1"/>
  <c r="B3413" i="1"/>
  <c r="E3413" i="1"/>
  <c r="I3413" i="1"/>
  <c r="S3413" i="1"/>
  <c r="B3414" i="1"/>
  <c r="E3414" i="1"/>
  <c r="I3414" i="1"/>
  <c r="S3414" i="1"/>
  <c r="B3415" i="1"/>
  <c r="E3415" i="1"/>
  <c r="I3415" i="1"/>
  <c r="S3415" i="1"/>
  <c r="B3416" i="1"/>
  <c r="E3416" i="1"/>
  <c r="I3416" i="1"/>
  <c r="S3416" i="1"/>
  <c r="B3417" i="1"/>
  <c r="E3417" i="1"/>
  <c r="I3417" i="1"/>
  <c r="S3417" i="1"/>
  <c r="B3418" i="1"/>
  <c r="E3418" i="1"/>
  <c r="I3418" i="1"/>
  <c r="S3418" i="1"/>
  <c r="B3419" i="1"/>
  <c r="E3419" i="1"/>
  <c r="I3419" i="1"/>
  <c r="S3419" i="1"/>
  <c r="B3420" i="1"/>
  <c r="E3420" i="1"/>
  <c r="I3420" i="1"/>
  <c r="S3420" i="1"/>
  <c r="B3421" i="1"/>
  <c r="E3421" i="1"/>
  <c r="I3421" i="1"/>
  <c r="S3421" i="1"/>
  <c r="B3422" i="1"/>
  <c r="E3422" i="1"/>
  <c r="I3422" i="1"/>
  <c r="S3422" i="1"/>
  <c r="B3423" i="1"/>
  <c r="E3423" i="1"/>
  <c r="I3423" i="1"/>
  <c r="S3423" i="1"/>
  <c r="B3424" i="1"/>
  <c r="E3424" i="1"/>
  <c r="I3424" i="1"/>
  <c r="S3424" i="1"/>
  <c r="B3425" i="1"/>
  <c r="E3425" i="1"/>
  <c r="I3425" i="1"/>
  <c r="S3425" i="1"/>
  <c r="B3426" i="1"/>
  <c r="E3426" i="1"/>
  <c r="I3426" i="1"/>
  <c r="S3426" i="1"/>
  <c r="B3427" i="1"/>
  <c r="E3427" i="1"/>
  <c r="I3427" i="1"/>
  <c r="S3427" i="1"/>
  <c r="B3428" i="1"/>
  <c r="E3428" i="1"/>
  <c r="I3428" i="1"/>
  <c r="S3428" i="1"/>
  <c r="B3429" i="1"/>
  <c r="E3429" i="1"/>
  <c r="I3429" i="1"/>
  <c r="S3429" i="1"/>
  <c r="B3430" i="1"/>
  <c r="E3430" i="1"/>
  <c r="I3430" i="1"/>
  <c r="S3430" i="1"/>
  <c r="B3431" i="1"/>
  <c r="E3431" i="1"/>
  <c r="I3431" i="1"/>
  <c r="S3431" i="1"/>
  <c r="B3432" i="1"/>
  <c r="E3432" i="1"/>
  <c r="I3432" i="1"/>
  <c r="S3432" i="1"/>
  <c r="B3433" i="1"/>
  <c r="E3433" i="1"/>
  <c r="I3433" i="1"/>
  <c r="S3433" i="1"/>
  <c r="B3434" i="1"/>
  <c r="E3434" i="1"/>
  <c r="I3434" i="1"/>
  <c r="S3434" i="1"/>
  <c r="B3435" i="1"/>
  <c r="E3435" i="1"/>
  <c r="I3435" i="1"/>
  <c r="B3436" i="1"/>
  <c r="E3436" i="1"/>
  <c r="I3436" i="1"/>
  <c r="S3436" i="1"/>
  <c r="B3437" i="1"/>
  <c r="E3437" i="1"/>
  <c r="I3437" i="1"/>
  <c r="S3437" i="1"/>
  <c r="B3438" i="1"/>
  <c r="E3438" i="1"/>
  <c r="I3438" i="1"/>
  <c r="S3438" i="1"/>
  <c r="B3439" i="1"/>
  <c r="E3439" i="1"/>
  <c r="I3439" i="1"/>
  <c r="S3439" i="1"/>
  <c r="B3440" i="1"/>
  <c r="E3440" i="1"/>
  <c r="I3440" i="1"/>
  <c r="S3440" i="1"/>
  <c r="B3441" i="1"/>
  <c r="E3441" i="1"/>
  <c r="I3441" i="1"/>
  <c r="S3441" i="1"/>
  <c r="B3442" i="1"/>
  <c r="E3442" i="1"/>
  <c r="I3442" i="1"/>
  <c r="S3442" i="1"/>
  <c r="B3443" i="1"/>
  <c r="E3443" i="1"/>
  <c r="I3443" i="1"/>
  <c r="S3443" i="1"/>
  <c r="B3444" i="1"/>
  <c r="E3444" i="1"/>
  <c r="I3444" i="1"/>
  <c r="S3444" i="1"/>
  <c r="B3445" i="1"/>
  <c r="E3445" i="1"/>
  <c r="I3445" i="1"/>
  <c r="S3445" i="1"/>
  <c r="B3446" i="1"/>
  <c r="E3446" i="1"/>
  <c r="I3446" i="1"/>
  <c r="S3446" i="1"/>
  <c r="B3447" i="1"/>
  <c r="E3447" i="1"/>
  <c r="I3447" i="1"/>
  <c r="S3447" i="1"/>
  <c r="B3448" i="1"/>
  <c r="E3448" i="1"/>
  <c r="I3448" i="1"/>
  <c r="S3448" i="1"/>
  <c r="B3449" i="1"/>
  <c r="E3449" i="1"/>
  <c r="I3449" i="1"/>
  <c r="S3449" i="1"/>
  <c r="B3450" i="1"/>
  <c r="E3450" i="1"/>
  <c r="I3450" i="1"/>
  <c r="S3450" i="1"/>
  <c r="B3451" i="1"/>
  <c r="E3451" i="1"/>
  <c r="I3451" i="1"/>
  <c r="S3451" i="1"/>
  <c r="B3452" i="1"/>
  <c r="E3452" i="1"/>
  <c r="I3452" i="1"/>
  <c r="S3452" i="1"/>
  <c r="B3453" i="1"/>
  <c r="E3453" i="1"/>
  <c r="I3453" i="1"/>
  <c r="S3453" i="1"/>
  <c r="B3454" i="1"/>
  <c r="E3454" i="1"/>
  <c r="I3454" i="1"/>
  <c r="S3454" i="1"/>
  <c r="B3455" i="1"/>
  <c r="E3455" i="1"/>
  <c r="I3455" i="1"/>
  <c r="S3455" i="1"/>
  <c r="B3456" i="1"/>
  <c r="E3456" i="1"/>
  <c r="I3456" i="1"/>
  <c r="S3456" i="1"/>
  <c r="B3457" i="1"/>
  <c r="E3457" i="1"/>
  <c r="I3457" i="1"/>
  <c r="S3457" i="1"/>
  <c r="B3458" i="1"/>
  <c r="E3458" i="1"/>
  <c r="I3458" i="1"/>
  <c r="S3458" i="1"/>
  <c r="B3459" i="1"/>
  <c r="E3459" i="1"/>
  <c r="I3459" i="1"/>
  <c r="S3459" i="1"/>
  <c r="B3460" i="1"/>
  <c r="E3460" i="1"/>
  <c r="I3460" i="1"/>
  <c r="S3460" i="1"/>
  <c r="B3461" i="1"/>
  <c r="E3461" i="1"/>
  <c r="I3461" i="1"/>
  <c r="S3461" i="1"/>
  <c r="B3462" i="1"/>
  <c r="E3462" i="1"/>
  <c r="I3462" i="1"/>
  <c r="S3462" i="1"/>
  <c r="B3463" i="1"/>
  <c r="E3463" i="1"/>
  <c r="I3463" i="1"/>
  <c r="S3463" i="1"/>
  <c r="B3464" i="1"/>
  <c r="E3464" i="1"/>
  <c r="I3464" i="1"/>
  <c r="S3464" i="1"/>
  <c r="B3465" i="1"/>
  <c r="E3465" i="1"/>
  <c r="I3465" i="1"/>
  <c r="S3465" i="1"/>
  <c r="B3466" i="1"/>
  <c r="E3466" i="1"/>
  <c r="I3466" i="1"/>
  <c r="S3466" i="1"/>
  <c r="B3467" i="1"/>
  <c r="E3467" i="1"/>
  <c r="I3467" i="1"/>
  <c r="S3467" i="1"/>
  <c r="B3468" i="1"/>
  <c r="E3468" i="1"/>
  <c r="I3468" i="1"/>
  <c r="S3468" i="1"/>
  <c r="B3469" i="1"/>
  <c r="E3469" i="1"/>
  <c r="I3469" i="1"/>
  <c r="S3469" i="1"/>
  <c r="B3470" i="1"/>
  <c r="E3470" i="1"/>
  <c r="I3470" i="1"/>
  <c r="S3470" i="1"/>
  <c r="B3471" i="1"/>
  <c r="E3471" i="1"/>
  <c r="I3471" i="1"/>
  <c r="S3471" i="1"/>
  <c r="B3472" i="1"/>
  <c r="E3472" i="1"/>
  <c r="I3472" i="1"/>
  <c r="S3472" i="1"/>
  <c r="B3473" i="1"/>
  <c r="E3473" i="1"/>
  <c r="I3473" i="1"/>
  <c r="S3473" i="1"/>
  <c r="B3474" i="1"/>
  <c r="E3474" i="1"/>
  <c r="I3474" i="1"/>
  <c r="S3474" i="1"/>
  <c r="B3475" i="1"/>
  <c r="E3475" i="1"/>
  <c r="I3475" i="1"/>
  <c r="S3475" i="1"/>
  <c r="B3476" i="1"/>
  <c r="E3476" i="1"/>
  <c r="I3476" i="1"/>
  <c r="S3476" i="1"/>
  <c r="B3477" i="1"/>
  <c r="E3477" i="1"/>
  <c r="I3477" i="1"/>
  <c r="B3478" i="1"/>
  <c r="E3478" i="1"/>
  <c r="I3478" i="1"/>
  <c r="S3478" i="1"/>
  <c r="B3479" i="1"/>
  <c r="E3479" i="1"/>
  <c r="I3479" i="1"/>
  <c r="S3479" i="1"/>
  <c r="B3480" i="1"/>
  <c r="E3480" i="1"/>
  <c r="I3480" i="1"/>
  <c r="S3480" i="1"/>
  <c r="B3481" i="1"/>
  <c r="E3481" i="1"/>
  <c r="I3481" i="1"/>
  <c r="S3481" i="1"/>
  <c r="B3482" i="1"/>
  <c r="E3482" i="1"/>
  <c r="I3482" i="1"/>
  <c r="S3482" i="1"/>
  <c r="B3483" i="1"/>
  <c r="E3483" i="1"/>
  <c r="I3483" i="1"/>
  <c r="S3483" i="1"/>
  <c r="B3484" i="1"/>
  <c r="E3484" i="1"/>
  <c r="I3484" i="1"/>
  <c r="S3484" i="1"/>
  <c r="B3485" i="1"/>
  <c r="E3485" i="1"/>
  <c r="I3485" i="1"/>
  <c r="S3485" i="1"/>
  <c r="B3486" i="1"/>
  <c r="E3486" i="1"/>
  <c r="I3486" i="1"/>
  <c r="S3486" i="1"/>
  <c r="B3487" i="1"/>
  <c r="E3487" i="1"/>
  <c r="I3487" i="1"/>
  <c r="S3487" i="1"/>
  <c r="B3488" i="1"/>
  <c r="E3488" i="1"/>
  <c r="I3488" i="1"/>
  <c r="S3488" i="1"/>
  <c r="B3489" i="1"/>
  <c r="E3489" i="1"/>
  <c r="I3489" i="1"/>
  <c r="S3489" i="1"/>
  <c r="B3490" i="1"/>
  <c r="E3490" i="1"/>
  <c r="I3490" i="1"/>
  <c r="S3490" i="1"/>
  <c r="B3491" i="1"/>
  <c r="E3491" i="1"/>
  <c r="I3491" i="1"/>
  <c r="S3491" i="1"/>
  <c r="B3492" i="1"/>
  <c r="E3492" i="1"/>
  <c r="I3492" i="1"/>
  <c r="S3492" i="1"/>
  <c r="B3493" i="1"/>
  <c r="E3493" i="1"/>
  <c r="I3493" i="1"/>
  <c r="S3493" i="1"/>
  <c r="B3494" i="1"/>
  <c r="E3494" i="1"/>
  <c r="I3494" i="1"/>
  <c r="S3494" i="1"/>
  <c r="B3495" i="1"/>
  <c r="E3495" i="1"/>
  <c r="I3495" i="1"/>
  <c r="S3495" i="1"/>
  <c r="B3496" i="1"/>
  <c r="E3496" i="1"/>
  <c r="I3496" i="1"/>
  <c r="S3496" i="1"/>
  <c r="B3497" i="1"/>
  <c r="E3497" i="1"/>
  <c r="I3497" i="1"/>
  <c r="S3497" i="1"/>
  <c r="B3498" i="1"/>
  <c r="E3498" i="1"/>
  <c r="I3498" i="1"/>
  <c r="S3498" i="1"/>
  <c r="B3499" i="1"/>
  <c r="E3499" i="1"/>
  <c r="I3499" i="1"/>
  <c r="S3499" i="1"/>
  <c r="B3500" i="1"/>
  <c r="E3500" i="1"/>
  <c r="I3500" i="1"/>
  <c r="S3500" i="1"/>
  <c r="B3501" i="1"/>
  <c r="E3501" i="1"/>
  <c r="I3501" i="1"/>
  <c r="S3501" i="1"/>
  <c r="B3502" i="1"/>
  <c r="E3502" i="1"/>
  <c r="I3502" i="1"/>
  <c r="S3502" i="1"/>
  <c r="B3503" i="1"/>
  <c r="E3503" i="1"/>
  <c r="I3503" i="1"/>
  <c r="S3503" i="1"/>
  <c r="B3504" i="1"/>
  <c r="E3504" i="1"/>
  <c r="I3504" i="1"/>
  <c r="S3504" i="1"/>
  <c r="B3505" i="1"/>
  <c r="E3505" i="1"/>
  <c r="I3505" i="1"/>
  <c r="S3505" i="1"/>
  <c r="B3506" i="1"/>
  <c r="E3506" i="1"/>
  <c r="I3506" i="1"/>
  <c r="S3506" i="1"/>
  <c r="B3507" i="1"/>
  <c r="E3507" i="1"/>
  <c r="I3507" i="1"/>
  <c r="S3507" i="1"/>
  <c r="B3508" i="1"/>
  <c r="E3508" i="1"/>
  <c r="I3508" i="1"/>
  <c r="B3509" i="1"/>
  <c r="E3509" i="1"/>
  <c r="I3509" i="1"/>
  <c r="S3509" i="1"/>
  <c r="B3510" i="1"/>
  <c r="E3510" i="1"/>
  <c r="I3510" i="1"/>
  <c r="S3510" i="1"/>
  <c r="B3511" i="1"/>
  <c r="E3511" i="1"/>
  <c r="I3511" i="1"/>
  <c r="S3511" i="1"/>
  <c r="B3512" i="1"/>
  <c r="E3512" i="1"/>
  <c r="I3512" i="1"/>
  <c r="S3512" i="1"/>
  <c r="B3513" i="1"/>
  <c r="E3513" i="1"/>
  <c r="I3513" i="1"/>
  <c r="S3513" i="1"/>
  <c r="B3514" i="1"/>
  <c r="E3514" i="1"/>
  <c r="I3514" i="1"/>
  <c r="S3514" i="1"/>
  <c r="B3515" i="1"/>
  <c r="E3515" i="1"/>
  <c r="I3515" i="1"/>
  <c r="S3515" i="1"/>
  <c r="B3516" i="1"/>
  <c r="E3516" i="1"/>
  <c r="I3516" i="1"/>
  <c r="S3516" i="1"/>
  <c r="B3517" i="1"/>
  <c r="E3517" i="1"/>
  <c r="I3517" i="1"/>
  <c r="S3517" i="1"/>
  <c r="B3518" i="1"/>
  <c r="E3518" i="1"/>
  <c r="I3518" i="1"/>
  <c r="S3518" i="1"/>
  <c r="B3519" i="1"/>
  <c r="E3519" i="1"/>
  <c r="I3519" i="1"/>
  <c r="S3519" i="1"/>
  <c r="B3520" i="1"/>
  <c r="E3520" i="1"/>
  <c r="I3520" i="1"/>
  <c r="S3520" i="1"/>
  <c r="B3521" i="1"/>
  <c r="E3521" i="1"/>
  <c r="I3521" i="1"/>
  <c r="S3521" i="1"/>
  <c r="B3522" i="1"/>
  <c r="E3522" i="1"/>
  <c r="I3522" i="1"/>
  <c r="S3522" i="1"/>
  <c r="B3523" i="1"/>
  <c r="E3523" i="1"/>
  <c r="I3523" i="1"/>
  <c r="S3523" i="1"/>
  <c r="B3524" i="1"/>
  <c r="E3524" i="1"/>
  <c r="I3524" i="1"/>
  <c r="S3524" i="1"/>
  <c r="B3525" i="1"/>
  <c r="E3525" i="1"/>
  <c r="I3525" i="1"/>
  <c r="S3525" i="1"/>
  <c r="B3526" i="1"/>
  <c r="E3526" i="1"/>
  <c r="I3526" i="1"/>
  <c r="S3526" i="1"/>
  <c r="B3527" i="1"/>
  <c r="E3527" i="1"/>
  <c r="I3527" i="1"/>
  <c r="S3527" i="1"/>
  <c r="B3528" i="1"/>
  <c r="E3528" i="1"/>
  <c r="I3528" i="1"/>
  <c r="S3528" i="1"/>
  <c r="B3529" i="1"/>
  <c r="E3529" i="1"/>
  <c r="I3529" i="1"/>
  <c r="S3529" i="1"/>
  <c r="B3530" i="1"/>
  <c r="E3530" i="1"/>
  <c r="I3530" i="1"/>
  <c r="S3530" i="1"/>
  <c r="B3531" i="1"/>
  <c r="E3531" i="1"/>
  <c r="I3531" i="1"/>
  <c r="S3531" i="1"/>
  <c r="B3532" i="1"/>
  <c r="E3532" i="1"/>
  <c r="I3532" i="1"/>
  <c r="S3532" i="1"/>
  <c r="B3533" i="1"/>
  <c r="E3533" i="1"/>
  <c r="I3533" i="1"/>
  <c r="S3533" i="1"/>
  <c r="B3534" i="1"/>
  <c r="E3534" i="1"/>
  <c r="I3534" i="1"/>
  <c r="S3534" i="1"/>
  <c r="B3535" i="1"/>
  <c r="E3535" i="1"/>
  <c r="I3535" i="1"/>
  <c r="S3535" i="1"/>
  <c r="B3536" i="1"/>
  <c r="E3536" i="1"/>
  <c r="I3536" i="1"/>
  <c r="S3536" i="1"/>
  <c r="B3537" i="1"/>
  <c r="E3537" i="1"/>
  <c r="I3537" i="1"/>
  <c r="S3537" i="1"/>
  <c r="B3538" i="1"/>
  <c r="E3538" i="1"/>
  <c r="I3538" i="1"/>
  <c r="S3538" i="1"/>
  <c r="B3539" i="1"/>
  <c r="E3539" i="1"/>
  <c r="I3539" i="1"/>
  <c r="S3539" i="1"/>
  <c r="B3540" i="1"/>
  <c r="E3540" i="1"/>
  <c r="I3540" i="1"/>
  <c r="B3541" i="1"/>
  <c r="E3541" i="1"/>
  <c r="I3541" i="1"/>
  <c r="B3542" i="1"/>
  <c r="E3542" i="1"/>
  <c r="I3542" i="1"/>
  <c r="S3542" i="1"/>
  <c r="B3543" i="1"/>
  <c r="E3543" i="1"/>
  <c r="I3543" i="1"/>
  <c r="S3543" i="1"/>
  <c r="B3544" i="1"/>
  <c r="E3544" i="1"/>
  <c r="I3544" i="1"/>
  <c r="S3544" i="1"/>
  <c r="B3545" i="1"/>
  <c r="E3545" i="1"/>
  <c r="I3545" i="1"/>
  <c r="S3545" i="1"/>
  <c r="B3546" i="1"/>
  <c r="E3546" i="1"/>
  <c r="I3546" i="1"/>
  <c r="S3546" i="1"/>
  <c r="B3547" i="1"/>
  <c r="E3547" i="1"/>
  <c r="I3547" i="1"/>
  <c r="S3547" i="1"/>
  <c r="B3548" i="1"/>
  <c r="E3548" i="1"/>
  <c r="I3548" i="1"/>
  <c r="S3548" i="1"/>
  <c r="B3549" i="1"/>
  <c r="E3549" i="1"/>
  <c r="I3549" i="1"/>
  <c r="S3549" i="1"/>
  <c r="B3550" i="1"/>
  <c r="E3550" i="1"/>
  <c r="I3550" i="1"/>
  <c r="S3550" i="1"/>
  <c r="B3551" i="1"/>
  <c r="E3551" i="1"/>
  <c r="I3551" i="1"/>
  <c r="B3552" i="1"/>
  <c r="E3552" i="1"/>
  <c r="I3552" i="1"/>
  <c r="S3552" i="1"/>
  <c r="B3553" i="1"/>
  <c r="E3553" i="1"/>
  <c r="I3553" i="1"/>
  <c r="S3553" i="1"/>
  <c r="B3554" i="1"/>
  <c r="E3554" i="1"/>
  <c r="I3554" i="1"/>
  <c r="S3554" i="1"/>
  <c r="B3555" i="1"/>
  <c r="E3555" i="1"/>
  <c r="I3555" i="1"/>
  <c r="S3555" i="1"/>
  <c r="B3556" i="1"/>
  <c r="E3556" i="1"/>
  <c r="I3556" i="1"/>
  <c r="S3556" i="1"/>
  <c r="B3557" i="1"/>
  <c r="E3557" i="1"/>
  <c r="I3557" i="1"/>
  <c r="S3557" i="1"/>
  <c r="B3558" i="1"/>
  <c r="E3558" i="1"/>
  <c r="I3558" i="1"/>
  <c r="S3558" i="1"/>
  <c r="B3559" i="1"/>
  <c r="E3559" i="1"/>
  <c r="I3559" i="1"/>
  <c r="S3559" i="1"/>
  <c r="B3560" i="1"/>
  <c r="E3560" i="1"/>
  <c r="I3560" i="1"/>
  <c r="S3560" i="1"/>
  <c r="B3561" i="1"/>
  <c r="E3561" i="1"/>
  <c r="I3561" i="1"/>
  <c r="S3561" i="1"/>
  <c r="B3562" i="1"/>
  <c r="E3562" i="1"/>
  <c r="I3562" i="1"/>
  <c r="S3562" i="1"/>
  <c r="B3563" i="1"/>
  <c r="E3563" i="1"/>
  <c r="I3563" i="1"/>
  <c r="S3563" i="1"/>
  <c r="B3564" i="1"/>
  <c r="E3564" i="1"/>
  <c r="I3564" i="1"/>
  <c r="S3564" i="1"/>
  <c r="B3565" i="1"/>
  <c r="E3565" i="1"/>
  <c r="I3565" i="1"/>
  <c r="S3565" i="1"/>
  <c r="B3566" i="1"/>
  <c r="E3566" i="1"/>
  <c r="I3566" i="1"/>
  <c r="S3566" i="1"/>
  <c r="B3567" i="1"/>
  <c r="E3567" i="1"/>
  <c r="I3567" i="1"/>
  <c r="S3567" i="1"/>
  <c r="B3568" i="1"/>
  <c r="E3568" i="1"/>
  <c r="I3568" i="1"/>
  <c r="S3568" i="1"/>
  <c r="B3569" i="1"/>
  <c r="E3569" i="1"/>
  <c r="I3569" i="1"/>
  <c r="S3569" i="1"/>
  <c r="B3570" i="1"/>
  <c r="E3570" i="1"/>
  <c r="I3570" i="1"/>
  <c r="S3570" i="1"/>
  <c r="B3571" i="1"/>
  <c r="E3571" i="1"/>
  <c r="I3571" i="1"/>
  <c r="S3571" i="1"/>
  <c r="B3572" i="1"/>
  <c r="E3572" i="1"/>
  <c r="I3572" i="1"/>
  <c r="S3572" i="1"/>
  <c r="B3573" i="1"/>
  <c r="E3573" i="1"/>
  <c r="I3573" i="1"/>
  <c r="S3573" i="1"/>
  <c r="B3574" i="1"/>
  <c r="E3574" i="1"/>
  <c r="I3574" i="1"/>
  <c r="S3574" i="1"/>
  <c r="B3575" i="1"/>
  <c r="E3575" i="1"/>
  <c r="I3575" i="1"/>
  <c r="S3575" i="1"/>
  <c r="B3576" i="1"/>
  <c r="E3576" i="1"/>
  <c r="I3576" i="1"/>
  <c r="S3576" i="1"/>
  <c r="B3577" i="1"/>
  <c r="E3577" i="1"/>
  <c r="I3577" i="1"/>
  <c r="S3577" i="1"/>
  <c r="B3578" i="1"/>
  <c r="E3578" i="1"/>
  <c r="I3578" i="1"/>
  <c r="S3578" i="1"/>
  <c r="B3579" i="1"/>
  <c r="E3579" i="1"/>
  <c r="I3579" i="1"/>
  <c r="S3579" i="1"/>
  <c r="B3580" i="1"/>
  <c r="E3580" i="1"/>
  <c r="I3580" i="1"/>
  <c r="S3580" i="1"/>
  <c r="B3581" i="1"/>
  <c r="E3581" i="1"/>
  <c r="I3581" i="1"/>
  <c r="S3581" i="1"/>
  <c r="B3582" i="1"/>
  <c r="E3582" i="1"/>
  <c r="I3582" i="1"/>
  <c r="S3582" i="1"/>
  <c r="B3583" i="1"/>
  <c r="E3583" i="1"/>
  <c r="I3583" i="1"/>
  <c r="S3583" i="1"/>
  <c r="B3584" i="1"/>
  <c r="E3584" i="1"/>
  <c r="I3584" i="1"/>
  <c r="S3584" i="1"/>
  <c r="B3585" i="1"/>
  <c r="E3585" i="1"/>
  <c r="I3585" i="1"/>
  <c r="S3585" i="1"/>
  <c r="B3586" i="1"/>
  <c r="E3586" i="1"/>
  <c r="I3586" i="1"/>
  <c r="S3586" i="1"/>
  <c r="B3587" i="1"/>
  <c r="E3587" i="1"/>
  <c r="I3587" i="1"/>
  <c r="S3587" i="1"/>
  <c r="B3588" i="1"/>
  <c r="E3588" i="1"/>
  <c r="I3588" i="1"/>
  <c r="S3588" i="1"/>
  <c r="B3589" i="1"/>
  <c r="E3589" i="1"/>
  <c r="I3589" i="1"/>
  <c r="S3589" i="1"/>
  <c r="B3590" i="1"/>
  <c r="E3590" i="1"/>
  <c r="I3590" i="1"/>
  <c r="S3590" i="1"/>
  <c r="B3591" i="1"/>
  <c r="E3591" i="1"/>
  <c r="I3591" i="1"/>
  <c r="S3591" i="1"/>
  <c r="B3592" i="1"/>
  <c r="E3592" i="1"/>
  <c r="I3592" i="1"/>
  <c r="S3592" i="1"/>
  <c r="B3593" i="1"/>
  <c r="E3593" i="1"/>
  <c r="I3593" i="1"/>
  <c r="S3593" i="1"/>
  <c r="B3594" i="1"/>
  <c r="E3594" i="1"/>
  <c r="I3594" i="1"/>
  <c r="S3594" i="1"/>
  <c r="B3595" i="1"/>
  <c r="E3595" i="1"/>
  <c r="I3595" i="1"/>
  <c r="S3595" i="1"/>
  <c r="B3596" i="1"/>
  <c r="E3596" i="1"/>
  <c r="I3596" i="1"/>
  <c r="S3596" i="1"/>
  <c r="B3597" i="1"/>
  <c r="E3597" i="1"/>
  <c r="I3597" i="1"/>
  <c r="S3597" i="1"/>
  <c r="B3598" i="1"/>
  <c r="E3598" i="1"/>
  <c r="I3598" i="1"/>
  <c r="S3598" i="1"/>
  <c r="B3599" i="1"/>
  <c r="E3599" i="1"/>
  <c r="I3599" i="1"/>
  <c r="S3599" i="1"/>
  <c r="B3600" i="1"/>
  <c r="E3600" i="1"/>
  <c r="I3600" i="1"/>
  <c r="S3600" i="1"/>
  <c r="B3601" i="1"/>
  <c r="E3601" i="1"/>
  <c r="I3601" i="1"/>
  <c r="S3601" i="1"/>
  <c r="B3602" i="1"/>
  <c r="E3602" i="1"/>
  <c r="I3602" i="1"/>
  <c r="S3602" i="1"/>
  <c r="B3603" i="1"/>
  <c r="E3603" i="1"/>
  <c r="I3603" i="1"/>
  <c r="S3603" i="1"/>
  <c r="B3604" i="1"/>
  <c r="E3604" i="1"/>
  <c r="I3604" i="1"/>
  <c r="S3604" i="1"/>
  <c r="B3605" i="1"/>
  <c r="E3605" i="1"/>
  <c r="I3605" i="1"/>
  <c r="S3605" i="1"/>
  <c r="B3606" i="1"/>
  <c r="E3606" i="1"/>
  <c r="I3606" i="1"/>
  <c r="S3606" i="1"/>
  <c r="B3607" i="1"/>
  <c r="E3607" i="1"/>
  <c r="I3607" i="1"/>
  <c r="S3607" i="1"/>
  <c r="B3608" i="1"/>
  <c r="E3608" i="1"/>
  <c r="I3608" i="1"/>
  <c r="S3608" i="1"/>
  <c r="B3609" i="1"/>
  <c r="E3609" i="1"/>
  <c r="I3609" i="1"/>
  <c r="S3609" i="1"/>
  <c r="B3610" i="1"/>
  <c r="E3610" i="1"/>
  <c r="I3610" i="1"/>
  <c r="S3610" i="1"/>
  <c r="B3611" i="1"/>
  <c r="E3611" i="1"/>
  <c r="I3611" i="1"/>
  <c r="S3611" i="1"/>
  <c r="B3612" i="1"/>
  <c r="E3612" i="1"/>
  <c r="I3612" i="1"/>
  <c r="S3612" i="1"/>
  <c r="B3613" i="1"/>
  <c r="E3613" i="1"/>
  <c r="I3613" i="1"/>
  <c r="S3613" i="1"/>
  <c r="B3614" i="1"/>
  <c r="E3614" i="1"/>
  <c r="I3614" i="1"/>
  <c r="S3614" i="1"/>
  <c r="B3615" i="1"/>
  <c r="E3615" i="1"/>
  <c r="I3615" i="1"/>
  <c r="S3615" i="1"/>
  <c r="B3616" i="1"/>
  <c r="E3616" i="1"/>
  <c r="I3616" i="1"/>
  <c r="S3616" i="1"/>
  <c r="B3617" i="1"/>
  <c r="E3617" i="1"/>
  <c r="I3617" i="1"/>
  <c r="S3617" i="1"/>
  <c r="B3618" i="1"/>
  <c r="E3618" i="1"/>
  <c r="I3618" i="1"/>
  <c r="S3618" i="1"/>
  <c r="B3619" i="1"/>
  <c r="E3619" i="1"/>
  <c r="I3619" i="1"/>
  <c r="S3619" i="1"/>
  <c r="B3620" i="1"/>
  <c r="E3620" i="1"/>
  <c r="I3620" i="1"/>
  <c r="S3620" i="1"/>
  <c r="B3621" i="1"/>
  <c r="E3621" i="1"/>
  <c r="I3621" i="1"/>
  <c r="S3621" i="1"/>
  <c r="B3622" i="1"/>
  <c r="E3622" i="1"/>
  <c r="I3622" i="1"/>
  <c r="S3622" i="1"/>
  <c r="B3623" i="1"/>
  <c r="E3623" i="1"/>
  <c r="I3623" i="1"/>
  <c r="S3623" i="1"/>
  <c r="B3624" i="1"/>
  <c r="E3624" i="1"/>
  <c r="I3624" i="1"/>
  <c r="S3624" i="1"/>
  <c r="B3625" i="1"/>
  <c r="E3625" i="1"/>
  <c r="I3625" i="1"/>
  <c r="S3625" i="1"/>
  <c r="B3626" i="1"/>
  <c r="E3626" i="1"/>
  <c r="I3626" i="1"/>
  <c r="S3626" i="1"/>
  <c r="B3627" i="1"/>
  <c r="E3627" i="1"/>
  <c r="I3627" i="1"/>
  <c r="S3627" i="1"/>
  <c r="B3628" i="1"/>
  <c r="E3628" i="1"/>
  <c r="I3628" i="1"/>
  <c r="S3628" i="1"/>
  <c r="B3629" i="1"/>
  <c r="E3629" i="1"/>
  <c r="I3629" i="1"/>
  <c r="S3629" i="1"/>
  <c r="B3630" i="1"/>
  <c r="E3630" i="1"/>
  <c r="I3630" i="1"/>
  <c r="S3630" i="1"/>
  <c r="B3631" i="1"/>
  <c r="E3631" i="1"/>
  <c r="I3631" i="1"/>
  <c r="S3631" i="1"/>
  <c r="B3632" i="1"/>
  <c r="E3632" i="1"/>
  <c r="I3632" i="1"/>
  <c r="S3632" i="1"/>
  <c r="B3633" i="1"/>
  <c r="E3633" i="1"/>
  <c r="I3633" i="1"/>
  <c r="S3633" i="1"/>
  <c r="B3634" i="1"/>
  <c r="E3634" i="1"/>
  <c r="I3634" i="1"/>
  <c r="S3634" i="1"/>
  <c r="B3635" i="1"/>
  <c r="E3635" i="1"/>
  <c r="I3635" i="1"/>
  <c r="S3635" i="1"/>
  <c r="B3636" i="1"/>
  <c r="E3636" i="1"/>
  <c r="I3636" i="1"/>
  <c r="S3636" i="1"/>
  <c r="B3637" i="1"/>
  <c r="E3637" i="1"/>
  <c r="I3637" i="1"/>
  <c r="S3637" i="1"/>
  <c r="B3638" i="1"/>
  <c r="E3638" i="1"/>
  <c r="I3638" i="1"/>
  <c r="S3638" i="1"/>
  <c r="B3639" i="1"/>
  <c r="E3639" i="1"/>
  <c r="I3639" i="1"/>
  <c r="S3639" i="1"/>
  <c r="B3640" i="1"/>
  <c r="E3640" i="1"/>
  <c r="I3640" i="1"/>
  <c r="S3640" i="1"/>
  <c r="B3641" i="1"/>
  <c r="E3641" i="1"/>
  <c r="I3641" i="1"/>
  <c r="S3641" i="1"/>
  <c r="B3642" i="1"/>
  <c r="E3642" i="1"/>
  <c r="I3642" i="1"/>
  <c r="S3642" i="1"/>
  <c r="B3643" i="1"/>
  <c r="E3643" i="1"/>
  <c r="I3643" i="1"/>
  <c r="S3643" i="1"/>
  <c r="B3644" i="1"/>
  <c r="E3644" i="1"/>
  <c r="I3644" i="1"/>
  <c r="S3644" i="1"/>
  <c r="B3645" i="1"/>
  <c r="E3645" i="1"/>
  <c r="I3645" i="1"/>
  <c r="S3645" i="1"/>
  <c r="B3646" i="1"/>
  <c r="E3646" i="1"/>
  <c r="I3646" i="1"/>
  <c r="S3646" i="1"/>
  <c r="B3647" i="1"/>
  <c r="E3647" i="1"/>
  <c r="I3647" i="1"/>
  <c r="S3647" i="1"/>
  <c r="B3648" i="1"/>
  <c r="E3648" i="1"/>
  <c r="I3648" i="1"/>
  <c r="B3649" i="1"/>
  <c r="E3649" i="1"/>
  <c r="I3649" i="1"/>
  <c r="S3649" i="1"/>
  <c r="B3650" i="1"/>
  <c r="E3650" i="1"/>
  <c r="I3650" i="1"/>
  <c r="S3650" i="1"/>
  <c r="B3651" i="1"/>
  <c r="E3651" i="1"/>
  <c r="I3651" i="1"/>
  <c r="B3652" i="1"/>
  <c r="E3652" i="1"/>
  <c r="I3652" i="1"/>
  <c r="S3652" i="1"/>
  <c r="B3653" i="1"/>
  <c r="E3653" i="1"/>
  <c r="I3653" i="1"/>
  <c r="S3653" i="1"/>
  <c r="B3654" i="1"/>
  <c r="E3654" i="1"/>
  <c r="I3654" i="1"/>
  <c r="S3654" i="1"/>
  <c r="B3655" i="1"/>
  <c r="E3655" i="1"/>
  <c r="I3655" i="1"/>
  <c r="S3655" i="1"/>
  <c r="B3656" i="1"/>
  <c r="E3656" i="1"/>
  <c r="I3656" i="1"/>
  <c r="S3656" i="1"/>
  <c r="B3657" i="1"/>
  <c r="E3657" i="1"/>
  <c r="I3657" i="1"/>
  <c r="S3657" i="1"/>
  <c r="B3658" i="1"/>
  <c r="E3658" i="1"/>
  <c r="I3658" i="1"/>
  <c r="S3658" i="1"/>
  <c r="B3659" i="1"/>
  <c r="E3659" i="1"/>
  <c r="I3659" i="1"/>
  <c r="S3659" i="1"/>
  <c r="B3660" i="1"/>
  <c r="E3660" i="1"/>
  <c r="I3660" i="1"/>
  <c r="S3660" i="1"/>
  <c r="B3661" i="1"/>
  <c r="E3661" i="1"/>
  <c r="I3661" i="1"/>
  <c r="S3661" i="1"/>
  <c r="B3662" i="1"/>
  <c r="E3662" i="1"/>
  <c r="I3662" i="1"/>
  <c r="S3662" i="1"/>
  <c r="B3663" i="1"/>
  <c r="E3663" i="1"/>
  <c r="I3663" i="1"/>
  <c r="S3663" i="1"/>
  <c r="B3664" i="1"/>
  <c r="E3664" i="1"/>
  <c r="I3664" i="1"/>
  <c r="S3664" i="1"/>
  <c r="B3665" i="1"/>
  <c r="E3665" i="1"/>
  <c r="I3665" i="1"/>
  <c r="S3665" i="1"/>
  <c r="B3666" i="1"/>
  <c r="E3666" i="1"/>
  <c r="I3666" i="1"/>
  <c r="S3666" i="1"/>
  <c r="B3667" i="1"/>
  <c r="E3667" i="1"/>
  <c r="I3667" i="1"/>
  <c r="S3667" i="1"/>
  <c r="B3668" i="1"/>
  <c r="E3668" i="1"/>
  <c r="I3668" i="1"/>
  <c r="S3668" i="1"/>
  <c r="B3669" i="1"/>
  <c r="E3669" i="1"/>
  <c r="I3669" i="1"/>
  <c r="S3669" i="1"/>
  <c r="B3670" i="1"/>
  <c r="E3670" i="1"/>
  <c r="I3670" i="1"/>
  <c r="S3670" i="1"/>
  <c r="B3671" i="1"/>
  <c r="E3671" i="1"/>
  <c r="I3671" i="1"/>
  <c r="S3671" i="1"/>
  <c r="B3672" i="1"/>
  <c r="E3672" i="1"/>
  <c r="I3672" i="1"/>
  <c r="S3672" i="1"/>
  <c r="B3673" i="1"/>
  <c r="E3673" i="1"/>
  <c r="I3673" i="1"/>
  <c r="S3673" i="1"/>
  <c r="B3674" i="1"/>
  <c r="E3674" i="1"/>
  <c r="I3674" i="1"/>
  <c r="S3674" i="1"/>
  <c r="B3675" i="1"/>
  <c r="E3675" i="1"/>
  <c r="I3675" i="1"/>
  <c r="S3675" i="1"/>
  <c r="B3676" i="1"/>
  <c r="E3676" i="1"/>
  <c r="I3676" i="1"/>
  <c r="S3676" i="1"/>
  <c r="B3677" i="1"/>
  <c r="E3677" i="1"/>
  <c r="I3677" i="1"/>
  <c r="S3677" i="1"/>
  <c r="B3678" i="1"/>
  <c r="E3678" i="1"/>
  <c r="I3678" i="1"/>
  <c r="S3678" i="1"/>
  <c r="B3679" i="1"/>
  <c r="E3679" i="1"/>
  <c r="I3679" i="1"/>
  <c r="B3680" i="1"/>
  <c r="E3680" i="1"/>
  <c r="I3680" i="1"/>
  <c r="S3680" i="1"/>
  <c r="B3681" i="1"/>
  <c r="E3681" i="1"/>
  <c r="I3681" i="1"/>
  <c r="S3681" i="1"/>
  <c r="B3682" i="1"/>
  <c r="E3682" i="1"/>
  <c r="I3682" i="1"/>
  <c r="S3682" i="1"/>
  <c r="B3683" i="1"/>
  <c r="E3683" i="1"/>
  <c r="I3683" i="1"/>
  <c r="S3683" i="1"/>
  <c r="B3684" i="1"/>
  <c r="E3684" i="1"/>
  <c r="I3684" i="1"/>
  <c r="S3684" i="1"/>
  <c r="B3685" i="1"/>
  <c r="E3685" i="1"/>
  <c r="I3685" i="1"/>
  <c r="S3685" i="1"/>
  <c r="B3686" i="1"/>
  <c r="E3686" i="1"/>
  <c r="I3686" i="1"/>
  <c r="B3687" i="1"/>
  <c r="E3687" i="1"/>
  <c r="I3687" i="1"/>
  <c r="S3687" i="1"/>
  <c r="B3688" i="1"/>
  <c r="E3688" i="1"/>
  <c r="I3688" i="1"/>
  <c r="S3688" i="1"/>
  <c r="B3689" i="1"/>
  <c r="E3689" i="1"/>
  <c r="I3689" i="1"/>
  <c r="S3689" i="1"/>
  <c r="B3690" i="1"/>
  <c r="E3690" i="1"/>
  <c r="I3690" i="1"/>
  <c r="S3690" i="1"/>
  <c r="B3691" i="1"/>
  <c r="E3691" i="1"/>
  <c r="I3691" i="1"/>
  <c r="S3691" i="1"/>
  <c r="B3692" i="1"/>
  <c r="E3692" i="1"/>
  <c r="I3692" i="1"/>
  <c r="S3692" i="1"/>
  <c r="B3693" i="1"/>
  <c r="E3693" i="1"/>
  <c r="I3693" i="1"/>
  <c r="S3693" i="1"/>
  <c r="B3694" i="1"/>
  <c r="E3694" i="1"/>
  <c r="I3694" i="1"/>
  <c r="S3694" i="1"/>
  <c r="B3695" i="1"/>
  <c r="E3695" i="1"/>
  <c r="I3695" i="1"/>
  <c r="S3695" i="1"/>
  <c r="B3696" i="1"/>
  <c r="E3696" i="1"/>
  <c r="I3696" i="1"/>
  <c r="B3697" i="1"/>
  <c r="E3697" i="1"/>
  <c r="I3697" i="1"/>
  <c r="S3697" i="1"/>
  <c r="B3698" i="1"/>
  <c r="E3698" i="1"/>
  <c r="I3698" i="1"/>
  <c r="S3698" i="1"/>
  <c r="B3699" i="1"/>
  <c r="E3699" i="1"/>
  <c r="I3699" i="1"/>
  <c r="S3699" i="1"/>
  <c r="B3700" i="1"/>
  <c r="E3700" i="1"/>
  <c r="I3700" i="1"/>
  <c r="S3700" i="1"/>
  <c r="B3701" i="1"/>
  <c r="E3701" i="1"/>
  <c r="I3701" i="1"/>
  <c r="S3701" i="1"/>
  <c r="B3702" i="1"/>
  <c r="E3702" i="1"/>
  <c r="I3702" i="1"/>
  <c r="S3702" i="1"/>
  <c r="B3703" i="1"/>
  <c r="E3703" i="1"/>
  <c r="I3703" i="1"/>
  <c r="S3703" i="1"/>
  <c r="B3704" i="1"/>
  <c r="E3704" i="1"/>
  <c r="I3704" i="1"/>
  <c r="S3704" i="1"/>
  <c r="B3705" i="1"/>
  <c r="E3705" i="1"/>
  <c r="I3705" i="1"/>
  <c r="S3705" i="1"/>
  <c r="B3706" i="1"/>
  <c r="E3706" i="1"/>
  <c r="I3706" i="1"/>
  <c r="S3706" i="1"/>
  <c r="B3707" i="1"/>
  <c r="E3707" i="1"/>
  <c r="I3707" i="1"/>
  <c r="S3707" i="1"/>
  <c r="B3708" i="1"/>
  <c r="E3708" i="1"/>
  <c r="I3708" i="1"/>
  <c r="S3708" i="1"/>
  <c r="B3709" i="1"/>
  <c r="E3709" i="1"/>
  <c r="I3709" i="1"/>
  <c r="S3709" i="1"/>
  <c r="B3710" i="1"/>
  <c r="E3710" i="1"/>
  <c r="I3710" i="1"/>
  <c r="S3710" i="1"/>
  <c r="B3711" i="1"/>
  <c r="E3711" i="1"/>
  <c r="I3711" i="1"/>
  <c r="S3711" i="1"/>
  <c r="B3712" i="1"/>
  <c r="E3712" i="1"/>
  <c r="I3712" i="1"/>
  <c r="S3712" i="1"/>
  <c r="B3713" i="1"/>
  <c r="E3713" i="1"/>
  <c r="I3713" i="1"/>
  <c r="S3713" i="1"/>
  <c r="B3714" i="1"/>
  <c r="E3714" i="1"/>
  <c r="I3714" i="1"/>
  <c r="S3714" i="1"/>
  <c r="B3715" i="1"/>
  <c r="E3715" i="1"/>
  <c r="I3715" i="1"/>
  <c r="S3715" i="1"/>
  <c r="B3716" i="1"/>
  <c r="E3716" i="1"/>
  <c r="I3716" i="1"/>
  <c r="S3716" i="1"/>
  <c r="B3717" i="1"/>
  <c r="E3717" i="1"/>
  <c r="I3717" i="1"/>
  <c r="S3717" i="1"/>
  <c r="B3718" i="1"/>
  <c r="E3718" i="1"/>
  <c r="I3718" i="1"/>
  <c r="S3718" i="1"/>
  <c r="B3719" i="1"/>
  <c r="E3719" i="1"/>
  <c r="I3719" i="1"/>
  <c r="S3719" i="1"/>
  <c r="B3720" i="1"/>
  <c r="E3720" i="1"/>
  <c r="I3720" i="1"/>
  <c r="S3720" i="1"/>
  <c r="B3721" i="1"/>
  <c r="E3721" i="1"/>
  <c r="I3721" i="1"/>
  <c r="S3721" i="1"/>
  <c r="B3722" i="1"/>
  <c r="E3722" i="1"/>
  <c r="I3722" i="1"/>
  <c r="S3722" i="1"/>
  <c r="B3723" i="1"/>
  <c r="E3723" i="1"/>
  <c r="I3723" i="1"/>
  <c r="S3723" i="1"/>
  <c r="B3724" i="1"/>
  <c r="E3724" i="1"/>
  <c r="I3724" i="1"/>
  <c r="S3724" i="1"/>
  <c r="B3725" i="1"/>
  <c r="E3725" i="1"/>
  <c r="I3725" i="1"/>
  <c r="S3725" i="1"/>
  <c r="B3726" i="1"/>
  <c r="E3726" i="1"/>
  <c r="I3726" i="1"/>
  <c r="S3726" i="1"/>
  <c r="B3727" i="1"/>
  <c r="E3727" i="1"/>
  <c r="I3727" i="1"/>
  <c r="S3727" i="1"/>
  <c r="B3728" i="1"/>
  <c r="E3728" i="1"/>
  <c r="I3728" i="1"/>
  <c r="S3728" i="1"/>
  <c r="B3729" i="1"/>
  <c r="E3729" i="1"/>
  <c r="I3729" i="1"/>
  <c r="S3729" i="1"/>
  <c r="B3730" i="1"/>
  <c r="E3730" i="1"/>
  <c r="I3730" i="1"/>
  <c r="S3730" i="1"/>
  <c r="B3731" i="1"/>
  <c r="E3731" i="1"/>
  <c r="I3731" i="1"/>
  <c r="S3731" i="1"/>
  <c r="B3732" i="1"/>
  <c r="E3732" i="1"/>
  <c r="I3732" i="1"/>
  <c r="S3732" i="1"/>
  <c r="B3733" i="1"/>
  <c r="E3733" i="1"/>
  <c r="I3733" i="1"/>
  <c r="S3733" i="1"/>
  <c r="B3734" i="1"/>
  <c r="E3734" i="1"/>
  <c r="I3734" i="1"/>
  <c r="S3734" i="1"/>
  <c r="B3735" i="1"/>
  <c r="E3735" i="1"/>
  <c r="I3735" i="1"/>
  <c r="S3735" i="1"/>
  <c r="B3736" i="1"/>
  <c r="E3736" i="1"/>
  <c r="I3736" i="1"/>
  <c r="S3736" i="1"/>
  <c r="B3737" i="1"/>
  <c r="E3737" i="1"/>
  <c r="I3737" i="1"/>
  <c r="S3737" i="1"/>
  <c r="B3738" i="1"/>
  <c r="E3738" i="1"/>
  <c r="I3738" i="1"/>
  <c r="S3738" i="1"/>
  <c r="B3739" i="1"/>
  <c r="E3739" i="1"/>
  <c r="I3739" i="1"/>
  <c r="S3739" i="1"/>
  <c r="B3740" i="1"/>
  <c r="E3740" i="1"/>
  <c r="I3740" i="1"/>
  <c r="S3740" i="1"/>
  <c r="B3741" i="1"/>
  <c r="E3741" i="1"/>
  <c r="I3741" i="1"/>
  <c r="S3741" i="1"/>
  <c r="B3742" i="1"/>
  <c r="E3742" i="1"/>
  <c r="I3742" i="1"/>
  <c r="S3742" i="1"/>
  <c r="B3743" i="1"/>
  <c r="E3743" i="1"/>
  <c r="I3743" i="1"/>
  <c r="S3743" i="1"/>
  <c r="B3744" i="1"/>
  <c r="E3744" i="1"/>
  <c r="I3744" i="1"/>
  <c r="S3744" i="1"/>
  <c r="B3745" i="1"/>
  <c r="E3745" i="1"/>
  <c r="I3745" i="1"/>
  <c r="S3745" i="1"/>
  <c r="B3746" i="1"/>
  <c r="E3746" i="1"/>
  <c r="I3746" i="1"/>
  <c r="S3746" i="1"/>
  <c r="B3747" i="1"/>
  <c r="E3747" i="1"/>
  <c r="I3747" i="1"/>
  <c r="S3747" i="1"/>
  <c r="B3748" i="1"/>
  <c r="E3748" i="1"/>
  <c r="I3748" i="1"/>
  <c r="S3748" i="1"/>
  <c r="B3749" i="1"/>
  <c r="E3749" i="1"/>
  <c r="I3749" i="1"/>
  <c r="S3749" i="1"/>
  <c r="B3750" i="1"/>
  <c r="E3750" i="1"/>
  <c r="I3750" i="1"/>
  <c r="S3750" i="1"/>
  <c r="B3751" i="1"/>
  <c r="E3751" i="1"/>
  <c r="I3751" i="1"/>
  <c r="S3751" i="1"/>
  <c r="B3752" i="1"/>
  <c r="E3752" i="1"/>
  <c r="I3752" i="1"/>
  <c r="S3752" i="1"/>
  <c r="B3753" i="1"/>
  <c r="E3753" i="1"/>
  <c r="I3753" i="1"/>
  <c r="S3753" i="1"/>
  <c r="B3754" i="1"/>
  <c r="E3754" i="1"/>
  <c r="I3754" i="1"/>
  <c r="S3754" i="1"/>
  <c r="B3755" i="1"/>
  <c r="E3755" i="1"/>
  <c r="I3755" i="1"/>
  <c r="S3755" i="1"/>
  <c r="B3756" i="1"/>
  <c r="E3756" i="1"/>
  <c r="I3756" i="1"/>
  <c r="S3756" i="1"/>
  <c r="B3757" i="1"/>
  <c r="E3757" i="1"/>
  <c r="I3757" i="1"/>
  <c r="B3758" i="1"/>
  <c r="E3758" i="1"/>
  <c r="I3758" i="1"/>
  <c r="S3758" i="1"/>
  <c r="B3759" i="1"/>
  <c r="E3759" i="1"/>
  <c r="I3759" i="1"/>
  <c r="B3760" i="1"/>
  <c r="E3760" i="1"/>
  <c r="I3760" i="1"/>
  <c r="S3760" i="1"/>
  <c r="B3761" i="1"/>
  <c r="E3761" i="1"/>
  <c r="I3761" i="1"/>
  <c r="S3761" i="1"/>
  <c r="B3762" i="1"/>
  <c r="E3762" i="1"/>
  <c r="I3762" i="1"/>
  <c r="S3762" i="1"/>
  <c r="B3763" i="1"/>
  <c r="E3763" i="1"/>
  <c r="I3763" i="1"/>
  <c r="S3763" i="1"/>
  <c r="B3764" i="1"/>
  <c r="E3764" i="1"/>
  <c r="I3764" i="1"/>
  <c r="S3764" i="1"/>
  <c r="B3765" i="1"/>
  <c r="E3765" i="1"/>
  <c r="I3765" i="1"/>
  <c r="S3765" i="1"/>
  <c r="B3766" i="1"/>
  <c r="E3766" i="1"/>
  <c r="I3766" i="1"/>
  <c r="S3766" i="1"/>
  <c r="B3767" i="1"/>
  <c r="E3767" i="1"/>
  <c r="I3767" i="1"/>
  <c r="S3767" i="1"/>
  <c r="B3768" i="1"/>
  <c r="E3768" i="1"/>
  <c r="I3768" i="1"/>
  <c r="S3768" i="1"/>
  <c r="B3769" i="1"/>
  <c r="E3769" i="1"/>
  <c r="I3769" i="1"/>
  <c r="S3769" i="1"/>
  <c r="B3770" i="1"/>
  <c r="E3770" i="1"/>
  <c r="I3770" i="1"/>
  <c r="S3770" i="1"/>
  <c r="B3771" i="1"/>
  <c r="E3771" i="1"/>
  <c r="I3771" i="1"/>
  <c r="S3771" i="1"/>
  <c r="B3772" i="1"/>
  <c r="E3772" i="1"/>
  <c r="I3772" i="1"/>
  <c r="S3772" i="1"/>
  <c r="B3773" i="1"/>
  <c r="E3773" i="1"/>
  <c r="I3773" i="1"/>
  <c r="S3773" i="1"/>
  <c r="B3774" i="1"/>
  <c r="E3774" i="1"/>
  <c r="I3774" i="1"/>
  <c r="S3774" i="1"/>
  <c r="B3775" i="1"/>
  <c r="E3775" i="1"/>
  <c r="I3775" i="1"/>
  <c r="S3775" i="1"/>
  <c r="B3776" i="1"/>
  <c r="E3776" i="1"/>
  <c r="I3776" i="1"/>
  <c r="S3776" i="1"/>
  <c r="B3777" i="1"/>
  <c r="E3777" i="1"/>
  <c r="I3777" i="1"/>
  <c r="S3777" i="1"/>
  <c r="B3778" i="1"/>
  <c r="E3778" i="1"/>
  <c r="I3778" i="1"/>
  <c r="S3778" i="1"/>
  <c r="B3779" i="1"/>
  <c r="E3779" i="1"/>
  <c r="I3779" i="1"/>
  <c r="S3779" i="1"/>
  <c r="B3780" i="1"/>
  <c r="E3780" i="1"/>
  <c r="I3780" i="1"/>
  <c r="S3780" i="1"/>
  <c r="B3781" i="1"/>
  <c r="E3781" i="1"/>
  <c r="I3781" i="1"/>
  <c r="S3781" i="1"/>
  <c r="B3782" i="1"/>
  <c r="E3782" i="1"/>
  <c r="I3782" i="1"/>
  <c r="S3782" i="1"/>
  <c r="B3783" i="1"/>
  <c r="E3783" i="1"/>
  <c r="I3783" i="1"/>
  <c r="S3783" i="1"/>
  <c r="B3784" i="1"/>
  <c r="E3784" i="1"/>
  <c r="I3784" i="1"/>
  <c r="S3784" i="1"/>
  <c r="B3785" i="1"/>
  <c r="E3785" i="1"/>
  <c r="I3785" i="1"/>
  <c r="S3785" i="1"/>
  <c r="B3786" i="1"/>
  <c r="E3786" i="1"/>
  <c r="I3786" i="1"/>
  <c r="S3786" i="1"/>
  <c r="B3787" i="1"/>
  <c r="E3787" i="1"/>
  <c r="I3787" i="1"/>
  <c r="S3787" i="1"/>
  <c r="B3788" i="1"/>
  <c r="E3788" i="1"/>
  <c r="I3788" i="1"/>
  <c r="S3788" i="1"/>
  <c r="B3789" i="1"/>
  <c r="E3789" i="1"/>
  <c r="I3789" i="1"/>
  <c r="S3789" i="1"/>
  <c r="B3790" i="1"/>
  <c r="E3790" i="1"/>
  <c r="I3790" i="1"/>
  <c r="S3790" i="1"/>
  <c r="B3791" i="1"/>
  <c r="E3791" i="1"/>
  <c r="I3791" i="1"/>
  <c r="S3791" i="1"/>
  <c r="B3792" i="1"/>
  <c r="E3792" i="1"/>
  <c r="I3792" i="1"/>
  <c r="S3792" i="1"/>
  <c r="B3793" i="1"/>
  <c r="E3793" i="1"/>
  <c r="I3793" i="1"/>
  <c r="S3793" i="1"/>
  <c r="B3794" i="1"/>
  <c r="E3794" i="1"/>
  <c r="I3794" i="1"/>
  <c r="S3794" i="1"/>
  <c r="B3795" i="1"/>
  <c r="E3795" i="1"/>
  <c r="I3795" i="1"/>
  <c r="S3795" i="1"/>
  <c r="B3796" i="1"/>
  <c r="E3796" i="1"/>
  <c r="I3796" i="1"/>
  <c r="S3796" i="1"/>
  <c r="B3797" i="1"/>
  <c r="E3797" i="1"/>
  <c r="I3797" i="1"/>
  <c r="S3797" i="1"/>
  <c r="B3798" i="1"/>
  <c r="E3798" i="1"/>
  <c r="I3798" i="1"/>
  <c r="S3798" i="1"/>
  <c r="B3799" i="1"/>
  <c r="E3799" i="1"/>
  <c r="I3799" i="1"/>
  <c r="S3799" i="1"/>
  <c r="B3800" i="1"/>
  <c r="E3800" i="1"/>
  <c r="I3800" i="1"/>
  <c r="S3800" i="1"/>
  <c r="B3801" i="1"/>
  <c r="E3801" i="1"/>
  <c r="I3801" i="1"/>
  <c r="S3801" i="1"/>
  <c r="B3802" i="1"/>
  <c r="E3802" i="1"/>
  <c r="I3802" i="1"/>
  <c r="S3802" i="1"/>
  <c r="B3803" i="1"/>
  <c r="E3803" i="1"/>
  <c r="I3803" i="1"/>
  <c r="S3803" i="1"/>
  <c r="B3804" i="1"/>
  <c r="E3804" i="1"/>
  <c r="I3804" i="1"/>
  <c r="S3804" i="1"/>
  <c r="B3805" i="1"/>
  <c r="E3805" i="1"/>
  <c r="I3805" i="1"/>
  <c r="S3805" i="1"/>
  <c r="B3806" i="1"/>
  <c r="E3806" i="1"/>
  <c r="I3806" i="1"/>
  <c r="S3806" i="1"/>
  <c r="B3807" i="1"/>
  <c r="E3807" i="1"/>
  <c r="I3807" i="1"/>
  <c r="S3807" i="1"/>
  <c r="B3808" i="1"/>
  <c r="E3808" i="1"/>
  <c r="I3808" i="1"/>
  <c r="S3808" i="1"/>
  <c r="B3809" i="1"/>
  <c r="E3809" i="1"/>
  <c r="I3809" i="1"/>
  <c r="S3809" i="1"/>
  <c r="B3810" i="1"/>
  <c r="E3810" i="1"/>
  <c r="I3810" i="1"/>
  <c r="B3811" i="1"/>
  <c r="E3811" i="1"/>
  <c r="I3811" i="1"/>
  <c r="S3811" i="1"/>
  <c r="B3812" i="1"/>
  <c r="E3812" i="1"/>
  <c r="I3812" i="1"/>
  <c r="S3812" i="1"/>
  <c r="B3813" i="1"/>
  <c r="E3813" i="1"/>
  <c r="I3813" i="1"/>
  <c r="S3813" i="1"/>
  <c r="B3814" i="1"/>
  <c r="E3814" i="1"/>
  <c r="I3814" i="1"/>
  <c r="S3814" i="1"/>
  <c r="B3815" i="1"/>
  <c r="E3815" i="1"/>
  <c r="I3815" i="1"/>
  <c r="S3815" i="1"/>
  <c r="B3816" i="1"/>
  <c r="E3816" i="1"/>
  <c r="I3816" i="1"/>
  <c r="B3817" i="1"/>
  <c r="E3817" i="1"/>
  <c r="I3817" i="1"/>
  <c r="S3817" i="1"/>
  <c r="B3818" i="1"/>
  <c r="E3818" i="1"/>
  <c r="I3818" i="1"/>
  <c r="S3818" i="1"/>
  <c r="B3819" i="1"/>
  <c r="E3819" i="1"/>
  <c r="I3819" i="1"/>
  <c r="S3819" i="1"/>
  <c r="B3820" i="1"/>
  <c r="E3820" i="1"/>
  <c r="I3820" i="1"/>
  <c r="S3820" i="1"/>
  <c r="B3821" i="1"/>
  <c r="E3821" i="1"/>
  <c r="I3821" i="1"/>
  <c r="S3821" i="1"/>
  <c r="B3822" i="1"/>
  <c r="E3822" i="1"/>
  <c r="I3822" i="1"/>
  <c r="S3822" i="1"/>
  <c r="B3823" i="1"/>
  <c r="E3823" i="1"/>
  <c r="I3823" i="1"/>
  <c r="S3823" i="1"/>
  <c r="B3824" i="1"/>
  <c r="E3824" i="1"/>
  <c r="I3824" i="1"/>
  <c r="S3824" i="1"/>
  <c r="B3825" i="1"/>
  <c r="E3825" i="1"/>
  <c r="I3825" i="1"/>
  <c r="S3825" i="1"/>
  <c r="B3826" i="1"/>
  <c r="E3826" i="1"/>
  <c r="I3826" i="1"/>
  <c r="S3826" i="1"/>
  <c r="B3827" i="1"/>
  <c r="E3827" i="1"/>
  <c r="I3827" i="1"/>
  <c r="S3827" i="1"/>
  <c r="B3828" i="1"/>
  <c r="E3828" i="1"/>
  <c r="I3828" i="1"/>
  <c r="S3828" i="1"/>
  <c r="B3829" i="1"/>
  <c r="E3829" i="1"/>
  <c r="I3829" i="1"/>
  <c r="S3829" i="1"/>
  <c r="B3830" i="1"/>
  <c r="E3830" i="1"/>
  <c r="I3830" i="1"/>
  <c r="S3830" i="1"/>
  <c r="B3831" i="1"/>
  <c r="E3831" i="1"/>
  <c r="I3831" i="1"/>
  <c r="S3831" i="1"/>
  <c r="B3832" i="1"/>
  <c r="E3832" i="1"/>
  <c r="I3832" i="1"/>
  <c r="S3832" i="1"/>
  <c r="B3833" i="1"/>
  <c r="E3833" i="1"/>
  <c r="I3833" i="1"/>
  <c r="S3833" i="1"/>
  <c r="B3834" i="1"/>
  <c r="E3834" i="1"/>
  <c r="I3834" i="1"/>
  <c r="S3834" i="1"/>
  <c r="B3835" i="1"/>
  <c r="E3835" i="1"/>
  <c r="I3835" i="1"/>
  <c r="S3835" i="1"/>
  <c r="B3836" i="1"/>
  <c r="E3836" i="1"/>
  <c r="I3836" i="1"/>
  <c r="S3836" i="1"/>
  <c r="B3837" i="1"/>
  <c r="E3837" i="1"/>
  <c r="I3837" i="1"/>
  <c r="S3837" i="1"/>
  <c r="B3838" i="1"/>
  <c r="E3838" i="1"/>
  <c r="I3838" i="1"/>
  <c r="S3838" i="1"/>
  <c r="B3839" i="1"/>
  <c r="E3839" i="1"/>
  <c r="I3839" i="1"/>
  <c r="S3839" i="1"/>
  <c r="B3840" i="1"/>
  <c r="E3840" i="1"/>
  <c r="I3840" i="1"/>
  <c r="S3840" i="1"/>
  <c r="B3841" i="1"/>
  <c r="E3841" i="1"/>
  <c r="I3841" i="1"/>
  <c r="S3841" i="1"/>
  <c r="B3842" i="1"/>
  <c r="E3842" i="1"/>
  <c r="I3842" i="1"/>
  <c r="S3842" i="1"/>
  <c r="B3843" i="1"/>
  <c r="E3843" i="1"/>
  <c r="I3843" i="1"/>
  <c r="S3843" i="1"/>
  <c r="B3844" i="1"/>
  <c r="E3844" i="1"/>
  <c r="I3844" i="1"/>
  <c r="B3845" i="1"/>
  <c r="E3845" i="1"/>
  <c r="I3845" i="1"/>
  <c r="S3845" i="1"/>
  <c r="B3846" i="1"/>
  <c r="E3846" i="1"/>
  <c r="I3846" i="1"/>
  <c r="S3846" i="1"/>
  <c r="B3847" i="1"/>
  <c r="E3847" i="1"/>
  <c r="I3847" i="1"/>
  <c r="S3847" i="1"/>
  <c r="B3848" i="1"/>
  <c r="E3848" i="1"/>
  <c r="I3848" i="1"/>
  <c r="S3848" i="1"/>
  <c r="B3849" i="1"/>
  <c r="E3849" i="1"/>
  <c r="I3849" i="1"/>
  <c r="S3849" i="1"/>
  <c r="B3850" i="1"/>
  <c r="E3850" i="1"/>
  <c r="I3850" i="1"/>
  <c r="S3850" i="1"/>
  <c r="B3851" i="1"/>
  <c r="E3851" i="1"/>
  <c r="I3851" i="1"/>
  <c r="S3851" i="1"/>
  <c r="B3852" i="1"/>
  <c r="E3852" i="1"/>
  <c r="I3852" i="1"/>
  <c r="S3852" i="1"/>
  <c r="B3853" i="1"/>
  <c r="E3853" i="1"/>
  <c r="I3853" i="1"/>
  <c r="S3853" i="1"/>
  <c r="B3854" i="1"/>
  <c r="E3854" i="1"/>
  <c r="I3854" i="1"/>
  <c r="S3854" i="1"/>
  <c r="B3855" i="1"/>
  <c r="E3855" i="1"/>
  <c r="I3855" i="1"/>
  <c r="S3855" i="1"/>
  <c r="B3856" i="1"/>
  <c r="E3856" i="1"/>
  <c r="I3856" i="1"/>
  <c r="S3856" i="1"/>
  <c r="B3857" i="1"/>
  <c r="E3857" i="1"/>
  <c r="I3857" i="1"/>
  <c r="S3857" i="1"/>
  <c r="B3858" i="1"/>
  <c r="E3858" i="1"/>
  <c r="I3858" i="1"/>
  <c r="S3858" i="1"/>
  <c r="B3859" i="1"/>
  <c r="E3859" i="1"/>
  <c r="I3859" i="1"/>
  <c r="S3859" i="1"/>
  <c r="B3860" i="1"/>
  <c r="E3860" i="1"/>
  <c r="I3860" i="1"/>
  <c r="S3860" i="1"/>
  <c r="B3861" i="1"/>
  <c r="E3861" i="1"/>
  <c r="I3861" i="1"/>
  <c r="S3861" i="1"/>
  <c r="B3862" i="1"/>
  <c r="E3862" i="1"/>
  <c r="I3862" i="1"/>
  <c r="S3862" i="1"/>
  <c r="B3863" i="1"/>
  <c r="E3863" i="1"/>
  <c r="I3863" i="1"/>
  <c r="S3863" i="1"/>
  <c r="B3864" i="1"/>
  <c r="E3864" i="1"/>
  <c r="I3864" i="1"/>
  <c r="S3864" i="1"/>
  <c r="B3865" i="1"/>
  <c r="E3865" i="1"/>
  <c r="I3865" i="1"/>
  <c r="S3865" i="1"/>
  <c r="B3866" i="1"/>
  <c r="E3866" i="1"/>
  <c r="I3866" i="1"/>
  <c r="S3866" i="1"/>
  <c r="B3867" i="1"/>
  <c r="E3867" i="1"/>
  <c r="I3867" i="1"/>
  <c r="S3867" i="1"/>
  <c r="B3868" i="1"/>
  <c r="E3868" i="1"/>
  <c r="I3868" i="1"/>
  <c r="S3868" i="1"/>
  <c r="B3869" i="1"/>
  <c r="E3869" i="1"/>
  <c r="I3869" i="1"/>
  <c r="S3869" i="1"/>
  <c r="B3870" i="1"/>
  <c r="E3870" i="1"/>
  <c r="I3870" i="1"/>
  <c r="S3870" i="1"/>
  <c r="B3871" i="1"/>
  <c r="E3871" i="1"/>
  <c r="I3871" i="1"/>
  <c r="S3871" i="1"/>
  <c r="B3872" i="1"/>
  <c r="E3872" i="1"/>
  <c r="I3872" i="1"/>
  <c r="S3872" i="1"/>
  <c r="B3873" i="1"/>
  <c r="E3873" i="1"/>
  <c r="I3873" i="1"/>
  <c r="S3873" i="1"/>
  <c r="B3874" i="1"/>
  <c r="E3874" i="1"/>
  <c r="I3874" i="1"/>
  <c r="S3874" i="1"/>
  <c r="B3875" i="1"/>
  <c r="E3875" i="1"/>
  <c r="I3875" i="1"/>
  <c r="S3875" i="1"/>
  <c r="B3876" i="1"/>
  <c r="E3876" i="1"/>
  <c r="I3876" i="1"/>
  <c r="S3876" i="1"/>
  <c r="B3877" i="1"/>
  <c r="E3877" i="1"/>
  <c r="I3877" i="1"/>
  <c r="S3877" i="1"/>
  <c r="B3878" i="1"/>
  <c r="E3878" i="1"/>
  <c r="I3878" i="1"/>
  <c r="B3879" i="1"/>
  <c r="E3879" i="1"/>
  <c r="I3879" i="1"/>
  <c r="S3879" i="1"/>
  <c r="B3880" i="1"/>
  <c r="E3880" i="1"/>
  <c r="I3880" i="1"/>
  <c r="S3880" i="1"/>
  <c r="B3881" i="1"/>
  <c r="E3881" i="1"/>
  <c r="I3881" i="1"/>
  <c r="S3881" i="1"/>
  <c r="B3882" i="1"/>
  <c r="E3882" i="1"/>
  <c r="I3882" i="1"/>
  <c r="S3882" i="1"/>
  <c r="B3883" i="1"/>
  <c r="E3883" i="1"/>
  <c r="I3883" i="1"/>
  <c r="S3883" i="1"/>
  <c r="B3884" i="1"/>
  <c r="E3884" i="1"/>
  <c r="I3884" i="1"/>
  <c r="S3884" i="1"/>
  <c r="B3885" i="1"/>
  <c r="E3885" i="1"/>
  <c r="I3885" i="1"/>
  <c r="S3885" i="1"/>
  <c r="B3886" i="1"/>
  <c r="E3886" i="1"/>
  <c r="I3886" i="1"/>
  <c r="S3886" i="1"/>
  <c r="B3887" i="1"/>
  <c r="E3887" i="1"/>
  <c r="I3887" i="1"/>
  <c r="B3888" i="1"/>
  <c r="E3888" i="1"/>
  <c r="I3888" i="1"/>
  <c r="S3888" i="1"/>
  <c r="B3889" i="1"/>
  <c r="E3889" i="1"/>
  <c r="I3889" i="1"/>
  <c r="S3889" i="1"/>
  <c r="B3890" i="1"/>
  <c r="E3890" i="1"/>
  <c r="I3890" i="1"/>
  <c r="S3890" i="1"/>
  <c r="B3891" i="1"/>
  <c r="E3891" i="1"/>
  <c r="I3891" i="1"/>
  <c r="S3891" i="1"/>
  <c r="B3892" i="1"/>
  <c r="E3892" i="1"/>
  <c r="I3892" i="1"/>
  <c r="S3892" i="1"/>
  <c r="B3893" i="1"/>
  <c r="E3893" i="1"/>
  <c r="I3893" i="1"/>
  <c r="S3893" i="1"/>
  <c r="B3894" i="1"/>
  <c r="E3894" i="1"/>
  <c r="I3894" i="1"/>
  <c r="S3894" i="1"/>
  <c r="B3895" i="1"/>
  <c r="E3895" i="1"/>
  <c r="I3895" i="1"/>
  <c r="S3895" i="1"/>
  <c r="B3896" i="1"/>
  <c r="E3896" i="1"/>
  <c r="I3896" i="1"/>
  <c r="S3896" i="1"/>
  <c r="B3897" i="1"/>
  <c r="E3897" i="1"/>
  <c r="I3897" i="1"/>
  <c r="S3897" i="1"/>
  <c r="B3898" i="1"/>
  <c r="E3898" i="1"/>
  <c r="I3898" i="1"/>
  <c r="S3898" i="1"/>
  <c r="B3899" i="1"/>
  <c r="E3899" i="1"/>
  <c r="I3899" i="1"/>
  <c r="S3899" i="1"/>
  <c r="B3900" i="1"/>
  <c r="E3900" i="1"/>
  <c r="I3900" i="1"/>
  <c r="S3900" i="1"/>
  <c r="B3901" i="1"/>
  <c r="E3901" i="1"/>
  <c r="I3901" i="1"/>
  <c r="S3901" i="1"/>
  <c r="B3902" i="1"/>
  <c r="E3902" i="1"/>
  <c r="I3902" i="1"/>
  <c r="S3902" i="1"/>
  <c r="B3903" i="1"/>
  <c r="E3903" i="1"/>
  <c r="I3903" i="1"/>
  <c r="S3903" i="1"/>
  <c r="B3904" i="1"/>
  <c r="E3904" i="1"/>
  <c r="I3904" i="1"/>
  <c r="S3904" i="1"/>
  <c r="B3905" i="1"/>
  <c r="E3905" i="1"/>
  <c r="I3905" i="1"/>
  <c r="S3905" i="1"/>
  <c r="B3906" i="1"/>
  <c r="E3906" i="1"/>
  <c r="I3906" i="1"/>
  <c r="S3906" i="1"/>
  <c r="B3907" i="1"/>
  <c r="E3907" i="1"/>
  <c r="I3907" i="1"/>
  <c r="S3907" i="1"/>
  <c r="B3908" i="1"/>
  <c r="E3908" i="1"/>
  <c r="I3908" i="1"/>
  <c r="S3908" i="1"/>
  <c r="B3909" i="1"/>
  <c r="E3909" i="1"/>
  <c r="I3909" i="1"/>
  <c r="S3909" i="1"/>
  <c r="B3910" i="1"/>
  <c r="E3910" i="1"/>
  <c r="I3910" i="1"/>
  <c r="S3910" i="1"/>
  <c r="B3911" i="1"/>
  <c r="E3911" i="1"/>
  <c r="I3911" i="1"/>
  <c r="S3911" i="1"/>
  <c r="B3912" i="1"/>
  <c r="E3912" i="1"/>
  <c r="I3912" i="1"/>
  <c r="S3912" i="1"/>
  <c r="B3913" i="1"/>
  <c r="E3913" i="1"/>
  <c r="I3913" i="1"/>
  <c r="S3913" i="1"/>
  <c r="B3914" i="1"/>
  <c r="E3914" i="1"/>
  <c r="I3914" i="1"/>
  <c r="S3914" i="1"/>
  <c r="B3915" i="1"/>
  <c r="E3915" i="1"/>
  <c r="I3915" i="1"/>
  <c r="S3915" i="1"/>
  <c r="B3916" i="1"/>
  <c r="E3916" i="1"/>
  <c r="I3916" i="1"/>
  <c r="S3916" i="1"/>
  <c r="B3917" i="1"/>
  <c r="E3917" i="1"/>
  <c r="I3917" i="1"/>
  <c r="S3917" i="1"/>
  <c r="B3918" i="1"/>
  <c r="E3918" i="1"/>
  <c r="I3918" i="1"/>
  <c r="S3918" i="1"/>
  <c r="B3919" i="1"/>
  <c r="E3919" i="1"/>
  <c r="I3919" i="1"/>
  <c r="S3919" i="1"/>
  <c r="B3920" i="1"/>
  <c r="E3920" i="1"/>
  <c r="I3920" i="1"/>
  <c r="S3920" i="1"/>
  <c r="B3921" i="1"/>
  <c r="E3921" i="1"/>
  <c r="I3921" i="1"/>
  <c r="S3921" i="1"/>
  <c r="B3922" i="1"/>
  <c r="E3922" i="1"/>
  <c r="I3922" i="1"/>
  <c r="S3922" i="1"/>
  <c r="B3923" i="1"/>
  <c r="E3923" i="1"/>
  <c r="I3923" i="1"/>
  <c r="S3923" i="1"/>
  <c r="B3924" i="1"/>
  <c r="E3924" i="1"/>
  <c r="I3924" i="1"/>
  <c r="S3924" i="1"/>
  <c r="B3925" i="1"/>
  <c r="E3925" i="1"/>
  <c r="I3925" i="1"/>
  <c r="S3925" i="1"/>
  <c r="B3926" i="1"/>
  <c r="E3926" i="1"/>
  <c r="I3926" i="1"/>
  <c r="S3926" i="1"/>
  <c r="B3927" i="1"/>
  <c r="E3927" i="1"/>
  <c r="I3927" i="1"/>
  <c r="S3927" i="1"/>
  <c r="B3928" i="1"/>
  <c r="E3928" i="1"/>
  <c r="I3928" i="1"/>
  <c r="S3928" i="1"/>
  <c r="B3929" i="1"/>
  <c r="E3929" i="1"/>
  <c r="I3929" i="1"/>
  <c r="S3929" i="1"/>
  <c r="B3930" i="1"/>
  <c r="E3930" i="1"/>
  <c r="I3930" i="1"/>
  <c r="S3930" i="1"/>
  <c r="B3931" i="1"/>
  <c r="E3931" i="1"/>
  <c r="I3931" i="1"/>
  <c r="S3931" i="1"/>
  <c r="B3932" i="1"/>
  <c r="E3932" i="1"/>
  <c r="I3932" i="1"/>
  <c r="S3932" i="1"/>
  <c r="B3933" i="1"/>
  <c r="E3933" i="1"/>
  <c r="I3933" i="1"/>
  <c r="B3934" i="1"/>
  <c r="E3934" i="1"/>
  <c r="I3934" i="1"/>
  <c r="S3934" i="1"/>
  <c r="B3935" i="1"/>
  <c r="E3935" i="1"/>
  <c r="I3935" i="1"/>
  <c r="S3935" i="1"/>
  <c r="B3936" i="1"/>
  <c r="E3936" i="1"/>
  <c r="I3936" i="1"/>
  <c r="S3936" i="1"/>
  <c r="B3937" i="1"/>
  <c r="E3937" i="1"/>
  <c r="I3937" i="1"/>
  <c r="S3937" i="1"/>
  <c r="B3938" i="1"/>
  <c r="E3938" i="1"/>
  <c r="I3938" i="1"/>
  <c r="S3938" i="1"/>
  <c r="B3939" i="1"/>
  <c r="E3939" i="1"/>
  <c r="I3939" i="1"/>
  <c r="S3939" i="1"/>
  <c r="B3940" i="1"/>
  <c r="E3940" i="1"/>
  <c r="I3940" i="1"/>
  <c r="S3940" i="1"/>
  <c r="B3941" i="1"/>
  <c r="E3941" i="1"/>
  <c r="I3941" i="1"/>
  <c r="S3941" i="1"/>
  <c r="B3942" i="1"/>
  <c r="E3942" i="1"/>
  <c r="I3942" i="1"/>
  <c r="S3942" i="1"/>
  <c r="B3943" i="1"/>
  <c r="E3943" i="1"/>
  <c r="I3943" i="1"/>
  <c r="S3943" i="1"/>
  <c r="B3944" i="1"/>
  <c r="E3944" i="1"/>
  <c r="I3944" i="1"/>
  <c r="S3944" i="1"/>
  <c r="B3945" i="1"/>
  <c r="E3945" i="1"/>
  <c r="I3945" i="1"/>
  <c r="S3945" i="1"/>
  <c r="B3946" i="1"/>
  <c r="E3946" i="1"/>
  <c r="I3946" i="1"/>
  <c r="S3946" i="1"/>
  <c r="B3947" i="1"/>
  <c r="E3947" i="1"/>
  <c r="I3947" i="1"/>
  <c r="S3947" i="1"/>
  <c r="B3948" i="1"/>
  <c r="E3948" i="1"/>
  <c r="I3948" i="1"/>
  <c r="S3948" i="1"/>
  <c r="B3949" i="1"/>
  <c r="E3949" i="1"/>
  <c r="I3949" i="1"/>
  <c r="S3949" i="1"/>
  <c r="B3950" i="1"/>
  <c r="E3950" i="1"/>
  <c r="I3950" i="1"/>
  <c r="S3950" i="1"/>
  <c r="B3951" i="1"/>
  <c r="E3951" i="1"/>
  <c r="I3951" i="1"/>
  <c r="S3951" i="1"/>
  <c r="B3952" i="1"/>
  <c r="E3952" i="1"/>
  <c r="I3952" i="1"/>
  <c r="S3952" i="1"/>
  <c r="B3953" i="1"/>
  <c r="E3953" i="1"/>
  <c r="I3953" i="1"/>
  <c r="S3953" i="1"/>
  <c r="B3954" i="1"/>
  <c r="E3954" i="1"/>
  <c r="I3954" i="1"/>
  <c r="S3954" i="1"/>
  <c r="B3955" i="1"/>
  <c r="E3955" i="1"/>
  <c r="I3955" i="1"/>
  <c r="S3955" i="1"/>
  <c r="B3956" i="1"/>
  <c r="E3956" i="1"/>
  <c r="I3956" i="1"/>
  <c r="S3956" i="1"/>
  <c r="B3957" i="1"/>
  <c r="E3957" i="1"/>
  <c r="I3957" i="1"/>
  <c r="S3957" i="1"/>
  <c r="B3958" i="1"/>
  <c r="E3958" i="1"/>
  <c r="I3958" i="1"/>
  <c r="S3958" i="1"/>
  <c r="B3959" i="1"/>
  <c r="E3959" i="1"/>
  <c r="I3959" i="1"/>
  <c r="S3959" i="1"/>
  <c r="B3960" i="1"/>
  <c r="E3960" i="1"/>
  <c r="I3960" i="1"/>
  <c r="S3960" i="1"/>
  <c r="B3961" i="1"/>
  <c r="E3961" i="1"/>
  <c r="I3961" i="1"/>
  <c r="S3961" i="1"/>
  <c r="B3962" i="1"/>
  <c r="E3962" i="1"/>
  <c r="I3962" i="1"/>
  <c r="S3962" i="1"/>
  <c r="B3963" i="1"/>
  <c r="E3963" i="1"/>
  <c r="I3963" i="1"/>
  <c r="S3963" i="1"/>
  <c r="B3964" i="1"/>
  <c r="E3964" i="1"/>
  <c r="I3964" i="1"/>
  <c r="S3964" i="1"/>
  <c r="B3965" i="1"/>
  <c r="E3965" i="1"/>
  <c r="I3965" i="1"/>
  <c r="S3965" i="1"/>
  <c r="B3966" i="1"/>
  <c r="E3966" i="1"/>
  <c r="I3966" i="1"/>
  <c r="S3966" i="1"/>
  <c r="B3967" i="1"/>
  <c r="E3967" i="1"/>
  <c r="I3967" i="1"/>
  <c r="S3967" i="1"/>
  <c r="B3968" i="1"/>
  <c r="E3968" i="1"/>
  <c r="I3968" i="1"/>
  <c r="S3968" i="1"/>
  <c r="B3969" i="1"/>
  <c r="E3969" i="1"/>
  <c r="I3969" i="1"/>
  <c r="S3969" i="1"/>
  <c r="B3970" i="1"/>
  <c r="E3970" i="1"/>
  <c r="I3970" i="1"/>
  <c r="S3970" i="1"/>
  <c r="B3971" i="1"/>
  <c r="E3971" i="1"/>
  <c r="I3971" i="1"/>
  <c r="S3971" i="1"/>
  <c r="B3972" i="1"/>
  <c r="E3972" i="1"/>
  <c r="I3972" i="1"/>
  <c r="S3972" i="1"/>
  <c r="B3973" i="1"/>
  <c r="E3973" i="1"/>
  <c r="I3973" i="1"/>
  <c r="S3973" i="1"/>
  <c r="B3974" i="1"/>
  <c r="E3974" i="1"/>
  <c r="I3974" i="1"/>
  <c r="S3974" i="1"/>
  <c r="B3975" i="1"/>
  <c r="E3975" i="1"/>
  <c r="I3975" i="1"/>
  <c r="S3975" i="1"/>
  <c r="B3976" i="1"/>
  <c r="E3976" i="1"/>
  <c r="I3976" i="1"/>
  <c r="S3976" i="1"/>
  <c r="B3977" i="1"/>
  <c r="E3977" i="1"/>
  <c r="I3977" i="1"/>
  <c r="S3977" i="1"/>
  <c r="B3978" i="1"/>
  <c r="E3978" i="1"/>
  <c r="I3978" i="1"/>
  <c r="S3978" i="1"/>
  <c r="B3979" i="1"/>
  <c r="E3979" i="1"/>
  <c r="I3979" i="1"/>
  <c r="S3979" i="1"/>
  <c r="B3980" i="1"/>
  <c r="E3980" i="1"/>
  <c r="I3980" i="1"/>
  <c r="S3980" i="1"/>
  <c r="B3981" i="1"/>
  <c r="E3981" i="1"/>
  <c r="I3981" i="1"/>
  <c r="S3981" i="1"/>
  <c r="B3982" i="1"/>
  <c r="E3982" i="1"/>
  <c r="I3982" i="1"/>
  <c r="S3982" i="1"/>
  <c r="B3983" i="1"/>
  <c r="E3983" i="1"/>
  <c r="I3983" i="1"/>
  <c r="S3983" i="1"/>
  <c r="B3984" i="1"/>
  <c r="E3984" i="1"/>
  <c r="I3984" i="1"/>
  <c r="S3984" i="1"/>
  <c r="B3985" i="1"/>
  <c r="E3985" i="1"/>
  <c r="I3985" i="1"/>
  <c r="S3985" i="1"/>
  <c r="B3986" i="1"/>
  <c r="E3986" i="1"/>
  <c r="I3986" i="1"/>
  <c r="S3986" i="1"/>
  <c r="B3987" i="1"/>
  <c r="E3987" i="1"/>
  <c r="I3987" i="1"/>
  <c r="S3987" i="1"/>
  <c r="B3988" i="1"/>
  <c r="E3988" i="1"/>
  <c r="I3988" i="1"/>
  <c r="S3988" i="1"/>
  <c r="B3989" i="1"/>
  <c r="E3989" i="1"/>
  <c r="I3989" i="1"/>
  <c r="S3989" i="1"/>
  <c r="B3990" i="1"/>
  <c r="E3990" i="1"/>
  <c r="I3990" i="1"/>
  <c r="S3990" i="1"/>
  <c r="B3991" i="1"/>
  <c r="E3991" i="1"/>
  <c r="I3991" i="1"/>
  <c r="S3991" i="1"/>
  <c r="B3992" i="1"/>
  <c r="E3992" i="1"/>
  <c r="I3992" i="1"/>
  <c r="S3992" i="1"/>
  <c r="B3993" i="1"/>
  <c r="E3993" i="1"/>
  <c r="I3993" i="1"/>
  <c r="S3993" i="1"/>
  <c r="B3994" i="1"/>
  <c r="E3994" i="1"/>
  <c r="I3994" i="1"/>
  <c r="S3994" i="1"/>
  <c r="B3995" i="1"/>
  <c r="E3995" i="1"/>
  <c r="I3995" i="1"/>
  <c r="S3995" i="1"/>
  <c r="B3996" i="1"/>
  <c r="E3996" i="1"/>
  <c r="I3996" i="1"/>
  <c r="S3996" i="1"/>
  <c r="B3997" i="1"/>
  <c r="E3997" i="1"/>
  <c r="I3997" i="1"/>
  <c r="S3997" i="1"/>
  <c r="B3998" i="1"/>
  <c r="E3998" i="1"/>
  <c r="I3998" i="1"/>
  <c r="S3998" i="1"/>
  <c r="B3999" i="1"/>
  <c r="E3999" i="1"/>
  <c r="I3999" i="1"/>
  <c r="S3999" i="1"/>
  <c r="B4000" i="1"/>
  <c r="E4000" i="1"/>
  <c r="I4000" i="1"/>
  <c r="S4000" i="1"/>
  <c r="B4001" i="1"/>
  <c r="E4001" i="1"/>
  <c r="I4001" i="1"/>
  <c r="S4001" i="1"/>
  <c r="B4002" i="1"/>
  <c r="E4002" i="1"/>
  <c r="I4002" i="1"/>
  <c r="S4002" i="1"/>
  <c r="B4003" i="1"/>
  <c r="E4003" i="1"/>
  <c r="I4003" i="1"/>
  <c r="S4003" i="1"/>
  <c r="B4004" i="1"/>
  <c r="E4004" i="1"/>
  <c r="I4004" i="1"/>
  <c r="S4004" i="1"/>
  <c r="B4005" i="1"/>
  <c r="E4005" i="1"/>
  <c r="I4005" i="1"/>
  <c r="S4005" i="1"/>
  <c r="B4006" i="1"/>
  <c r="E4006" i="1"/>
  <c r="I4006" i="1"/>
  <c r="S4006" i="1"/>
  <c r="B4007" i="1"/>
  <c r="E4007" i="1"/>
  <c r="I4007" i="1"/>
  <c r="S4007" i="1"/>
  <c r="B4008" i="1"/>
  <c r="E4008" i="1"/>
  <c r="I4008" i="1"/>
  <c r="S4008" i="1"/>
  <c r="B4009" i="1"/>
  <c r="E4009" i="1"/>
  <c r="I4009" i="1"/>
  <c r="S4009" i="1"/>
  <c r="B4010" i="1"/>
  <c r="E4010" i="1"/>
  <c r="I4010" i="1"/>
  <c r="S4010" i="1"/>
  <c r="B4011" i="1"/>
  <c r="E4011" i="1"/>
  <c r="I4011" i="1"/>
  <c r="S4011" i="1"/>
  <c r="B4012" i="1"/>
  <c r="E4012" i="1"/>
  <c r="I4012" i="1"/>
  <c r="S4012" i="1"/>
  <c r="B4013" i="1"/>
  <c r="E4013" i="1"/>
  <c r="I4013" i="1"/>
  <c r="S4013" i="1"/>
  <c r="B4014" i="1"/>
  <c r="E4014" i="1"/>
  <c r="I4014" i="1"/>
  <c r="S4014" i="1"/>
  <c r="B4015" i="1"/>
  <c r="E4015" i="1"/>
  <c r="I4015" i="1"/>
  <c r="S4015" i="1"/>
  <c r="B4016" i="1"/>
  <c r="E4016" i="1"/>
  <c r="I4016" i="1"/>
  <c r="S4016" i="1"/>
  <c r="B4017" i="1"/>
  <c r="E4017" i="1"/>
  <c r="I4017" i="1"/>
  <c r="S4017" i="1"/>
  <c r="B4018" i="1"/>
  <c r="E4018" i="1"/>
  <c r="I4018" i="1"/>
  <c r="S4018" i="1"/>
  <c r="B4019" i="1"/>
  <c r="E4019" i="1"/>
  <c r="I4019" i="1"/>
  <c r="S4019" i="1"/>
  <c r="B4020" i="1"/>
  <c r="E4020" i="1"/>
  <c r="I4020" i="1"/>
  <c r="S4020" i="1"/>
  <c r="B4021" i="1"/>
  <c r="E4021" i="1"/>
  <c r="I4021" i="1"/>
  <c r="S4021" i="1"/>
  <c r="B4022" i="1"/>
  <c r="E4022" i="1"/>
  <c r="I4022" i="1"/>
  <c r="S4022" i="1"/>
  <c r="B4023" i="1"/>
  <c r="E4023" i="1"/>
  <c r="I4023" i="1"/>
  <c r="S4023" i="1"/>
  <c r="B4024" i="1"/>
  <c r="E4024" i="1"/>
  <c r="I4024" i="1"/>
  <c r="S4024" i="1"/>
  <c r="B4025" i="1"/>
  <c r="E4025" i="1"/>
  <c r="I4025" i="1"/>
  <c r="S4025" i="1"/>
  <c r="B4026" i="1"/>
  <c r="E4026" i="1"/>
  <c r="I4026" i="1"/>
  <c r="S4026" i="1"/>
  <c r="B4027" i="1"/>
  <c r="E4027" i="1"/>
  <c r="I4027" i="1"/>
  <c r="S4027" i="1"/>
  <c r="B4028" i="1"/>
  <c r="E4028" i="1"/>
  <c r="I4028" i="1"/>
  <c r="S4028" i="1"/>
  <c r="B4029" i="1"/>
  <c r="E4029" i="1"/>
  <c r="I4029" i="1"/>
  <c r="S4029" i="1"/>
  <c r="B4030" i="1"/>
  <c r="E4030" i="1"/>
  <c r="I4030" i="1"/>
  <c r="S4030" i="1"/>
  <c r="B4031" i="1"/>
  <c r="E4031" i="1"/>
  <c r="I4031" i="1"/>
  <c r="S4031" i="1"/>
  <c r="B4032" i="1"/>
  <c r="E4032" i="1"/>
  <c r="I4032" i="1"/>
  <c r="S4032" i="1"/>
  <c r="B4033" i="1"/>
  <c r="E4033" i="1"/>
  <c r="I4033" i="1"/>
  <c r="S4033" i="1"/>
  <c r="B4034" i="1"/>
  <c r="E4034" i="1"/>
  <c r="I4034" i="1"/>
  <c r="S4034" i="1"/>
  <c r="B4035" i="1"/>
  <c r="E4035" i="1"/>
  <c r="I4035" i="1"/>
  <c r="S4035" i="1"/>
  <c r="B4036" i="1"/>
  <c r="E4036" i="1"/>
  <c r="I4036" i="1"/>
  <c r="S4036" i="1"/>
  <c r="B4037" i="1"/>
  <c r="E4037" i="1"/>
  <c r="I4037" i="1"/>
  <c r="S4037" i="1"/>
  <c r="B4038" i="1"/>
  <c r="E4038" i="1"/>
  <c r="I4038" i="1"/>
  <c r="S4038" i="1"/>
  <c r="B4039" i="1"/>
  <c r="E4039" i="1"/>
  <c r="I4039" i="1"/>
  <c r="S4039" i="1"/>
  <c r="B4040" i="1"/>
  <c r="E4040" i="1"/>
  <c r="I4040" i="1"/>
  <c r="S4040" i="1"/>
  <c r="B4041" i="1"/>
  <c r="E4041" i="1"/>
  <c r="I4041" i="1"/>
  <c r="S4041" i="1"/>
  <c r="B4042" i="1"/>
  <c r="E4042" i="1"/>
  <c r="I4042" i="1"/>
  <c r="S4042" i="1"/>
  <c r="B4043" i="1"/>
  <c r="E4043" i="1"/>
  <c r="I4043" i="1"/>
  <c r="S4043" i="1"/>
  <c r="B4044" i="1"/>
  <c r="E4044" i="1"/>
  <c r="I4044" i="1"/>
  <c r="S4044" i="1"/>
  <c r="B4045" i="1"/>
  <c r="E4045" i="1"/>
  <c r="I4045" i="1"/>
  <c r="S4045" i="1"/>
  <c r="B4046" i="1"/>
  <c r="E4046" i="1"/>
  <c r="I4046" i="1"/>
  <c r="S4046" i="1"/>
  <c r="B4047" i="1"/>
  <c r="E4047" i="1"/>
  <c r="I4047" i="1"/>
  <c r="S4047" i="1"/>
  <c r="B4048" i="1"/>
  <c r="E4048" i="1"/>
  <c r="I4048" i="1"/>
  <c r="S4048" i="1"/>
  <c r="B4049" i="1"/>
  <c r="E4049" i="1"/>
  <c r="I4049" i="1"/>
  <c r="S4049" i="1"/>
  <c r="B4050" i="1"/>
  <c r="E4050" i="1"/>
  <c r="I4050" i="1"/>
  <c r="S4050" i="1"/>
  <c r="B4051" i="1"/>
  <c r="E4051" i="1"/>
  <c r="I4051" i="1"/>
  <c r="S4051" i="1"/>
  <c r="B4052" i="1"/>
  <c r="E4052" i="1"/>
  <c r="I4052" i="1"/>
  <c r="S4052" i="1"/>
  <c r="B4053" i="1"/>
  <c r="E4053" i="1"/>
  <c r="I4053" i="1"/>
  <c r="S4053" i="1"/>
  <c r="B4054" i="1"/>
  <c r="E4054" i="1"/>
  <c r="I4054" i="1"/>
  <c r="S4054" i="1"/>
  <c r="B4055" i="1"/>
  <c r="E4055" i="1"/>
  <c r="I4055" i="1"/>
  <c r="S4055" i="1"/>
  <c r="B4056" i="1"/>
  <c r="E4056" i="1"/>
  <c r="I4056" i="1"/>
  <c r="S4056" i="1"/>
  <c r="B4057" i="1"/>
  <c r="E4057" i="1"/>
  <c r="I4057" i="1"/>
  <c r="S4057" i="1"/>
  <c r="B4058" i="1"/>
  <c r="E4058" i="1"/>
  <c r="I4058" i="1"/>
  <c r="S4058" i="1"/>
  <c r="B4059" i="1"/>
  <c r="E4059" i="1"/>
  <c r="I4059" i="1"/>
  <c r="S4059" i="1"/>
  <c r="B4060" i="1"/>
  <c r="E4060" i="1"/>
  <c r="I4060" i="1"/>
  <c r="S4060" i="1"/>
  <c r="B4061" i="1"/>
  <c r="E4061" i="1"/>
  <c r="I4061" i="1"/>
  <c r="S4061" i="1"/>
  <c r="B4062" i="1"/>
  <c r="E4062" i="1"/>
  <c r="I4062" i="1"/>
  <c r="S4062" i="1"/>
  <c r="B4063" i="1"/>
  <c r="E4063" i="1"/>
  <c r="I4063" i="1"/>
  <c r="S4063" i="1"/>
  <c r="B4064" i="1"/>
  <c r="E4064" i="1"/>
  <c r="I4064" i="1"/>
  <c r="S4064" i="1"/>
  <c r="B4065" i="1"/>
  <c r="E4065" i="1"/>
  <c r="I4065" i="1"/>
  <c r="S4065" i="1"/>
  <c r="B4066" i="1"/>
  <c r="E4066" i="1"/>
  <c r="I4066" i="1"/>
  <c r="S4066" i="1"/>
  <c r="B4067" i="1"/>
  <c r="E4067" i="1"/>
  <c r="I4067" i="1"/>
  <c r="S4067" i="1"/>
  <c r="B4068" i="1"/>
  <c r="E4068" i="1"/>
  <c r="I4068" i="1"/>
  <c r="S4068" i="1"/>
  <c r="B4069" i="1"/>
  <c r="E4069" i="1"/>
  <c r="I4069" i="1"/>
  <c r="S4069" i="1"/>
  <c r="B4070" i="1"/>
  <c r="E4070" i="1"/>
  <c r="I4070" i="1"/>
  <c r="S4070" i="1"/>
  <c r="B4071" i="1"/>
  <c r="E4071" i="1"/>
  <c r="I4071" i="1"/>
  <c r="S4071" i="1"/>
  <c r="B4072" i="1"/>
  <c r="E4072" i="1"/>
  <c r="I4072" i="1"/>
  <c r="S4072" i="1"/>
  <c r="B4073" i="1"/>
  <c r="E4073" i="1"/>
  <c r="I4073" i="1"/>
  <c r="S4073" i="1"/>
  <c r="B4074" i="1"/>
  <c r="E4074" i="1"/>
  <c r="I4074" i="1"/>
  <c r="S4074" i="1"/>
  <c r="B4075" i="1"/>
  <c r="E4075" i="1"/>
  <c r="I4075" i="1"/>
  <c r="S4075" i="1"/>
  <c r="B4076" i="1"/>
  <c r="E4076" i="1"/>
  <c r="I4076" i="1"/>
  <c r="S4076" i="1"/>
  <c r="B4077" i="1"/>
  <c r="E4077" i="1"/>
  <c r="I4077" i="1"/>
  <c r="S4077" i="1"/>
  <c r="B4078" i="1"/>
  <c r="E4078" i="1"/>
  <c r="I4078" i="1"/>
  <c r="S4078" i="1"/>
  <c r="B4079" i="1"/>
  <c r="E4079" i="1"/>
  <c r="I4079" i="1"/>
  <c r="S4079" i="1"/>
  <c r="B4080" i="1"/>
  <c r="E4080" i="1"/>
  <c r="I4080" i="1"/>
  <c r="S4080" i="1"/>
  <c r="B4081" i="1"/>
  <c r="E4081" i="1"/>
  <c r="I4081" i="1"/>
  <c r="S4081" i="1"/>
  <c r="B4082" i="1"/>
  <c r="E4082" i="1"/>
  <c r="I4082" i="1"/>
  <c r="S4082" i="1"/>
  <c r="B4083" i="1"/>
  <c r="E4083" i="1"/>
  <c r="I4083" i="1"/>
  <c r="S4083" i="1"/>
  <c r="B4084" i="1"/>
  <c r="E4084" i="1"/>
  <c r="I4084" i="1"/>
  <c r="S4084" i="1"/>
  <c r="B4085" i="1"/>
  <c r="E4085" i="1"/>
  <c r="I4085" i="1"/>
  <c r="S4085" i="1"/>
  <c r="B4086" i="1"/>
  <c r="E4086" i="1"/>
  <c r="I4086" i="1"/>
  <c r="S4086" i="1"/>
  <c r="B4087" i="1"/>
  <c r="E4087" i="1"/>
  <c r="I4087" i="1"/>
  <c r="S4087" i="1"/>
  <c r="B4088" i="1"/>
  <c r="E4088" i="1"/>
  <c r="I4088" i="1"/>
  <c r="S4088" i="1"/>
  <c r="B4089" i="1"/>
  <c r="E4089" i="1"/>
  <c r="I4089" i="1"/>
  <c r="S4089" i="1"/>
  <c r="B4090" i="1"/>
  <c r="E4090" i="1"/>
  <c r="I4090" i="1"/>
  <c r="S4090" i="1"/>
  <c r="B4091" i="1"/>
  <c r="E4091" i="1"/>
  <c r="I4091" i="1"/>
  <c r="S4091" i="1"/>
  <c r="B4092" i="1"/>
  <c r="E4092" i="1"/>
  <c r="I4092" i="1"/>
  <c r="S4092" i="1"/>
  <c r="B4093" i="1"/>
  <c r="E4093" i="1"/>
  <c r="I4093" i="1"/>
  <c r="S4093" i="1"/>
  <c r="B4094" i="1"/>
  <c r="E4094" i="1"/>
  <c r="I4094" i="1"/>
  <c r="S4094" i="1"/>
  <c r="B4095" i="1"/>
  <c r="E4095" i="1"/>
  <c r="I4095" i="1"/>
  <c r="S4095" i="1"/>
  <c r="B4096" i="1"/>
  <c r="E4096" i="1"/>
  <c r="I4096" i="1"/>
  <c r="S4096" i="1"/>
  <c r="B4097" i="1"/>
  <c r="E4097" i="1"/>
  <c r="I4097" i="1"/>
  <c r="S4097" i="1"/>
  <c r="B4098" i="1"/>
  <c r="E4098" i="1"/>
  <c r="I4098" i="1"/>
  <c r="S4098" i="1"/>
  <c r="B4099" i="1"/>
  <c r="E4099" i="1"/>
  <c r="I4099" i="1"/>
  <c r="S4099" i="1"/>
  <c r="B4100" i="1"/>
  <c r="E4100" i="1"/>
  <c r="I4100" i="1"/>
  <c r="S4100" i="1"/>
  <c r="B4101" i="1"/>
  <c r="E4101" i="1"/>
  <c r="I4101" i="1"/>
  <c r="S4101" i="1"/>
  <c r="B4102" i="1"/>
  <c r="E4102" i="1"/>
  <c r="I4102" i="1"/>
  <c r="S4102" i="1"/>
  <c r="B4103" i="1"/>
  <c r="E4103" i="1"/>
  <c r="I4103" i="1"/>
  <c r="S4103" i="1"/>
  <c r="B4104" i="1"/>
  <c r="E4104" i="1"/>
  <c r="I4104" i="1"/>
  <c r="S4104" i="1"/>
  <c r="B4105" i="1"/>
  <c r="E4105" i="1"/>
  <c r="I4105" i="1"/>
  <c r="S4105" i="1"/>
  <c r="B4106" i="1"/>
  <c r="E4106" i="1"/>
  <c r="I4106" i="1"/>
  <c r="S4106" i="1"/>
  <c r="B4107" i="1"/>
  <c r="E4107" i="1"/>
  <c r="I4107" i="1"/>
  <c r="S4107" i="1"/>
  <c r="B4108" i="1"/>
  <c r="E4108" i="1"/>
  <c r="I4108" i="1"/>
  <c r="S4108" i="1"/>
  <c r="B4109" i="1"/>
  <c r="E4109" i="1"/>
  <c r="I4109" i="1"/>
  <c r="S4109" i="1"/>
  <c r="B4110" i="1"/>
  <c r="E4110" i="1"/>
  <c r="I4110" i="1"/>
  <c r="S4110" i="1"/>
  <c r="B4111" i="1"/>
  <c r="E4111" i="1"/>
  <c r="I4111" i="1"/>
  <c r="S4111" i="1"/>
  <c r="B4112" i="1"/>
  <c r="E4112" i="1"/>
  <c r="I4112" i="1"/>
  <c r="S4112" i="1"/>
  <c r="B4113" i="1"/>
  <c r="E4113" i="1"/>
  <c r="I4113" i="1"/>
  <c r="S4113" i="1"/>
  <c r="B4114" i="1"/>
  <c r="E4114" i="1"/>
  <c r="I4114" i="1"/>
  <c r="S4114" i="1"/>
  <c r="B4115" i="1"/>
  <c r="E4115" i="1"/>
  <c r="I4115" i="1"/>
  <c r="S4115" i="1"/>
  <c r="B4116" i="1"/>
  <c r="E4116" i="1"/>
  <c r="I4116" i="1"/>
  <c r="S4116" i="1"/>
  <c r="B4117" i="1"/>
  <c r="E4117" i="1"/>
  <c r="I4117" i="1"/>
  <c r="S4117" i="1"/>
  <c r="B4118" i="1"/>
  <c r="E4118" i="1"/>
  <c r="I4118" i="1"/>
  <c r="S4118" i="1"/>
  <c r="B4119" i="1"/>
  <c r="E4119" i="1"/>
  <c r="I4119" i="1"/>
  <c r="S4119" i="1"/>
  <c r="B4120" i="1"/>
  <c r="E4120" i="1"/>
  <c r="I4120" i="1"/>
  <c r="S4120" i="1"/>
  <c r="B4121" i="1"/>
  <c r="E4121" i="1"/>
  <c r="I4121" i="1"/>
  <c r="S4121" i="1"/>
  <c r="B4122" i="1"/>
  <c r="E4122" i="1"/>
  <c r="I4122" i="1"/>
  <c r="S4122" i="1"/>
  <c r="B4123" i="1"/>
  <c r="E4123" i="1"/>
  <c r="I4123" i="1"/>
  <c r="S4123" i="1"/>
  <c r="B4124" i="1"/>
  <c r="E4124" i="1"/>
  <c r="I4124" i="1"/>
  <c r="S4124" i="1"/>
  <c r="B4125" i="1"/>
  <c r="E4125" i="1"/>
  <c r="I4125" i="1"/>
  <c r="S4125" i="1"/>
  <c r="B4126" i="1"/>
  <c r="E4126" i="1"/>
  <c r="I4126" i="1"/>
  <c r="S4126" i="1"/>
  <c r="B4127" i="1"/>
  <c r="E4127" i="1"/>
  <c r="I4127" i="1"/>
  <c r="S4127" i="1"/>
  <c r="B4128" i="1"/>
  <c r="E4128" i="1"/>
  <c r="I4128" i="1"/>
  <c r="S4128" i="1"/>
  <c r="B4129" i="1"/>
  <c r="E4129" i="1"/>
  <c r="I4129" i="1"/>
  <c r="S4129" i="1"/>
  <c r="B4130" i="1"/>
  <c r="E4130" i="1"/>
  <c r="I4130" i="1"/>
  <c r="S4130" i="1"/>
  <c r="B4131" i="1"/>
  <c r="E4131" i="1"/>
  <c r="I4131" i="1"/>
  <c r="S4131" i="1"/>
  <c r="B4132" i="1"/>
  <c r="E4132" i="1"/>
  <c r="I4132" i="1"/>
  <c r="S4132" i="1"/>
  <c r="B4133" i="1"/>
  <c r="E4133" i="1"/>
  <c r="I4133" i="1"/>
  <c r="S4133" i="1"/>
  <c r="B4134" i="1"/>
  <c r="E4134" i="1"/>
  <c r="I4134" i="1"/>
  <c r="S4134" i="1"/>
  <c r="B4135" i="1"/>
  <c r="E4135" i="1"/>
  <c r="I4135" i="1"/>
  <c r="S4135" i="1"/>
  <c r="B4136" i="1"/>
  <c r="E4136" i="1"/>
  <c r="I4136" i="1"/>
  <c r="S4136" i="1"/>
  <c r="B4137" i="1"/>
  <c r="E4137" i="1"/>
  <c r="I4137" i="1"/>
  <c r="S4137" i="1"/>
  <c r="B4138" i="1"/>
  <c r="E4138" i="1"/>
  <c r="I4138" i="1"/>
  <c r="S4138" i="1"/>
  <c r="B4139" i="1"/>
  <c r="E4139" i="1"/>
  <c r="I4139" i="1"/>
  <c r="S4139" i="1"/>
  <c r="B4140" i="1"/>
  <c r="E4140" i="1"/>
  <c r="I4140" i="1"/>
  <c r="S4140" i="1"/>
  <c r="B4141" i="1"/>
  <c r="E4141" i="1"/>
  <c r="I4141" i="1"/>
  <c r="S4141" i="1"/>
  <c r="B4142" i="1"/>
  <c r="E4142" i="1"/>
  <c r="I4142" i="1"/>
  <c r="S4142" i="1"/>
  <c r="B4143" i="1"/>
  <c r="E4143" i="1"/>
  <c r="I4143" i="1"/>
  <c r="S4143" i="1"/>
  <c r="B4144" i="1"/>
  <c r="E4144" i="1"/>
  <c r="I4144" i="1"/>
  <c r="S4144" i="1"/>
  <c r="B4145" i="1"/>
  <c r="E4145" i="1"/>
  <c r="I4145" i="1"/>
  <c r="S4145" i="1"/>
  <c r="B4146" i="1"/>
  <c r="E4146" i="1"/>
  <c r="I4146" i="1"/>
  <c r="S4146" i="1"/>
  <c r="B4147" i="1"/>
  <c r="E4147" i="1"/>
  <c r="I4147" i="1"/>
  <c r="S4147" i="1"/>
  <c r="B4148" i="1"/>
  <c r="E4148" i="1"/>
  <c r="I4148" i="1"/>
  <c r="S4148" i="1"/>
  <c r="B4149" i="1"/>
  <c r="E4149" i="1"/>
  <c r="I4149" i="1"/>
  <c r="S4149" i="1"/>
  <c r="B4150" i="1"/>
  <c r="E4150" i="1"/>
  <c r="I4150" i="1"/>
  <c r="S4150" i="1"/>
  <c r="B4151" i="1"/>
  <c r="E4151" i="1"/>
  <c r="I4151" i="1"/>
  <c r="S4151" i="1"/>
  <c r="B4152" i="1"/>
  <c r="E4152" i="1"/>
  <c r="I4152" i="1"/>
  <c r="S4152" i="1"/>
  <c r="B4153" i="1"/>
  <c r="E4153" i="1"/>
  <c r="I4153" i="1"/>
  <c r="S4153" i="1"/>
  <c r="B4154" i="1"/>
  <c r="E4154" i="1"/>
  <c r="I4154" i="1"/>
  <c r="S4154" i="1"/>
  <c r="B4155" i="1"/>
  <c r="E4155" i="1"/>
  <c r="I4155" i="1"/>
  <c r="S4155" i="1"/>
  <c r="B4156" i="1"/>
  <c r="E4156" i="1"/>
  <c r="I4156" i="1"/>
  <c r="S4156" i="1"/>
  <c r="B4157" i="1"/>
  <c r="E4157" i="1"/>
  <c r="I4157" i="1"/>
  <c r="S4157" i="1"/>
  <c r="B4158" i="1"/>
  <c r="E4158" i="1"/>
  <c r="I4158" i="1"/>
  <c r="S4158" i="1"/>
  <c r="B4159" i="1"/>
  <c r="E4159" i="1"/>
  <c r="I4159" i="1"/>
  <c r="S4159" i="1"/>
  <c r="B4160" i="1"/>
  <c r="E4160" i="1"/>
  <c r="I4160" i="1"/>
  <c r="S4160" i="1"/>
  <c r="B4161" i="1"/>
  <c r="E4161" i="1"/>
  <c r="I4161" i="1"/>
  <c r="S4161" i="1"/>
  <c r="B4162" i="1"/>
  <c r="E4162" i="1"/>
  <c r="I4162" i="1"/>
  <c r="S4162" i="1"/>
  <c r="B4163" i="1"/>
  <c r="E4163" i="1"/>
  <c r="I4163" i="1"/>
  <c r="S4163" i="1"/>
  <c r="B4164" i="1"/>
  <c r="E4164" i="1"/>
  <c r="I4164" i="1"/>
  <c r="S4164" i="1"/>
  <c r="B4165" i="1"/>
  <c r="E4165" i="1"/>
  <c r="I4165" i="1"/>
  <c r="S4165" i="1"/>
  <c r="B4166" i="1"/>
  <c r="E4166" i="1"/>
  <c r="I4166" i="1"/>
  <c r="S4166" i="1"/>
  <c r="B4167" i="1"/>
  <c r="E4167" i="1"/>
  <c r="I4167" i="1"/>
  <c r="S4167" i="1"/>
  <c r="B4168" i="1"/>
  <c r="E4168" i="1"/>
  <c r="I4168" i="1"/>
  <c r="S4168" i="1"/>
  <c r="B4169" i="1"/>
  <c r="E4169" i="1"/>
  <c r="I4169" i="1"/>
  <c r="S4169" i="1"/>
  <c r="B4170" i="1"/>
  <c r="E4170" i="1"/>
  <c r="I4170" i="1"/>
  <c r="B4171" i="1"/>
  <c r="E4171" i="1"/>
  <c r="I4171" i="1"/>
  <c r="S4171" i="1"/>
  <c r="B4172" i="1"/>
  <c r="E4172" i="1"/>
  <c r="I4172" i="1"/>
  <c r="S4172" i="1"/>
  <c r="B4173" i="1"/>
  <c r="E4173" i="1"/>
  <c r="I4173" i="1"/>
  <c r="S4173" i="1"/>
  <c r="B4174" i="1"/>
  <c r="E4174" i="1"/>
  <c r="I4174" i="1"/>
  <c r="B4175" i="1"/>
  <c r="E4175" i="1"/>
  <c r="I4175" i="1"/>
  <c r="S4175" i="1"/>
  <c r="B4176" i="1"/>
  <c r="E4176" i="1"/>
  <c r="I4176" i="1"/>
  <c r="S4176" i="1"/>
  <c r="B4177" i="1"/>
  <c r="E4177" i="1"/>
  <c r="I4177" i="1"/>
  <c r="S4177" i="1"/>
  <c r="B4178" i="1"/>
  <c r="E4178" i="1"/>
  <c r="I4178" i="1"/>
  <c r="S4178" i="1"/>
  <c r="B4179" i="1"/>
  <c r="E4179" i="1"/>
  <c r="I4179" i="1"/>
  <c r="S4179" i="1"/>
  <c r="B4180" i="1"/>
  <c r="E4180" i="1"/>
  <c r="I4180" i="1"/>
  <c r="S4180" i="1"/>
  <c r="B4181" i="1"/>
  <c r="E4181" i="1"/>
  <c r="I4181" i="1"/>
  <c r="S4181" i="1"/>
  <c r="B4182" i="1"/>
  <c r="E4182" i="1"/>
  <c r="I4182" i="1"/>
  <c r="S4182" i="1"/>
  <c r="B4183" i="1"/>
  <c r="E4183" i="1"/>
  <c r="I4183" i="1"/>
  <c r="S4183" i="1"/>
  <c r="B4184" i="1"/>
  <c r="E4184" i="1"/>
  <c r="I4184" i="1"/>
  <c r="S4184" i="1"/>
  <c r="B4185" i="1"/>
  <c r="E4185" i="1"/>
  <c r="I4185" i="1"/>
  <c r="S4185" i="1"/>
  <c r="B4186" i="1"/>
  <c r="E4186" i="1"/>
  <c r="I4186" i="1"/>
  <c r="S4186" i="1"/>
  <c r="B4187" i="1"/>
  <c r="E4187" i="1"/>
  <c r="I4187" i="1"/>
  <c r="S4187" i="1"/>
  <c r="B4188" i="1"/>
  <c r="E4188" i="1"/>
  <c r="I4188" i="1"/>
  <c r="S4188" i="1"/>
  <c r="B4189" i="1"/>
  <c r="E4189" i="1"/>
  <c r="I4189" i="1"/>
  <c r="S4189" i="1"/>
  <c r="B4190" i="1"/>
  <c r="E4190" i="1"/>
  <c r="I4190" i="1"/>
  <c r="S4190" i="1"/>
  <c r="B4191" i="1"/>
  <c r="E4191" i="1"/>
  <c r="I4191" i="1"/>
  <c r="S4191" i="1"/>
  <c r="B4192" i="1"/>
  <c r="E4192" i="1"/>
  <c r="I4192" i="1"/>
  <c r="S4192" i="1"/>
  <c r="B4193" i="1"/>
  <c r="E4193" i="1"/>
  <c r="I4193" i="1"/>
  <c r="S4193" i="1"/>
  <c r="B4194" i="1"/>
  <c r="E4194" i="1"/>
  <c r="I4194" i="1"/>
  <c r="S4194" i="1"/>
  <c r="B4195" i="1"/>
  <c r="E4195" i="1"/>
  <c r="I4195" i="1"/>
  <c r="S4195" i="1"/>
  <c r="B4196" i="1"/>
  <c r="E4196" i="1"/>
  <c r="I4196" i="1"/>
  <c r="S4196" i="1"/>
  <c r="B4197" i="1"/>
  <c r="E4197" i="1"/>
  <c r="I4197" i="1"/>
  <c r="S4197" i="1"/>
  <c r="B4198" i="1"/>
  <c r="E4198" i="1"/>
  <c r="I4198" i="1"/>
  <c r="S4198" i="1"/>
  <c r="B4199" i="1"/>
  <c r="E4199" i="1"/>
  <c r="I4199" i="1"/>
  <c r="S4199" i="1"/>
  <c r="B4200" i="1"/>
  <c r="E4200" i="1"/>
  <c r="I4200" i="1"/>
  <c r="S4200" i="1"/>
  <c r="B4201" i="1"/>
  <c r="E4201" i="1"/>
  <c r="I4201" i="1"/>
  <c r="S4201" i="1"/>
  <c r="B4202" i="1"/>
  <c r="E4202" i="1"/>
  <c r="I4202" i="1"/>
  <c r="S4202" i="1"/>
  <c r="B4203" i="1"/>
  <c r="E4203" i="1"/>
  <c r="I4203" i="1"/>
  <c r="S4203" i="1"/>
  <c r="B4204" i="1"/>
  <c r="E4204" i="1"/>
  <c r="I4204" i="1"/>
  <c r="S4204" i="1"/>
  <c r="B4205" i="1"/>
  <c r="E4205" i="1"/>
  <c r="I4205" i="1"/>
  <c r="S4205" i="1"/>
  <c r="B4206" i="1"/>
  <c r="E4206" i="1"/>
  <c r="I4206" i="1"/>
  <c r="S4206" i="1"/>
  <c r="B4207" i="1"/>
  <c r="E4207" i="1"/>
  <c r="I4207" i="1"/>
  <c r="S4207" i="1"/>
  <c r="B4208" i="1"/>
  <c r="E4208" i="1"/>
  <c r="I4208" i="1"/>
  <c r="S4208" i="1"/>
  <c r="B4209" i="1"/>
  <c r="E4209" i="1"/>
  <c r="I4209" i="1"/>
  <c r="S4209" i="1"/>
  <c r="B4210" i="1"/>
  <c r="E4210" i="1"/>
  <c r="I4210" i="1"/>
  <c r="S4210" i="1"/>
  <c r="B4211" i="1"/>
  <c r="E4211" i="1"/>
  <c r="I4211" i="1"/>
  <c r="S4211" i="1"/>
  <c r="B4212" i="1"/>
  <c r="E4212" i="1"/>
  <c r="I4212" i="1"/>
  <c r="S4212" i="1"/>
  <c r="B4213" i="1"/>
  <c r="E4213" i="1"/>
  <c r="I4213" i="1"/>
  <c r="S4213" i="1"/>
  <c r="B4214" i="1"/>
  <c r="E4214" i="1"/>
  <c r="I4214" i="1"/>
  <c r="S4214" i="1"/>
  <c r="B4215" i="1"/>
  <c r="E4215" i="1"/>
  <c r="I4215" i="1"/>
  <c r="S4215" i="1"/>
  <c r="B4216" i="1"/>
  <c r="E4216" i="1"/>
  <c r="I4216" i="1"/>
  <c r="S4216" i="1"/>
  <c r="B4217" i="1"/>
  <c r="E4217" i="1"/>
  <c r="I4217" i="1"/>
  <c r="S4217" i="1"/>
  <c r="B4218" i="1"/>
  <c r="E4218" i="1"/>
  <c r="I4218" i="1"/>
  <c r="S4218" i="1"/>
  <c r="B4219" i="1"/>
  <c r="E4219" i="1"/>
  <c r="I4219" i="1"/>
  <c r="S4219" i="1"/>
  <c r="B4220" i="1"/>
  <c r="E4220" i="1"/>
  <c r="I4220" i="1"/>
  <c r="S4220" i="1"/>
  <c r="B4221" i="1"/>
  <c r="E4221" i="1"/>
  <c r="I4221" i="1"/>
  <c r="S4221" i="1"/>
  <c r="B4222" i="1"/>
  <c r="E4222" i="1"/>
  <c r="I4222" i="1"/>
  <c r="S4222" i="1"/>
  <c r="B4223" i="1"/>
  <c r="E4223" i="1"/>
  <c r="I4223" i="1"/>
  <c r="S4223" i="1"/>
  <c r="B4224" i="1"/>
  <c r="E4224" i="1"/>
  <c r="I4224" i="1"/>
  <c r="S4224" i="1"/>
  <c r="B4225" i="1"/>
  <c r="E4225" i="1"/>
  <c r="I4225" i="1"/>
  <c r="S4225" i="1"/>
  <c r="B4226" i="1"/>
  <c r="E4226" i="1"/>
  <c r="I4226" i="1"/>
  <c r="S4226" i="1"/>
  <c r="B4227" i="1"/>
  <c r="E4227" i="1"/>
  <c r="I4227" i="1"/>
  <c r="S4227" i="1"/>
  <c r="B4228" i="1"/>
  <c r="E4228" i="1"/>
  <c r="I4228" i="1"/>
  <c r="S4228" i="1"/>
  <c r="B4229" i="1"/>
  <c r="E4229" i="1"/>
  <c r="I4229" i="1"/>
  <c r="S4229" i="1"/>
  <c r="B4230" i="1"/>
  <c r="E4230" i="1"/>
  <c r="I4230" i="1"/>
  <c r="S4230" i="1"/>
  <c r="B4231" i="1"/>
  <c r="E4231" i="1"/>
  <c r="I4231" i="1"/>
  <c r="S4231" i="1"/>
  <c r="B4232" i="1"/>
  <c r="E4232" i="1"/>
  <c r="I4232" i="1"/>
  <c r="S4232" i="1"/>
  <c r="B4233" i="1"/>
  <c r="E4233" i="1"/>
  <c r="I4233" i="1"/>
  <c r="S4233" i="1"/>
  <c r="B4234" i="1"/>
  <c r="E4234" i="1"/>
  <c r="I4234" i="1"/>
  <c r="S4234" i="1"/>
  <c r="B4235" i="1"/>
  <c r="E4235" i="1"/>
  <c r="I4235" i="1"/>
  <c r="S4235" i="1"/>
  <c r="B4236" i="1"/>
  <c r="E4236" i="1"/>
  <c r="I4236" i="1"/>
  <c r="S4236" i="1"/>
  <c r="B4237" i="1"/>
  <c r="E4237" i="1"/>
  <c r="I4237" i="1"/>
  <c r="S4237" i="1"/>
  <c r="B4238" i="1"/>
  <c r="E4238" i="1"/>
  <c r="I4238" i="1"/>
  <c r="S4238" i="1"/>
  <c r="B4239" i="1"/>
  <c r="E4239" i="1"/>
  <c r="I4239" i="1"/>
  <c r="S4239" i="1"/>
  <c r="B4240" i="1"/>
  <c r="E4240" i="1"/>
  <c r="I4240" i="1"/>
  <c r="S4240" i="1"/>
  <c r="B4241" i="1"/>
  <c r="E4241" i="1"/>
  <c r="I4241" i="1"/>
  <c r="B4242" i="1"/>
  <c r="E4242" i="1"/>
  <c r="I4242" i="1"/>
  <c r="S4242" i="1"/>
  <c r="B4243" i="1"/>
  <c r="E4243" i="1"/>
  <c r="I4243" i="1"/>
  <c r="S4243" i="1"/>
  <c r="B4244" i="1"/>
  <c r="E4244" i="1"/>
  <c r="I4244" i="1"/>
  <c r="S4244" i="1"/>
  <c r="B4245" i="1"/>
  <c r="E4245" i="1"/>
  <c r="I4245" i="1"/>
  <c r="S4245" i="1"/>
  <c r="B4246" i="1"/>
  <c r="E4246" i="1"/>
  <c r="I4246" i="1"/>
  <c r="S4246" i="1"/>
  <c r="B4247" i="1"/>
  <c r="E4247" i="1"/>
  <c r="I4247" i="1"/>
  <c r="S4247" i="1"/>
  <c r="B4248" i="1"/>
  <c r="E4248" i="1"/>
  <c r="I4248" i="1"/>
  <c r="S4248" i="1"/>
  <c r="B4249" i="1"/>
  <c r="E4249" i="1"/>
  <c r="I4249" i="1"/>
  <c r="S4249" i="1"/>
  <c r="B4250" i="1"/>
  <c r="E4250" i="1"/>
  <c r="I4250" i="1"/>
  <c r="S4250" i="1"/>
  <c r="B4251" i="1"/>
  <c r="E4251" i="1"/>
  <c r="I4251" i="1"/>
  <c r="S4251" i="1"/>
  <c r="B4252" i="1"/>
  <c r="E4252" i="1"/>
  <c r="I4252" i="1"/>
  <c r="S4252" i="1"/>
  <c r="B4253" i="1"/>
  <c r="E4253" i="1"/>
  <c r="I4253" i="1"/>
  <c r="S4253" i="1"/>
  <c r="B4254" i="1"/>
  <c r="E4254" i="1"/>
  <c r="I4254" i="1"/>
  <c r="S4254" i="1"/>
  <c r="B4255" i="1"/>
  <c r="E4255" i="1"/>
  <c r="I4255" i="1"/>
  <c r="S4255" i="1"/>
  <c r="B4256" i="1"/>
  <c r="E4256" i="1"/>
  <c r="I4256" i="1"/>
  <c r="S4256" i="1"/>
  <c r="B4257" i="1"/>
  <c r="E4257" i="1"/>
  <c r="I4257" i="1"/>
  <c r="S4257" i="1"/>
  <c r="B4258" i="1"/>
  <c r="E4258" i="1"/>
  <c r="I4258" i="1"/>
  <c r="S4258" i="1"/>
  <c r="B4259" i="1"/>
  <c r="E4259" i="1"/>
  <c r="I4259" i="1"/>
  <c r="S4259" i="1"/>
  <c r="B4260" i="1"/>
  <c r="E4260" i="1"/>
  <c r="I4260" i="1"/>
  <c r="S4260" i="1"/>
  <c r="B4261" i="1"/>
  <c r="E4261" i="1"/>
  <c r="I4261" i="1"/>
  <c r="S4261" i="1"/>
  <c r="B4262" i="1"/>
  <c r="E4262" i="1"/>
  <c r="I4262" i="1"/>
  <c r="S4262" i="1"/>
  <c r="B4263" i="1"/>
  <c r="E4263" i="1"/>
  <c r="I4263" i="1"/>
  <c r="S4263" i="1"/>
  <c r="B4264" i="1"/>
  <c r="E4264" i="1"/>
  <c r="I4264" i="1"/>
  <c r="S4264" i="1"/>
  <c r="B4265" i="1"/>
  <c r="E4265" i="1"/>
  <c r="I4265" i="1"/>
  <c r="S4265" i="1"/>
  <c r="B4266" i="1"/>
  <c r="E4266" i="1"/>
  <c r="I4266" i="1"/>
  <c r="S4266" i="1"/>
  <c r="B4267" i="1"/>
  <c r="E4267" i="1"/>
  <c r="I4267" i="1"/>
  <c r="S4267" i="1"/>
  <c r="B4268" i="1"/>
  <c r="E4268" i="1"/>
  <c r="I4268" i="1"/>
  <c r="S4268" i="1"/>
  <c r="B4269" i="1"/>
  <c r="E4269" i="1"/>
  <c r="I4269" i="1"/>
  <c r="S4269" i="1"/>
  <c r="B4270" i="1"/>
  <c r="E4270" i="1"/>
  <c r="I4270" i="1"/>
  <c r="S4270" i="1"/>
  <c r="B4271" i="1"/>
  <c r="E4271" i="1"/>
  <c r="I4271" i="1"/>
  <c r="S4271" i="1"/>
  <c r="B4272" i="1"/>
  <c r="E4272" i="1"/>
  <c r="I4272" i="1"/>
  <c r="S4272" i="1"/>
  <c r="B4273" i="1"/>
  <c r="E4273" i="1"/>
  <c r="I4273" i="1"/>
  <c r="S4273" i="1"/>
  <c r="B4274" i="1"/>
  <c r="E4274" i="1"/>
  <c r="I4274" i="1"/>
  <c r="S4274" i="1"/>
  <c r="B4275" i="1"/>
  <c r="E4275" i="1"/>
  <c r="I4275" i="1"/>
  <c r="S4275" i="1"/>
  <c r="B4276" i="1"/>
  <c r="E4276" i="1"/>
  <c r="I4276" i="1"/>
  <c r="S4276" i="1"/>
  <c r="B4277" i="1"/>
  <c r="E4277" i="1"/>
  <c r="I4277" i="1"/>
  <c r="S4277" i="1"/>
  <c r="B4278" i="1"/>
  <c r="E4278" i="1"/>
  <c r="I4278" i="1"/>
  <c r="S4278" i="1"/>
  <c r="B4279" i="1"/>
  <c r="E4279" i="1"/>
  <c r="I4279" i="1"/>
  <c r="S4279" i="1"/>
  <c r="B4280" i="1"/>
  <c r="E4280" i="1"/>
  <c r="I4280" i="1"/>
  <c r="S4280" i="1"/>
  <c r="B4281" i="1"/>
  <c r="E4281" i="1"/>
  <c r="I4281" i="1"/>
  <c r="S4281" i="1"/>
  <c r="B4282" i="1"/>
  <c r="E4282" i="1"/>
  <c r="I4282" i="1"/>
  <c r="S4282" i="1"/>
  <c r="B4283" i="1"/>
  <c r="E4283" i="1"/>
  <c r="I4283" i="1"/>
  <c r="S4283" i="1"/>
  <c r="B4284" i="1"/>
  <c r="E4284" i="1"/>
  <c r="I4284" i="1"/>
  <c r="S4284" i="1"/>
  <c r="B4285" i="1"/>
  <c r="E4285" i="1"/>
  <c r="I4285" i="1"/>
  <c r="S4285" i="1"/>
  <c r="B4286" i="1"/>
  <c r="E4286" i="1"/>
  <c r="I4286" i="1"/>
  <c r="S4286" i="1"/>
  <c r="B4287" i="1"/>
  <c r="E4287" i="1"/>
  <c r="I4287" i="1"/>
  <c r="S4287" i="1"/>
  <c r="B4288" i="1"/>
  <c r="E4288" i="1"/>
  <c r="I4288" i="1"/>
  <c r="S4288" i="1"/>
  <c r="B4289" i="1"/>
  <c r="E4289" i="1"/>
  <c r="I4289" i="1"/>
  <c r="S4289" i="1"/>
  <c r="B4290" i="1"/>
  <c r="E4290" i="1"/>
  <c r="I4290" i="1"/>
  <c r="S4290" i="1"/>
  <c r="B4291" i="1"/>
  <c r="E4291" i="1"/>
  <c r="I4291" i="1"/>
  <c r="S4291" i="1"/>
  <c r="B4292" i="1"/>
  <c r="E4292" i="1"/>
  <c r="I4292" i="1"/>
  <c r="S4292" i="1"/>
  <c r="B4293" i="1"/>
  <c r="E4293" i="1"/>
  <c r="I4293" i="1"/>
  <c r="S4293" i="1"/>
  <c r="B4294" i="1"/>
  <c r="E4294" i="1"/>
  <c r="I4294" i="1"/>
  <c r="S4294" i="1"/>
  <c r="B4295" i="1"/>
  <c r="E4295" i="1"/>
  <c r="I4295" i="1"/>
  <c r="S4295" i="1"/>
  <c r="B4296" i="1"/>
  <c r="E4296" i="1"/>
  <c r="I4296" i="1"/>
  <c r="S4296" i="1"/>
  <c r="B4297" i="1"/>
  <c r="E4297" i="1"/>
  <c r="I4297" i="1"/>
  <c r="S4297" i="1"/>
  <c r="B4298" i="1"/>
  <c r="E4298" i="1"/>
  <c r="I4298" i="1"/>
  <c r="S4298" i="1"/>
  <c r="B4299" i="1"/>
  <c r="E4299" i="1"/>
  <c r="I4299" i="1"/>
  <c r="S4299" i="1"/>
  <c r="B4300" i="1"/>
  <c r="E4300" i="1"/>
  <c r="I4300" i="1"/>
  <c r="S4300" i="1"/>
  <c r="B4301" i="1"/>
  <c r="E4301" i="1"/>
  <c r="I4301" i="1"/>
  <c r="S4301" i="1"/>
  <c r="B4302" i="1"/>
  <c r="E4302" i="1"/>
  <c r="I4302" i="1"/>
  <c r="S4302" i="1"/>
  <c r="B4303" i="1"/>
  <c r="E4303" i="1"/>
  <c r="I4303" i="1"/>
  <c r="S4303" i="1"/>
  <c r="B4304" i="1"/>
  <c r="E4304" i="1"/>
  <c r="I4304" i="1"/>
  <c r="S4304" i="1"/>
  <c r="B4305" i="1"/>
  <c r="E4305" i="1"/>
  <c r="I4305" i="1"/>
  <c r="S4305" i="1"/>
  <c r="B4306" i="1"/>
  <c r="E4306" i="1"/>
  <c r="I4306" i="1"/>
  <c r="S4306" i="1"/>
  <c r="B4307" i="1"/>
  <c r="E4307" i="1"/>
  <c r="I4307" i="1"/>
  <c r="S4307" i="1"/>
  <c r="B4308" i="1"/>
  <c r="E4308" i="1"/>
  <c r="I4308" i="1"/>
  <c r="S4308" i="1"/>
  <c r="B4309" i="1"/>
  <c r="E4309" i="1"/>
  <c r="I4309" i="1"/>
  <c r="S4309" i="1"/>
  <c r="B4310" i="1"/>
  <c r="E4310" i="1"/>
  <c r="I4310" i="1"/>
  <c r="S4310" i="1"/>
  <c r="B4311" i="1"/>
  <c r="E4311" i="1"/>
  <c r="I4311" i="1"/>
  <c r="S4311" i="1"/>
  <c r="B4312" i="1"/>
  <c r="E4312" i="1"/>
  <c r="I4312" i="1"/>
  <c r="S4312" i="1"/>
  <c r="B4313" i="1"/>
  <c r="E4313" i="1"/>
  <c r="I4313" i="1"/>
  <c r="S4313" i="1"/>
  <c r="B4314" i="1"/>
  <c r="E4314" i="1"/>
  <c r="I4314" i="1"/>
  <c r="S4314" i="1"/>
  <c r="B4315" i="1"/>
  <c r="E4315" i="1"/>
  <c r="I4315" i="1"/>
  <c r="S4315" i="1"/>
  <c r="B4316" i="1"/>
  <c r="E4316" i="1"/>
  <c r="I4316" i="1"/>
  <c r="S4316" i="1"/>
  <c r="B4317" i="1"/>
  <c r="E4317" i="1"/>
  <c r="I4317" i="1"/>
  <c r="S4317" i="1"/>
  <c r="B4318" i="1"/>
  <c r="E4318" i="1"/>
  <c r="I4318" i="1"/>
  <c r="S4318" i="1"/>
  <c r="B4319" i="1"/>
  <c r="E4319" i="1"/>
  <c r="I4319" i="1"/>
  <c r="S4319" i="1"/>
  <c r="B4320" i="1"/>
  <c r="E4320" i="1"/>
  <c r="I4320" i="1"/>
  <c r="S4320" i="1"/>
  <c r="B4321" i="1"/>
  <c r="E4321" i="1"/>
  <c r="I4321" i="1"/>
  <c r="S4321" i="1"/>
  <c r="B4322" i="1"/>
  <c r="E4322" i="1"/>
  <c r="I4322" i="1"/>
  <c r="S4322" i="1"/>
  <c r="B4323" i="1"/>
  <c r="E4323" i="1"/>
  <c r="I4323" i="1"/>
  <c r="S4323" i="1"/>
  <c r="B4324" i="1"/>
  <c r="E4324" i="1"/>
  <c r="I4324" i="1"/>
  <c r="S4324" i="1"/>
  <c r="B4325" i="1"/>
  <c r="E4325" i="1"/>
  <c r="I4325" i="1"/>
  <c r="S4325" i="1"/>
  <c r="B4326" i="1"/>
  <c r="E4326" i="1"/>
  <c r="I4326" i="1"/>
  <c r="B4327" i="1"/>
  <c r="E4327" i="1"/>
  <c r="I4327" i="1"/>
  <c r="S4327" i="1"/>
  <c r="B4328" i="1"/>
  <c r="E4328" i="1"/>
  <c r="I4328" i="1"/>
  <c r="B4329" i="1"/>
  <c r="E4329" i="1"/>
  <c r="I4329" i="1"/>
  <c r="S4329" i="1"/>
  <c r="B4330" i="1"/>
  <c r="E4330" i="1"/>
  <c r="I4330" i="1"/>
  <c r="S4330" i="1"/>
  <c r="B4331" i="1"/>
  <c r="E4331" i="1"/>
  <c r="I4331" i="1"/>
  <c r="S4331" i="1"/>
  <c r="B4332" i="1"/>
  <c r="E4332" i="1"/>
  <c r="I4332" i="1"/>
  <c r="S4332" i="1"/>
  <c r="B4333" i="1"/>
  <c r="E4333" i="1"/>
  <c r="I4333" i="1"/>
  <c r="S4333" i="1"/>
  <c r="B4334" i="1"/>
  <c r="E4334" i="1"/>
  <c r="I4334" i="1"/>
  <c r="S4334" i="1"/>
  <c r="B4335" i="1"/>
  <c r="E4335" i="1"/>
  <c r="I4335" i="1"/>
  <c r="S4335" i="1"/>
  <c r="B4336" i="1"/>
  <c r="E4336" i="1"/>
  <c r="I4336" i="1"/>
  <c r="S4336" i="1"/>
  <c r="B4337" i="1"/>
  <c r="E4337" i="1"/>
  <c r="I4337" i="1"/>
  <c r="S4337" i="1"/>
  <c r="B4338" i="1"/>
  <c r="E4338" i="1"/>
  <c r="I4338" i="1"/>
  <c r="S4338" i="1"/>
  <c r="B4339" i="1"/>
  <c r="E4339" i="1"/>
  <c r="I4339" i="1"/>
  <c r="S4339" i="1"/>
  <c r="B4340" i="1"/>
  <c r="E4340" i="1"/>
  <c r="I4340" i="1"/>
  <c r="S4340" i="1"/>
  <c r="B4341" i="1"/>
  <c r="E4341" i="1"/>
  <c r="I4341" i="1"/>
  <c r="S4341" i="1"/>
  <c r="B4342" i="1"/>
  <c r="E4342" i="1"/>
  <c r="I4342" i="1"/>
  <c r="S4342" i="1"/>
  <c r="B4343" i="1"/>
  <c r="E4343" i="1"/>
  <c r="I4343" i="1"/>
  <c r="S4343" i="1"/>
  <c r="B4344" i="1"/>
  <c r="E4344" i="1"/>
  <c r="I4344" i="1"/>
  <c r="S4344" i="1"/>
  <c r="B4345" i="1"/>
  <c r="E4345" i="1"/>
  <c r="I4345" i="1"/>
  <c r="S4345" i="1"/>
  <c r="B4346" i="1"/>
  <c r="E4346" i="1"/>
  <c r="I4346" i="1"/>
  <c r="S4346" i="1"/>
  <c r="B4347" i="1"/>
  <c r="E4347" i="1"/>
  <c r="I4347" i="1"/>
  <c r="S4347" i="1"/>
  <c r="B4348" i="1"/>
  <c r="E4348" i="1"/>
  <c r="I4348" i="1"/>
  <c r="S4348" i="1"/>
  <c r="B4349" i="1"/>
  <c r="E4349" i="1"/>
  <c r="I4349" i="1"/>
  <c r="S4349" i="1"/>
  <c r="B4350" i="1"/>
  <c r="E4350" i="1"/>
  <c r="I4350" i="1"/>
  <c r="S4350" i="1"/>
  <c r="B4351" i="1"/>
  <c r="E4351" i="1"/>
  <c r="I4351" i="1"/>
  <c r="S4351" i="1"/>
  <c r="B4352" i="1"/>
  <c r="E4352" i="1"/>
  <c r="I4352" i="1"/>
  <c r="S4352" i="1"/>
  <c r="B4353" i="1"/>
  <c r="E4353" i="1"/>
  <c r="I4353" i="1"/>
  <c r="S4353" i="1"/>
  <c r="B4354" i="1"/>
  <c r="E4354" i="1"/>
  <c r="I4354" i="1"/>
  <c r="S4354" i="1"/>
  <c r="B4355" i="1"/>
  <c r="E4355" i="1"/>
  <c r="I4355" i="1"/>
  <c r="S4355" i="1"/>
  <c r="B4356" i="1"/>
  <c r="E4356" i="1"/>
  <c r="I4356" i="1"/>
  <c r="S4356" i="1"/>
  <c r="B4357" i="1"/>
  <c r="E4357" i="1"/>
  <c r="I4357" i="1"/>
  <c r="S4357" i="1"/>
  <c r="B4358" i="1"/>
  <c r="E4358" i="1"/>
  <c r="I4358" i="1"/>
  <c r="S4358" i="1"/>
  <c r="B4359" i="1"/>
  <c r="E4359" i="1"/>
  <c r="I4359" i="1"/>
  <c r="S4359" i="1"/>
  <c r="B4360" i="1"/>
  <c r="E4360" i="1"/>
  <c r="I4360" i="1"/>
  <c r="S4360" i="1"/>
  <c r="B4361" i="1"/>
  <c r="E4361" i="1"/>
  <c r="I4361" i="1"/>
  <c r="S4361" i="1"/>
  <c r="B4362" i="1"/>
  <c r="E4362" i="1"/>
  <c r="I4362" i="1"/>
  <c r="S4362" i="1"/>
  <c r="B4363" i="1"/>
  <c r="E4363" i="1"/>
  <c r="I4363" i="1"/>
  <c r="S4363" i="1"/>
  <c r="B4364" i="1"/>
  <c r="E4364" i="1"/>
  <c r="I4364" i="1"/>
  <c r="S4364" i="1"/>
  <c r="B4365" i="1"/>
  <c r="E4365" i="1"/>
  <c r="I4365" i="1"/>
  <c r="S4365" i="1"/>
  <c r="B4366" i="1"/>
  <c r="E4366" i="1"/>
  <c r="I4366" i="1"/>
  <c r="S4366" i="1"/>
  <c r="B4367" i="1"/>
  <c r="E4367" i="1"/>
  <c r="I4367" i="1"/>
  <c r="S4367" i="1"/>
  <c r="B4368" i="1"/>
  <c r="E4368" i="1"/>
  <c r="I4368" i="1"/>
  <c r="S4368" i="1"/>
  <c r="B4369" i="1"/>
  <c r="E4369" i="1"/>
  <c r="I4369" i="1"/>
  <c r="S4369" i="1"/>
  <c r="B4370" i="1"/>
  <c r="E4370" i="1"/>
  <c r="I4370" i="1"/>
  <c r="S4370" i="1"/>
  <c r="B4371" i="1"/>
  <c r="E4371" i="1"/>
  <c r="I4371" i="1"/>
  <c r="S4371" i="1"/>
  <c r="B4372" i="1"/>
  <c r="E4372" i="1"/>
  <c r="I4372" i="1"/>
  <c r="S4372" i="1"/>
  <c r="B4373" i="1"/>
  <c r="E4373" i="1"/>
  <c r="I4373" i="1"/>
  <c r="S4373" i="1"/>
  <c r="B4374" i="1"/>
  <c r="E4374" i="1"/>
  <c r="I4374" i="1"/>
  <c r="S4374" i="1"/>
  <c r="B4375" i="1"/>
  <c r="E4375" i="1"/>
  <c r="I4375" i="1"/>
  <c r="S4375" i="1"/>
  <c r="B4376" i="1"/>
  <c r="E4376" i="1"/>
  <c r="I4376" i="1"/>
  <c r="S4376" i="1"/>
  <c r="B4377" i="1"/>
  <c r="E4377" i="1"/>
  <c r="I4377" i="1"/>
  <c r="S4377" i="1"/>
  <c r="B4378" i="1"/>
  <c r="E4378" i="1"/>
  <c r="I4378" i="1"/>
  <c r="S4378" i="1"/>
  <c r="B4379" i="1"/>
  <c r="E4379" i="1"/>
  <c r="I4379" i="1"/>
  <c r="S4379" i="1"/>
  <c r="B4380" i="1"/>
  <c r="E4380" i="1"/>
  <c r="I4380" i="1"/>
  <c r="S4380" i="1"/>
  <c r="B4381" i="1"/>
  <c r="E4381" i="1"/>
  <c r="I4381" i="1"/>
  <c r="S4381" i="1"/>
  <c r="B4382" i="1"/>
  <c r="E4382" i="1"/>
  <c r="I4382" i="1"/>
  <c r="S4382" i="1"/>
  <c r="B4383" i="1"/>
  <c r="E4383" i="1"/>
  <c r="I4383" i="1"/>
  <c r="S4383" i="1"/>
  <c r="B4384" i="1"/>
  <c r="E4384" i="1"/>
  <c r="I4384" i="1"/>
  <c r="S4384" i="1"/>
  <c r="B4385" i="1"/>
  <c r="E4385" i="1"/>
  <c r="I4385" i="1"/>
  <c r="S4385" i="1"/>
  <c r="B4386" i="1"/>
  <c r="E4386" i="1"/>
  <c r="I4386" i="1"/>
  <c r="S4386" i="1"/>
  <c r="B4387" i="1"/>
  <c r="E4387" i="1"/>
  <c r="I4387" i="1"/>
  <c r="S4387" i="1"/>
  <c r="B4388" i="1"/>
  <c r="E4388" i="1"/>
  <c r="I4388" i="1"/>
  <c r="S4388" i="1"/>
  <c r="B4389" i="1"/>
  <c r="E4389" i="1"/>
  <c r="I4389" i="1"/>
  <c r="S4389" i="1"/>
  <c r="B4390" i="1"/>
  <c r="E4390" i="1"/>
  <c r="I4390" i="1"/>
  <c r="S4390" i="1"/>
  <c r="B4391" i="1"/>
  <c r="E4391" i="1"/>
  <c r="I4391" i="1"/>
  <c r="S4391" i="1"/>
  <c r="B4392" i="1"/>
  <c r="E4392" i="1"/>
  <c r="I4392" i="1"/>
  <c r="S4392" i="1"/>
  <c r="B4393" i="1"/>
  <c r="E4393" i="1"/>
  <c r="I4393" i="1"/>
  <c r="S4393" i="1"/>
  <c r="B4394" i="1"/>
  <c r="E4394" i="1"/>
  <c r="I4394" i="1"/>
  <c r="S4394" i="1"/>
  <c r="B4395" i="1"/>
  <c r="E4395" i="1"/>
  <c r="I4395" i="1"/>
  <c r="S4395" i="1"/>
  <c r="B4396" i="1"/>
  <c r="E4396" i="1"/>
  <c r="I4396" i="1"/>
  <c r="S4396" i="1"/>
  <c r="B4397" i="1"/>
  <c r="E4397" i="1"/>
  <c r="I4397" i="1"/>
  <c r="S4397" i="1"/>
  <c r="B4398" i="1"/>
  <c r="E4398" i="1"/>
  <c r="I4398" i="1"/>
  <c r="B4399" i="1"/>
  <c r="E4399" i="1"/>
  <c r="I4399" i="1"/>
  <c r="S4399" i="1"/>
  <c r="B4400" i="1"/>
  <c r="E4400" i="1"/>
  <c r="I4400" i="1"/>
  <c r="S4400" i="1"/>
  <c r="B4401" i="1"/>
  <c r="E4401" i="1"/>
  <c r="I4401" i="1"/>
  <c r="S4401" i="1"/>
  <c r="B4402" i="1"/>
  <c r="E4402" i="1"/>
  <c r="I4402" i="1"/>
  <c r="S4402" i="1"/>
  <c r="B4403" i="1"/>
  <c r="E4403" i="1"/>
  <c r="I4403" i="1"/>
  <c r="S4403" i="1"/>
  <c r="B4404" i="1"/>
  <c r="E4404" i="1"/>
  <c r="I4404" i="1"/>
  <c r="S4404" i="1"/>
  <c r="B4405" i="1"/>
  <c r="E4405" i="1"/>
  <c r="I4405" i="1"/>
  <c r="S4405" i="1"/>
  <c r="B4406" i="1"/>
  <c r="E4406" i="1"/>
  <c r="I4406" i="1"/>
  <c r="S4406" i="1"/>
  <c r="B4407" i="1"/>
  <c r="E4407" i="1"/>
  <c r="I4407" i="1"/>
  <c r="S4407" i="1"/>
  <c r="B4408" i="1"/>
  <c r="E4408" i="1"/>
  <c r="I4408" i="1"/>
  <c r="S4408" i="1"/>
  <c r="B4409" i="1"/>
  <c r="E4409" i="1"/>
  <c r="I4409" i="1"/>
  <c r="S4409" i="1"/>
  <c r="B4410" i="1"/>
  <c r="E4410" i="1"/>
  <c r="I4410" i="1"/>
  <c r="S4410" i="1"/>
  <c r="B4411" i="1"/>
  <c r="E4411" i="1"/>
  <c r="I4411" i="1"/>
  <c r="S4411" i="1"/>
  <c r="B4412" i="1"/>
  <c r="E4412" i="1"/>
  <c r="I4412" i="1"/>
  <c r="S4412" i="1"/>
  <c r="B4413" i="1"/>
  <c r="E4413" i="1"/>
  <c r="I4413" i="1"/>
  <c r="S4413" i="1"/>
  <c r="B4414" i="1"/>
  <c r="E4414" i="1"/>
  <c r="I4414" i="1"/>
  <c r="S4414" i="1"/>
  <c r="B4415" i="1"/>
  <c r="E4415" i="1"/>
  <c r="I4415" i="1"/>
  <c r="S4415" i="1"/>
  <c r="B4416" i="1"/>
  <c r="E4416" i="1"/>
  <c r="I4416" i="1"/>
  <c r="S4416" i="1"/>
  <c r="B4417" i="1"/>
  <c r="E4417" i="1"/>
  <c r="I4417" i="1"/>
  <c r="S4417" i="1"/>
  <c r="B4418" i="1"/>
  <c r="E4418" i="1"/>
  <c r="I4418" i="1"/>
  <c r="S4418" i="1"/>
  <c r="B4419" i="1"/>
  <c r="E4419" i="1"/>
  <c r="I4419" i="1"/>
  <c r="S4419" i="1"/>
  <c r="B4420" i="1"/>
  <c r="E4420" i="1"/>
  <c r="I4420" i="1"/>
  <c r="S4420" i="1"/>
  <c r="B4421" i="1"/>
  <c r="E4421" i="1"/>
  <c r="I4421" i="1"/>
  <c r="S4421" i="1"/>
  <c r="B4422" i="1"/>
  <c r="E4422" i="1"/>
  <c r="I4422" i="1"/>
  <c r="B4423" i="1"/>
  <c r="E4423" i="1"/>
  <c r="I4423" i="1"/>
  <c r="S4423" i="1"/>
  <c r="B4424" i="1"/>
  <c r="E4424" i="1"/>
  <c r="I4424" i="1"/>
  <c r="S4424" i="1"/>
  <c r="B4425" i="1"/>
  <c r="E4425" i="1"/>
  <c r="I4425" i="1"/>
  <c r="S4425" i="1"/>
  <c r="B4426" i="1"/>
  <c r="E4426" i="1"/>
  <c r="I4426" i="1"/>
  <c r="S4426" i="1"/>
  <c r="B4427" i="1"/>
  <c r="E4427" i="1"/>
  <c r="I4427" i="1"/>
  <c r="S4427" i="1"/>
  <c r="B4428" i="1"/>
  <c r="E4428" i="1"/>
  <c r="I4428" i="1"/>
  <c r="S4428" i="1"/>
  <c r="B4429" i="1"/>
  <c r="E4429" i="1"/>
  <c r="I4429" i="1"/>
  <c r="S4429" i="1"/>
  <c r="B4430" i="1"/>
  <c r="E4430" i="1"/>
  <c r="I4430" i="1"/>
  <c r="S4430" i="1"/>
  <c r="B4431" i="1"/>
  <c r="E4431" i="1"/>
  <c r="I4431" i="1"/>
  <c r="S4431" i="1"/>
  <c r="B4432" i="1"/>
  <c r="E4432" i="1"/>
  <c r="I4432" i="1"/>
  <c r="S4432" i="1"/>
  <c r="B4433" i="1"/>
  <c r="E4433" i="1"/>
  <c r="I4433" i="1"/>
  <c r="S4433" i="1"/>
  <c r="B4434" i="1"/>
  <c r="E4434" i="1"/>
  <c r="I4434" i="1"/>
  <c r="S4434" i="1"/>
  <c r="B4435" i="1"/>
  <c r="E4435" i="1"/>
  <c r="I4435" i="1"/>
  <c r="S4435" i="1"/>
  <c r="B4436" i="1"/>
  <c r="E4436" i="1"/>
  <c r="I4436" i="1"/>
  <c r="S4436" i="1"/>
  <c r="B4437" i="1"/>
  <c r="E4437" i="1"/>
  <c r="I4437" i="1"/>
  <c r="S4437" i="1"/>
  <c r="B4438" i="1"/>
  <c r="E4438" i="1"/>
  <c r="I4438" i="1"/>
  <c r="S4438" i="1"/>
  <c r="B4439" i="1"/>
  <c r="E4439" i="1"/>
  <c r="I4439" i="1"/>
  <c r="S4439" i="1"/>
  <c r="B4440" i="1"/>
  <c r="E4440" i="1"/>
  <c r="I4440" i="1"/>
  <c r="B4441" i="1"/>
  <c r="E4441" i="1"/>
  <c r="I4441" i="1"/>
  <c r="S4441" i="1"/>
  <c r="B4442" i="1"/>
  <c r="E4442" i="1"/>
  <c r="I4442" i="1"/>
  <c r="S4442" i="1"/>
  <c r="B4443" i="1"/>
  <c r="E4443" i="1"/>
  <c r="I4443" i="1"/>
  <c r="S4443" i="1"/>
  <c r="B4444" i="1"/>
  <c r="E4444" i="1"/>
  <c r="I4444" i="1"/>
  <c r="S4444" i="1"/>
  <c r="B4445" i="1"/>
  <c r="E4445" i="1"/>
  <c r="I4445" i="1"/>
  <c r="S4445" i="1"/>
  <c r="B4446" i="1"/>
  <c r="E4446" i="1"/>
  <c r="I4446" i="1"/>
  <c r="S4446" i="1"/>
  <c r="B4447" i="1"/>
  <c r="E4447" i="1"/>
  <c r="I4447" i="1"/>
  <c r="S4447" i="1"/>
  <c r="B4448" i="1"/>
  <c r="E4448" i="1"/>
  <c r="I4448" i="1"/>
  <c r="S4448" i="1"/>
  <c r="B4449" i="1"/>
  <c r="E4449" i="1"/>
  <c r="I4449" i="1"/>
  <c r="S4449" i="1"/>
  <c r="B4450" i="1"/>
  <c r="E4450" i="1"/>
  <c r="I4450" i="1"/>
  <c r="S4450" i="1"/>
  <c r="B4451" i="1"/>
  <c r="E4451" i="1"/>
  <c r="I4451" i="1"/>
  <c r="S4451" i="1"/>
  <c r="B4452" i="1"/>
  <c r="E4452" i="1"/>
  <c r="I4452" i="1"/>
  <c r="S4452" i="1"/>
  <c r="B4453" i="1"/>
  <c r="E4453" i="1"/>
  <c r="I4453" i="1"/>
  <c r="S4453" i="1"/>
  <c r="B4454" i="1"/>
  <c r="E4454" i="1"/>
  <c r="I4454" i="1"/>
  <c r="S4454" i="1"/>
  <c r="B4455" i="1"/>
  <c r="E4455" i="1"/>
  <c r="I4455" i="1"/>
  <c r="S4455" i="1"/>
  <c r="B4456" i="1"/>
  <c r="E4456" i="1"/>
  <c r="I4456" i="1"/>
  <c r="S4456" i="1"/>
  <c r="B4457" i="1"/>
  <c r="E4457" i="1"/>
  <c r="I4457" i="1"/>
  <c r="S4457" i="1"/>
  <c r="B4458" i="1"/>
  <c r="E4458" i="1"/>
  <c r="I4458" i="1"/>
  <c r="S4458" i="1"/>
  <c r="B4459" i="1"/>
  <c r="E4459" i="1"/>
  <c r="I4459" i="1"/>
  <c r="S4459" i="1"/>
  <c r="B4460" i="1"/>
  <c r="E4460" i="1"/>
  <c r="I4460" i="1"/>
  <c r="S4460" i="1"/>
  <c r="B4461" i="1"/>
  <c r="E4461" i="1"/>
  <c r="I4461" i="1"/>
  <c r="S4461" i="1"/>
  <c r="B4462" i="1"/>
  <c r="E4462" i="1"/>
  <c r="I4462" i="1"/>
  <c r="S4462" i="1"/>
  <c r="B4463" i="1"/>
  <c r="E4463" i="1"/>
  <c r="I4463" i="1"/>
  <c r="S4463" i="1"/>
  <c r="B4464" i="1"/>
  <c r="E4464" i="1"/>
  <c r="I4464" i="1"/>
  <c r="S4464" i="1"/>
  <c r="B4465" i="1"/>
  <c r="E4465" i="1"/>
  <c r="I4465" i="1"/>
  <c r="S4465" i="1"/>
  <c r="B4466" i="1"/>
  <c r="E4466" i="1"/>
  <c r="I4466" i="1"/>
  <c r="S4466" i="1"/>
  <c r="B4467" i="1"/>
  <c r="E4467" i="1"/>
  <c r="I4467" i="1"/>
  <c r="S4467" i="1"/>
  <c r="B4468" i="1"/>
  <c r="E4468" i="1"/>
  <c r="I4468" i="1"/>
  <c r="S4468" i="1"/>
  <c r="B4469" i="1"/>
  <c r="E4469" i="1"/>
  <c r="I4469" i="1"/>
  <c r="S4469" i="1"/>
  <c r="B4470" i="1"/>
  <c r="E4470" i="1"/>
  <c r="I4470" i="1"/>
  <c r="S4470" i="1"/>
  <c r="B4471" i="1"/>
  <c r="E4471" i="1"/>
  <c r="I4471" i="1"/>
  <c r="S4471" i="1"/>
  <c r="B4472" i="1"/>
  <c r="E4472" i="1"/>
  <c r="I4472" i="1"/>
  <c r="S4472" i="1"/>
  <c r="B4473" i="1"/>
  <c r="E4473" i="1"/>
  <c r="I4473" i="1"/>
  <c r="S4473" i="1"/>
  <c r="B4474" i="1"/>
  <c r="E4474" i="1"/>
  <c r="I4474" i="1"/>
  <c r="S4474" i="1"/>
  <c r="B4475" i="1"/>
  <c r="E4475" i="1"/>
  <c r="I4475" i="1"/>
  <c r="S4475" i="1"/>
  <c r="B4476" i="1"/>
  <c r="E4476" i="1"/>
  <c r="I4476" i="1"/>
  <c r="S4476" i="1"/>
  <c r="B4477" i="1"/>
  <c r="E4477" i="1"/>
  <c r="I4477" i="1"/>
  <c r="S4477" i="1"/>
  <c r="B4478" i="1"/>
  <c r="E4478" i="1"/>
  <c r="I4478" i="1"/>
  <c r="S4478" i="1"/>
  <c r="B4479" i="1"/>
  <c r="E4479" i="1"/>
  <c r="I4479" i="1"/>
  <c r="S4479" i="1"/>
  <c r="B4480" i="1"/>
  <c r="E4480" i="1"/>
  <c r="I4480" i="1"/>
  <c r="S4480" i="1"/>
  <c r="B4481" i="1"/>
  <c r="E4481" i="1"/>
  <c r="I4481" i="1"/>
  <c r="S4481" i="1"/>
  <c r="B4482" i="1"/>
  <c r="E4482" i="1"/>
  <c r="I4482" i="1"/>
  <c r="S4482" i="1"/>
  <c r="B4483" i="1"/>
  <c r="E4483" i="1"/>
  <c r="I4483" i="1"/>
  <c r="S4483" i="1"/>
  <c r="B4484" i="1"/>
  <c r="E4484" i="1"/>
  <c r="I4484" i="1"/>
  <c r="S4484" i="1"/>
  <c r="B4485" i="1"/>
  <c r="E4485" i="1"/>
  <c r="I4485" i="1"/>
  <c r="S4485" i="1"/>
  <c r="B4486" i="1"/>
  <c r="E4486" i="1"/>
  <c r="I4486" i="1"/>
  <c r="S4486" i="1"/>
  <c r="B4487" i="1"/>
  <c r="E4487" i="1"/>
  <c r="I4487" i="1"/>
  <c r="S4487" i="1"/>
  <c r="B4488" i="1"/>
  <c r="E4488" i="1"/>
  <c r="I4488" i="1"/>
  <c r="S4488" i="1"/>
  <c r="B4489" i="1"/>
  <c r="E4489" i="1"/>
  <c r="I4489" i="1"/>
  <c r="S4489" i="1"/>
  <c r="B4490" i="1"/>
  <c r="E4490" i="1"/>
  <c r="I4490" i="1"/>
  <c r="S4490" i="1"/>
  <c r="B4491" i="1"/>
  <c r="E4491" i="1"/>
  <c r="I4491" i="1"/>
  <c r="S4491" i="1"/>
  <c r="B4492" i="1"/>
  <c r="E4492" i="1"/>
  <c r="I4492" i="1"/>
  <c r="S4492" i="1"/>
  <c r="B4493" i="1"/>
  <c r="E4493" i="1"/>
  <c r="I4493" i="1"/>
  <c r="S4493" i="1"/>
  <c r="B4494" i="1"/>
  <c r="E4494" i="1"/>
  <c r="I4494" i="1"/>
  <c r="S4494" i="1"/>
  <c r="B4495" i="1"/>
  <c r="E4495" i="1"/>
  <c r="I4495" i="1"/>
  <c r="S4495" i="1"/>
  <c r="B4496" i="1"/>
  <c r="E4496" i="1"/>
  <c r="I4496" i="1"/>
  <c r="S4496" i="1"/>
  <c r="B4497" i="1"/>
  <c r="E4497" i="1"/>
  <c r="I4497" i="1"/>
  <c r="S4497" i="1"/>
  <c r="B4498" i="1"/>
  <c r="E4498" i="1"/>
  <c r="I4498" i="1"/>
  <c r="S4498" i="1"/>
  <c r="B4499" i="1"/>
  <c r="E4499" i="1"/>
  <c r="I4499" i="1"/>
  <c r="S4499" i="1"/>
  <c r="B4500" i="1"/>
  <c r="E4500" i="1"/>
  <c r="I4500" i="1"/>
  <c r="S4500" i="1"/>
  <c r="B4501" i="1"/>
  <c r="E4501" i="1"/>
  <c r="I4501" i="1"/>
  <c r="S4501" i="1"/>
  <c r="B4502" i="1"/>
  <c r="E4502" i="1"/>
  <c r="I4502" i="1"/>
  <c r="S4502" i="1"/>
  <c r="B4503" i="1"/>
  <c r="E4503" i="1"/>
  <c r="I4503" i="1"/>
  <c r="S4503" i="1"/>
  <c r="B4504" i="1"/>
  <c r="E4504" i="1"/>
  <c r="I4504" i="1"/>
  <c r="S4504" i="1"/>
  <c r="B4505" i="1"/>
  <c r="E4505" i="1"/>
  <c r="I4505" i="1"/>
  <c r="S4505" i="1"/>
  <c r="B4506" i="1"/>
  <c r="E4506" i="1"/>
  <c r="I4506" i="1"/>
  <c r="S4506" i="1"/>
  <c r="B4507" i="1"/>
  <c r="E4507" i="1"/>
  <c r="I4507" i="1"/>
  <c r="B4508" i="1"/>
  <c r="E4508" i="1"/>
  <c r="I4508" i="1"/>
  <c r="B4509" i="1"/>
  <c r="E4509" i="1"/>
  <c r="I4509" i="1"/>
  <c r="S4509" i="1"/>
  <c r="B4510" i="1"/>
  <c r="E4510" i="1"/>
  <c r="I4510" i="1"/>
  <c r="S4510" i="1"/>
  <c r="B4511" i="1"/>
  <c r="E4511" i="1"/>
  <c r="I4511" i="1"/>
  <c r="S4511" i="1"/>
  <c r="B4512" i="1"/>
  <c r="E4512" i="1"/>
  <c r="I4512" i="1"/>
  <c r="S4512" i="1"/>
  <c r="B4513" i="1"/>
  <c r="E4513" i="1"/>
  <c r="I4513" i="1"/>
  <c r="S4513" i="1"/>
  <c r="B4514" i="1"/>
  <c r="E4514" i="1"/>
  <c r="I4514" i="1"/>
  <c r="S4514" i="1"/>
  <c r="B4515" i="1"/>
  <c r="E4515" i="1"/>
  <c r="I4515" i="1"/>
  <c r="S4515" i="1"/>
  <c r="B4516" i="1"/>
  <c r="E4516" i="1"/>
  <c r="I4516" i="1"/>
  <c r="S4516" i="1"/>
  <c r="B4517" i="1"/>
  <c r="E4517" i="1"/>
  <c r="I4517" i="1"/>
  <c r="S4517" i="1"/>
  <c r="B4518" i="1"/>
  <c r="E4518" i="1"/>
  <c r="I4518" i="1"/>
  <c r="S4518" i="1"/>
  <c r="B4519" i="1"/>
  <c r="E4519" i="1"/>
  <c r="I4519" i="1"/>
  <c r="S4519" i="1"/>
  <c r="B4520" i="1"/>
  <c r="E4520" i="1"/>
  <c r="I4520" i="1"/>
  <c r="S4520" i="1"/>
  <c r="B4521" i="1"/>
  <c r="E4521" i="1"/>
  <c r="I4521" i="1"/>
  <c r="S4521" i="1"/>
  <c r="B4522" i="1"/>
  <c r="E4522" i="1"/>
  <c r="I4522" i="1"/>
  <c r="S4522" i="1"/>
  <c r="B4523" i="1"/>
  <c r="E4523" i="1"/>
  <c r="I4523" i="1"/>
  <c r="S4523" i="1"/>
  <c r="B4524" i="1"/>
  <c r="E4524" i="1"/>
  <c r="I4524" i="1"/>
  <c r="S4524" i="1"/>
  <c r="B4525" i="1"/>
  <c r="E4525" i="1"/>
  <c r="I4525" i="1"/>
  <c r="S4525" i="1"/>
  <c r="B4526" i="1"/>
  <c r="E4526" i="1"/>
  <c r="I4526" i="1"/>
  <c r="S4526" i="1"/>
  <c r="B4527" i="1"/>
  <c r="E4527" i="1"/>
  <c r="I4527" i="1"/>
  <c r="S4527" i="1"/>
  <c r="B4528" i="1"/>
  <c r="E4528" i="1"/>
  <c r="I4528" i="1"/>
  <c r="B4529" i="1"/>
  <c r="E4529" i="1"/>
  <c r="I4529" i="1"/>
  <c r="S4529" i="1"/>
  <c r="B4530" i="1"/>
  <c r="E4530" i="1"/>
  <c r="I4530" i="1"/>
  <c r="S4530" i="1"/>
  <c r="B4531" i="1"/>
  <c r="E4531" i="1"/>
  <c r="I4531" i="1"/>
  <c r="S4531" i="1"/>
  <c r="B4532" i="1"/>
  <c r="E4532" i="1"/>
  <c r="I4532" i="1"/>
  <c r="S4532" i="1"/>
  <c r="B4533" i="1"/>
  <c r="E4533" i="1"/>
  <c r="I4533" i="1"/>
  <c r="S4533" i="1"/>
  <c r="B4534" i="1"/>
  <c r="E4534" i="1"/>
  <c r="I4534" i="1"/>
  <c r="S4534" i="1"/>
  <c r="B4535" i="1"/>
  <c r="E4535" i="1"/>
  <c r="I4535" i="1"/>
  <c r="S4535" i="1"/>
  <c r="B4536" i="1"/>
  <c r="E4536" i="1"/>
  <c r="I4536" i="1"/>
  <c r="S4536" i="1"/>
  <c r="B4537" i="1"/>
  <c r="E4537" i="1"/>
  <c r="I4537" i="1"/>
  <c r="S4537" i="1"/>
  <c r="B4538" i="1"/>
  <c r="E4538" i="1"/>
  <c r="I4538" i="1"/>
  <c r="S4538" i="1"/>
  <c r="B4539" i="1"/>
  <c r="E4539" i="1"/>
  <c r="I4539" i="1"/>
  <c r="S4539" i="1"/>
  <c r="B4540" i="1"/>
  <c r="E4540" i="1"/>
  <c r="I4540" i="1"/>
  <c r="S4540" i="1"/>
  <c r="B4541" i="1"/>
  <c r="E4541" i="1"/>
  <c r="I4541" i="1"/>
  <c r="S4541" i="1"/>
  <c r="B4542" i="1"/>
  <c r="E4542" i="1"/>
  <c r="I4542" i="1"/>
  <c r="S4542" i="1"/>
  <c r="B4543" i="1"/>
  <c r="E4543" i="1"/>
  <c r="I4543" i="1"/>
  <c r="S4543" i="1"/>
  <c r="B4544" i="1"/>
  <c r="E4544" i="1"/>
  <c r="I4544" i="1"/>
  <c r="S4544" i="1"/>
  <c r="B4545" i="1"/>
  <c r="E4545" i="1"/>
  <c r="I4545" i="1"/>
  <c r="S4545" i="1"/>
  <c r="B4546" i="1"/>
  <c r="E4546" i="1"/>
  <c r="I4546" i="1"/>
  <c r="S4546" i="1"/>
  <c r="B4547" i="1"/>
  <c r="E4547" i="1"/>
  <c r="I4547" i="1"/>
  <c r="S4547" i="1"/>
  <c r="B4548" i="1"/>
  <c r="E4548" i="1"/>
  <c r="I4548" i="1"/>
  <c r="S4548" i="1"/>
  <c r="B4549" i="1"/>
  <c r="E4549" i="1"/>
  <c r="I4549" i="1"/>
  <c r="S4549" i="1"/>
  <c r="B4550" i="1"/>
  <c r="E4550" i="1"/>
  <c r="I4550" i="1"/>
  <c r="S4550" i="1"/>
  <c r="B4551" i="1"/>
  <c r="E4551" i="1"/>
  <c r="I4551" i="1"/>
  <c r="S4551" i="1"/>
  <c r="B4552" i="1"/>
  <c r="E4552" i="1"/>
  <c r="I4552" i="1"/>
  <c r="S4552" i="1"/>
  <c r="B4553" i="1"/>
  <c r="E4553" i="1"/>
  <c r="I4553" i="1"/>
  <c r="S4553" i="1"/>
  <c r="B4554" i="1"/>
  <c r="E4554" i="1"/>
  <c r="I4554" i="1"/>
  <c r="S4554" i="1"/>
  <c r="B4555" i="1"/>
  <c r="E4555" i="1"/>
  <c r="I4555" i="1"/>
  <c r="S4555" i="1"/>
  <c r="B4556" i="1"/>
  <c r="E4556" i="1"/>
  <c r="I4556" i="1"/>
  <c r="S4556" i="1"/>
  <c r="B4557" i="1"/>
  <c r="E4557" i="1"/>
  <c r="I4557" i="1"/>
  <c r="S4557" i="1"/>
  <c r="B4558" i="1"/>
  <c r="E4558" i="1"/>
  <c r="I4558" i="1"/>
  <c r="S4558" i="1"/>
  <c r="B4559" i="1"/>
  <c r="E4559" i="1"/>
  <c r="I4559" i="1"/>
  <c r="S4559" i="1"/>
  <c r="B4560" i="1"/>
  <c r="E4560" i="1"/>
  <c r="I4560" i="1"/>
  <c r="S4560" i="1"/>
  <c r="B4561" i="1"/>
  <c r="E4561" i="1"/>
  <c r="I4561" i="1"/>
  <c r="S4561" i="1"/>
  <c r="B4562" i="1"/>
  <c r="E4562" i="1"/>
  <c r="I4562" i="1"/>
  <c r="S4562" i="1"/>
  <c r="B4563" i="1"/>
  <c r="E4563" i="1"/>
  <c r="I4563" i="1"/>
  <c r="S4563" i="1"/>
  <c r="B4564" i="1"/>
  <c r="E4564" i="1"/>
  <c r="I4564" i="1"/>
  <c r="S4564" i="1"/>
  <c r="B4565" i="1"/>
  <c r="E4565" i="1"/>
  <c r="I4565" i="1"/>
  <c r="S4565" i="1"/>
  <c r="B4566" i="1"/>
  <c r="E4566" i="1"/>
  <c r="I4566" i="1"/>
  <c r="S4566" i="1"/>
  <c r="B4567" i="1"/>
  <c r="E4567" i="1"/>
  <c r="I4567" i="1"/>
  <c r="S4567" i="1"/>
  <c r="B4568" i="1"/>
  <c r="E4568" i="1"/>
  <c r="I4568" i="1"/>
  <c r="S4568" i="1"/>
  <c r="B4569" i="1"/>
  <c r="E4569" i="1"/>
  <c r="I4569" i="1"/>
  <c r="S4569" i="1"/>
  <c r="B4570" i="1"/>
  <c r="E4570" i="1"/>
  <c r="I4570" i="1"/>
  <c r="S4570" i="1"/>
  <c r="B4571" i="1"/>
  <c r="E4571" i="1"/>
  <c r="I4571" i="1"/>
  <c r="S4571" i="1"/>
  <c r="B4572" i="1"/>
  <c r="E4572" i="1"/>
  <c r="I4572" i="1"/>
  <c r="S4572" i="1"/>
  <c r="B4573" i="1"/>
  <c r="E4573" i="1"/>
  <c r="I4573" i="1"/>
  <c r="S4573" i="1"/>
  <c r="B4574" i="1"/>
  <c r="E4574" i="1"/>
  <c r="I4574" i="1"/>
  <c r="S4574" i="1"/>
  <c r="B4575" i="1"/>
  <c r="E4575" i="1"/>
  <c r="I4575" i="1"/>
  <c r="S4575" i="1"/>
  <c r="B4576" i="1"/>
  <c r="E4576" i="1"/>
  <c r="I4576" i="1"/>
  <c r="S4576" i="1"/>
  <c r="B4577" i="1"/>
  <c r="E4577" i="1"/>
  <c r="I4577" i="1"/>
  <c r="S4577" i="1"/>
  <c r="B4578" i="1"/>
  <c r="E4578" i="1"/>
  <c r="I4578" i="1"/>
  <c r="S4578" i="1"/>
  <c r="B4579" i="1"/>
  <c r="E4579" i="1"/>
  <c r="I4579" i="1"/>
  <c r="S4579" i="1"/>
  <c r="B4580" i="1"/>
  <c r="E4580" i="1"/>
  <c r="I4580" i="1"/>
  <c r="S4580" i="1"/>
  <c r="B4581" i="1"/>
  <c r="E4581" i="1"/>
  <c r="I4581" i="1"/>
  <c r="S4581" i="1"/>
  <c r="B4582" i="1"/>
  <c r="E4582" i="1"/>
  <c r="I4582" i="1"/>
  <c r="S4582" i="1"/>
  <c r="B4583" i="1"/>
  <c r="E4583" i="1"/>
  <c r="I4583" i="1"/>
  <c r="S4583" i="1"/>
  <c r="B4584" i="1"/>
  <c r="E4584" i="1"/>
  <c r="I4584" i="1"/>
  <c r="S4584" i="1"/>
  <c r="B4585" i="1"/>
  <c r="E4585" i="1"/>
  <c r="I4585" i="1"/>
  <c r="S4585" i="1"/>
  <c r="B4586" i="1"/>
  <c r="E4586" i="1"/>
  <c r="I4586" i="1"/>
  <c r="B4587" i="1"/>
  <c r="E4587" i="1"/>
  <c r="I4587" i="1"/>
  <c r="S4587" i="1"/>
  <c r="B4588" i="1"/>
  <c r="E4588" i="1"/>
  <c r="I4588" i="1"/>
  <c r="S4588" i="1"/>
  <c r="B4589" i="1"/>
  <c r="E4589" i="1"/>
  <c r="I4589" i="1"/>
  <c r="S4589" i="1"/>
  <c r="B4590" i="1"/>
  <c r="E4590" i="1"/>
  <c r="I4590" i="1"/>
  <c r="S4590" i="1"/>
  <c r="B4591" i="1"/>
  <c r="E4591" i="1"/>
  <c r="I4591" i="1"/>
  <c r="S4591" i="1"/>
  <c r="B4592" i="1"/>
  <c r="E4592" i="1"/>
  <c r="I4592" i="1"/>
  <c r="S4592" i="1"/>
  <c r="B4593" i="1"/>
  <c r="E4593" i="1"/>
  <c r="I4593" i="1"/>
  <c r="S4593" i="1"/>
  <c r="B4594" i="1"/>
  <c r="E4594" i="1"/>
  <c r="I4594" i="1"/>
  <c r="S4594" i="1"/>
  <c r="B4595" i="1"/>
  <c r="E4595" i="1"/>
  <c r="I4595" i="1"/>
  <c r="S4595" i="1"/>
  <c r="B4596" i="1"/>
  <c r="E4596" i="1"/>
  <c r="I4596" i="1"/>
  <c r="S4596" i="1"/>
  <c r="B4597" i="1"/>
  <c r="E4597" i="1"/>
  <c r="I4597" i="1"/>
  <c r="S4597" i="1"/>
  <c r="B4598" i="1"/>
  <c r="E4598" i="1"/>
  <c r="I4598" i="1"/>
  <c r="S4598" i="1"/>
  <c r="B4599" i="1"/>
  <c r="E4599" i="1"/>
  <c r="I4599" i="1"/>
  <c r="S4599" i="1"/>
  <c r="B4600" i="1"/>
  <c r="E4600" i="1"/>
  <c r="I4600" i="1"/>
  <c r="S4600" i="1"/>
  <c r="B4601" i="1"/>
  <c r="E4601" i="1"/>
  <c r="I4601" i="1"/>
  <c r="S4601" i="1"/>
  <c r="B4602" i="1"/>
  <c r="E4602" i="1"/>
  <c r="I4602" i="1"/>
  <c r="S4602" i="1"/>
  <c r="B4603" i="1"/>
  <c r="E4603" i="1"/>
  <c r="I4603" i="1"/>
  <c r="S4603" i="1"/>
  <c r="B4604" i="1"/>
  <c r="E4604" i="1"/>
  <c r="I4604" i="1"/>
  <c r="B4605" i="1"/>
  <c r="E4605" i="1"/>
  <c r="I4605" i="1"/>
  <c r="S4605" i="1"/>
  <c r="B4606" i="1"/>
  <c r="E4606" i="1"/>
  <c r="I4606" i="1"/>
  <c r="S4606" i="1"/>
  <c r="B4607" i="1"/>
  <c r="E4607" i="1"/>
  <c r="I4607" i="1"/>
  <c r="S4607" i="1"/>
  <c r="B4608" i="1"/>
  <c r="E4608" i="1"/>
  <c r="I4608" i="1"/>
  <c r="S4608" i="1"/>
  <c r="B4609" i="1"/>
  <c r="E4609" i="1"/>
  <c r="I4609" i="1"/>
  <c r="S4609" i="1"/>
  <c r="B4610" i="1"/>
  <c r="E4610" i="1"/>
  <c r="I4610" i="1"/>
  <c r="S4610" i="1"/>
  <c r="B4611" i="1"/>
  <c r="E4611" i="1"/>
  <c r="I4611" i="1"/>
  <c r="S4611" i="1"/>
  <c r="B4612" i="1"/>
  <c r="E4612" i="1"/>
  <c r="I4612" i="1"/>
  <c r="S4612" i="1"/>
  <c r="B4613" i="1"/>
  <c r="E4613" i="1"/>
  <c r="I4613" i="1"/>
  <c r="S4613" i="1"/>
  <c r="B4614" i="1"/>
  <c r="E4614" i="1"/>
  <c r="I4614" i="1"/>
  <c r="S4614" i="1"/>
  <c r="B4615" i="1"/>
  <c r="E4615" i="1"/>
  <c r="I4615" i="1"/>
  <c r="S4615" i="1"/>
  <c r="B4616" i="1"/>
  <c r="E4616" i="1"/>
  <c r="I4616" i="1"/>
  <c r="S4616" i="1"/>
  <c r="B4617" i="1"/>
  <c r="E4617" i="1"/>
  <c r="I4617" i="1"/>
  <c r="S4617" i="1"/>
  <c r="B4618" i="1"/>
  <c r="E4618" i="1"/>
  <c r="I4618" i="1"/>
  <c r="S4618" i="1"/>
  <c r="B4619" i="1"/>
  <c r="E4619" i="1"/>
  <c r="I4619" i="1"/>
  <c r="S4619" i="1"/>
  <c r="B4620" i="1"/>
  <c r="E4620" i="1"/>
  <c r="I4620" i="1"/>
  <c r="S4620" i="1"/>
  <c r="B4621" i="1"/>
  <c r="E4621" i="1"/>
  <c r="I4621" i="1"/>
  <c r="S4621" i="1"/>
  <c r="B4622" i="1"/>
  <c r="E4622" i="1"/>
  <c r="I4622" i="1"/>
  <c r="S4622" i="1"/>
  <c r="B4623" i="1"/>
  <c r="E4623" i="1"/>
  <c r="I4623" i="1"/>
  <c r="S4623" i="1"/>
  <c r="B4624" i="1"/>
  <c r="E4624" i="1"/>
  <c r="I4624" i="1"/>
  <c r="S4624" i="1"/>
  <c r="B4625" i="1"/>
  <c r="E4625" i="1"/>
  <c r="I4625" i="1"/>
  <c r="S4625" i="1"/>
  <c r="B4626" i="1"/>
  <c r="E4626" i="1"/>
  <c r="I4626" i="1"/>
  <c r="S4626" i="1"/>
  <c r="B4627" i="1"/>
  <c r="E4627" i="1"/>
  <c r="I4627" i="1"/>
  <c r="S4627" i="1"/>
  <c r="B4628" i="1"/>
  <c r="E4628" i="1"/>
  <c r="I4628" i="1"/>
  <c r="S4628" i="1"/>
  <c r="B4629" i="1"/>
  <c r="E4629" i="1"/>
  <c r="I4629" i="1"/>
  <c r="S4629" i="1"/>
  <c r="B4630" i="1"/>
  <c r="E4630" i="1"/>
  <c r="I4630" i="1"/>
  <c r="S4630" i="1"/>
  <c r="B4631" i="1"/>
  <c r="E4631" i="1"/>
  <c r="I4631" i="1"/>
  <c r="S4631" i="1"/>
  <c r="B4632" i="1"/>
  <c r="E4632" i="1"/>
  <c r="I4632" i="1"/>
  <c r="S4632" i="1"/>
  <c r="B4633" i="1"/>
  <c r="E4633" i="1"/>
  <c r="I4633" i="1"/>
  <c r="S4633" i="1"/>
  <c r="B4634" i="1"/>
  <c r="E4634" i="1"/>
  <c r="I4634" i="1"/>
  <c r="S4634" i="1"/>
  <c r="B4635" i="1"/>
  <c r="E4635" i="1"/>
  <c r="I4635" i="1"/>
  <c r="S4635" i="1"/>
  <c r="B4636" i="1"/>
  <c r="E4636" i="1"/>
  <c r="I4636" i="1"/>
  <c r="S4636" i="1"/>
  <c r="B4637" i="1"/>
  <c r="E4637" i="1"/>
  <c r="I4637" i="1"/>
  <c r="S4637" i="1"/>
  <c r="B4638" i="1"/>
  <c r="E4638" i="1"/>
  <c r="I4638" i="1"/>
  <c r="S4638" i="1"/>
  <c r="B4639" i="1"/>
  <c r="E4639" i="1"/>
  <c r="I4639" i="1"/>
  <c r="S4639" i="1"/>
  <c r="B4640" i="1"/>
  <c r="E4640" i="1"/>
  <c r="I4640" i="1"/>
  <c r="S4640" i="1"/>
  <c r="B4641" i="1"/>
  <c r="E4641" i="1"/>
  <c r="I4641" i="1"/>
  <c r="S4641" i="1"/>
  <c r="B4642" i="1"/>
  <c r="E4642" i="1"/>
  <c r="I4642" i="1"/>
  <c r="S4642" i="1"/>
  <c r="B4643" i="1"/>
  <c r="E4643" i="1"/>
  <c r="I4643" i="1"/>
  <c r="S4643" i="1"/>
  <c r="B4644" i="1"/>
  <c r="E4644" i="1"/>
  <c r="I4644" i="1"/>
  <c r="S4644" i="1"/>
  <c r="B4645" i="1"/>
  <c r="E4645" i="1"/>
  <c r="I4645" i="1"/>
  <c r="S4645" i="1"/>
  <c r="B4646" i="1"/>
  <c r="E4646" i="1"/>
  <c r="I4646" i="1"/>
  <c r="S4646" i="1"/>
  <c r="B4647" i="1"/>
  <c r="E4647" i="1"/>
  <c r="I4647" i="1"/>
  <c r="S4647" i="1"/>
  <c r="B4648" i="1"/>
  <c r="E4648" i="1"/>
  <c r="I4648" i="1"/>
  <c r="S4648" i="1"/>
  <c r="B4649" i="1"/>
  <c r="E4649" i="1"/>
  <c r="I4649" i="1"/>
  <c r="S4649" i="1"/>
  <c r="B4650" i="1"/>
  <c r="E4650" i="1"/>
  <c r="I4650" i="1"/>
  <c r="S4650" i="1"/>
  <c r="B4651" i="1"/>
  <c r="E4651" i="1"/>
  <c r="I4651" i="1"/>
  <c r="S4651" i="1"/>
  <c r="B4652" i="1"/>
  <c r="E4652" i="1"/>
  <c r="I4652" i="1"/>
  <c r="S4652" i="1"/>
  <c r="B4653" i="1"/>
  <c r="E4653" i="1"/>
  <c r="I4653" i="1"/>
  <c r="S4653" i="1"/>
  <c r="B4654" i="1"/>
  <c r="E4654" i="1"/>
  <c r="I4654" i="1"/>
  <c r="S4654" i="1"/>
  <c r="B4655" i="1"/>
  <c r="E4655" i="1"/>
  <c r="I4655" i="1"/>
  <c r="S4655" i="1"/>
  <c r="B4656" i="1"/>
  <c r="E4656" i="1"/>
  <c r="I4656" i="1"/>
  <c r="S4656" i="1"/>
  <c r="B4657" i="1"/>
  <c r="E4657" i="1"/>
  <c r="I4657" i="1"/>
  <c r="S4657" i="1"/>
  <c r="B4658" i="1"/>
  <c r="E4658" i="1"/>
  <c r="I4658" i="1"/>
  <c r="S4658" i="1"/>
  <c r="B4659" i="1"/>
  <c r="E4659" i="1"/>
  <c r="I4659" i="1"/>
  <c r="S4659" i="1"/>
  <c r="B4660" i="1"/>
  <c r="E4660" i="1"/>
  <c r="I4660" i="1"/>
  <c r="S4660" i="1"/>
  <c r="B4661" i="1"/>
  <c r="E4661" i="1"/>
  <c r="I4661" i="1"/>
  <c r="S4661" i="1"/>
  <c r="B4662" i="1"/>
  <c r="E4662" i="1"/>
  <c r="I4662" i="1"/>
  <c r="S4662" i="1"/>
  <c r="B4663" i="1"/>
  <c r="E4663" i="1"/>
  <c r="I4663" i="1"/>
  <c r="S4663" i="1"/>
  <c r="B4664" i="1"/>
  <c r="E4664" i="1"/>
  <c r="I4664" i="1"/>
  <c r="S4664" i="1"/>
  <c r="B4665" i="1"/>
  <c r="E4665" i="1"/>
  <c r="I4665" i="1"/>
  <c r="S4665" i="1"/>
  <c r="B4666" i="1"/>
  <c r="E4666" i="1"/>
  <c r="I4666" i="1"/>
  <c r="S4666" i="1"/>
  <c r="B4667" i="1"/>
  <c r="E4667" i="1"/>
  <c r="I4667" i="1"/>
  <c r="S4667" i="1"/>
  <c r="B4668" i="1"/>
  <c r="E4668" i="1"/>
  <c r="I4668" i="1"/>
  <c r="S4668" i="1"/>
  <c r="B4669" i="1"/>
  <c r="E4669" i="1"/>
  <c r="I4669" i="1"/>
  <c r="S4669" i="1"/>
  <c r="B4670" i="1"/>
  <c r="E4670" i="1"/>
  <c r="I4670" i="1"/>
  <c r="S4670" i="1"/>
  <c r="B4671" i="1"/>
  <c r="E4671" i="1"/>
  <c r="I4671" i="1"/>
  <c r="S4671" i="1"/>
  <c r="B4672" i="1"/>
  <c r="E4672" i="1"/>
  <c r="I4672" i="1"/>
  <c r="S4672" i="1"/>
  <c r="B4673" i="1"/>
  <c r="E4673" i="1"/>
  <c r="I4673" i="1"/>
  <c r="S4673" i="1"/>
  <c r="B4674" i="1"/>
  <c r="E4674" i="1"/>
  <c r="I4674" i="1"/>
  <c r="S4674" i="1"/>
  <c r="B4675" i="1"/>
  <c r="E4675" i="1"/>
  <c r="I4675" i="1"/>
  <c r="S4675" i="1"/>
  <c r="B4676" i="1"/>
  <c r="E4676" i="1"/>
  <c r="I4676" i="1"/>
  <c r="S4676" i="1"/>
  <c r="B4677" i="1"/>
  <c r="E4677" i="1"/>
  <c r="I4677" i="1"/>
  <c r="S4677" i="1"/>
  <c r="B4678" i="1"/>
  <c r="E4678" i="1"/>
  <c r="I4678" i="1"/>
  <c r="S4678" i="1"/>
  <c r="B4679" i="1"/>
  <c r="E4679" i="1"/>
  <c r="I4679" i="1"/>
  <c r="S4679" i="1"/>
  <c r="B4680" i="1"/>
  <c r="E4680" i="1"/>
  <c r="I4680" i="1"/>
  <c r="S4680" i="1"/>
  <c r="B4681" i="1"/>
  <c r="E4681" i="1"/>
  <c r="I4681" i="1"/>
  <c r="S4681" i="1"/>
  <c r="B4682" i="1"/>
  <c r="E4682" i="1"/>
  <c r="I4682" i="1"/>
  <c r="S4682" i="1"/>
  <c r="B4683" i="1"/>
  <c r="E4683" i="1"/>
  <c r="I4683" i="1"/>
  <c r="S4683" i="1"/>
  <c r="B4684" i="1"/>
  <c r="E4684" i="1"/>
  <c r="I4684" i="1"/>
  <c r="S4684" i="1"/>
  <c r="B4685" i="1"/>
  <c r="E4685" i="1"/>
  <c r="I4685" i="1"/>
  <c r="S4685" i="1"/>
  <c r="B4686" i="1"/>
  <c r="E4686" i="1"/>
  <c r="I4686" i="1"/>
  <c r="S4686" i="1"/>
  <c r="B4687" i="1"/>
  <c r="E4687" i="1"/>
  <c r="I4687" i="1"/>
  <c r="S4687" i="1"/>
  <c r="B4688" i="1"/>
  <c r="E4688" i="1"/>
  <c r="I4688" i="1"/>
  <c r="S4688" i="1"/>
  <c r="B4689" i="1"/>
  <c r="E4689" i="1"/>
  <c r="I4689" i="1"/>
  <c r="S4689" i="1"/>
  <c r="B4690" i="1"/>
  <c r="E4690" i="1"/>
  <c r="I4690" i="1"/>
  <c r="S4690" i="1"/>
  <c r="B4691" i="1"/>
  <c r="E4691" i="1"/>
  <c r="I4691" i="1"/>
  <c r="S4691" i="1"/>
  <c r="B4692" i="1"/>
  <c r="E4692" i="1"/>
  <c r="I4692" i="1"/>
  <c r="S4692" i="1"/>
  <c r="B4693" i="1"/>
  <c r="E4693" i="1"/>
  <c r="I4693" i="1"/>
  <c r="S4693" i="1"/>
  <c r="B4694" i="1"/>
  <c r="E4694" i="1"/>
  <c r="I4694" i="1"/>
  <c r="S4694" i="1"/>
  <c r="B4695" i="1"/>
  <c r="E4695" i="1"/>
  <c r="I4695" i="1"/>
  <c r="S4695" i="1"/>
  <c r="B4696" i="1"/>
  <c r="E4696" i="1"/>
  <c r="I4696" i="1"/>
  <c r="S4696" i="1"/>
  <c r="B4697" i="1"/>
  <c r="E4697" i="1"/>
  <c r="I4697" i="1"/>
  <c r="S4697" i="1"/>
  <c r="B4698" i="1"/>
  <c r="E4698" i="1"/>
  <c r="I4698" i="1"/>
  <c r="S4698" i="1"/>
  <c r="B4699" i="1"/>
  <c r="E4699" i="1"/>
  <c r="I4699" i="1"/>
  <c r="S4699" i="1"/>
  <c r="B4700" i="1"/>
  <c r="E4700" i="1"/>
  <c r="I4700" i="1"/>
  <c r="S4700" i="1"/>
  <c r="B4701" i="1"/>
  <c r="E4701" i="1"/>
  <c r="I4701" i="1"/>
  <c r="S4701" i="1"/>
  <c r="B4702" i="1"/>
  <c r="E4702" i="1"/>
  <c r="I4702" i="1"/>
  <c r="S4702" i="1"/>
  <c r="B4703" i="1"/>
  <c r="E4703" i="1"/>
  <c r="I4703" i="1"/>
  <c r="S4703" i="1"/>
  <c r="B4704" i="1"/>
  <c r="E4704" i="1"/>
  <c r="I4704" i="1"/>
  <c r="S4704" i="1"/>
  <c r="B4705" i="1"/>
  <c r="E4705" i="1"/>
  <c r="I4705" i="1"/>
  <c r="S4705" i="1"/>
  <c r="B4706" i="1"/>
  <c r="E4706" i="1"/>
  <c r="I4706" i="1"/>
  <c r="S4706" i="1"/>
  <c r="B4707" i="1"/>
  <c r="E4707" i="1"/>
  <c r="I4707" i="1"/>
  <c r="S4707" i="1"/>
  <c r="B4708" i="1"/>
  <c r="E4708" i="1"/>
  <c r="I4708" i="1"/>
  <c r="S4708" i="1"/>
  <c r="B4709" i="1"/>
  <c r="E4709" i="1"/>
  <c r="I4709" i="1"/>
  <c r="S4709" i="1"/>
  <c r="B4710" i="1"/>
  <c r="E4710" i="1"/>
  <c r="I4710" i="1"/>
  <c r="S4710" i="1"/>
  <c r="B4711" i="1"/>
  <c r="E4711" i="1"/>
  <c r="I4711" i="1"/>
  <c r="S4711" i="1"/>
  <c r="B4712" i="1"/>
  <c r="E4712" i="1"/>
  <c r="I4712" i="1"/>
  <c r="S4712" i="1"/>
  <c r="B4713" i="1"/>
  <c r="E4713" i="1"/>
  <c r="I4713" i="1"/>
  <c r="S4713" i="1"/>
  <c r="B4714" i="1"/>
  <c r="E4714" i="1"/>
  <c r="I4714" i="1"/>
  <c r="S4714" i="1"/>
  <c r="B4715" i="1"/>
  <c r="E4715" i="1"/>
  <c r="I4715" i="1"/>
  <c r="S4715" i="1"/>
  <c r="B4716" i="1"/>
  <c r="E4716" i="1"/>
  <c r="I4716" i="1"/>
  <c r="S4716" i="1"/>
  <c r="B4717" i="1"/>
  <c r="E4717" i="1"/>
  <c r="I4717" i="1"/>
  <c r="S4717" i="1"/>
  <c r="B4718" i="1"/>
  <c r="E4718" i="1"/>
  <c r="I4718" i="1"/>
  <c r="S4718" i="1"/>
  <c r="B4719" i="1"/>
  <c r="E4719" i="1"/>
  <c r="I4719" i="1"/>
  <c r="S4719" i="1"/>
  <c r="B4720" i="1"/>
  <c r="E4720" i="1"/>
  <c r="I4720" i="1"/>
  <c r="S4720" i="1"/>
  <c r="B4721" i="1"/>
  <c r="E4721" i="1"/>
  <c r="I4721" i="1"/>
  <c r="S4721" i="1"/>
  <c r="B4722" i="1"/>
  <c r="E4722" i="1"/>
  <c r="I4722" i="1"/>
  <c r="S4722" i="1"/>
  <c r="B4723" i="1"/>
  <c r="E4723" i="1"/>
  <c r="I4723" i="1"/>
  <c r="S4723" i="1"/>
  <c r="B4724" i="1"/>
  <c r="E4724" i="1"/>
  <c r="I4724" i="1"/>
  <c r="S4724" i="1"/>
  <c r="B4725" i="1"/>
  <c r="E4725" i="1"/>
  <c r="I4725" i="1"/>
  <c r="S4725" i="1"/>
  <c r="B4726" i="1"/>
  <c r="E4726" i="1"/>
  <c r="I4726" i="1"/>
  <c r="S4726" i="1"/>
  <c r="B4727" i="1"/>
  <c r="E4727" i="1"/>
  <c r="I4727" i="1"/>
  <c r="S4727" i="1"/>
  <c r="B4728" i="1"/>
  <c r="E4728" i="1"/>
  <c r="I4728" i="1"/>
  <c r="S4728" i="1"/>
  <c r="B4729" i="1"/>
  <c r="E4729" i="1"/>
  <c r="I4729" i="1"/>
  <c r="S4729" i="1"/>
  <c r="B4730" i="1"/>
  <c r="E4730" i="1"/>
  <c r="I4730" i="1"/>
  <c r="S4730" i="1"/>
  <c r="B4731" i="1"/>
  <c r="E4731" i="1"/>
  <c r="I4731" i="1"/>
  <c r="S4731" i="1"/>
  <c r="B4732" i="1"/>
  <c r="E4732" i="1"/>
  <c r="I4732" i="1"/>
  <c r="S4732" i="1"/>
  <c r="B4733" i="1"/>
  <c r="E4733" i="1"/>
  <c r="I4733" i="1"/>
  <c r="B4734" i="1"/>
  <c r="E4734" i="1"/>
  <c r="I4734" i="1"/>
  <c r="S4734" i="1"/>
  <c r="B4735" i="1"/>
  <c r="E4735" i="1"/>
  <c r="I4735" i="1"/>
  <c r="S4735" i="1"/>
  <c r="B4736" i="1"/>
  <c r="E4736" i="1"/>
  <c r="I4736" i="1"/>
  <c r="S4736" i="1"/>
  <c r="B4737" i="1"/>
  <c r="E4737" i="1"/>
  <c r="I4737" i="1"/>
  <c r="S4737" i="1"/>
  <c r="B4738" i="1"/>
  <c r="E4738" i="1"/>
  <c r="I4738" i="1"/>
  <c r="S4738" i="1"/>
  <c r="B4739" i="1"/>
  <c r="E4739" i="1"/>
  <c r="I4739" i="1"/>
  <c r="S4739" i="1"/>
  <c r="B4740" i="1"/>
  <c r="E4740" i="1"/>
  <c r="I4740" i="1"/>
  <c r="S4740" i="1"/>
  <c r="B4741" i="1"/>
  <c r="E4741" i="1"/>
  <c r="I4741" i="1"/>
  <c r="S4741" i="1"/>
  <c r="B4742" i="1"/>
  <c r="E4742" i="1"/>
  <c r="I4742" i="1"/>
  <c r="S4742" i="1"/>
  <c r="B4743" i="1"/>
  <c r="E4743" i="1"/>
  <c r="I4743" i="1"/>
  <c r="S4743" i="1"/>
  <c r="B4744" i="1"/>
  <c r="E4744" i="1"/>
  <c r="I4744" i="1"/>
  <c r="S4744" i="1"/>
  <c r="B4745" i="1"/>
  <c r="E4745" i="1"/>
  <c r="I4745" i="1"/>
  <c r="S4745" i="1"/>
  <c r="B4746" i="1"/>
  <c r="E4746" i="1"/>
  <c r="I4746" i="1"/>
  <c r="S4746" i="1"/>
  <c r="B4747" i="1"/>
  <c r="E4747" i="1"/>
  <c r="I4747" i="1"/>
  <c r="S4747" i="1"/>
  <c r="B4748" i="1"/>
  <c r="E4748" i="1"/>
  <c r="I4748" i="1"/>
  <c r="S4748" i="1"/>
  <c r="B4749" i="1"/>
  <c r="E4749" i="1"/>
  <c r="I4749" i="1"/>
  <c r="S4749" i="1"/>
  <c r="B4750" i="1"/>
  <c r="E4750" i="1"/>
  <c r="I4750" i="1"/>
  <c r="S4750" i="1"/>
  <c r="B4751" i="1"/>
  <c r="E4751" i="1"/>
  <c r="I4751" i="1"/>
  <c r="S4751" i="1"/>
  <c r="B4752" i="1"/>
  <c r="E4752" i="1"/>
  <c r="I4752" i="1"/>
  <c r="S4752" i="1"/>
  <c r="B4753" i="1"/>
  <c r="E4753" i="1"/>
  <c r="I4753" i="1"/>
  <c r="S4753" i="1"/>
  <c r="B4754" i="1"/>
  <c r="E4754" i="1"/>
  <c r="I4754" i="1"/>
  <c r="B4755" i="1"/>
  <c r="E4755" i="1"/>
  <c r="I4755" i="1"/>
  <c r="S4755" i="1"/>
  <c r="B4756" i="1"/>
  <c r="E4756" i="1"/>
  <c r="I4756" i="1"/>
  <c r="S4756" i="1"/>
  <c r="B4757" i="1"/>
  <c r="E4757" i="1"/>
  <c r="I4757" i="1"/>
  <c r="S4757" i="1"/>
  <c r="B4758" i="1"/>
  <c r="E4758" i="1"/>
  <c r="I4758" i="1"/>
  <c r="S4758" i="1"/>
  <c r="B4759" i="1"/>
  <c r="E4759" i="1"/>
  <c r="I4759" i="1"/>
  <c r="S4759" i="1"/>
  <c r="B4760" i="1"/>
  <c r="E4760" i="1"/>
  <c r="I4760" i="1"/>
  <c r="S4760" i="1"/>
  <c r="B4761" i="1"/>
  <c r="E4761" i="1"/>
  <c r="I4761" i="1"/>
  <c r="S4761" i="1"/>
  <c r="B4762" i="1"/>
  <c r="E4762" i="1"/>
  <c r="I4762" i="1"/>
  <c r="S4762" i="1"/>
  <c r="B4763" i="1"/>
  <c r="E4763" i="1"/>
  <c r="I4763" i="1"/>
  <c r="S4763" i="1"/>
  <c r="B4764" i="1"/>
  <c r="E4764" i="1"/>
  <c r="I4764" i="1"/>
  <c r="S4764" i="1"/>
  <c r="B4765" i="1"/>
  <c r="E4765" i="1"/>
  <c r="I4765" i="1"/>
  <c r="S4765" i="1"/>
  <c r="B4766" i="1"/>
  <c r="E4766" i="1"/>
  <c r="I4766" i="1"/>
  <c r="S4766" i="1"/>
  <c r="B4767" i="1"/>
  <c r="E4767" i="1"/>
  <c r="I4767" i="1"/>
  <c r="S4767" i="1"/>
  <c r="B4768" i="1"/>
  <c r="E4768" i="1"/>
  <c r="I4768" i="1"/>
  <c r="S4768" i="1"/>
  <c r="B4769" i="1"/>
  <c r="E4769" i="1"/>
  <c r="I4769" i="1"/>
  <c r="S4769" i="1"/>
  <c r="B4770" i="1"/>
  <c r="E4770" i="1"/>
  <c r="I4770" i="1"/>
  <c r="S4770" i="1"/>
  <c r="B4771" i="1"/>
  <c r="E4771" i="1"/>
  <c r="I4771" i="1"/>
  <c r="S4771" i="1"/>
  <c r="B4772" i="1"/>
  <c r="E4772" i="1"/>
  <c r="I4772" i="1"/>
  <c r="S4772" i="1"/>
  <c r="B4773" i="1"/>
  <c r="E4773" i="1"/>
  <c r="I4773" i="1"/>
  <c r="S4773" i="1"/>
  <c r="B4774" i="1"/>
  <c r="E4774" i="1"/>
  <c r="I4774" i="1"/>
  <c r="S4774" i="1"/>
  <c r="B4775" i="1"/>
  <c r="E4775" i="1"/>
  <c r="I4775" i="1"/>
  <c r="S4775" i="1"/>
  <c r="B4776" i="1"/>
  <c r="E4776" i="1"/>
  <c r="I4776" i="1"/>
  <c r="S4776" i="1"/>
  <c r="B4777" i="1"/>
  <c r="E4777" i="1"/>
  <c r="I4777" i="1"/>
  <c r="S4777" i="1"/>
  <c r="B4778" i="1"/>
  <c r="E4778" i="1"/>
  <c r="I4778" i="1"/>
  <c r="S4778" i="1"/>
  <c r="B4779" i="1"/>
  <c r="E4779" i="1"/>
  <c r="I4779" i="1"/>
  <c r="S4779" i="1"/>
  <c r="B4780" i="1"/>
  <c r="E4780" i="1"/>
  <c r="I4780" i="1"/>
  <c r="S4780" i="1"/>
  <c r="B4781" i="1"/>
  <c r="E4781" i="1"/>
  <c r="I4781" i="1"/>
  <c r="S4781" i="1"/>
  <c r="B4782" i="1"/>
  <c r="E4782" i="1"/>
  <c r="I4782" i="1"/>
  <c r="S4782" i="1"/>
  <c r="B4783" i="1"/>
  <c r="E4783" i="1"/>
  <c r="I4783" i="1"/>
  <c r="S4783" i="1"/>
  <c r="B4784" i="1"/>
  <c r="E4784" i="1"/>
  <c r="I4784" i="1"/>
  <c r="S4784" i="1"/>
  <c r="B4785" i="1"/>
  <c r="E4785" i="1"/>
  <c r="I4785" i="1"/>
  <c r="S4785" i="1"/>
  <c r="B4786" i="1"/>
  <c r="E4786" i="1"/>
  <c r="I4786" i="1"/>
  <c r="S4786" i="1"/>
  <c r="B4787" i="1"/>
  <c r="E4787" i="1"/>
  <c r="I4787" i="1"/>
  <c r="S4787" i="1"/>
  <c r="B4788" i="1"/>
  <c r="E4788" i="1"/>
  <c r="I4788" i="1"/>
  <c r="S4788" i="1"/>
  <c r="B4789" i="1"/>
  <c r="E4789" i="1"/>
  <c r="I4789" i="1"/>
  <c r="S4789" i="1"/>
  <c r="B4790" i="1"/>
  <c r="E4790" i="1"/>
  <c r="I4790" i="1"/>
  <c r="S4790" i="1"/>
  <c r="B4791" i="1"/>
  <c r="E4791" i="1"/>
  <c r="I4791" i="1"/>
  <c r="S4791" i="1"/>
  <c r="B4792" i="1"/>
  <c r="E4792" i="1"/>
  <c r="I4792" i="1"/>
  <c r="S4792" i="1"/>
  <c r="B4793" i="1"/>
  <c r="E4793" i="1"/>
  <c r="I4793" i="1"/>
  <c r="S4793" i="1"/>
  <c r="B4794" i="1"/>
  <c r="E4794" i="1"/>
  <c r="I4794" i="1"/>
  <c r="S4794" i="1"/>
  <c r="B4795" i="1"/>
  <c r="E4795" i="1"/>
  <c r="I4795" i="1"/>
  <c r="S4795" i="1"/>
  <c r="B4796" i="1"/>
  <c r="E4796" i="1"/>
  <c r="I4796" i="1"/>
  <c r="S4796" i="1"/>
  <c r="B4797" i="1"/>
  <c r="E4797" i="1"/>
  <c r="I4797" i="1"/>
  <c r="S4797" i="1"/>
  <c r="B4798" i="1"/>
  <c r="E4798" i="1"/>
  <c r="I4798" i="1"/>
  <c r="S4798" i="1"/>
  <c r="B4799" i="1"/>
  <c r="E4799" i="1"/>
  <c r="I4799" i="1"/>
  <c r="S4799" i="1"/>
  <c r="B4800" i="1"/>
  <c r="E4800" i="1"/>
  <c r="I4800" i="1"/>
  <c r="S4800" i="1"/>
  <c r="B4801" i="1"/>
  <c r="E4801" i="1"/>
  <c r="I4801" i="1"/>
  <c r="S4801" i="1"/>
  <c r="B4802" i="1"/>
  <c r="E4802" i="1"/>
  <c r="I4802" i="1"/>
  <c r="S4802" i="1"/>
  <c r="B4803" i="1"/>
  <c r="E4803" i="1"/>
  <c r="I4803" i="1"/>
  <c r="S4803" i="1"/>
  <c r="B4804" i="1"/>
  <c r="E4804" i="1"/>
  <c r="I4804" i="1"/>
  <c r="S4804" i="1"/>
  <c r="B4805" i="1"/>
  <c r="E4805" i="1"/>
  <c r="I4805" i="1"/>
  <c r="S4805" i="1"/>
  <c r="B4806" i="1"/>
  <c r="E4806" i="1"/>
  <c r="I4806" i="1"/>
  <c r="S4806" i="1"/>
  <c r="B4807" i="1"/>
  <c r="E4807" i="1"/>
  <c r="I4807" i="1"/>
  <c r="S4807" i="1"/>
  <c r="B4808" i="1"/>
  <c r="E4808" i="1"/>
  <c r="I4808" i="1"/>
  <c r="S4808" i="1"/>
  <c r="B4809" i="1"/>
  <c r="E4809" i="1"/>
  <c r="I4809" i="1"/>
  <c r="S4809" i="1"/>
  <c r="B4810" i="1"/>
  <c r="E4810" i="1"/>
  <c r="I4810" i="1"/>
  <c r="S4810" i="1"/>
  <c r="B4811" i="1"/>
  <c r="E4811" i="1"/>
  <c r="I4811" i="1"/>
  <c r="S4811" i="1"/>
  <c r="B4812" i="1"/>
  <c r="E4812" i="1"/>
  <c r="I4812" i="1"/>
  <c r="S4812" i="1"/>
  <c r="B4813" i="1"/>
  <c r="E4813" i="1"/>
  <c r="I4813" i="1"/>
  <c r="S4813" i="1"/>
  <c r="B4814" i="1"/>
  <c r="E4814" i="1"/>
  <c r="I4814" i="1"/>
  <c r="S4814" i="1"/>
  <c r="B4815" i="1"/>
  <c r="E4815" i="1"/>
  <c r="I4815" i="1"/>
  <c r="B4816" i="1"/>
  <c r="E4816" i="1"/>
  <c r="I4816" i="1"/>
  <c r="S4816" i="1"/>
  <c r="B4817" i="1"/>
  <c r="E4817" i="1"/>
  <c r="I4817" i="1"/>
  <c r="S4817" i="1"/>
  <c r="B4818" i="1"/>
  <c r="E4818" i="1"/>
  <c r="I4818" i="1"/>
  <c r="S4818" i="1"/>
  <c r="B4819" i="1"/>
  <c r="E4819" i="1"/>
  <c r="I4819" i="1"/>
  <c r="S4819" i="1"/>
  <c r="B4820" i="1"/>
  <c r="E4820" i="1"/>
  <c r="I4820" i="1"/>
  <c r="B4821" i="1"/>
  <c r="E4821" i="1"/>
  <c r="I4821" i="1"/>
  <c r="S4821" i="1"/>
  <c r="B4822" i="1"/>
  <c r="E4822" i="1"/>
  <c r="I4822" i="1"/>
  <c r="S4822" i="1"/>
  <c r="B4823" i="1"/>
  <c r="E4823" i="1"/>
  <c r="I4823" i="1"/>
  <c r="S4823" i="1"/>
  <c r="B4824" i="1"/>
  <c r="E4824" i="1"/>
  <c r="I4824" i="1"/>
  <c r="S4824" i="1"/>
  <c r="B4825" i="1"/>
  <c r="E4825" i="1"/>
  <c r="I4825" i="1"/>
  <c r="S4825" i="1"/>
  <c r="B4826" i="1"/>
  <c r="E4826" i="1"/>
  <c r="I4826" i="1"/>
  <c r="S4826" i="1"/>
  <c r="B4827" i="1"/>
  <c r="E4827" i="1"/>
  <c r="I4827" i="1"/>
  <c r="S4827" i="1"/>
  <c r="B4828" i="1"/>
  <c r="E4828" i="1"/>
  <c r="I4828" i="1"/>
  <c r="S4828" i="1"/>
  <c r="B4829" i="1"/>
  <c r="E4829" i="1"/>
  <c r="I4829" i="1"/>
  <c r="S4829" i="1"/>
  <c r="B4830" i="1"/>
  <c r="E4830" i="1"/>
  <c r="I4830" i="1"/>
  <c r="S4830" i="1"/>
  <c r="B4831" i="1"/>
  <c r="E4831" i="1"/>
  <c r="I4831" i="1"/>
  <c r="S4831" i="1"/>
  <c r="B4832" i="1"/>
  <c r="E4832" i="1"/>
  <c r="I4832" i="1"/>
  <c r="S4832" i="1"/>
  <c r="B4833" i="1"/>
  <c r="E4833" i="1"/>
  <c r="I4833" i="1"/>
  <c r="S4833" i="1"/>
  <c r="B4834" i="1"/>
  <c r="E4834" i="1"/>
  <c r="I4834" i="1"/>
  <c r="S4834" i="1"/>
  <c r="B4835" i="1"/>
  <c r="E4835" i="1"/>
  <c r="I4835" i="1"/>
  <c r="B4836" i="1"/>
  <c r="E4836" i="1"/>
  <c r="I4836" i="1"/>
  <c r="S4836" i="1"/>
  <c r="B4837" i="1"/>
  <c r="E4837" i="1"/>
  <c r="I4837" i="1"/>
  <c r="S4837" i="1"/>
  <c r="B4838" i="1"/>
  <c r="E4838" i="1"/>
  <c r="I4838" i="1"/>
  <c r="S4838" i="1"/>
  <c r="B4839" i="1"/>
  <c r="E4839" i="1"/>
  <c r="I4839" i="1"/>
  <c r="S4839" i="1"/>
  <c r="B4840" i="1"/>
  <c r="E4840" i="1"/>
  <c r="I4840" i="1"/>
  <c r="S4840" i="1"/>
  <c r="B4841" i="1"/>
  <c r="E4841" i="1"/>
  <c r="I4841" i="1"/>
  <c r="S4841" i="1"/>
  <c r="B4842" i="1"/>
  <c r="E4842" i="1"/>
  <c r="I4842" i="1"/>
  <c r="S4842" i="1"/>
  <c r="B4843" i="1"/>
  <c r="E4843" i="1"/>
  <c r="I4843" i="1"/>
  <c r="S4843" i="1"/>
  <c r="B4844" i="1"/>
  <c r="E4844" i="1"/>
  <c r="I4844" i="1"/>
  <c r="S4844" i="1"/>
  <c r="B4845" i="1"/>
  <c r="E4845" i="1"/>
  <c r="I4845" i="1"/>
  <c r="S4845" i="1"/>
  <c r="B4846" i="1"/>
  <c r="E4846" i="1"/>
  <c r="I4846" i="1"/>
  <c r="S4846" i="1"/>
  <c r="B4847" i="1"/>
  <c r="E4847" i="1"/>
  <c r="I4847" i="1"/>
  <c r="S4847" i="1"/>
  <c r="B4848" i="1"/>
  <c r="E4848" i="1"/>
  <c r="I4848" i="1"/>
  <c r="S4848" i="1"/>
  <c r="B4849" i="1"/>
  <c r="E4849" i="1"/>
  <c r="I4849" i="1"/>
  <c r="S4849" i="1"/>
  <c r="B4850" i="1"/>
  <c r="E4850" i="1"/>
  <c r="I4850" i="1"/>
  <c r="S4850" i="1"/>
  <c r="B4851" i="1"/>
  <c r="E4851" i="1"/>
  <c r="I4851" i="1"/>
  <c r="S4851" i="1"/>
  <c r="B4852" i="1"/>
  <c r="E4852" i="1"/>
  <c r="I4852" i="1"/>
  <c r="S4852" i="1"/>
  <c r="B4853" i="1"/>
  <c r="E4853" i="1"/>
  <c r="I4853" i="1"/>
  <c r="S4853" i="1"/>
  <c r="B4854" i="1"/>
  <c r="E4854" i="1"/>
  <c r="I4854" i="1"/>
  <c r="S4854" i="1"/>
  <c r="B4855" i="1"/>
  <c r="E4855" i="1"/>
  <c r="I4855" i="1"/>
  <c r="S4855" i="1"/>
  <c r="B4856" i="1"/>
  <c r="E4856" i="1"/>
  <c r="I4856" i="1"/>
  <c r="S4856" i="1"/>
  <c r="B4857" i="1"/>
  <c r="E4857" i="1"/>
  <c r="I4857" i="1"/>
  <c r="S4857" i="1"/>
  <c r="B4858" i="1"/>
  <c r="E4858" i="1"/>
  <c r="I4858" i="1"/>
  <c r="S4858" i="1"/>
  <c r="B4859" i="1"/>
  <c r="E4859" i="1"/>
  <c r="I4859" i="1"/>
  <c r="S4859" i="1"/>
  <c r="B4860" i="1"/>
  <c r="E4860" i="1"/>
  <c r="I4860" i="1"/>
  <c r="S4860" i="1"/>
  <c r="B4861" i="1"/>
  <c r="E4861" i="1"/>
  <c r="I4861" i="1"/>
  <c r="S4861" i="1"/>
  <c r="B4862" i="1"/>
  <c r="E4862" i="1"/>
  <c r="I4862" i="1"/>
  <c r="S4862" i="1"/>
  <c r="B4863" i="1"/>
  <c r="E4863" i="1"/>
  <c r="I4863" i="1"/>
  <c r="S4863" i="1"/>
  <c r="B4864" i="1"/>
  <c r="E4864" i="1"/>
  <c r="I4864" i="1"/>
  <c r="S4864" i="1"/>
  <c r="B4865" i="1"/>
  <c r="E4865" i="1"/>
  <c r="I4865" i="1"/>
  <c r="S4865" i="1"/>
  <c r="B4866" i="1"/>
  <c r="E4866" i="1"/>
  <c r="I4866" i="1"/>
  <c r="S4866" i="1"/>
  <c r="B4867" i="1"/>
  <c r="E4867" i="1"/>
  <c r="I4867" i="1"/>
  <c r="S4867" i="1"/>
  <c r="B4868" i="1"/>
  <c r="E4868" i="1"/>
  <c r="I4868" i="1"/>
  <c r="S4868" i="1"/>
  <c r="B4869" i="1"/>
  <c r="E4869" i="1"/>
  <c r="I4869" i="1"/>
  <c r="S4869" i="1"/>
  <c r="B4870" i="1"/>
  <c r="E4870" i="1"/>
  <c r="I4870" i="1"/>
  <c r="S4870" i="1"/>
  <c r="B4871" i="1"/>
  <c r="E4871" i="1"/>
  <c r="I4871" i="1"/>
  <c r="S4871" i="1"/>
  <c r="B4872" i="1"/>
  <c r="E4872" i="1"/>
  <c r="I4872" i="1"/>
  <c r="S4872" i="1"/>
  <c r="B4873" i="1"/>
  <c r="E4873" i="1"/>
  <c r="I4873" i="1"/>
  <c r="S4873" i="1"/>
  <c r="B4874" i="1"/>
  <c r="E4874" i="1"/>
  <c r="I4874" i="1"/>
  <c r="S4874" i="1"/>
  <c r="B4875" i="1"/>
  <c r="E4875" i="1"/>
  <c r="I4875" i="1"/>
  <c r="S4875" i="1"/>
  <c r="B4876" i="1"/>
  <c r="E4876" i="1"/>
  <c r="I4876" i="1"/>
  <c r="S4876" i="1"/>
  <c r="B4877" i="1"/>
  <c r="E4877" i="1"/>
  <c r="I4877" i="1"/>
  <c r="S4877" i="1"/>
  <c r="B4878" i="1"/>
  <c r="E4878" i="1"/>
  <c r="I4878" i="1"/>
  <c r="S4878" i="1"/>
  <c r="B4879" i="1"/>
  <c r="E4879" i="1"/>
  <c r="I4879" i="1"/>
  <c r="S4879" i="1"/>
  <c r="B4880" i="1"/>
  <c r="E4880" i="1"/>
  <c r="I4880" i="1"/>
  <c r="S4880" i="1"/>
  <c r="B4881" i="1"/>
  <c r="E4881" i="1"/>
  <c r="I4881" i="1"/>
  <c r="S4881" i="1"/>
  <c r="B4882" i="1"/>
  <c r="E4882" i="1"/>
  <c r="I4882" i="1"/>
  <c r="S4882" i="1"/>
  <c r="B4883" i="1"/>
  <c r="E4883" i="1"/>
  <c r="I4883" i="1"/>
  <c r="S4883" i="1"/>
  <c r="B4884" i="1"/>
  <c r="E4884" i="1"/>
  <c r="I4884" i="1"/>
  <c r="S4884" i="1"/>
  <c r="B4885" i="1"/>
  <c r="E4885" i="1"/>
  <c r="I4885" i="1"/>
  <c r="S4885" i="1"/>
  <c r="B4886" i="1"/>
  <c r="E4886" i="1"/>
  <c r="I4886" i="1"/>
  <c r="S4886" i="1"/>
  <c r="B4887" i="1"/>
  <c r="E4887" i="1"/>
  <c r="I4887" i="1"/>
  <c r="S4887" i="1"/>
  <c r="B4888" i="1"/>
  <c r="E4888" i="1"/>
  <c r="I4888" i="1"/>
  <c r="S4888" i="1"/>
  <c r="B4889" i="1"/>
  <c r="E4889" i="1"/>
  <c r="I4889" i="1"/>
  <c r="S4889" i="1"/>
  <c r="B4890" i="1"/>
  <c r="E4890" i="1"/>
  <c r="I4890" i="1"/>
  <c r="S4890" i="1"/>
  <c r="B4891" i="1"/>
  <c r="E4891" i="1"/>
  <c r="I4891" i="1"/>
  <c r="S4891" i="1"/>
  <c r="B4892" i="1"/>
  <c r="E4892" i="1"/>
  <c r="I4892" i="1"/>
  <c r="S4892" i="1"/>
  <c r="B4893" i="1"/>
  <c r="E4893" i="1"/>
  <c r="I4893" i="1"/>
  <c r="S4893" i="1"/>
  <c r="B4894" i="1"/>
  <c r="E4894" i="1"/>
  <c r="I4894" i="1"/>
  <c r="S4894" i="1"/>
  <c r="B4895" i="1"/>
  <c r="E4895" i="1"/>
  <c r="I4895" i="1"/>
  <c r="S4895" i="1"/>
  <c r="B4896" i="1"/>
  <c r="E4896" i="1"/>
  <c r="I4896" i="1"/>
  <c r="S4896" i="1"/>
  <c r="B4897" i="1"/>
  <c r="E4897" i="1"/>
  <c r="I4897" i="1"/>
  <c r="S4897" i="1"/>
  <c r="B4898" i="1"/>
  <c r="E4898" i="1"/>
  <c r="I4898" i="1"/>
  <c r="S4898" i="1"/>
  <c r="B4899" i="1"/>
  <c r="E4899" i="1"/>
  <c r="I4899" i="1"/>
  <c r="S4899" i="1"/>
  <c r="B4900" i="1"/>
  <c r="E4900" i="1"/>
  <c r="I4900" i="1"/>
  <c r="S4900" i="1"/>
  <c r="B4901" i="1"/>
  <c r="E4901" i="1"/>
  <c r="I4901" i="1"/>
  <c r="S4901" i="1"/>
  <c r="B4902" i="1"/>
  <c r="E4902" i="1"/>
  <c r="I4902" i="1"/>
  <c r="S4902" i="1"/>
  <c r="B4903" i="1"/>
  <c r="E4903" i="1"/>
  <c r="I4903" i="1"/>
  <c r="S4903" i="1"/>
  <c r="B4904" i="1"/>
  <c r="E4904" i="1"/>
  <c r="I4904" i="1"/>
  <c r="S4904" i="1"/>
  <c r="B4905" i="1"/>
  <c r="E4905" i="1"/>
  <c r="I4905" i="1"/>
  <c r="S4905" i="1"/>
  <c r="B4906" i="1"/>
  <c r="E4906" i="1"/>
  <c r="I4906" i="1"/>
  <c r="S4906" i="1"/>
  <c r="B4907" i="1"/>
  <c r="E4907" i="1"/>
  <c r="I4907" i="1"/>
  <c r="S4907" i="1"/>
  <c r="B4908" i="1"/>
  <c r="E4908" i="1"/>
  <c r="I4908" i="1"/>
  <c r="S4908" i="1"/>
  <c r="B4909" i="1"/>
  <c r="E4909" i="1"/>
  <c r="I4909" i="1"/>
  <c r="S4909" i="1"/>
  <c r="B4910" i="1"/>
  <c r="E4910" i="1"/>
  <c r="I4910" i="1"/>
  <c r="S4910" i="1"/>
  <c r="B4911" i="1"/>
  <c r="E4911" i="1"/>
  <c r="I4911" i="1"/>
  <c r="S4911" i="1"/>
  <c r="B4912" i="1"/>
  <c r="E4912" i="1"/>
  <c r="I4912" i="1"/>
  <c r="S4912" i="1"/>
  <c r="B4913" i="1"/>
  <c r="E4913" i="1"/>
  <c r="I4913" i="1"/>
  <c r="S4913" i="1"/>
  <c r="B4914" i="1"/>
  <c r="E4914" i="1"/>
  <c r="I4914" i="1"/>
  <c r="S4914" i="1"/>
  <c r="B4915" i="1"/>
  <c r="E4915" i="1"/>
  <c r="I4915" i="1"/>
  <c r="S4915" i="1"/>
  <c r="B4916" i="1"/>
  <c r="E4916" i="1"/>
  <c r="I4916" i="1"/>
  <c r="S4916" i="1"/>
  <c r="B4917" i="1"/>
  <c r="E4917" i="1"/>
  <c r="I4917" i="1"/>
  <c r="S4917" i="1"/>
  <c r="B4918" i="1"/>
  <c r="E4918" i="1"/>
  <c r="I4918" i="1"/>
  <c r="S4918" i="1"/>
  <c r="B4919" i="1"/>
  <c r="E4919" i="1"/>
  <c r="I4919" i="1"/>
  <c r="S4919" i="1"/>
  <c r="B4920" i="1"/>
  <c r="E4920" i="1"/>
  <c r="I4920" i="1"/>
  <c r="S4920" i="1"/>
  <c r="B4921" i="1"/>
  <c r="E4921" i="1"/>
  <c r="I4921" i="1"/>
  <c r="S4921" i="1"/>
  <c r="B4922" i="1"/>
  <c r="E4922" i="1"/>
  <c r="I4922" i="1"/>
  <c r="S4922" i="1"/>
  <c r="B4923" i="1"/>
  <c r="E4923" i="1"/>
  <c r="I4923" i="1"/>
  <c r="S4923" i="1"/>
  <c r="B4924" i="1"/>
  <c r="E4924" i="1"/>
  <c r="I4924" i="1"/>
  <c r="S4924" i="1"/>
  <c r="B4925" i="1"/>
  <c r="E4925" i="1"/>
  <c r="I4925" i="1"/>
  <c r="S4925" i="1"/>
  <c r="B4926" i="1"/>
  <c r="E4926" i="1"/>
  <c r="I4926" i="1"/>
  <c r="S4926" i="1"/>
  <c r="B4927" i="1"/>
  <c r="E4927" i="1"/>
  <c r="I4927" i="1"/>
  <c r="S4927" i="1"/>
  <c r="B4928" i="1"/>
  <c r="E4928" i="1"/>
  <c r="I4928" i="1"/>
  <c r="S4928" i="1"/>
  <c r="B4929" i="1"/>
  <c r="E4929" i="1"/>
  <c r="I4929" i="1"/>
  <c r="S4929" i="1"/>
  <c r="B4930" i="1"/>
  <c r="E4930" i="1"/>
  <c r="I4930" i="1"/>
  <c r="S4930" i="1"/>
  <c r="B4931" i="1"/>
  <c r="E4931" i="1"/>
  <c r="I4931" i="1"/>
  <c r="S4931" i="1"/>
  <c r="B4932" i="1"/>
  <c r="E4932" i="1"/>
  <c r="I4932" i="1"/>
  <c r="S4932" i="1"/>
  <c r="B4933" i="1"/>
  <c r="E4933" i="1"/>
  <c r="I4933" i="1"/>
  <c r="S4933" i="1"/>
  <c r="B4934" i="1"/>
  <c r="E4934" i="1"/>
  <c r="I4934" i="1"/>
  <c r="S4934" i="1"/>
  <c r="B4935" i="1"/>
  <c r="E4935" i="1"/>
  <c r="I4935" i="1"/>
  <c r="S4935" i="1"/>
  <c r="B4936" i="1"/>
  <c r="E4936" i="1"/>
  <c r="I4936" i="1"/>
  <c r="S4936" i="1"/>
  <c r="B4937" i="1"/>
  <c r="E4937" i="1"/>
  <c r="I4937" i="1"/>
  <c r="S4937" i="1"/>
  <c r="B4938" i="1"/>
  <c r="E4938" i="1"/>
  <c r="I4938" i="1"/>
  <c r="S4938" i="1"/>
  <c r="B4939" i="1"/>
  <c r="E4939" i="1"/>
  <c r="I4939" i="1"/>
  <c r="S4939" i="1"/>
  <c r="B4940" i="1"/>
  <c r="E4940" i="1"/>
  <c r="I4940" i="1"/>
  <c r="S4940" i="1"/>
  <c r="B4941" i="1"/>
  <c r="E4941" i="1"/>
  <c r="I4941" i="1"/>
  <c r="S4941" i="1"/>
  <c r="B4942" i="1"/>
  <c r="E4942" i="1"/>
  <c r="I4942" i="1"/>
  <c r="S4942" i="1"/>
  <c r="B4943" i="1"/>
  <c r="E4943" i="1"/>
  <c r="I4943" i="1"/>
  <c r="S4943" i="1"/>
  <c r="B4944" i="1"/>
  <c r="E4944" i="1"/>
  <c r="I4944" i="1"/>
  <c r="S4944" i="1"/>
  <c r="B4945" i="1"/>
  <c r="E4945" i="1"/>
  <c r="I4945" i="1"/>
  <c r="S4945" i="1"/>
  <c r="B4946" i="1"/>
  <c r="E4946" i="1"/>
  <c r="I4946" i="1"/>
  <c r="B4947" i="1"/>
  <c r="E4947" i="1"/>
  <c r="I4947" i="1"/>
  <c r="S4947" i="1"/>
  <c r="B4948" i="1"/>
  <c r="E4948" i="1"/>
  <c r="I4948" i="1"/>
  <c r="S4948" i="1"/>
  <c r="B4949" i="1"/>
  <c r="E4949" i="1"/>
  <c r="I4949" i="1"/>
  <c r="S4949" i="1"/>
  <c r="B4950" i="1"/>
  <c r="E4950" i="1"/>
  <c r="I4950" i="1"/>
  <c r="S4950" i="1"/>
  <c r="B4951" i="1"/>
  <c r="E4951" i="1"/>
  <c r="I4951" i="1"/>
  <c r="S4951" i="1"/>
  <c r="B4952" i="1"/>
  <c r="E4952" i="1"/>
  <c r="I4952" i="1"/>
  <c r="S4952" i="1"/>
  <c r="B4953" i="1"/>
  <c r="E4953" i="1"/>
  <c r="I4953" i="1"/>
  <c r="S4953" i="1"/>
  <c r="B4954" i="1"/>
  <c r="E4954" i="1"/>
  <c r="I4954" i="1"/>
  <c r="S4954" i="1"/>
  <c r="B4955" i="1"/>
  <c r="E4955" i="1"/>
  <c r="I4955" i="1"/>
  <c r="S4955" i="1"/>
  <c r="B4956" i="1"/>
  <c r="E4956" i="1"/>
  <c r="I4956" i="1"/>
  <c r="S4956" i="1"/>
  <c r="B4957" i="1"/>
  <c r="E4957" i="1"/>
  <c r="I4957" i="1"/>
  <c r="S4957" i="1"/>
  <c r="B4958" i="1"/>
  <c r="E4958" i="1"/>
  <c r="I4958" i="1"/>
  <c r="S4958" i="1"/>
  <c r="B4959" i="1"/>
  <c r="E4959" i="1"/>
  <c r="I4959" i="1"/>
  <c r="S4959" i="1"/>
  <c r="B4960" i="1"/>
  <c r="E4960" i="1"/>
  <c r="I4960" i="1"/>
  <c r="S4960" i="1"/>
  <c r="B4961" i="1"/>
  <c r="E4961" i="1"/>
  <c r="I4961" i="1"/>
  <c r="S4961" i="1"/>
  <c r="B4962" i="1"/>
  <c r="E4962" i="1"/>
  <c r="I4962" i="1"/>
  <c r="S4962" i="1"/>
  <c r="B4963" i="1"/>
  <c r="E4963" i="1"/>
  <c r="I4963" i="1"/>
  <c r="S4963" i="1"/>
  <c r="B4964" i="1"/>
  <c r="E4964" i="1"/>
  <c r="I4964" i="1"/>
  <c r="S4964" i="1"/>
  <c r="B4965" i="1"/>
  <c r="E4965" i="1"/>
  <c r="I4965" i="1"/>
  <c r="S4965" i="1"/>
  <c r="B4966" i="1"/>
  <c r="E4966" i="1"/>
  <c r="I4966" i="1"/>
  <c r="S4966" i="1"/>
  <c r="B4967" i="1"/>
  <c r="E4967" i="1"/>
  <c r="I4967" i="1"/>
  <c r="S4967" i="1"/>
  <c r="B4968" i="1"/>
  <c r="E4968" i="1"/>
  <c r="I4968" i="1"/>
  <c r="S4968" i="1"/>
  <c r="B4969" i="1"/>
  <c r="E4969" i="1"/>
  <c r="I4969" i="1"/>
  <c r="S4969" i="1"/>
  <c r="B4970" i="1"/>
  <c r="E4970" i="1"/>
  <c r="I4970" i="1"/>
  <c r="S4970" i="1"/>
  <c r="B4971" i="1"/>
  <c r="E4971" i="1"/>
  <c r="I4971" i="1"/>
  <c r="S4971" i="1"/>
  <c r="B4972" i="1"/>
  <c r="E4972" i="1"/>
  <c r="I4972" i="1"/>
  <c r="S4972" i="1"/>
  <c r="B4973" i="1"/>
  <c r="E4973" i="1"/>
  <c r="I4973" i="1"/>
  <c r="S4973" i="1"/>
  <c r="B4974" i="1"/>
  <c r="E4974" i="1"/>
  <c r="I4974" i="1"/>
  <c r="S4974" i="1"/>
  <c r="B4975" i="1"/>
  <c r="E4975" i="1"/>
  <c r="I4975" i="1"/>
  <c r="S4975" i="1"/>
  <c r="B4976" i="1"/>
  <c r="E4976" i="1"/>
  <c r="I4976" i="1"/>
  <c r="S4976" i="1"/>
  <c r="B4977" i="1"/>
  <c r="E4977" i="1"/>
  <c r="I4977" i="1"/>
  <c r="S4977" i="1"/>
  <c r="B4978" i="1"/>
  <c r="E4978" i="1"/>
  <c r="I4978" i="1"/>
  <c r="S4978" i="1"/>
  <c r="B4979" i="1"/>
  <c r="E4979" i="1"/>
  <c r="I4979" i="1"/>
  <c r="S4979" i="1"/>
  <c r="B4980" i="1"/>
  <c r="E4980" i="1"/>
  <c r="I4980" i="1"/>
  <c r="S4980" i="1"/>
  <c r="B4981" i="1"/>
  <c r="E4981" i="1"/>
  <c r="I4981" i="1"/>
  <c r="S4981" i="1"/>
  <c r="B4982" i="1"/>
  <c r="E4982" i="1"/>
  <c r="I4982" i="1"/>
  <c r="S4982" i="1"/>
  <c r="B4983" i="1"/>
  <c r="E4983" i="1"/>
  <c r="I4983" i="1"/>
  <c r="S4983" i="1"/>
  <c r="B4984" i="1"/>
  <c r="E4984" i="1"/>
  <c r="I4984" i="1"/>
  <c r="S4984" i="1"/>
  <c r="B4985" i="1"/>
  <c r="E4985" i="1"/>
  <c r="I4985" i="1"/>
  <c r="S4985" i="1"/>
  <c r="B4986" i="1"/>
  <c r="E4986" i="1"/>
  <c r="I4986" i="1"/>
  <c r="S4986" i="1"/>
  <c r="B4987" i="1"/>
  <c r="E4987" i="1"/>
  <c r="I4987" i="1"/>
  <c r="S4987" i="1"/>
  <c r="B4988" i="1"/>
  <c r="E4988" i="1"/>
  <c r="I4988" i="1"/>
  <c r="S4988" i="1"/>
  <c r="B4989" i="1"/>
  <c r="E4989" i="1"/>
  <c r="I4989" i="1"/>
  <c r="S4989" i="1"/>
  <c r="B4990" i="1"/>
  <c r="E4990" i="1"/>
  <c r="I4990" i="1"/>
  <c r="S4990" i="1"/>
  <c r="B4991" i="1"/>
  <c r="E4991" i="1"/>
  <c r="I4991" i="1"/>
  <c r="S4991" i="1"/>
  <c r="B4992" i="1"/>
  <c r="E4992" i="1"/>
  <c r="I4992" i="1"/>
  <c r="S4992" i="1"/>
  <c r="B4993" i="1"/>
  <c r="E4993" i="1"/>
  <c r="I4993" i="1"/>
  <c r="B4994" i="1"/>
  <c r="E4994" i="1"/>
  <c r="I4994" i="1"/>
  <c r="S4994" i="1"/>
  <c r="B4995" i="1"/>
  <c r="E4995" i="1"/>
  <c r="I4995" i="1"/>
  <c r="S4995" i="1"/>
  <c r="B4996" i="1"/>
  <c r="E4996" i="1"/>
  <c r="I4996" i="1"/>
  <c r="S4996" i="1"/>
  <c r="B4997" i="1"/>
  <c r="E4997" i="1"/>
  <c r="I4997" i="1"/>
  <c r="S4997" i="1"/>
  <c r="B4998" i="1"/>
  <c r="E4998" i="1"/>
  <c r="I4998" i="1"/>
  <c r="S4998" i="1"/>
  <c r="B4999" i="1"/>
  <c r="E4999" i="1"/>
  <c r="I4999" i="1"/>
  <c r="S4999" i="1"/>
  <c r="B5000" i="1"/>
  <c r="E5000" i="1"/>
  <c r="I5000" i="1"/>
  <c r="S5000" i="1"/>
  <c r="B5001" i="1"/>
  <c r="E5001" i="1"/>
  <c r="I5001" i="1"/>
  <c r="S5001" i="1"/>
  <c r="B5002" i="1"/>
  <c r="E5002" i="1"/>
  <c r="I5002" i="1"/>
  <c r="S5002" i="1"/>
  <c r="B5003" i="1"/>
  <c r="E5003" i="1"/>
  <c r="I5003" i="1"/>
  <c r="S5003" i="1"/>
  <c r="B5004" i="1"/>
  <c r="E5004" i="1"/>
  <c r="I5004" i="1"/>
  <c r="S5004" i="1"/>
  <c r="B5005" i="1"/>
  <c r="E5005" i="1"/>
  <c r="I5005" i="1"/>
  <c r="S5005" i="1"/>
  <c r="B5006" i="1"/>
  <c r="E5006" i="1"/>
  <c r="I5006" i="1"/>
  <c r="S5006" i="1"/>
  <c r="B5007" i="1"/>
  <c r="E5007" i="1"/>
  <c r="I5007" i="1"/>
  <c r="S5007" i="1"/>
  <c r="B5008" i="1"/>
  <c r="E5008" i="1"/>
  <c r="I5008" i="1"/>
  <c r="S5008" i="1"/>
  <c r="B5009" i="1"/>
  <c r="E5009" i="1"/>
  <c r="I5009" i="1"/>
  <c r="S5009" i="1"/>
  <c r="B5010" i="1"/>
  <c r="E5010" i="1"/>
  <c r="I5010" i="1"/>
  <c r="S5010" i="1"/>
  <c r="B5011" i="1"/>
  <c r="E5011" i="1"/>
  <c r="I5011" i="1"/>
  <c r="S5011" i="1"/>
  <c r="B5012" i="1"/>
  <c r="E5012" i="1"/>
  <c r="I5012" i="1"/>
  <c r="S5012" i="1"/>
  <c r="B5013" i="1"/>
  <c r="E5013" i="1"/>
  <c r="I5013" i="1"/>
  <c r="S5013" i="1"/>
  <c r="B5014" i="1"/>
  <c r="E5014" i="1"/>
  <c r="I5014" i="1"/>
  <c r="S5014" i="1"/>
  <c r="B5015" i="1"/>
  <c r="E5015" i="1"/>
  <c r="I5015" i="1"/>
  <c r="S5015" i="1"/>
  <c r="B5016" i="1"/>
  <c r="E5016" i="1"/>
  <c r="I5016" i="1"/>
  <c r="S5016" i="1"/>
  <c r="B5017" i="1"/>
  <c r="E5017" i="1"/>
  <c r="I5017" i="1"/>
  <c r="S5017" i="1"/>
  <c r="B5018" i="1"/>
  <c r="E5018" i="1"/>
  <c r="I5018" i="1"/>
  <c r="S5018" i="1"/>
  <c r="B5019" i="1"/>
  <c r="E5019" i="1"/>
  <c r="I5019" i="1"/>
  <c r="S5019" i="1"/>
  <c r="B5020" i="1"/>
  <c r="E5020" i="1"/>
  <c r="I5020" i="1"/>
  <c r="S5020" i="1"/>
  <c r="B5021" i="1"/>
  <c r="E5021" i="1"/>
  <c r="I5021" i="1"/>
  <c r="S5021" i="1"/>
  <c r="B5022" i="1"/>
  <c r="E5022" i="1"/>
  <c r="I5022" i="1"/>
  <c r="S5022" i="1"/>
  <c r="B5023" i="1"/>
  <c r="E5023" i="1"/>
  <c r="I5023" i="1"/>
  <c r="S5023" i="1"/>
  <c r="B5024" i="1"/>
  <c r="E5024" i="1"/>
  <c r="I5024" i="1"/>
  <c r="S5024" i="1"/>
  <c r="B5025" i="1"/>
  <c r="E5025" i="1"/>
  <c r="I5025" i="1"/>
  <c r="S5025" i="1"/>
  <c r="B5026" i="1"/>
  <c r="E5026" i="1"/>
  <c r="I5026" i="1"/>
  <c r="S5026" i="1"/>
  <c r="B5027" i="1"/>
  <c r="E5027" i="1"/>
  <c r="I5027" i="1"/>
  <c r="S5027" i="1"/>
  <c r="B5028" i="1"/>
  <c r="E5028" i="1"/>
  <c r="I5028" i="1"/>
  <c r="S5028" i="1"/>
  <c r="B5029" i="1"/>
  <c r="E5029" i="1"/>
  <c r="I5029" i="1"/>
  <c r="S5029" i="1"/>
  <c r="B5030" i="1"/>
  <c r="E5030" i="1"/>
  <c r="I5030" i="1"/>
  <c r="S5030" i="1"/>
  <c r="B5031" i="1"/>
  <c r="E5031" i="1"/>
  <c r="I5031" i="1"/>
  <c r="S5031" i="1"/>
  <c r="B5032" i="1"/>
  <c r="E5032" i="1"/>
  <c r="I5032" i="1"/>
  <c r="S5032" i="1"/>
  <c r="B5033" i="1"/>
  <c r="E5033" i="1"/>
  <c r="I5033" i="1"/>
  <c r="S5033" i="1"/>
  <c r="B5034" i="1"/>
  <c r="E5034" i="1"/>
  <c r="I5034" i="1"/>
  <c r="S5034" i="1"/>
  <c r="B5035" i="1"/>
  <c r="E5035" i="1"/>
  <c r="I5035" i="1"/>
  <c r="S5035" i="1"/>
  <c r="B5036" i="1"/>
  <c r="E5036" i="1"/>
  <c r="I5036" i="1"/>
  <c r="S5036" i="1"/>
  <c r="B5037" i="1"/>
  <c r="E5037" i="1"/>
  <c r="I5037" i="1"/>
  <c r="S5037" i="1"/>
  <c r="B5038" i="1"/>
  <c r="E5038" i="1"/>
  <c r="I5038" i="1"/>
  <c r="S5038" i="1"/>
  <c r="B5039" i="1"/>
  <c r="E5039" i="1"/>
  <c r="I5039" i="1"/>
  <c r="S5039" i="1"/>
  <c r="B5040" i="1"/>
  <c r="E5040" i="1"/>
  <c r="I5040" i="1"/>
  <c r="S5040" i="1"/>
  <c r="B5041" i="1"/>
  <c r="E5041" i="1"/>
  <c r="I5041" i="1"/>
  <c r="B5042" i="1"/>
  <c r="E5042" i="1"/>
  <c r="I5042" i="1"/>
  <c r="S5042" i="1"/>
  <c r="B5043" i="1"/>
  <c r="E5043" i="1"/>
  <c r="I5043" i="1"/>
  <c r="B5044" i="1"/>
  <c r="E5044" i="1"/>
  <c r="I5044" i="1"/>
  <c r="S5044" i="1"/>
  <c r="B5045" i="1"/>
  <c r="E5045" i="1"/>
  <c r="I5045" i="1"/>
  <c r="S5045" i="1"/>
  <c r="B5046" i="1"/>
  <c r="E5046" i="1"/>
  <c r="I5046" i="1"/>
  <c r="S5046" i="1"/>
  <c r="B5047" i="1"/>
  <c r="E5047" i="1"/>
  <c r="I5047" i="1"/>
  <c r="S5047" i="1"/>
  <c r="B5048" i="1"/>
  <c r="E5048" i="1"/>
  <c r="I5048" i="1"/>
  <c r="S5048" i="1"/>
  <c r="B5049" i="1"/>
  <c r="E5049" i="1"/>
  <c r="I5049" i="1"/>
  <c r="S5049" i="1"/>
  <c r="B5050" i="1"/>
  <c r="E5050" i="1"/>
  <c r="I5050" i="1"/>
  <c r="S5050" i="1"/>
  <c r="B5051" i="1"/>
  <c r="E5051" i="1"/>
  <c r="I5051" i="1"/>
  <c r="S5051" i="1"/>
  <c r="B5052" i="1"/>
  <c r="E5052" i="1"/>
  <c r="I5052" i="1"/>
  <c r="S5052" i="1"/>
  <c r="B5053" i="1"/>
  <c r="E5053" i="1"/>
  <c r="I5053" i="1"/>
  <c r="S5053" i="1"/>
  <c r="B5054" i="1"/>
  <c r="E5054" i="1"/>
  <c r="I5054" i="1"/>
  <c r="S5054" i="1"/>
  <c r="B5055" i="1"/>
  <c r="E5055" i="1"/>
  <c r="I5055" i="1"/>
  <c r="S5055" i="1"/>
  <c r="B5056" i="1"/>
  <c r="E5056" i="1"/>
  <c r="I5056" i="1"/>
  <c r="S5056" i="1"/>
  <c r="B5057" i="1"/>
  <c r="E5057" i="1"/>
  <c r="I5057" i="1"/>
  <c r="S5057" i="1"/>
  <c r="B5058" i="1"/>
  <c r="E5058" i="1"/>
  <c r="I5058" i="1"/>
  <c r="S5058" i="1"/>
  <c r="B5059" i="1"/>
  <c r="E5059" i="1"/>
  <c r="I5059" i="1"/>
  <c r="S5059" i="1"/>
  <c r="B5060" i="1"/>
  <c r="E5060" i="1"/>
  <c r="I5060" i="1"/>
  <c r="S5060" i="1"/>
  <c r="B5061" i="1"/>
  <c r="E5061" i="1"/>
  <c r="I5061" i="1"/>
  <c r="S5061" i="1"/>
  <c r="B5062" i="1"/>
  <c r="E5062" i="1"/>
  <c r="I5062" i="1"/>
  <c r="S5062" i="1"/>
  <c r="B5063" i="1"/>
  <c r="E5063" i="1"/>
  <c r="I5063" i="1"/>
  <c r="S5063" i="1"/>
  <c r="B5064" i="1"/>
  <c r="E5064" i="1"/>
  <c r="I5064" i="1"/>
  <c r="S5064" i="1"/>
  <c r="B5065" i="1"/>
  <c r="E5065" i="1"/>
  <c r="I5065" i="1"/>
  <c r="S5065" i="1"/>
  <c r="B5066" i="1"/>
  <c r="E5066" i="1"/>
  <c r="I5066" i="1"/>
  <c r="S5066" i="1"/>
  <c r="B5067" i="1"/>
  <c r="E5067" i="1"/>
  <c r="I5067" i="1"/>
  <c r="B5068" i="1"/>
  <c r="E5068" i="1"/>
  <c r="I5068" i="1"/>
  <c r="S5068" i="1"/>
  <c r="B5069" i="1"/>
  <c r="E5069" i="1"/>
  <c r="I5069" i="1"/>
  <c r="S5069" i="1"/>
  <c r="B5070" i="1"/>
  <c r="E5070" i="1"/>
  <c r="I5070" i="1"/>
  <c r="S5070" i="1"/>
  <c r="B5071" i="1"/>
  <c r="E5071" i="1"/>
  <c r="I5071" i="1"/>
  <c r="S5071" i="1"/>
  <c r="B5072" i="1"/>
  <c r="E5072" i="1"/>
  <c r="I5072" i="1"/>
  <c r="S5072" i="1"/>
  <c r="B5073" i="1"/>
  <c r="E5073" i="1"/>
  <c r="I5073" i="1"/>
  <c r="S5073" i="1"/>
  <c r="B5074" i="1"/>
  <c r="E5074" i="1"/>
  <c r="I5074" i="1"/>
  <c r="S5074" i="1"/>
  <c r="B5075" i="1"/>
  <c r="E5075" i="1"/>
  <c r="I5075" i="1"/>
  <c r="S5075" i="1"/>
  <c r="B5076" i="1"/>
  <c r="E5076" i="1"/>
  <c r="I5076" i="1"/>
  <c r="S5076" i="1"/>
  <c r="B5077" i="1"/>
  <c r="E5077" i="1"/>
  <c r="I5077" i="1"/>
  <c r="S5077" i="1"/>
  <c r="B5078" i="1"/>
  <c r="E5078" i="1"/>
  <c r="I5078" i="1"/>
  <c r="S5078" i="1"/>
  <c r="B5079" i="1"/>
  <c r="E5079" i="1"/>
  <c r="I5079" i="1"/>
  <c r="S5079" i="1"/>
  <c r="B5080" i="1"/>
  <c r="E5080" i="1"/>
  <c r="I5080" i="1"/>
  <c r="S5080" i="1"/>
  <c r="B5081" i="1"/>
  <c r="E5081" i="1"/>
  <c r="I5081" i="1"/>
  <c r="S5081" i="1"/>
  <c r="B5082" i="1"/>
  <c r="E5082" i="1"/>
  <c r="I5082" i="1"/>
  <c r="S5082" i="1"/>
  <c r="B5083" i="1"/>
  <c r="E5083" i="1"/>
  <c r="I5083" i="1"/>
  <c r="S5083" i="1"/>
  <c r="B5084" i="1"/>
  <c r="E5084" i="1"/>
  <c r="I5084" i="1"/>
  <c r="S5084" i="1"/>
  <c r="B5085" i="1"/>
  <c r="E5085" i="1"/>
  <c r="I5085" i="1"/>
  <c r="S5085" i="1"/>
  <c r="B5086" i="1"/>
  <c r="E5086" i="1"/>
  <c r="I5086" i="1"/>
  <c r="S5086" i="1"/>
  <c r="B5087" i="1"/>
  <c r="E5087" i="1"/>
  <c r="I5087" i="1"/>
  <c r="S5087" i="1"/>
  <c r="B5088" i="1"/>
  <c r="E5088" i="1"/>
  <c r="I5088" i="1"/>
  <c r="S5088" i="1"/>
  <c r="B5089" i="1"/>
  <c r="E5089" i="1"/>
  <c r="I5089" i="1"/>
  <c r="S5089" i="1"/>
  <c r="B5090" i="1"/>
  <c r="E5090" i="1"/>
  <c r="I5090" i="1"/>
  <c r="S5090" i="1"/>
  <c r="B5091" i="1"/>
  <c r="E5091" i="1"/>
  <c r="I5091" i="1"/>
  <c r="S5091" i="1"/>
  <c r="B5092" i="1"/>
  <c r="E5092" i="1"/>
  <c r="I5092" i="1"/>
  <c r="S5092" i="1"/>
  <c r="B5093" i="1"/>
  <c r="E5093" i="1"/>
  <c r="I5093" i="1"/>
  <c r="S5093" i="1"/>
  <c r="B5094" i="1"/>
  <c r="E5094" i="1"/>
  <c r="I5094" i="1"/>
  <c r="S5094" i="1"/>
  <c r="B5095" i="1"/>
  <c r="E5095" i="1"/>
  <c r="I5095" i="1"/>
  <c r="S5095" i="1"/>
  <c r="B5096" i="1"/>
  <c r="E5096" i="1"/>
  <c r="I5096" i="1"/>
  <c r="S5096" i="1"/>
  <c r="B5097" i="1"/>
  <c r="E5097" i="1"/>
  <c r="I5097" i="1"/>
  <c r="S5097" i="1"/>
  <c r="B5098" i="1"/>
  <c r="E5098" i="1"/>
  <c r="I5098" i="1"/>
  <c r="S5098" i="1"/>
  <c r="B5099" i="1"/>
  <c r="E5099" i="1"/>
  <c r="I5099" i="1"/>
  <c r="S5099" i="1"/>
  <c r="B5100" i="1"/>
  <c r="E5100" i="1"/>
  <c r="I5100" i="1"/>
  <c r="S5100" i="1"/>
  <c r="B5101" i="1"/>
  <c r="E5101" i="1"/>
  <c r="I5101" i="1"/>
  <c r="S5101" i="1"/>
  <c r="B5102" i="1"/>
  <c r="E5102" i="1"/>
  <c r="I5102" i="1"/>
  <c r="S5102" i="1"/>
  <c r="B5103" i="1"/>
  <c r="E5103" i="1"/>
  <c r="I5103" i="1"/>
  <c r="S5103" i="1"/>
  <c r="B5104" i="1"/>
  <c r="E5104" i="1"/>
  <c r="I5104" i="1"/>
  <c r="S5104" i="1"/>
  <c r="B5105" i="1"/>
  <c r="E5105" i="1"/>
  <c r="I5105" i="1"/>
  <c r="S5105" i="1"/>
  <c r="B5106" i="1"/>
  <c r="E5106" i="1"/>
  <c r="I5106" i="1"/>
  <c r="S5106" i="1"/>
  <c r="B5107" i="1"/>
  <c r="E5107" i="1"/>
  <c r="I5107" i="1"/>
  <c r="S5107" i="1"/>
  <c r="B5108" i="1"/>
  <c r="E5108" i="1"/>
  <c r="I5108" i="1"/>
  <c r="S5108" i="1"/>
  <c r="B5109" i="1"/>
  <c r="E5109" i="1"/>
  <c r="I5109" i="1"/>
  <c r="S5109" i="1"/>
  <c r="B5110" i="1"/>
  <c r="E5110" i="1"/>
  <c r="I5110" i="1"/>
  <c r="S5110" i="1"/>
  <c r="B5111" i="1"/>
  <c r="E5111" i="1"/>
  <c r="I5111" i="1"/>
  <c r="S5111" i="1"/>
  <c r="B5112" i="1"/>
  <c r="E5112" i="1"/>
  <c r="I5112" i="1"/>
  <c r="S5112" i="1"/>
  <c r="B5113" i="1"/>
  <c r="E5113" i="1"/>
  <c r="I5113" i="1"/>
  <c r="S5113" i="1"/>
  <c r="B5114" i="1"/>
  <c r="E5114" i="1"/>
  <c r="I5114" i="1"/>
  <c r="S5114" i="1"/>
  <c r="B5115" i="1"/>
  <c r="E5115" i="1"/>
  <c r="I5115" i="1"/>
  <c r="S5115" i="1"/>
  <c r="B5116" i="1"/>
  <c r="E5116" i="1"/>
  <c r="I5116" i="1"/>
  <c r="S5116" i="1"/>
  <c r="B5117" i="1"/>
  <c r="E5117" i="1"/>
  <c r="I5117" i="1"/>
  <c r="S5117" i="1"/>
  <c r="B5118" i="1"/>
  <c r="E5118" i="1"/>
  <c r="I5118" i="1"/>
  <c r="S5118" i="1"/>
  <c r="B5119" i="1"/>
  <c r="E5119" i="1"/>
  <c r="I5119" i="1"/>
  <c r="S5119" i="1"/>
  <c r="B5120" i="1"/>
  <c r="E5120" i="1"/>
  <c r="I5120" i="1"/>
  <c r="S5120" i="1"/>
  <c r="B5121" i="1"/>
  <c r="E5121" i="1"/>
  <c r="I5121" i="1"/>
  <c r="S5121" i="1"/>
  <c r="B5122" i="1"/>
  <c r="E5122" i="1"/>
  <c r="I5122" i="1"/>
  <c r="S5122" i="1"/>
  <c r="B5123" i="1"/>
  <c r="E5123" i="1"/>
  <c r="I5123" i="1"/>
  <c r="S5123" i="1"/>
  <c r="B5124" i="1"/>
  <c r="E5124" i="1"/>
  <c r="I5124" i="1"/>
  <c r="S5124" i="1"/>
  <c r="B5125" i="1"/>
  <c r="E5125" i="1"/>
  <c r="I5125" i="1"/>
  <c r="S5125" i="1"/>
  <c r="B5126" i="1"/>
  <c r="E5126" i="1"/>
  <c r="I5126" i="1"/>
  <c r="S5126" i="1"/>
  <c r="B5127" i="1"/>
  <c r="E5127" i="1"/>
  <c r="I5127" i="1"/>
  <c r="S5127" i="1"/>
  <c r="B5128" i="1"/>
  <c r="E5128" i="1"/>
  <c r="I5128" i="1"/>
  <c r="S5128" i="1"/>
  <c r="B5129" i="1"/>
  <c r="E5129" i="1"/>
  <c r="I5129" i="1"/>
  <c r="S5129" i="1"/>
  <c r="B5130" i="1"/>
  <c r="E5130" i="1"/>
  <c r="I5130" i="1"/>
  <c r="S5130" i="1"/>
  <c r="B5131" i="1"/>
  <c r="E5131" i="1"/>
  <c r="I5131" i="1"/>
  <c r="S5131" i="1"/>
  <c r="B5132" i="1"/>
  <c r="E5132" i="1"/>
  <c r="I5132" i="1"/>
  <c r="S5132" i="1"/>
  <c r="B5133" i="1"/>
  <c r="E5133" i="1"/>
  <c r="I5133" i="1"/>
  <c r="S5133" i="1"/>
  <c r="B5134" i="1"/>
  <c r="E5134" i="1"/>
  <c r="I5134" i="1"/>
  <c r="S5134" i="1"/>
  <c r="B5135" i="1"/>
  <c r="E5135" i="1"/>
  <c r="I5135" i="1"/>
  <c r="S5135" i="1"/>
  <c r="B5136" i="1"/>
  <c r="E5136" i="1"/>
  <c r="I5136" i="1"/>
  <c r="S5136" i="1"/>
  <c r="B5137" i="1"/>
  <c r="E5137" i="1"/>
  <c r="I5137" i="1"/>
  <c r="S5137" i="1"/>
  <c r="B5138" i="1"/>
  <c r="E5138" i="1"/>
  <c r="I5138" i="1"/>
  <c r="S5138" i="1"/>
  <c r="B5139" i="1"/>
  <c r="E5139" i="1"/>
  <c r="I5139" i="1"/>
  <c r="S5139" i="1"/>
  <c r="B5140" i="1"/>
  <c r="E5140" i="1"/>
  <c r="I5140" i="1"/>
  <c r="S5140" i="1"/>
  <c r="B5141" i="1"/>
  <c r="E5141" i="1"/>
  <c r="I5141" i="1"/>
  <c r="S5141" i="1"/>
  <c r="B5142" i="1"/>
  <c r="E5142" i="1"/>
  <c r="I5142" i="1"/>
  <c r="S5142" i="1"/>
  <c r="B5143" i="1"/>
  <c r="E5143" i="1"/>
  <c r="I5143" i="1"/>
  <c r="S5143" i="1"/>
  <c r="B5144" i="1"/>
  <c r="E5144" i="1"/>
  <c r="I5144" i="1"/>
  <c r="S5144" i="1"/>
  <c r="B5145" i="1"/>
  <c r="E5145" i="1"/>
  <c r="I5145" i="1"/>
  <c r="S5145" i="1"/>
  <c r="B5146" i="1"/>
  <c r="E5146" i="1"/>
  <c r="I5146" i="1"/>
  <c r="S5146" i="1"/>
  <c r="B5147" i="1"/>
  <c r="E5147" i="1"/>
  <c r="I5147" i="1"/>
  <c r="S5147" i="1"/>
  <c r="B5148" i="1"/>
  <c r="E5148" i="1"/>
  <c r="I5148" i="1"/>
  <c r="S5148" i="1"/>
  <c r="B5149" i="1"/>
  <c r="E5149" i="1"/>
  <c r="I5149" i="1"/>
  <c r="S5149" i="1"/>
  <c r="B5150" i="1"/>
  <c r="E5150" i="1"/>
  <c r="I5150" i="1"/>
  <c r="S5150" i="1"/>
  <c r="B5151" i="1"/>
  <c r="E5151" i="1"/>
  <c r="I5151" i="1"/>
  <c r="S5151" i="1"/>
  <c r="B5152" i="1"/>
  <c r="E5152" i="1"/>
  <c r="I5152" i="1"/>
  <c r="S5152" i="1"/>
  <c r="B5153" i="1"/>
  <c r="E5153" i="1"/>
  <c r="I5153" i="1"/>
  <c r="S5153" i="1"/>
  <c r="B5154" i="1"/>
  <c r="E5154" i="1"/>
  <c r="I5154" i="1"/>
  <c r="S5154" i="1"/>
  <c r="B5155" i="1"/>
  <c r="E5155" i="1"/>
  <c r="I5155" i="1"/>
  <c r="S5155" i="1"/>
  <c r="B5156" i="1"/>
  <c r="E5156" i="1"/>
  <c r="I5156" i="1"/>
  <c r="S5156" i="1"/>
  <c r="B5157" i="1"/>
  <c r="E5157" i="1"/>
  <c r="I5157" i="1"/>
  <c r="S5157" i="1"/>
  <c r="B5158" i="1"/>
  <c r="E5158" i="1"/>
  <c r="I5158" i="1"/>
  <c r="S5158" i="1"/>
  <c r="B5159" i="1"/>
  <c r="E5159" i="1"/>
  <c r="I5159" i="1"/>
  <c r="S5159" i="1"/>
  <c r="B5160" i="1"/>
  <c r="E5160" i="1"/>
  <c r="I5160" i="1"/>
  <c r="S5160" i="1"/>
  <c r="B5161" i="1"/>
  <c r="E5161" i="1"/>
  <c r="I5161" i="1"/>
  <c r="S5161" i="1"/>
  <c r="B5162" i="1"/>
  <c r="E5162" i="1"/>
  <c r="I5162" i="1"/>
  <c r="S5162" i="1"/>
  <c r="B5163" i="1"/>
  <c r="E5163" i="1"/>
  <c r="I5163" i="1"/>
  <c r="S5163" i="1"/>
  <c r="B5164" i="1"/>
  <c r="E5164" i="1"/>
  <c r="I5164" i="1"/>
  <c r="S5164" i="1"/>
  <c r="B5165" i="1"/>
  <c r="E5165" i="1"/>
  <c r="I5165" i="1"/>
  <c r="S5165" i="1"/>
  <c r="B5166" i="1"/>
  <c r="E5166" i="1"/>
  <c r="I5166" i="1"/>
  <c r="S5166" i="1"/>
  <c r="B5167" i="1"/>
  <c r="E5167" i="1"/>
  <c r="I5167" i="1"/>
  <c r="S5167" i="1"/>
  <c r="B5168" i="1"/>
  <c r="E5168" i="1"/>
  <c r="I5168" i="1"/>
  <c r="S5168" i="1"/>
  <c r="B5169" i="1"/>
  <c r="E5169" i="1"/>
  <c r="I5169" i="1"/>
  <c r="S5169" i="1"/>
  <c r="B5170" i="1"/>
  <c r="E5170" i="1"/>
  <c r="I5170" i="1"/>
  <c r="S5170" i="1"/>
  <c r="B5171" i="1"/>
  <c r="E5171" i="1"/>
  <c r="I5171" i="1"/>
  <c r="S5171" i="1"/>
  <c r="B5172" i="1"/>
  <c r="E5172" i="1"/>
  <c r="I5172" i="1"/>
  <c r="S5172" i="1"/>
  <c r="B5173" i="1"/>
  <c r="E5173" i="1"/>
  <c r="I5173" i="1"/>
  <c r="S5173" i="1"/>
  <c r="B5174" i="1"/>
  <c r="E5174" i="1"/>
  <c r="I5174" i="1"/>
  <c r="S5174" i="1"/>
  <c r="B5175" i="1"/>
  <c r="E5175" i="1"/>
  <c r="I5175" i="1"/>
  <c r="S5175" i="1"/>
  <c r="B5176" i="1"/>
  <c r="E5176" i="1"/>
  <c r="I5176" i="1"/>
  <c r="S5176" i="1"/>
  <c r="B5177" i="1"/>
  <c r="E5177" i="1"/>
  <c r="I5177" i="1"/>
  <c r="S5177" i="1"/>
  <c r="B5178" i="1"/>
  <c r="E5178" i="1"/>
  <c r="I5178" i="1"/>
  <c r="S5178" i="1"/>
  <c r="B5179" i="1"/>
  <c r="E5179" i="1"/>
  <c r="I5179" i="1"/>
  <c r="S5179" i="1"/>
  <c r="B5180" i="1"/>
  <c r="E5180" i="1"/>
  <c r="I5180" i="1"/>
  <c r="S5180" i="1"/>
  <c r="B5181" i="1"/>
  <c r="E5181" i="1"/>
  <c r="I5181" i="1"/>
  <c r="S5181" i="1"/>
  <c r="B5182" i="1"/>
  <c r="E5182" i="1"/>
  <c r="I5182" i="1"/>
  <c r="S5182" i="1"/>
  <c r="B5183" i="1"/>
  <c r="E5183" i="1"/>
  <c r="I5183" i="1"/>
  <c r="S5183" i="1"/>
  <c r="B5184" i="1"/>
  <c r="E5184" i="1"/>
  <c r="I5184" i="1"/>
  <c r="S5184" i="1"/>
  <c r="B5185" i="1"/>
  <c r="E5185" i="1"/>
  <c r="I5185" i="1"/>
  <c r="S5185" i="1"/>
  <c r="B5186" i="1"/>
  <c r="E5186" i="1"/>
  <c r="I5186" i="1"/>
  <c r="S5186" i="1"/>
  <c r="B5187" i="1"/>
  <c r="E5187" i="1"/>
  <c r="I5187" i="1"/>
  <c r="S5187" i="1"/>
  <c r="B5188" i="1"/>
  <c r="E5188" i="1"/>
  <c r="I5188" i="1"/>
  <c r="S5188" i="1"/>
  <c r="B5189" i="1"/>
  <c r="E5189" i="1"/>
  <c r="I5189" i="1"/>
  <c r="S5189" i="1"/>
  <c r="B5190" i="1"/>
  <c r="E5190" i="1"/>
  <c r="I5190" i="1"/>
  <c r="S5190" i="1"/>
  <c r="B5191" i="1"/>
  <c r="E5191" i="1"/>
  <c r="I5191" i="1"/>
  <c r="S5191" i="1"/>
  <c r="B5192" i="1"/>
  <c r="E5192" i="1"/>
  <c r="I5192" i="1"/>
  <c r="S5192" i="1"/>
  <c r="B5193" i="1"/>
  <c r="E5193" i="1"/>
  <c r="I5193" i="1"/>
  <c r="S5193" i="1"/>
  <c r="B5194" i="1"/>
  <c r="E5194" i="1"/>
  <c r="I5194" i="1"/>
  <c r="S5194" i="1"/>
  <c r="B5195" i="1"/>
  <c r="E5195" i="1"/>
  <c r="I5195" i="1"/>
  <c r="S5195" i="1"/>
  <c r="B5196" i="1"/>
  <c r="E5196" i="1"/>
  <c r="I5196" i="1"/>
  <c r="S5196" i="1"/>
  <c r="B5197" i="1"/>
  <c r="E5197" i="1"/>
  <c r="I5197" i="1"/>
  <c r="S5197" i="1"/>
  <c r="B5198" i="1"/>
  <c r="E5198" i="1"/>
  <c r="I5198" i="1"/>
  <c r="S5198" i="1"/>
  <c r="B5199" i="1"/>
  <c r="E5199" i="1"/>
  <c r="I5199" i="1"/>
  <c r="S5199" i="1"/>
  <c r="B5200" i="1"/>
  <c r="E5200" i="1"/>
  <c r="I5200" i="1"/>
  <c r="S5200" i="1"/>
  <c r="B5201" i="1"/>
  <c r="E5201" i="1"/>
  <c r="I5201" i="1"/>
  <c r="S5201" i="1"/>
  <c r="B5202" i="1"/>
  <c r="E5202" i="1"/>
  <c r="I5202" i="1"/>
  <c r="S5202" i="1"/>
  <c r="B5203" i="1"/>
  <c r="E5203" i="1"/>
  <c r="I5203" i="1"/>
  <c r="S5203" i="1"/>
  <c r="B5204" i="1"/>
  <c r="E5204" i="1"/>
  <c r="I5204" i="1"/>
  <c r="S5204" i="1"/>
  <c r="B5205" i="1"/>
  <c r="E5205" i="1"/>
  <c r="I5205" i="1"/>
  <c r="S5205" i="1"/>
  <c r="B5206" i="1"/>
  <c r="E5206" i="1"/>
  <c r="I5206" i="1"/>
  <c r="S5206" i="1"/>
  <c r="B5207" i="1"/>
  <c r="E5207" i="1"/>
  <c r="I5207" i="1"/>
  <c r="S5207" i="1"/>
  <c r="B5208" i="1"/>
  <c r="E5208" i="1"/>
  <c r="I5208" i="1"/>
  <c r="S5208" i="1"/>
  <c r="B5209" i="1"/>
  <c r="E5209" i="1"/>
  <c r="I5209" i="1"/>
  <c r="S5209" i="1"/>
  <c r="B5210" i="1"/>
  <c r="E5210" i="1"/>
  <c r="I5210" i="1"/>
  <c r="S5210" i="1"/>
  <c r="B5211" i="1"/>
  <c r="E5211" i="1"/>
  <c r="I5211" i="1"/>
  <c r="S5211" i="1"/>
  <c r="B5212" i="1"/>
  <c r="E5212" i="1"/>
  <c r="I5212" i="1"/>
  <c r="S5212" i="1"/>
  <c r="B5213" i="1"/>
  <c r="E5213" i="1"/>
  <c r="I5213" i="1"/>
  <c r="S5213" i="1"/>
  <c r="B5214" i="1"/>
  <c r="E5214" i="1"/>
  <c r="I5214" i="1"/>
  <c r="S5214" i="1"/>
  <c r="B5215" i="1"/>
  <c r="E5215" i="1"/>
  <c r="I5215" i="1"/>
  <c r="S5215" i="1"/>
  <c r="B5216" i="1"/>
  <c r="E5216" i="1"/>
  <c r="I5216" i="1"/>
  <c r="S5216" i="1"/>
  <c r="B5217" i="1"/>
  <c r="E5217" i="1"/>
  <c r="I5217" i="1"/>
  <c r="S5217" i="1"/>
  <c r="B5218" i="1"/>
  <c r="E5218" i="1"/>
  <c r="I5218" i="1"/>
  <c r="S5218" i="1"/>
  <c r="B5219" i="1"/>
  <c r="E5219" i="1"/>
  <c r="I5219" i="1"/>
  <c r="S5219" i="1"/>
  <c r="B5220" i="1"/>
  <c r="E5220" i="1"/>
  <c r="I5220" i="1"/>
  <c r="S5220" i="1"/>
  <c r="B5221" i="1"/>
  <c r="E5221" i="1"/>
  <c r="I5221" i="1"/>
  <c r="S5221" i="1"/>
  <c r="B5222" i="1"/>
  <c r="E5222" i="1"/>
  <c r="I5222" i="1"/>
  <c r="S5222" i="1"/>
  <c r="B5223" i="1"/>
  <c r="E5223" i="1"/>
  <c r="I5223" i="1"/>
  <c r="S5223" i="1"/>
  <c r="B5224" i="1"/>
  <c r="E5224" i="1"/>
  <c r="I5224" i="1"/>
  <c r="S5224" i="1"/>
  <c r="B5225" i="1"/>
  <c r="E5225" i="1"/>
  <c r="I5225" i="1"/>
  <c r="B5226" i="1"/>
  <c r="E5226" i="1"/>
  <c r="I5226" i="1"/>
  <c r="S5226" i="1"/>
  <c r="B5227" i="1"/>
  <c r="E5227" i="1"/>
  <c r="I5227" i="1"/>
  <c r="S5227" i="1"/>
  <c r="B5228" i="1"/>
  <c r="E5228" i="1"/>
  <c r="I5228" i="1"/>
  <c r="S5228" i="1"/>
  <c r="B5229" i="1"/>
  <c r="E5229" i="1"/>
  <c r="I5229" i="1"/>
  <c r="S5229" i="1"/>
  <c r="B5230" i="1"/>
  <c r="E5230" i="1"/>
  <c r="I5230" i="1"/>
  <c r="S5230" i="1"/>
  <c r="B5231" i="1"/>
  <c r="E5231" i="1"/>
  <c r="I5231" i="1"/>
  <c r="B5232" i="1"/>
  <c r="E5232" i="1"/>
  <c r="I5232" i="1"/>
  <c r="S5232" i="1"/>
  <c r="B5233" i="1"/>
  <c r="E5233" i="1"/>
  <c r="I5233" i="1"/>
  <c r="S5233" i="1"/>
  <c r="B5234" i="1"/>
  <c r="E5234" i="1"/>
  <c r="I5234" i="1"/>
  <c r="S5234" i="1"/>
  <c r="B5235" i="1"/>
  <c r="E5235" i="1"/>
  <c r="I5235" i="1"/>
  <c r="S5235" i="1"/>
  <c r="B5236" i="1"/>
  <c r="E5236" i="1"/>
  <c r="I5236" i="1"/>
  <c r="S5236" i="1"/>
  <c r="B5237" i="1"/>
  <c r="E5237" i="1"/>
  <c r="I5237" i="1"/>
  <c r="S5237" i="1"/>
  <c r="B5238" i="1"/>
  <c r="E5238" i="1"/>
  <c r="I5238" i="1"/>
  <c r="S5238" i="1"/>
  <c r="B5239" i="1"/>
  <c r="E5239" i="1"/>
  <c r="I5239" i="1"/>
  <c r="S5239" i="1"/>
  <c r="B5240" i="1"/>
  <c r="E5240" i="1"/>
  <c r="I5240" i="1"/>
  <c r="S5240" i="1"/>
  <c r="B5241" i="1"/>
  <c r="E5241" i="1"/>
  <c r="I5241" i="1"/>
  <c r="S5241" i="1"/>
  <c r="B5242" i="1"/>
  <c r="E5242" i="1"/>
  <c r="I5242" i="1"/>
  <c r="S5242" i="1"/>
  <c r="B5243" i="1"/>
  <c r="E5243" i="1"/>
  <c r="I5243" i="1"/>
  <c r="S5243" i="1"/>
  <c r="B5244" i="1"/>
  <c r="E5244" i="1"/>
  <c r="I5244" i="1"/>
  <c r="S5244" i="1"/>
  <c r="B5245" i="1"/>
  <c r="E5245" i="1"/>
  <c r="I5245" i="1"/>
  <c r="S5245" i="1"/>
  <c r="B5246" i="1"/>
  <c r="E5246" i="1"/>
  <c r="I5246" i="1"/>
  <c r="S5246" i="1"/>
  <c r="B5247" i="1"/>
  <c r="E5247" i="1"/>
  <c r="I5247" i="1"/>
  <c r="S5247" i="1"/>
  <c r="B5248" i="1"/>
  <c r="E5248" i="1"/>
  <c r="I5248" i="1"/>
  <c r="S5248" i="1"/>
  <c r="B5249" i="1"/>
  <c r="E5249" i="1"/>
  <c r="I5249" i="1"/>
  <c r="S5249" i="1"/>
  <c r="B5250" i="1"/>
  <c r="E5250" i="1"/>
  <c r="I5250" i="1"/>
  <c r="S5250" i="1"/>
  <c r="B5251" i="1"/>
  <c r="E5251" i="1"/>
  <c r="I5251" i="1"/>
  <c r="S5251" i="1"/>
  <c r="B5252" i="1"/>
  <c r="E5252" i="1"/>
  <c r="I5252" i="1"/>
  <c r="S5252" i="1"/>
  <c r="B5253" i="1"/>
  <c r="E5253" i="1"/>
  <c r="I5253" i="1"/>
  <c r="S5253" i="1"/>
  <c r="B5254" i="1"/>
  <c r="E5254" i="1"/>
  <c r="I5254" i="1"/>
  <c r="S5254" i="1"/>
  <c r="B5255" i="1"/>
  <c r="E5255" i="1"/>
  <c r="I5255" i="1"/>
  <c r="S5255" i="1"/>
  <c r="B5256" i="1"/>
  <c r="E5256" i="1"/>
  <c r="I5256" i="1"/>
  <c r="S5256" i="1"/>
  <c r="B5257" i="1"/>
  <c r="E5257" i="1"/>
  <c r="I5257" i="1"/>
  <c r="S5257" i="1"/>
  <c r="B5258" i="1"/>
  <c r="E5258" i="1"/>
  <c r="I5258" i="1"/>
  <c r="S5258" i="1"/>
  <c r="B5259" i="1"/>
  <c r="E5259" i="1"/>
  <c r="I5259" i="1"/>
  <c r="S5259" i="1"/>
  <c r="B5260" i="1"/>
  <c r="E5260" i="1"/>
  <c r="I5260" i="1"/>
  <c r="S5260" i="1"/>
  <c r="B5261" i="1"/>
  <c r="E5261" i="1"/>
  <c r="I5261" i="1"/>
  <c r="S5261" i="1"/>
  <c r="B5262" i="1"/>
  <c r="E5262" i="1"/>
  <c r="I5262" i="1"/>
  <c r="S5262" i="1"/>
  <c r="B5263" i="1"/>
  <c r="E5263" i="1"/>
  <c r="I5263" i="1"/>
  <c r="S5263" i="1"/>
  <c r="B5264" i="1"/>
  <c r="E5264" i="1"/>
  <c r="I5264" i="1"/>
  <c r="S5264" i="1"/>
  <c r="B5265" i="1"/>
  <c r="E5265" i="1"/>
  <c r="I5265" i="1"/>
  <c r="S5265" i="1"/>
  <c r="B5266" i="1"/>
  <c r="E5266" i="1"/>
  <c r="I5266" i="1"/>
  <c r="S5266" i="1"/>
  <c r="B5267" i="1"/>
  <c r="E5267" i="1"/>
  <c r="I5267" i="1"/>
  <c r="S5267" i="1"/>
  <c r="B5268" i="1"/>
  <c r="E5268" i="1"/>
  <c r="I5268" i="1"/>
  <c r="S5268" i="1"/>
  <c r="B5269" i="1"/>
  <c r="E5269" i="1"/>
  <c r="I5269" i="1"/>
  <c r="S5269" i="1"/>
  <c r="B5270" i="1"/>
  <c r="E5270" i="1"/>
  <c r="I5270" i="1"/>
  <c r="S5270" i="1"/>
  <c r="B5271" i="1"/>
  <c r="E5271" i="1"/>
  <c r="I5271" i="1"/>
  <c r="S5271" i="1"/>
  <c r="B5272" i="1"/>
  <c r="E5272" i="1"/>
  <c r="I5272" i="1"/>
  <c r="S5272" i="1"/>
  <c r="B5273" i="1"/>
  <c r="E5273" i="1"/>
  <c r="I5273" i="1"/>
  <c r="S5273" i="1"/>
  <c r="B5274" i="1"/>
  <c r="E5274" i="1"/>
  <c r="I5274" i="1"/>
  <c r="S5274" i="1"/>
  <c r="B5275" i="1"/>
  <c r="E5275" i="1"/>
  <c r="I5275" i="1"/>
  <c r="S5275" i="1"/>
  <c r="B5276" i="1"/>
  <c r="E5276" i="1"/>
  <c r="I5276" i="1"/>
  <c r="S5276" i="1"/>
  <c r="B5277" i="1"/>
  <c r="E5277" i="1"/>
  <c r="I5277" i="1"/>
  <c r="S5277" i="1"/>
  <c r="B5278" i="1"/>
  <c r="E5278" i="1"/>
  <c r="I5278" i="1"/>
  <c r="S5278" i="1"/>
  <c r="B5279" i="1"/>
  <c r="E5279" i="1"/>
  <c r="I5279" i="1"/>
  <c r="S5279" i="1"/>
  <c r="B5280" i="1"/>
  <c r="E5280" i="1"/>
  <c r="I5280" i="1"/>
  <c r="S5280" i="1"/>
  <c r="B5281" i="1"/>
  <c r="E5281" i="1"/>
  <c r="I5281" i="1"/>
  <c r="S5281" i="1"/>
  <c r="B5282" i="1"/>
  <c r="E5282" i="1"/>
  <c r="I5282" i="1"/>
  <c r="S5282" i="1"/>
  <c r="B5283" i="1"/>
  <c r="E5283" i="1"/>
  <c r="I5283" i="1"/>
  <c r="S5283" i="1"/>
  <c r="B5284" i="1"/>
  <c r="E5284" i="1"/>
  <c r="I5284" i="1"/>
  <c r="S5284" i="1"/>
  <c r="B5285" i="1"/>
  <c r="E5285" i="1"/>
  <c r="I5285" i="1"/>
  <c r="S5285" i="1"/>
  <c r="B5286" i="1"/>
  <c r="E5286" i="1"/>
  <c r="I5286" i="1"/>
  <c r="S5286" i="1"/>
  <c r="B5287" i="1"/>
  <c r="E5287" i="1"/>
  <c r="I5287" i="1"/>
  <c r="S5287" i="1"/>
  <c r="B5288" i="1"/>
  <c r="E5288" i="1"/>
  <c r="I5288" i="1"/>
  <c r="S5288" i="1"/>
  <c r="B5289" i="1"/>
  <c r="E5289" i="1"/>
  <c r="I5289" i="1"/>
  <c r="S5289" i="1"/>
  <c r="B5290" i="1"/>
  <c r="E5290" i="1"/>
  <c r="I5290" i="1"/>
  <c r="S5290" i="1"/>
  <c r="B5291" i="1"/>
  <c r="E5291" i="1"/>
  <c r="I5291" i="1"/>
  <c r="S5291" i="1"/>
  <c r="B5292" i="1"/>
  <c r="E5292" i="1"/>
  <c r="I5292" i="1"/>
  <c r="S5292" i="1"/>
  <c r="B5293" i="1"/>
  <c r="E5293" i="1"/>
  <c r="I5293" i="1"/>
  <c r="S5293" i="1"/>
  <c r="B5294" i="1"/>
  <c r="E5294" i="1"/>
  <c r="I5294" i="1"/>
  <c r="S5294" i="1"/>
  <c r="B5295" i="1"/>
  <c r="E5295" i="1"/>
  <c r="I5295" i="1"/>
  <c r="S5295" i="1"/>
  <c r="B5296" i="1"/>
  <c r="E5296" i="1"/>
  <c r="I5296" i="1"/>
  <c r="S5296" i="1"/>
  <c r="B5297" i="1"/>
  <c r="E5297" i="1"/>
  <c r="I5297" i="1"/>
  <c r="S5297" i="1"/>
  <c r="B5298" i="1"/>
  <c r="E5298" i="1"/>
  <c r="I5298" i="1"/>
  <c r="S5298" i="1"/>
  <c r="B5299" i="1"/>
  <c r="E5299" i="1"/>
  <c r="I5299" i="1"/>
  <c r="S5299" i="1"/>
  <c r="B5300" i="1"/>
  <c r="E5300" i="1"/>
  <c r="I5300" i="1"/>
  <c r="S5300" i="1"/>
  <c r="B5301" i="1"/>
  <c r="E5301" i="1"/>
  <c r="I5301" i="1"/>
  <c r="S5301" i="1"/>
  <c r="B5302" i="1"/>
  <c r="E5302" i="1"/>
  <c r="I5302" i="1"/>
  <c r="S5302" i="1"/>
  <c r="B5303" i="1"/>
  <c r="E5303" i="1"/>
  <c r="I5303" i="1"/>
  <c r="S5303" i="1"/>
  <c r="B5304" i="1"/>
  <c r="E5304" i="1"/>
  <c r="I5304" i="1"/>
  <c r="S5304" i="1"/>
  <c r="B5305" i="1"/>
  <c r="E5305" i="1"/>
  <c r="I5305" i="1"/>
  <c r="S5305" i="1"/>
  <c r="B5306" i="1"/>
  <c r="E5306" i="1"/>
  <c r="I5306" i="1"/>
  <c r="S5306" i="1"/>
  <c r="B5307" i="1"/>
  <c r="E5307" i="1"/>
  <c r="I5307" i="1"/>
  <c r="S5307" i="1"/>
  <c r="B5308" i="1"/>
  <c r="E5308" i="1"/>
  <c r="I5308" i="1"/>
  <c r="S5308" i="1"/>
  <c r="B5309" i="1"/>
  <c r="E5309" i="1"/>
  <c r="I5309" i="1"/>
  <c r="S5309" i="1"/>
  <c r="B5310" i="1"/>
  <c r="E5310" i="1"/>
  <c r="I5310" i="1"/>
  <c r="S5310" i="1"/>
  <c r="B5311" i="1"/>
  <c r="E5311" i="1"/>
  <c r="I5311" i="1"/>
  <c r="S5311" i="1"/>
  <c r="B5312" i="1"/>
  <c r="E5312" i="1"/>
  <c r="I5312" i="1"/>
  <c r="S5312" i="1"/>
  <c r="B5313" i="1"/>
  <c r="E5313" i="1"/>
  <c r="I5313" i="1"/>
  <c r="S5313" i="1"/>
  <c r="B5314" i="1"/>
  <c r="E5314" i="1"/>
  <c r="I5314" i="1"/>
  <c r="S5314" i="1"/>
  <c r="B5315" i="1"/>
  <c r="E5315" i="1"/>
  <c r="I5315" i="1"/>
  <c r="S5315" i="1"/>
  <c r="B5316" i="1"/>
  <c r="E5316" i="1"/>
  <c r="I5316" i="1"/>
  <c r="S5316" i="1"/>
  <c r="B5317" i="1"/>
  <c r="E5317" i="1"/>
  <c r="I5317" i="1"/>
  <c r="S5317" i="1"/>
  <c r="B5318" i="1"/>
  <c r="E5318" i="1"/>
  <c r="I5318" i="1"/>
  <c r="S5318" i="1"/>
  <c r="B5319" i="1"/>
  <c r="E5319" i="1"/>
  <c r="I5319" i="1"/>
  <c r="S5319" i="1"/>
  <c r="B5320" i="1"/>
  <c r="E5320" i="1"/>
  <c r="I5320" i="1"/>
  <c r="S5320" i="1"/>
  <c r="B5321" i="1"/>
  <c r="E5321" i="1"/>
  <c r="I5321" i="1"/>
  <c r="S5321" i="1"/>
  <c r="B5322" i="1"/>
  <c r="E5322" i="1"/>
  <c r="I5322" i="1"/>
  <c r="S5322" i="1"/>
  <c r="B5323" i="1"/>
  <c r="E5323" i="1"/>
  <c r="I5323" i="1"/>
  <c r="S5323" i="1"/>
  <c r="B5324" i="1"/>
  <c r="E5324" i="1"/>
  <c r="I5324" i="1"/>
  <c r="S5324" i="1"/>
  <c r="B5325" i="1"/>
  <c r="E5325" i="1"/>
  <c r="I5325" i="1"/>
  <c r="B5326" i="1"/>
  <c r="E5326" i="1"/>
  <c r="I5326" i="1"/>
  <c r="S5326" i="1"/>
  <c r="B5327" i="1"/>
  <c r="E5327" i="1"/>
  <c r="I5327" i="1"/>
  <c r="S5327" i="1"/>
  <c r="B5328" i="1"/>
  <c r="E5328" i="1"/>
  <c r="I5328" i="1"/>
  <c r="S5328" i="1"/>
  <c r="B5329" i="1"/>
  <c r="E5329" i="1"/>
  <c r="I5329" i="1"/>
  <c r="S5329" i="1"/>
  <c r="B5330" i="1"/>
  <c r="E5330" i="1"/>
  <c r="I5330" i="1"/>
  <c r="S5330" i="1"/>
  <c r="B5331" i="1"/>
  <c r="E5331" i="1"/>
  <c r="I5331" i="1"/>
  <c r="S5331" i="1"/>
  <c r="B5332" i="1"/>
  <c r="E5332" i="1"/>
  <c r="I5332" i="1"/>
  <c r="S5332" i="1"/>
  <c r="B5333" i="1"/>
  <c r="E5333" i="1"/>
  <c r="I5333" i="1"/>
  <c r="S5333" i="1"/>
  <c r="B5334" i="1"/>
  <c r="E5334" i="1"/>
  <c r="I5334" i="1"/>
  <c r="S5334" i="1"/>
  <c r="B5335" i="1"/>
  <c r="E5335" i="1"/>
  <c r="I5335" i="1"/>
  <c r="S5335" i="1"/>
  <c r="B5336" i="1"/>
  <c r="E5336" i="1"/>
  <c r="I5336" i="1"/>
  <c r="S5336" i="1"/>
  <c r="B5337" i="1"/>
  <c r="E5337" i="1"/>
  <c r="I5337" i="1"/>
  <c r="S5337" i="1"/>
  <c r="B5338" i="1"/>
  <c r="E5338" i="1"/>
  <c r="I5338" i="1"/>
  <c r="S5338" i="1"/>
  <c r="B5339" i="1"/>
  <c r="E5339" i="1"/>
  <c r="I5339" i="1"/>
  <c r="S5339" i="1"/>
  <c r="B5340" i="1"/>
  <c r="E5340" i="1"/>
  <c r="I5340" i="1"/>
  <c r="S5340" i="1"/>
  <c r="B5341" i="1"/>
  <c r="E5341" i="1"/>
  <c r="I5341" i="1"/>
  <c r="S5341" i="1"/>
  <c r="B5342" i="1"/>
  <c r="E5342" i="1"/>
  <c r="I5342" i="1"/>
  <c r="S5342" i="1"/>
  <c r="B5343" i="1"/>
  <c r="E5343" i="1"/>
  <c r="I5343" i="1"/>
  <c r="S5343" i="1"/>
  <c r="B5344" i="1"/>
  <c r="E5344" i="1"/>
  <c r="I5344" i="1"/>
  <c r="S5344" i="1"/>
  <c r="B5345" i="1"/>
  <c r="E5345" i="1"/>
  <c r="I5345" i="1"/>
  <c r="S5345" i="1"/>
  <c r="B5346" i="1"/>
  <c r="E5346" i="1"/>
  <c r="I5346" i="1"/>
  <c r="S5346" i="1"/>
  <c r="B5347" i="1"/>
  <c r="E5347" i="1"/>
  <c r="I5347" i="1"/>
  <c r="S5347" i="1"/>
  <c r="B5348" i="1"/>
  <c r="E5348" i="1"/>
  <c r="I5348" i="1"/>
  <c r="S5348" i="1"/>
  <c r="B5349" i="1"/>
  <c r="E5349" i="1"/>
  <c r="I5349" i="1"/>
  <c r="S5349" i="1"/>
  <c r="B5350" i="1"/>
  <c r="E5350" i="1"/>
  <c r="I5350" i="1"/>
  <c r="S5350" i="1"/>
  <c r="B5351" i="1"/>
  <c r="E5351" i="1"/>
  <c r="I5351" i="1"/>
  <c r="S5351" i="1"/>
  <c r="B5352" i="1"/>
  <c r="E5352" i="1"/>
  <c r="I5352" i="1"/>
  <c r="S5352" i="1"/>
  <c r="B5353" i="1"/>
  <c r="E5353" i="1"/>
  <c r="I5353" i="1"/>
  <c r="S5353" i="1"/>
  <c r="B5354" i="1"/>
  <c r="E5354" i="1"/>
  <c r="I5354" i="1"/>
  <c r="S5354" i="1"/>
  <c r="B5355" i="1"/>
  <c r="E5355" i="1"/>
  <c r="I5355" i="1"/>
  <c r="S5355" i="1"/>
  <c r="B5356" i="1"/>
  <c r="E5356" i="1"/>
  <c r="I5356" i="1"/>
  <c r="S5356" i="1"/>
  <c r="B5357" i="1"/>
  <c r="E5357" i="1"/>
  <c r="I5357" i="1"/>
  <c r="S5357" i="1"/>
  <c r="B5358" i="1"/>
  <c r="E5358" i="1"/>
  <c r="I5358" i="1"/>
  <c r="S5358" i="1"/>
  <c r="B5359" i="1"/>
  <c r="E5359" i="1"/>
  <c r="I5359" i="1"/>
  <c r="S5359" i="1"/>
  <c r="B5360" i="1"/>
  <c r="E5360" i="1"/>
  <c r="I5360" i="1"/>
  <c r="S5360" i="1"/>
  <c r="B5361" i="1"/>
  <c r="E5361" i="1"/>
  <c r="I5361" i="1"/>
  <c r="S5361" i="1"/>
  <c r="B5362" i="1"/>
  <c r="E5362" i="1"/>
  <c r="I5362" i="1"/>
  <c r="S5362" i="1"/>
  <c r="B5363" i="1"/>
  <c r="E5363" i="1"/>
  <c r="I5363" i="1"/>
  <c r="S5363" i="1"/>
  <c r="B5364" i="1"/>
  <c r="E5364" i="1"/>
  <c r="I5364" i="1"/>
  <c r="S5364" i="1"/>
  <c r="B5365" i="1"/>
  <c r="E5365" i="1"/>
  <c r="I5365" i="1"/>
  <c r="S5365" i="1"/>
  <c r="B5366" i="1"/>
  <c r="E5366" i="1"/>
  <c r="I5366" i="1"/>
  <c r="S5366" i="1"/>
  <c r="B5367" i="1"/>
  <c r="E5367" i="1"/>
  <c r="I5367" i="1"/>
  <c r="S5367" i="1"/>
  <c r="B5368" i="1"/>
  <c r="E5368" i="1"/>
  <c r="I5368" i="1"/>
  <c r="S5368" i="1"/>
  <c r="B5369" i="1"/>
  <c r="E5369" i="1"/>
  <c r="I5369" i="1"/>
  <c r="S5369" i="1"/>
  <c r="B5370" i="1"/>
  <c r="E5370" i="1"/>
  <c r="I5370" i="1"/>
  <c r="S5370" i="1"/>
  <c r="B5371" i="1"/>
  <c r="E5371" i="1"/>
  <c r="I5371" i="1"/>
  <c r="S5371" i="1"/>
  <c r="B5372" i="1"/>
  <c r="E5372" i="1"/>
  <c r="I5372" i="1"/>
  <c r="S5372" i="1"/>
  <c r="B5373" i="1"/>
  <c r="E5373" i="1"/>
  <c r="I5373" i="1"/>
  <c r="S5373" i="1"/>
  <c r="B5374" i="1"/>
  <c r="E5374" i="1"/>
  <c r="I5374" i="1"/>
  <c r="S5374" i="1"/>
  <c r="B5375" i="1"/>
  <c r="E5375" i="1"/>
  <c r="I5375" i="1"/>
  <c r="S5375" i="1"/>
  <c r="B5376" i="1"/>
  <c r="E5376" i="1"/>
  <c r="I5376" i="1"/>
  <c r="S5376" i="1"/>
  <c r="B5377" i="1"/>
  <c r="E5377" i="1"/>
  <c r="I5377" i="1"/>
  <c r="S5377" i="1"/>
  <c r="B5378" i="1"/>
  <c r="E5378" i="1"/>
  <c r="I5378" i="1"/>
  <c r="S5378" i="1"/>
  <c r="B5379" i="1"/>
  <c r="E5379" i="1"/>
  <c r="I5379" i="1"/>
  <c r="S5379" i="1"/>
  <c r="B5380" i="1"/>
  <c r="E5380" i="1"/>
  <c r="I5380" i="1"/>
  <c r="S5380" i="1"/>
  <c r="B5381" i="1"/>
  <c r="E5381" i="1"/>
  <c r="I5381" i="1"/>
  <c r="S5381" i="1"/>
  <c r="B5382" i="1"/>
  <c r="E5382" i="1"/>
  <c r="I5382" i="1"/>
  <c r="S5382" i="1"/>
  <c r="B5383" i="1"/>
  <c r="E5383" i="1"/>
  <c r="I5383" i="1"/>
  <c r="S5383" i="1"/>
  <c r="B5384" i="1"/>
  <c r="E5384" i="1"/>
  <c r="I5384" i="1"/>
  <c r="S5384" i="1"/>
  <c r="B5385" i="1"/>
  <c r="E5385" i="1"/>
  <c r="I5385" i="1"/>
  <c r="S5385" i="1"/>
  <c r="B5386" i="1"/>
  <c r="E5386" i="1"/>
  <c r="I5386" i="1"/>
  <c r="S5386" i="1"/>
  <c r="B5387" i="1"/>
  <c r="E5387" i="1"/>
  <c r="I5387" i="1"/>
  <c r="S5387" i="1"/>
  <c r="B5388" i="1"/>
  <c r="E5388" i="1"/>
  <c r="I5388" i="1"/>
  <c r="S5388" i="1"/>
  <c r="B5389" i="1"/>
  <c r="E5389" i="1"/>
  <c r="I5389" i="1"/>
  <c r="S5389" i="1"/>
  <c r="B5390" i="1"/>
  <c r="E5390" i="1"/>
  <c r="I5390" i="1"/>
  <c r="S5390" i="1"/>
  <c r="B5391" i="1"/>
  <c r="E5391" i="1"/>
  <c r="I5391" i="1"/>
  <c r="B5392" i="1"/>
  <c r="E5392" i="1"/>
  <c r="I5392" i="1"/>
  <c r="S5392" i="1"/>
  <c r="B5393" i="1"/>
  <c r="E5393" i="1"/>
  <c r="I5393" i="1"/>
  <c r="S5393" i="1"/>
  <c r="B5394" i="1"/>
  <c r="E5394" i="1"/>
  <c r="I5394" i="1"/>
  <c r="S5394" i="1"/>
  <c r="B5395" i="1"/>
  <c r="E5395" i="1"/>
  <c r="I5395" i="1"/>
  <c r="S5395" i="1"/>
  <c r="B5396" i="1"/>
  <c r="E5396" i="1"/>
  <c r="I5396" i="1"/>
  <c r="S5396" i="1"/>
  <c r="B5397" i="1"/>
  <c r="E5397" i="1"/>
  <c r="I5397" i="1"/>
  <c r="S5397" i="1"/>
  <c r="B5398" i="1"/>
  <c r="E5398" i="1"/>
  <c r="I5398" i="1"/>
  <c r="S5398" i="1"/>
  <c r="B5399" i="1"/>
  <c r="E5399" i="1"/>
  <c r="I5399" i="1"/>
  <c r="S5399" i="1"/>
  <c r="B5400" i="1"/>
  <c r="E5400" i="1"/>
  <c r="I5400" i="1"/>
  <c r="S5400" i="1"/>
  <c r="B5401" i="1"/>
  <c r="E5401" i="1"/>
  <c r="I5401" i="1"/>
  <c r="S5401" i="1"/>
  <c r="B5402" i="1"/>
  <c r="E5402" i="1"/>
  <c r="I5402" i="1"/>
  <c r="S5402" i="1"/>
  <c r="B5403" i="1"/>
  <c r="E5403" i="1"/>
  <c r="I5403" i="1"/>
  <c r="S5403" i="1"/>
  <c r="B5404" i="1"/>
  <c r="E5404" i="1"/>
  <c r="I5404" i="1"/>
  <c r="S5404" i="1"/>
  <c r="B5405" i="1"/>
  <c r="E5405" i="1"/>
  <c r="I5405" i="1"/>
  <c r="S5405" i="1"/>
  <c r="B5406" i="1"/>
  <c r="E5406" i="1"/>
  <c r="I5406" i="1"/>
  <c r="S5406" i="1"/>
  <c r="B5407" i="1"/>
  <c r="E5407" i="1"/>
  <c r="I5407" i="1"/>
  <c r="S5407" i="1"/>
  <c r="B5408" i="1"/>
  <c r="E5408" i="1"/>
  <c r="I5408" i="1"/>
  <c r="S5408" i="1"/>
  <c r="B5409" i="1"/>
  <c r="E5409" i="1"/>
  <c r="I5409" i="1"/>
  <c r="S5409" i="1"/>
  <c r="B5410" i="1"/>
  <c r="E5410" i="1"/>
  <c r="I5410" i="1"/>
  <c r="S5410" i="1"/>
  <c r="B5411" i="1"/>
  <c r="E5411" i="1"/>
  <c r="I5411" i="1"/>
  <c r="S5411" i="1"/>
  <c r="B5412" i="1"/>
  <c r="E5412" i="1"/>
  <c r="I5412" i="1"/>
  <c r="S5412" i="1"/>
  <c r="B5413" i="1"/>
  <c r="E5413" i="1"/>
  <c r="I5413" i="1"/>
  <c r="S5413" i="1"/>
  <c r="B5414" i="1"/>
  <c r="E5414" i="1"/>
  <c r="I5414" i="1"/>
  <c r="S5414" i="1"/>
  <c r="B5415" i="1"/>
  <c r="E5415" i="1"/>
  <c r="I5415" i="1"/>
  <c r="S5415" i="1"/>
  <c r="B5416" i="1"/>
  <c r="E5416" i="1"/>
  <c r="I5416" i="1"/>
  <c r="S5416" i="1"/>
  <c r="B5417" i="1"/>
  <c r="E5417" i="1"/>
  <c r="I5417" i="1"/>
  <c r="B5418" i="1"/>
  <c r="E5418" i="1"/>
  <c r="I5418" i="1"/>
  <c r="S5418" i="1"/>
  <c r="B5419" i="1"/>
  <c r="E5419" i="1"/>
  <c r="I5419" i="1"/>
  <c r="S5419" i="1"/>
  <c r="B5420" i="1"/>
  <c r="E5420" i="1"/>
  <c r="I5420" i="1"/>
  <c r="S5420" i="1"/>
  <c r="B5421" i="1"/>
  <c r="E5421" i="1"/>
  <c r="I5421" i="1"/>
  <c r="S5421" i="1"/>
  <c r="B5422" i="1"/>
  <c r="E5422" i="1"/>
  <c r="I5422" i="1"/>
  <c r="S5422" i="1"/>
  <c r="B5423" i="1"/>
  <c r="E5423" i="1"/>
  <c r="I5423" i="1"/>
  <c r="S5423" i="1"/>
  <c r="B5424" i="1"/>
  <c r="E5424" i="1"/>
  <c r="I5424" i="1"/>
  <c r="S5424" i="1"/>
  <c r="B5425" i="1"/>
  <c r="E5425" i="1"/>
  <c r="I5425" i="1"/>
  <c r="S5425" i="1"/>
  <c r="B5426" i="1"/>
  <c r="E5426" i="1"/>
  <c r="I5426" i="1"/>
  <c r="S5426" i="1"/>
  <c r="B5427" i="1"/>
  <c r="E5427" i="1"/>
  <c r="I5427" i="1"/>
  <c r="S5427" i="1"/>
  <c r="B5428" i="1"/>
  <c r="E5428" i="1"/>
  <c r="I5428" i="1"/>
  <c r="S5428" i="1"/>
  <c r="B5429" i="1"/>
  <c r="E5429" i="1"/>
  <c r="I5429" i="1"/>
  <c r="S5429" i="1"/>
  <c r="B5430" i="1"/>
  <c r="E5430" i="1"/>
  <c r="I5430" i="1"/>
  <c r="S5430" i="1"/>
  <c r="B5431" i="1"/>
  <c r="E5431" i="1"/>
  <c r="I5431" i="1"/>
  <c r="S5431" i="1"/>
  <c r="B5432" i="1"/>
  <c r="E5432" i="1"/>
  <c r="I5432" i="1"/>
  <c r="S5432" i="1"/>
  <c r="B5433" i="1"/>
  <c r="E5433" i="1"/>
  <c r="I5433" i="1"/>
  <c r="S5433" i="1"/>
  <c r="B5434" i="1"/>
  <c r="E5434" i="1"/>
  <c r="I5434" i="1"/>
  <c r="S5434" i="1"/>
  <c r="B5435" i="1"/>
  <c r="E5435" i="1"/>
  <c r="I5435" i="1"/>
  <c r="S5435" i="1"/>
  <c r="B5436" i="1"/>
  <c r="E5436" i="1"/>
  <c r="I5436" i="1"/>
  <c r="S5436" i="1"/>
  <c r="B5437" i="1"/>
  <c r="E5437" i="1"/>
  <c r="I5437" i="1"/>
  <c r="S5437" i="1"/>
  <c r="B5438" i="1"/>
  <c r="E5438" i="1"/>
  <c r="I5438" i="1"/>
  <c r="S5438" i="1"/>
  <c r="B5439" i="1"/>
  <c r="E5439" i="1"/>
  <c r="I5439" i="1"/>
  <c r="S5439" i="1"/>
  <c r="B5440" i="1"/>
  <c r="E5440" i="1"/>
  <c r="I5440" i="1"/>
  <c r="S5440" i="1"/>
  <c r="B5441" i="1"/>
  <c r="E5441" i="1"/>
  <c r="I5441" i="1"/>
  <c r="S5441" i="1"/>
  <c r="B5442" i="1"/>
  <c r="E5442" i="1"/>
  <c r="I5442" i="1"/>
  <c r="S5442" i="1"/>
  <c r="B5443" i="1"/>
  <c r="E5443" i="1"/>
  <c r="I5443" i="1"/>
  <c r="S5443" i="1"/>
  <c r="B5444" i="1"/>
  <c r="E5444" i="1"/>
  <c r="I5444" i="1"/>
  <c r="S5444" i="1"/>
  <c r="B5445" i="1"/>
  <c r="E5445" i="1"/>
  <c r="I5445" i="1"/>
  <c r="S5445" i="1"/>
  <c r="B5446" i="1"/>
  <c r="E5446" i="1"/>
  <c r="I5446" i="1"/>
  <c r="S5446" i="1"/>
  <c r="B5447" i="1"/>
  <c r="E5447" i="1"/>
  <c r="I5447" i="1"/>
  <c r="S5447" i="1"/>
  <c r="B5448" i="1"/>
  <c r="E5448" i="1"/>
  <c r="I5448" i="1"/>
  <c r="S5448" i="1"/>
  <c r="B5449" i="1"/>
  <c r="E5449" i="1"/>
  <c r="I5449" i="1"/>
  <c r="S5449" i="1"/>
  <c r="B5450" i="1"/>
  <c r="E5450" i="1"/>
  <c r="I5450" i="1"/>
  <c r="S5450" i="1"/>
  <c r="B5451" i="1"/>
  <c r="E5451" i="1"/>
  <c r="I5451" i="1"/>
  <c r="S5451" i="1"/>
  <c r="B5452" i="1"/>
  <c r="E5452" i="1"/>
  <c r="I5452" i="1"/>
  <c r="S5452" i="1"/>
  <c r="B5453" i="1"/>
  <c r="E5453" i="1"/>
  <c r="I5453" i="1"/>
  <c r="S5453" i="1"/>
  <c r="B5454" i="1"/>
  <c r="E5454" i="1"/>
  <c r="I5454" i="1"/>
  <c r="S5454" i="1"/>
  <c r="B5455" i="1"/>
  <c r="E5455" i="1"/>
  <c r="I5455" i="1"/>
  <c r="S5455" i="1"/>
  <c r="B5456" i="1"/>
  <c r="E5456" i="1"/>
  <c r="I5456" i="1"/>
  <c r="S5456" i="1"/>
  <c r="B5457" i="1"/>
  <c r="E5457" i="1"/>
  <c r="I5457" i="1"/>
  <c r="S5457" i="1"/>
  <c r="B5458" i="1"/>
  <c r="E5458" i="1"/>
  <c r="I5458" i="1"/>
  <c r="S5458" i="1"/>
  <c r="B5459" i="1"/>
  <c r="E5459" i="1"/>
  <c r="I5459" i="1"/>
  <c r="S5459" i="1"/>
  <c r="B5460" i="1"/>
  <c r="E5460" i="1"/>
  <c r="I5460" i="1"/>
  <c r="S5460" i="1"/>
  <c r="B5461" i="1"/>
  <c r="E5461" i="1"/>
  <c r="I5461" i="1"/>
  <c r="S5461" i="1"/>
  <c r="B5462" i="1"/>
  <c r="E5462" i="1"/>
  <c r="I5462" i="1"/>
  <c r="S5462" i="1"/>
  <c r="B5463" i="1"/>
  <c r="E5463" i="1"/>
  <c r="I5463" i="1"/>
  <c r="S5463" i="1"/>
  <c r="B5464" i="1"/>
  <c r="E5464" i="1"/>
  <c r="I5464" i="1"/>
  <c r="S5464" i="1"/>
  <c r="B5465" i="1"/>
  <c r="E5465" i="1"/>
  <c r="I5465" i="1"/>
  <c r="S5465" i="1"/>
  <c r="B5466" i="1"/>
  <c r="E5466" i="1"/>
  <c r="I5466" i="1"/>
  <c r="S5466" i="1"/>
  <c r="B5467" i="1"/>
  <c r="E5467" i="1"/>
  <c r="I5467" i="1"/>
  <c r="S5467" i="1"/>
  <c r="B5468" i="1"/>
  <c r="E5468" i="1"/>
  <c r="I5468" i="1"/>
  <c r="S5468" i="1"/>
  <c r="B5469" i="1"/>
  <c r="E5469" i="1"/>
  <c r="I5469" i="1"/>
  <c r="S5469" i="1"/>
  <c r="B5470" i="1"/>
  <c r="E5470" i="1"/>
  <c r="I5470" i="1"/>
  <c r="S5470" i="1"/>
  <c r="B5471" i="1"/>
  <c r="E5471" i="1"/>
  <c r="I5471" i="1"/>
  <c r="S5471" i="1"/>
  <c r="B5472" i="1"/>
  <c r="E5472" i="1"/>
  <c r="I5472" i="1"/>
  <c r="S5472" i="1"/>
  <c r="B5473" i="1"/>
  <c r="E5473" i="1"/>
  <c r="I5473" i="1"/>
  <c r="S5473" i="1"/>
  <c r="B5474" i="1"/>
  <c r="E5474" i="1"/>
  <c r="I5474" i="1"/>
  <c r="S5474" i="1"/>
  <c r="B5475" i="1"/>
  <c r="E5475" i="1"/>
  <c r="I5475" i="1"/>
  <c r="S5475" i="1"/>
  <c r="B5476" i="1"/>
  <c r="E5476" i="1"/>
  <c r="I5476" i="1"/>
  <c r="S5476" i="1"/>
  <c r="B5477" i="1"/>
  <c r="E5477" i="1"/>
  <c r="I5477" i="1"/>
  <c r="S5477" i="1"/>
  <c r="B5478" i="1"/>
  <c r="E5478" i="1"/>
  <c r="I5478" i="1"/>
  <c r="S5478" i="1"/>
  <c r="B5479" i="1"/>
  <c r="E5479" i="1"/>
  <c r="I5479" i="1"/>
  <c r="S5479" i="1"/>
  <c r="B5480" i="1"/>
  <c r="E5480" i="1"/>
  <c r="I5480" i="1"/>
  <c r="S5480" i="1"/>
  <c r="B5481" i="1"/>
  <c r="E5481" i="1"/>
  <c r="I5481" i="1"/>
  <c r="S5481" i="1"/>
  <c r="B5482" i="1"/>
  <c r="E5482" i="1"/>
  <c r="I5482" i="1"/>
  <c r="S5482" i="1"/>
  <c r="B5483" i="1"/>
  <c r="E5483" i="1"/>
  <c r="I5483" i="1"/>
  <c r="S5483" i="1"/>
  <c r="B5484" i="1"/>
  <c r="E5484" i="1"/>
  <c r="I5484" i="1"/>
  <c r="S5484" i="1"/>
  <c r="B5485" i="1"/>
  <c r="E5485" i="1"/>
  <c r="I5485" i="1"/>
  <c r="S5485" i="1"/>
  <c r="B5486" i="1"/>
  <c r="E5486" i="1"/>
  <c r="I5486" i="1"/>
  <c r="S5486" i="1"/>
  <c r="B5487" i="1"/>
  <c r="E5487" i="1"/>
  <c r="I5487" i="1"/>
  <c r="S5487" i="1"/>
  <c r="B5488" i="1"/>
  <c r="E5488" i="1"/>
  <c r="I5488" i="1"/>
  <c r="S5488" i="1"/>
  <c r="B5489" i="1"/>
  <c r="E5489" i="1"/>
  <c r="I5489" i="1"/>
  <c r="S5489" i="1"/>
  <c r="B5490" i="1"/>
  <c r="E5490" i="1"/>
  <c r="I5490" i="1"/>
  <c r="S5490" i="1"/>
  <c r="B5491" i="1"/>
  <c r="E5491" i="1"/>
  <c r="I5491" i="1"/>
  <c r="S5491" i="1"/>
  <c r="B5492" i="1"/>
  <c r="E5492" i="1"/>
  <c r="I5492" i="1"/>
  <c r="S5492" i="1"/>
  <c r="B5493" i="1"/>
  <c r="E5493" i="1"/>
  <c r="I5493" i="1"/>
  <c r="S5493" i="1"/>
  <c r="B5494" i="1"/>
  <c r="E5494" i="1"/>
  <c r="I5494" i="1"/>
  <c r="S5494" i="1"/>
  <c r="B5495" i="1"/>
  <c r="E5495" i="1"/>
  <c r="I5495" i="1"/>
  <c r="S5495" i="1"/>
  <c r="B5496" i="1"/>
  <c r="E5496" i="1"/>
  <c r="I5496" i="1"/>
  <c r="S5496" i="1"/>
  <c r="B5497" i="1"/>
  <c r="E5497" i="1"/>
  <c r="I5497" i="1"/>
  <c r="S5497" i="1"/>
  <c r="B5498" i="1"/>
  <c r="E5498" i="1"/>
  <c r="I5498" i="1"/>
  <c r="S5498" i="1"/>
  <c r="B5499" i="1"/>
  <c r="E5499" i="1"/>
  <c r="I5499" i="1"/>
  <c r="S5499" i="1"/>
  <c r="B5500" i="1"/>
  <c r="E5500" i="1"/>
  <c r="I5500" i="1"/>
  <c r="S5500" i="1"/>
  <c r="B5501" i="1"/>
  <c r="E5501" i="1"/>
  <c r="I5501" i="1"/>
  <c r="S5501" i="1"/>
  <c r="B5502" i="1"/>
  <c r="E5502" i="1"/>
  <c r="I5502" i="1"/>
  <c r="S5502" i="1"/>
  <c r="B5503" i="1"/>
  <c r="E5503" i="1"/>
  <c r="I5503" i="1"/>
  <c r="S5503" i="1"/>
  <c r="B5504" i="1"/>
  <c r="E5504" i="1"/>
  <c r="I5504" i="1"/>
  <c r="S5504" i="1"/>
  <c r="B5505" i="1"/>
  <c r="E5505" i="1"/>
  <c r="I5505" i="1"/>
  <c r="S5505" i="1"/>
  <c r="B5506" i="1"/>
  <c r="E5506" i="1"/>
  <c r="I5506" i="1"/>
  <c r="S5506" i="1"/>
  <c r="B5507" i="1"/>
  <c r="E5507" i="1"/>
  <c r="I5507" i="1"/>
  <c r="S5507" i="1"/>
  <c r="B5508" i="1"/>
  <c r="E5508" i="1"/>
  <c r="I5508" i="1"/>
  <c r="S5508" i="1"/>
  <c r="B5509" i="1"/>
  <c r="E5509" i="1"/>
  <c r="I5509" i="1"/>
  <c r="S5509" i="1"/>
  <c r="B5510" i="1"/>
  <c r="E5510" i="1"/>
  <c r="I5510" i="1"/>
  <c r="S5510" i="1"/>
  <c r="B5511" i="1"/>
  <c r="E5511" i="1"/>
  <c r="I5511" i="1"/>
  <c r="S5511" i="1"/>
  <c r="B5512" i="1"/>
  <c r="E5512" i="1"/>
  <c r="I5512" i="1"/>
  <c r="S5512" i="1"/>
  <c r="B5513" i="1"/>
  <c r="E5513" i="1"/>
  <c r="I5513" i="1"/>
  <c r="B5514" i="1"/>
  <c r="E5514" i="1"/>
  <c r="I5514" i="1"/>
  <c r="S5514" i="1"/>
  <c r="B5515" i="1"/>
  <c r="E5515" i="1"/>
  <c r="I5515" i="1"/>
  <c r="S5515" i="1"/>
  <c r="B5516" i="1"/>
  <c r="E5516" i="1"/>
  <c r="I5516" i="1"/>
  <c r="S5516" i="1"/>
  <c r="B5517" i="1"/>
  <c r="E5517" i="1"/>
  <c r="I5517" i="1"/>
  <c r="S5517" i="1"/>
  <c r="B5518" i="1"/>
  <c r="E5518" i="1"/>
  <c r="I5518" i="1"/>
  <c r="S5518" i="1"/>
  <c r="B5519" i="1"/>
  <c r="E5519" i="1"/>
  <c r="I5519" i="1"/>
  <c r="S5519" i="1"/>
  <c r="B5520" i="1"/>
  <c r="E5520" i="1"/>
  <c r="I5520" i="1"/>
  <c r="S5520" i="1"/>
  <c r="B5521" i="1"/>
  <c r="E5521" i="1"/>
  <c r="I5521" i="1"/>
  <c r="S5521" i="1"/>
  <c r="B5522" i="1"/>
  <c r="E5522" i="1"/>
  <c r="I5522" i="1"/>
  <c r="S5522" i="1"/>
  <c r="B5523" i="1"/>
  <c r="E5523" i="1"/>
  <c r="I5523" i="1"/>
  <c r="S5523" i="1"/>
  <c r="B5524" i="1"/>
  <c r="E5524" i="1"/>
  <c r="I5524" i="1"/>
  <c r="S5524" i="1"/>
  <c r="B5525" i="1"/>
  <c r="E5525" i="1"/>
  <c r="I5525" i="1"/>
  <c r="S5525" i="1"/>
  <c r="B5526" i="1"/>
  <c r="E5526" i="1"/>
  <c r="I5526" i="1"/>
  <c r="S5526" i="1"/>
  <c r="B5527" i="1"/>
  <c r="E5527" i="1"/>
  <c r="I5527" i="1"/>
  <c r="S5527" i="1"/>
  <c r="B5528" i="1"/>
  <c r="E5528" i="1"/>
  <c r="I5528" i="1"/>
  <c r="S5528" i="1"/>
  <c r="B5529" i="1"/>
  <c r="E5529" i="1"/>
  <c r="I5529" i="1"/>
  <c r="S5529" i="1"/>
  <c r="B5530" i="1"/>
  <c r="E5530" i="1"/>
  <c r="I5530" i="1"/>
  <c r="S5530" i="1"/>
  <c r="B5531" i="1"/>
  <c r="E5531" i="1"/>
  <c r="I5531" i="1"/>
  <c r="S5531" i="1"/>
  <c r="B5532" i="1"/>
  <c r="E5532" i="1"/>
  <c r="I5532" i="1"/>
  <c r="S5532" i="1"/>
  <c r="B5533" i="1"/>
  <c r="E5533" i="1"/>
  <c r="I5533" i="1"/>
  <c r="S5533" i="1"/>
  <c r="B5534" i="1"/>
  <c r="E5534" i="1"/>
  <c r="I5534" i="1"/>
  <c r="S5534" i="1"/>
  <c r="B5535" i="1"/>
  <c r="E5535" i="1"/>
  <c r="I5535" i="1"/>
  <c r="S5535" i="1"/>
  <c r="B5536" i="1"/>
  <c r="E5536" i="1"/>
  <c r="I5536" i="1"/>
  <c r="S5536" i="1"/>
  <c r="B5537" i="1"/>
  <c r="E5537" i="1"/>
  <c r="I5537" i="1"/>
  <c r="S5537" i="1"/>
  <c r="B5538" i="1"/>
  <c r="E5538" i="1"/>
  <c r="I5538" i="1"/>
  <c r="S5538" i="1"/>
  <c r="B5539" i="1"/>
  <c r="E5539" i="1"/>
  <c r="I5539" i="1"/>
  <c r="S5539" i="1"/>
  <c r="B5540" i="1"/>
  <c r="E5540" i="1"/>
  <c r="I5540" i="1"/>
  <c r="S5540" i="1"/>
  <c r="B5541" i="1"/>
  <c r="E5541" i="1"/>
  <c r="I5541" i="1"/>
  <c r="S5541" i="1"/>
  <c r="B5542" i="1"/>
  <c r="E5542" i="1"/>
  <c r="I5542" i="1"/>
  <c r="S5542" i="1"/>
  <c r="B5543" i="1"/>
  <c r="E5543" i="1"/>
  <c r="I5543" i="1"/>
  <c r="S5543" i="1"/>
  <c r="B5544" i="1"/>
  <c r="E5544" i="1"/>
  <c r="I5544" i="1"/>
  <c r="S5544" i="1"/>
  <c r="B5545" i="1"/>
  <c r="E5545" i="1"/>
  <c r="I5545" i="1"/>
  <c r="S5545" i="1"/>
  <c r="B5546" i="1"/>
  <c r="E5546" i="1"/>
  <c r="I5546" i="1"/>
  <c r="S5546" i="1"/>
  <c r="B5547" i="1"/>
  <c r="E5547" i="1"/>
  <c r="I5547" i="1"/>
  <c r="S5547" i="1"/>
  <c r="B5548" i="1"/>
  <c r="E5548" i="1"/>
  <c r="I5548" i="1"/>
  <c r="S5548" i="1"/>
  <c r="B5549" i="1"/>
  <c r="E5549" i="1"/>
  <c r="I5549" i="1"/>
  <c r="S5549" i="1"/>
  <c r="B5550" i="1"/>
  <c r="E5550" i="1"/>
  <c r="I5550" i="1"/>
  <c r="S5550" i="1"/>
  <c r="B5551" i="1"/>
  <c r="E5551" i="1"/>
  <c r="I5551" i="1"/>
  <c r="S5551" i="1"/>
  <c r="B5552" i="1"/>
  <c r="E5552" i="1"/>
  <c r="I5552" i="1"/>
  <c r="S5552" i="1"/>
  <c r="B5553" i="1"/>
  <c r="E5553" i="1"/>
  <c r="I5553" i="1"/>
  <c r="S5553" i="1"/>
  <c r="B5554" i="1"/>
  <c r="E5554" i="1"/>
  <c r="I5554" i="1"/>
  <c r="S5554" i="1"/>
  <c r="B5555" i="1"/>
  <c r="E5555" i="1"/>
  <c r="I5555" i="1"/>
  <c r="S5555" i="1"/>
  <c r="B5556" i="1"/>
  <c r="E5556" i="1"/>
  <c r="I5556" i="1"/>
  <c r="S5556" i="1"/>
  <c r="B5557" i="1"/>
  <c r="E5557" i="1"/>
  <c r="I5557" i="1"/>
  <c r="S5557" i="1"/>
  <c r="B5558" i="1"/>
  <c r="E5558" i="1"/>
  <c r="I5558" i="1"/>
  <c r="S5558" i="1"/>
  <c r="B5559" i="1"/>
  <c r="E5559" i="1"/>
  <c r="I5559" i="1"/>
  <c r="S5559" i="1"/>
  <c r="B5560" i="1"/>
  <c r="E5560" i="1"/>
  <c r="I5560" i="1"/>
  <c r="S5560" i="1"/>
  <c r="B5561" i="1"/>
  <c r="E5561" i="1"/>
  <c r="I5561" i="1"/>
  <c r="S5561" i="1"/>
  <c r="B5562" i="1"/>
  <c r="E5562" i="1"/>
  <c r="I5562" i="1"/>
  <c r="S5562" i="1"/>
  <c r="B5563" i="1"/>
  <c r="E5563" i="1"/>
  <c r="I5563" i="1"/>
  <c r="S5563" i="1"/>
  <c r="B5564" i="1"/>
  <c r="E5564" i="1"/>
  <c r="I5564" i="1"/>
  <c r="B5565" i="1"/>
  <c r="E5565" i="1"/>
  <c r="I5565" i="1"/>
  <c r="S5565" i="1"/>
  <c r="B5566" i="1"/>
  <c r="E5566" i="1"/>
  <c r="I5566" i="1"/>
  <c r="S5566" i="1"/>
  <c r="B5567" i="1"/>
  <c r="E5567" i="1"/>
  <c r="I5567" i="1"/>
  <c r="S5567" i="1"/>
  <c r="B5568" i="1"/>
  <c r="E5568" i="1"/>
  <c r="I5568" i="1"/>
  <c r="S5568" i="1"/>
  <c r="B5569" i="1"/>
  <c r="E5569" i="1"/>
  <c r="I5569" i="1"/>
  <c r="S5569" i="1"/>
  <c r="B5570" i="1"/>
  <c r="E5570" i="1"/>
  <c r="I5570" i="1"/>
  <c r="S5570" i="1"/>
  <c r="B5571" i="1"/>
  <c r="E5571" i="1"/>
  <c r="I5571" i="1"/>
  <c r="S5571" i="1"/>
  <c r="B5572" i="1"/>
  <c r="E5572" i="1"/>
  <c r="I5572" i="1"/>
  <c r="S5572" i="1"/>
  <c r="B5573" i="1"/>
  <c r="E5573" i="1"/>
  <c r="I5573" i="1"/>
  <c r="S5573" i="1"/>
  <c r="B5574" i="1"/>
  <c r="E5574" i="1"/>
  <c r="I5574" i="1"/>
  <c r="S5574" i="1"/>
  <c r="B5575" i="1"/>
  <c r="E5575" i="1"/>
  <c r="I5575" i="1"/>
  <c r="S5575" i="1"/>
  <c r="B5576" i="1"/>
  <c r="E5576" i="1"/>
  <c r="I5576" i="1"/>
  <c r="S5576" i="1"/>
  <c r="B5577" i="1"/>
  <c r="E5577" i="1"/>
  <c r="I5577" i="1"/>
  <c r="S5577" i="1"/>
  <c r="B5578" i="1"/>
  <c r="E5578" i="1"/>
  <c r="I5578" i="1"/>
  <c r="S5578" i="1"/>
  <c r="B5579" i="1"/>
  <c r="E5579" i="1"/>
  <c r="I5579" i="1"/>
  <c r="S5579" i="1"/>
  <c r="B5580" i="1"/>
  <c r="E5580" i="1"/>
  <c r="I5580" i="1"/>
  <c r="S5580" i="1"/>
  <c r="B5581" i="1"/>
  <c r="E5581" i="1"/>
  <c r="I5581" i="1"/>
  <c r="S5581" i="1"/>
  <c r="B5582" i="1"/>
  <c r="E5582" i="1"/>
  <c r="I5582" i="1"/>
  <c r="S5582" i="1"/>
  <c r="B5583" i="1"/>
  <c r="E5583" i="1"/>
  <c r="I5583" i="1"/>
  <c r="S5583" i="1"/>
  <c r="B5584" i="1"/>
  <c r="E5584" i="1"/>
  <c r="I5584" i="1"/>
  <c r="S5584" i="1"/>
  <c r="B5585" i="1"/>
  <c r="E5585" i="1"/>
  <c r="I5585" i="1"/>
  <c r="S5585" i="1"/>
  <c r="B5586" i="1"/>
  <c r="E5586" i="1"/>
  <c r="I5586" i="1"/>
  <c r="S5586" i="1"/>
  <c r="B5587" i="1"/>
  <c r="E5587" i="1"/>
  <c r="I5587" i="1"/>
  <c r="S5587" i="1"/>
  <c r="B5588" i="1"/>
  <c r="E5588" i="1"/>
  <c r="I5588" i="1"/>
  <c r="S5588" i="1"/>
  <c r="B5589" i="1"/>
  <c r="E5589" i="1"/>
  <c r="I5589" i="1"/>
  <c r="S5589" i="1"/>
  <c r="B5590" i="1"/>
  <c r="E5590" i="1"/>
  <c r="I5590" i="1"/>
  <c r="S5590" i="1"/>
  <c r="B5591" i="1"/>
  <c r="E5591" i="1"/>
  <c r="I5591" i="1"/>
  <c r="S5591" i="1"/>
  <c r="B5592" i="1"/>
  <c r="E5592" i="1"/>
  <c r="I5592" i="1"/>
  <c r="S5592" i="1"/>
  <c r="B5593" i="1"/>
  <c r="E5593" i="1"/>
  <c r="I5593" i="1"/>
  <c r="S5593" i="1"/>
  <c r="B5594" i="1"/>
  <c r="E5594" i="1"/>
  <c r="I5594" i="1"/>
  <c r="S5594" i="1"/>
  <c r="B5595" i="1"/>
  <c r="E5595" i="1"/>
  <c r="I5595" i="1"/>
  <c r="S5595" i="1"/>
  <c r="B5596" i="1"/>
  <c r="E5596" i="1"/>
  <c r="I5596" i="1"/>
  <c r="S5596" i="1"/>
  <c r="B5597" i="1"/>
  <c r="E5597" i="1"/>
  <c r="I5597" i="1"/>
  <c r="S5597" i="1"/>
  <c r="B5598" i="1"/>
  <c r="E5598" i="1"/>
  <c r="I5598" i="1"/>
  <c r="S5598" i="1"/>
  <c r="B5599" i="1"/>
  <c r="E5599" i="1"/>
  <c r="I5599" i="1"/>
  <c r="S5599" i="1"/>
  <c r="B5600" i="1"/>
  <c r="E5600" i="1"/>
  <c r="I5600" i="1"/>
  <c r="S5600" i="1"/>
  <c r="B5601" i="1"/>
  <c r="E5601" i="1"/>
  <c r="I5601" i="1"/>
  <c r="S5601" i="1"/>
  <c r="B5602" i="1"/>
  <c r="E5602" i="1"/>
  <c r="I5602" i="1"/>
  <c r="S5602" i="1"/>
  <c r="B5603" i="1"/>
  <c r="E5603" i="1"/>
  <c r="I5603" i="1"/>
  <c r="S5603" i="1"/>
  <c r="B5604" i="1"/>
  <c r="E5604" i="1"/>
  <c r="I5604" i="1"/>
  <c r="S5604" i="1"/>
  <c r="B5605" i="1"/>
  <c r="E5605" i="1"/>
  <c r="I5605" i="1"/>
  <c r="S5605" i="1"/>
  <c r="B5606" i="1"/>
  <c r="E5606" i="1"/>
  <c r="I5606" i="1"/>
  <c r="S5606" i="1"/>
  <c r="B5607" i="1"/>
  <c r="E5607" i="1"/>
  <c r="I5607" i="1"/>
  <c r="S5607" i="1"/>
  <c r="B5608" i="1"/>
  <c r="E5608" i="1"/>
  <c r="I5608" i="1"/>
  <c r="S5608" i="1"/>
  <c r="B5609" i="1"/>
  <c r="E5609" i="1"/>
  <c r="I5609" i="1"/>
  <c r="S5609" i="1"/>
  <c r="B5610" i="1"/>
  <c r="E5610" i="1"/>
  <c r="I5610" i="1"/>
  <c r="S5610" i="1"/>
  <c r="B5611" i="1"/>
  <c r="E5611" i="1"/>
  <c r="I5611" i="1"/>
  <c r="S5611" i="1"/>
  <c r="B5612" i="1"/>
  <c r="E5612" i="1"/>
  <c r="I5612" i="1"/>
  <c r="S5612" i="1"/>
  <c r="B5613" i="1"/>
  <c r="E5613" i="1"/>
  <c r="I5613" i="1"/>
  <c r="S5613" i="1"/>
  <c r="B5614" i="1"/>
  <c r="E5614" i="1"/>
  <c r="I5614" i="1"/>
  <c r="S5614" i="1"/>
  <c r="B5615" i="1"/>
  <c r="E5615" i="1"/>
  <c r="I5615" i="1"/>
  <c r="S5615" i="1"/>
  <c r="B5616" i="1"/>
  <c r="E5616" i="1"/>
  <c r="I5616" i="1"/>
  <c r="S5616" i="1"/>
  <c r="B5617" i="1"/>
  <c r="E5617" i="1"/>
  <c r="I5617" i="1"/>
  <c r="S5617" i="1"/>
  <c r="B5618" i="1"/>
  <c r="E5618" i="1"/>
  <c r="I5618" i="1"/>
  <c r="S5618" i="1"/>
  <c r="B5619" i="1"/>
  <c r="E5619" i="1"/>
  <c r="I5619" i="1"/>
  <c r="S5619" i="1"/>
  <c r="B5620" i="1"/>
  <c r="E5620" i="1"/>
  <c r="I5620" i="1"/>
  <c r="S5620" i="1"/>
  <c r="B5621" i="1"/>
  <c r="E5621" i="1"/>
  <c r="I5621" i="1"/>
  <c r="S5621" i="1"/>
  <c r="B5622" i="1"/>
  <c r="E5622" i="1"/>
  <c r="I5622" i="1"/>
  <c r="S5622" i="1"/>
  <c r="B5623" i="1"/>
  <c r="E5623" i="1"/>
  <c r="I5623" i="1"/>
  <c r="S5623" i="1"/>
  <c r="B5624" i="1"/>
  <c r="E5624" i="1"/>
  <c r="I5624" i="1"/>
  <c r="S5624" i="1"/>
  <c r="B5625" i="1"/>
  <c r="E5625" i="1"/>
  <c r="I5625" i="1"/>
  <c r="S5625" i="1"/>
  <c r="B5626" i="1"/>
  <c r="E5626" i="1"/>
  <c r="I5626" i="1"/>
  <c r="S5626" i="1"/>
  <c r="B5627" i="1"/>
  <c r="E5627" i="1"/>
  <c r="I5627" i="1"/>
  <c r="S5627" i="1"/>
  <c r="B5628" i="1"/>
  <c r="E5628" i="1"/>
  <c r="I5628" i="1"/>
  <c r="S5628" i="1"/>
  <c r="B5629" i="1"/>
  <c r="E5629" i="1"/>
  <c r="I5629" i="1"/>
  <c r="S5629" i="1"/>
  <c r="B5630" i="1"/>
  <c r="E5630" i="1"/>
  <c r="I5630" i="1"/>
  <c r="S5630" i="1"/>
  <c r="B5631" i="1"/>
  <c r="E5631" i="1"/>
  <c r="I5631" i="1"/>
  <c r="S5631" i="1"/>
  <c r="B5632" i="1"/>
  <c r="E5632" i="1"/>
  <c r="I5632" i="1"/>
  <c r="S5632" i="1"/>
  <c r="B5633" i="1"/>
  <c r="E5633" i="1"/>
  <c r="I5633" i="1"/>
  <c r="S5633" i="1"/>
  <c r="B5634" i="1"/>
  <c r="E5634" i="1"/>
  <c r="I5634" i="1"/>
  <c r="S5634" i="1"/>
  <c r="B5635" i="1"/>
  <c r="E5635" i="1"/>
  <c r="I5635" i="1"/>
  <c r="S5635" i="1"/>
  <c r="B5636" i="1"/>
  <c r="E5636" i="1"/>
  <c r="I5636" i="1"/>
  <c r="S5636" i="1"/>
  <c r="B5637" i="1"/>
  <c r="E5637" i="1"/>
  <c r="I5637" i="1"/>
  <c r="S5637" i="1"/>
  <c r="B5638" i="1"/>
  <c r="E5638" i="1"/>
  <c r="I5638" i="1"/>
  <c r="S5638" i="1"/>
  <c r="B5639" i="1"/>
  <c r="E5639" i="1"/>
  <c r="I5639" i="1"/>
  <c r="S5639" i="1"/>
  <c r="B5640" i="1"/>
  <c r="E5640" i="1"/>
  <c r="I5640" i="1"/>
  <c r="S5640" i="1"/>
  <c r="B5641" i="1"/>
  <c r="E5641" i="1"/>
  <c r="I5641" i="1"/>
  <c r="S5641" i="1"/>
  <c r="B5642" i="1"/>
  <c r="E5642" i="1"/>
  <c r="I5642" i="1"/>
  <c r="S5642" i="1"/>
  <c r="B5643" i="1"/>
  <c r="E5643" i="1"/>
  <c r="I5643" i="1"/>
  <c r="S5643" i="1"/>
  <c r="B5644" i="1"/>
  <c r="E5644" i="1"/>
  <c r="I5644" i="1"/>
  <c r="S5644" i="1"/>
  <c r="B5645" i="1"/>
  <c r="E5645" i="1"/>
  <c r="I5645" i="1"/>
  <c r="S5645" i="1"/>
  <c r="B5646" i="1"/>
  <c r="E5646" i="1"/>
  <c r="I5646" i="1"/>
  <c r="S5646" i="1"/>
  <c r="B5647" i="1"/>
  <c r="E5647" i="1"/>
  <c r="I5647" i="1"/>
  <c r="S5647" i="1"/>
  <c r="B5648" i="1"/>
  <c r="E5648" i="1"/>
  <c r="I5648" i="1"/>
  <c r="S5648" i="1"/>
  <c r="B5649" i="1"/>
  <c r="E5649" i="1"/>
  <c r="I5649" i="1"/>
  <c r="S5649" i="1"/>
  <c r="B5650" i="1"/>
  <c r="E5650" i="1"/>
  <c r="I5650" i="1"/>
  <c r="S5650" i="1"/>
  <c r="B5651" i="1"/>
  <c r="E5651" i="1"/>
  <c r="I5651" i="1"/>
  <c r="S5651" i="1"/>
  <c r="B5652" i="1"/>
  <c r="E5652" i="1"/>
  <c r="I5652" i="1"/>
  <c r="S5652" i="1"/>
  <c r="B5653" i="1"/>
  <c r="E5653" i="1"/>
  <c r="I5653" i="1"/>
  <c r="S5653" i="1"/>
  <c r="B5654" i="1"/>
  <c r="E5654" i="1"/>
  <c r="I5654" i="1"/>
  <c r="S5654" i="1"/>
  <c r="B5655" i="1"/>
  <c r="E5655" i="1"/>
  <c r="I5655" i="1"/>
  <c r="S5655" i="1"/>
  <c r="B5656" i="1"/>
  <c r="E5656" i="1"/>
  <c r="I5656" i="1"/>
  <c r="S5656" i="1"/>
  <c r="B5657" i="1"/>
  <c r="E5657" i="1"/>
  <c r="I5657" i="1"/>
  <c r="S5657" i="1"/>
  <c r="B5658" i="1"/>
  <c r="E5658" i="1"/>
  <c r="I5658" i="1"/>
  <c r="S5658" i="1"/>
  <c r="B5659" i="1"/>
  <c r="E5659" i="1"/>
  <c r="I5659" i="1"/>
  <c r="S5659" i="1"/>
  <c r="B5660" i="1"/>
  <c r="E5660" i="1"/>
  <c r="I5660" i="1"/>
  <c r="S5660" i="1"/>
  <c r="B5661" i="1"/>
  <c r="E5661" i="1"/>
  <c r="I5661" i="1"/>
  <c r="S5661" i="1"/>
  <c r="B5662" i="1"/>
  <c r="E5662" i="1"/>
  <c r="I5662" i="1"/>
  <c r="S5662" i="1"/>
  <c r="B5663" i="1"/>
  <c r="E5663" i="1"/>
  <c r="I5663" i="1"/>
  <c r="S5663" i="1"/>
  <c r="B5664" i="1"/>
  <c r="E5664" i="1"/>
  <c r="I5664" i="1"/>
  <c r="S5664" i="1"/>
  <c r="B5665" i="1"/>
  <c r="E5665" i="1"/>
  <c r="I5665" i="1"/>
  <c r="S5665" i="1"/>
  <c r="B5666" i="1"/>
  <c r="E5666" i="1"/>
  <c r="I5666" i="1"/>
  <c r="S5666" i="1"/>
  <c r="B5667" i="1"/>
  <c r="E5667" i="1"/>
  <c r="I5667" i="1"/>
  <c r="S5667" i="1"/>
  <c r="B5668" i="1"/>
  <c r="E5668" i="1"/>
  <c r="I5668" i="1"/>
  <c r="S5668" i="1"/>
  <c r="B5669" i="1"/>
  <c r="E5669" i="1"/>
  <c r="I5669" i="1"/>
  <c r="S5669" i="1"/>
  <c r="B5670" i="1"/>
  <c r="E5670" i="1"/>
  <c r="I5670" i="1"/>
  <c r="S5670" i="1"/>
  <c r="B5671" i="1"/>
  <c r="E5671" i="1"/>
  <c r="I5671" i="1"/>
  <c r="S5671" i="1"/>
  <c r="B5672" i="1"/>
  <c r="E5672" i="1"/>
  <c r="I5672" i="1"/>
  <c r="S5672" i="1"/>
  <c r="B5673" i="1"/>
  <c r="E5673" i="1"/>
  <c r="I5673" i="1"/>
  <c r="S5673" i="1"/>
  <c r="B5674" i="1"/>
  <c r="E5674" i="1"/>
  <c r="I5674" i="1"/>
  <c r="S5674" i="1"/>
  <c r="B5675" i="1"/>
  <c r="E5675" i="1"/>
  <c r="I5675" i="1"/>
  <c r="S5675" i="1"/>
  <c r="B5676" i="1"/>
  <c r="E5676" i="1"/>
  <c r="I5676" i="1"/>
  <c r="S5676" i="1"/>
  <c r="B5677" i="1"/>
  <c r="E5677" i="1"/>
  <c r="I5677" i="1"/>
  <c r="B5678" i="1"/>
  <c r="E5678" i="1"/>
  <c r="I5678" i="1"/>
  <c r="S5678" i="1"/>
  <c r="B5679" i="1"/>
  <c r="E5679" i="1"/>
  <c r="I5679" i="1"/>
  <c r="S5679" i="1"/>
  <c r="B5680" i="1"/>
  <c r="E5680" i="1"/>
  <c r="I5680" i="1"/>
  <c r="S5680" i="1"/>
  <c r="B5681" i="1"/>
  <c r="E5681" i="1"/>
  <c r="I5681" i="1"/>
  <c r="S5681" i="1"/>
  <c r="B5682" i="1"/>
  <c r="E5682" i="1"/>
  <c r="I5682" i="1"/>
  <c r="S5682" i="1"/>
  <c r="B5683" i="1"/>
  <c r="E5683" i="1"/>
  <c r="I5683" i="1"/>
  <c r="S5683" i="1"/>
  <c r="B5684" i="1"/>
  <c r="E5684" i="1"/>
  <c r="I5684" i="1"/>
  <c r="S5684" i="1"/>
  <c r="B5685" i="1"/>
  <c r="E5685" i="1"/>
  <c r="I5685" i="1"/>
  <c r="S5685" i="1"/>
  <c r="B5686" i="1"/>
  <c r="E5686" i="1"/>
  <c r="I5686" i="1"/>
  <c r="S5686" i="1"/>
  <c r="B5687" i="1"/>
  <c r="E5687" i="1"/>
  <c r="I5687" i="1"/>
  <c r="S5687" i="1"/>
  <c r="B5688" i="1"/>
  <c r="E5688" i="1"/>
  <c r="I5688" i="1"/>
  <c r="S5688" i="1"/>
  <c r="B5689" i="1"/>
  <c r="E5689" i="1"/>
  <c r="I5689" i="1"/>
  <c r="S5689" i="1"/>
  <c r="B5690" i="1"/>
  <c r="E5690" i="1"/>
  <c r="I5690" i="1"/>
  <c r="S5690" i="1"/>
  <c r="B5691" i="1"/>
  <c r="E5691" i="1"/>
  <c r="I5691" i="1"/>
  <c r="S5691" i="1"/>
  <c r="B5692" i="1"/>
  <c r="E5692" i="1"/>
  <c r="I5692" i="1"/>
  <c r="S5692" i="1"/>
  <c r="B5693" i="1"/>
  <c r="E5693" i="1"/>
  <c r="I5693" i="1"/>
  <c r="S5693" i="1"/>
  <c r="B5694" i="1"/>
  <c r="E5694" i="1"/>
  <c r="I5694" i="1"/>
  <c r="S5694" i="1"/>
  <c r="B5695" i="1"/>
  <c r="E5695" i="1"/>
  <c r="I5695" i="1"/>
  <c r="S5695" i="1"/>
  <c r="B5696" i="1"/>
  <c r="E5696" i="1"/>
  <c r="I5696" i="1"/>
  <c r="S5696" i="1"/>
  <c r="B5697" i="1"/>
  <c r="E5697" i="1"/>
  <c r="I5697" i="1"/>
  <c r="S5697" i="1"/>
  <c r="B5698" i="1"/>
  <c r="E5698" i="1"/>
  <c r="I5698" i="1"/>
  <c r="S5698" i="1"/>
  <c r="B5699" i="1"/>
  <c r="E5699" i="1"/>
  <c r="I5699" i="1"/>
  <c r="S5699" i="1"/>
  <c r="B5700" i="1"/>
  <c r="E5700" i="1"/>
  <c r="I5700" i="1"/>
  <c r="S5700" i="1"/>
  <c r="B5701" i="1"/>
  <c r="E5701" i="1"/>
  <c r="I5701" i="1"/>
  <c r="S5701" i="1"/>
  <c r="B5702" i="1"/>
  <c r="E5702" i="1"/>
  <c r="I5702" i="1"/>
  <c r="S5702" i="1"/>
  <c r="B5703" i="1"/>
  <c r="E5703" i="1"/>
  <c r="I5703" i="1"/>
  <c r="S5703" i="1"/>
  <c r="B5704" i="1"/>
  <c r="E5704" i="1"/>
  <c r="I5704" i="1"/>
  <c r="S5704" i="1"/>
  <c r="B5705" i="1"/>
  <c r="E5705" i="1"/>
  <c r="I5705" i="1"/>
  <c r="S5705" i="1"/>
  <c r="B5706" i="1"/>
  <c r="E5706" i="1"/>
  <c r="I5706" i="1"/>
  <c r="S5706" i="1"/>
  <c r="B5707" i="1"/>
  <c r="E5707" i="1"/>
  <c r="I5707" i="1"/>
  <c r="S5707" i="1"/>
  <c r="B5708" i="1"/>
  <c r="E5708" i="1"/>
  <c r="I5708" i="1"/>
  <c r="S5708" i="1"/>
  <c r="B5709" i="1"/>
  <c r="E5709" i="1"/>
  <c r="I5709" i="1"/>
  <c r="S5709" i="1"/>
  <c r="B5710" i="1"/>
  <c r="E5710" i="1"/>
  <c r="I5710" i="1"/>
  <c r="S5710" i="1"/>
  <c r="B5711" i="1"/>
  <c r="E5711" i="1"/>
  <c r="I5711" i="1"/>
  <c r="S5711" i="1"/>
  <c r="B5712" i="1"/>
  <c r="E5712" i="1"/>
  <c r="I5712" i="1"/>
  <c r="S5712" i="1"/>
  <c r="B5713" i="1"/>
  <c r="E5713" i="1"/>
  <c r="I5713" i="1"/>
  <c r="S5713" i="1"/>
  <c r="B5714" i="1"/>
  <c r="E5714" i="1"/>
  <c r="I5714" i="1"/>
  <c r="S5714" i="1"/>
  <c r="B5715" i="1"/>
  <c r="E5715" i="1"/>
  <c r="I5715" i="1"/>
  <c r="S5715" i="1"/>
  <c r="B5716" i="1"/>
  <c r="E5716" i="1"/>
  <c r="I5716" i="1"/>
  <c r="S5716" i="1"/>
  <c r="B5717" i="1"/>
  <c r="E5717" i="1"/>
  <c r="I5717" i="1"/>
  <c r="S5717" i="1"/>
  <c r="B5718" i="1"/>
  <c r="E5718" i="1"/>
  <c r="I5718" i="1"/>
  <c r="S5718" i="1"/>
  <c r="B5719" i="1"/>
  <c r="E5719" i="1"/>
  <c r="I5719" i="1"/>
  <c r="S5719" i="1"/>
  <c r="B5720" i="1"/>
  <c r="E5720" i="1"/>
  <c r="I5720" i="1"/>
  <c r="S5720" i="1"/>
  <c r="B5721" i="1"/>
  <c r="E5721" i="1"/>
  <c r="I5721" i="1"/>
  <c r="S5721" i="1"/>
  <c r="B5722" i="1"/>
  <c r="E5722" i="1"/>
  <c r="I5722" i="1"/>
  <c r="S5722" i="1"/>
  <c r="B5723" i="1"/>
  <c r="E5723" i="1"/>
  <c r="I5723" i="1"/>
  <c r="S5723" i="1"/>
  <c r="B5724" i="1"/>
  <c r="E5724" i="1"/>
  <c r="I5724" i="1"/>
  <c r="S5724" i="1"/>
  <c r="B5725" i="1"/>
  <c r="E5725" i="1"/>
  <c r="I5725" i="1"/>
  <c r="S5725" i="1"/>
  <c r="B5726" i="1"/>
  <c r="E5726" i="1"/>
  <c r="I5726" i="1"/>
  <c r="S5726" i="1"/>
  <c r="B5727" i="1"/>
  <c r="E5727" i="1"/>
  <c r="I5727" i="1"/>
  <c r="S5727" i="1"/>
  <c r="B5728" i="1"/>
  <c r="E5728" i="1"/>
  <c r="I5728" i="1"/>
  <c r="S5728" i="1"/>
  <c r="B5729" i="1"/>
  <c r="E5729" i="1"/>
  <c r="I5729" i="1"/>
  <c r="S5729" i="1"/>
  <c r="B5730" i="1"/>
  <c r="E5730" i="1"/>
  <c r="I5730" i="1"/>
  <c r="S5730" i="1"/>
  <c r="B5731" i="1"/>
  <c r="E5731" i="1"/>
  <c r="I5731" i="1"/>
  <c r="S5731" i="1"/>
  <c r="B5732" i="1"/>
  <c r="E5732" i="1"/>
  <c r="I5732" i="1"/>
  <c r="S5732" i="1"/>
  <c r="B5733" i="1"/>
  <c r="E5733" i="1"/>
  <c r="I5733" i="1"/>
  <c r="S5733" i="1"/>
  <c r="B5734" i="1"/>
  <c r="E5734" i="1"/>
  <c r="I5734" i="1"/>
  <c r="S5734" i="1"/>
  <c r="B5735" i="1"/>
  <c r="E5735" i="1"/>
  <c r="I5735" i="1"/>
  <c r="S5735" i="1"/>
  <c r="B5736" i="1"/>
  <c r="E5736" i="1"/>
  <c r="I5736" i="1"/>
  <c r="S5736" i="1"/>
  <c r="B5737" i="1"/>
  <c r="E5737" i="1"/>
  <c r="I5737" i="1"/>
  <c r="S5737" i="1"/>
  <c r="B5738" i="1"/>
  <c r="E5738" i="1"/>
  <c r="I5738" i="1"/>
  <c r="S5738" i="1"/>
  <c r="B5739" i="1"/>
  <c r="E5739" i="1"/>
  <c r="I5739" i="1"/>
  <c r="S5739" i="1"/>
  <c r="B5740" i="1"/>
  <c r="E5740" i="1"/>
  <c r="I5740" i="1"/>
  <c r="S5740" i="1"/>
  <c r="B5741" i="1"/>
  <c r="E5741" i="1"/>
  <c r="I5741" i="1"/>
  <c r="S5741" i="1"/>
  <c r="B5742" i="1"/>
  <c r="E5742" i="1"/>
  <c r="I5742" i="1"/>
  <c r="S5742" i="1"/>
  <c r="B5743" i="1"/>
  <c r="E5743" i="1"/>
  <c r="I5743" i="1"/>
  <c r="S5743" i="1"/>
  <c r="B5744" i="1"/>
  <c r="E5744" i="1"/>
  <c r="I5744" i="1"/>
  <c r="S5744" i="1"/>
  <c r="B5745" i="1"/>
  <c r="E5745" i="1"/>
  <c r="I5745" i="1"/>
  <c r="S5745" i="1"/>
  <c r="B5746" i="1"/>
  <c r="E5746" i="1"/>
  <c r="I5746" i="1"/>
  <c r="S5746" i="1"/>
  <c r="B5747" i="1"/>
  <c r="E5747" i="1"/>
  <c r="I5747" i="1"/>
  <c r="S5747" i="1"/>
  <c r="B5748" i="1"/>
  <c r="E5748" i="1"/>
  <c r="I5748" i="1"/>
  <c r="S5748" i="1"/>
  <c r="B5749" i="1"/>
  <c r="E5749" i="1"/>
  <c r="I5749" i="1"/>
  <c r="S5749" i="1"/>
  <c r="B5750" i="1"/>
  <c r="E5750" i="1"/>
  <c r="I5750" i="1"/>
  <c r="S5750" i="1"/>
  <c r="B5751" i="1"/>
  <c r="E5751" i="1"/>
  <c r="I5751" i="1"/>
  <c r="S5751" i="1"/>
  <c r="B5752" i="1"/>
  <c r="E5752" i="1"/>
  <c r="I5752" i="1"/>
  <c r="S5752" i="1"/>
  <c r="B5753" i="1"/>
  <c r="E5753" i="1"/>
  <c r="I5753" i="1"/>
  <c r="S5753" i="1"/>
  <c r="B5754" i="1"/>
  <c r="E5754" i="1"/>
  <c r="I5754" i="1"/>
  <c r="S5754" i="1"/>
  <c r="B5755" i="1"/>
  <c r="E5755" i="1"/>
  <c r="I5755" i="1"/>
  <c r="S5755" i="1"/>
  <c r="B5756" i="1"/>
  <c r="E5756" i="1"/>
  <c r="I5756" i="1"/>
  <c r="S5756" i="1"/>
  <c r="B5757" i="1"/>
  <c r="E5757" i="1"/>
  <c r="I5757" i="1"/>
  <c r="S5757" i="1"/>
  <c r="B5758" i="1"/>
  <c r="E5758" i="1"/>
  <c r="I5758" i="1"/>
  <c r="S5758" i="1"/>
  <c r="B5759" i="1"/>
  <c r="E5759" i="1"/>
  <c r="I5759" i="1"/>
  <c r="S5759" i="1"/>
  <c r="B5760" i="1"/>
  <c r="E5760" i="1"/>
  <c r="I5760" i="1"/>
  <c r="S5760" i="1"/>
  <c r="B5761" i="1"/>
  <c r="E5761" i="1"/>
  <c r="I5761" i="1"/>
  <c r="S5761" i="1"/>
  <c r="B5762" i="1"/>
  <c r="E5762" i="1"/>
  <c r="I5762" i="1"/>
  <c r="S5762" i="1"/>
  <c r="B5763" i="1"/>
  <c r="E5763" i="1"/>
  <c r="I5763" i="1"/>
  <c r="S5763" i="1"/>
  <c r="B5764" i="1"/>
  <c r="E5764" i="1"/>
  <c r="I5764" i="1"/>
  <c r="S5764" i="1"/>
  <c r="B5765" i="1"/>
  <c r="E5765" i="1"/>
  <c r="I5765" i="1"/>
  <c r="S5765" i="1"/>
  <c r="B5766" i="1"/>
  <c r="E5766" i="1"/>
  <c r="I5766" i="1"/>
  <c r="S5766" i="1"/>
  <c r="B5767" i="1"/>
  <c r="E5767" i="1"/>
  <c r="I5767" i="1"/>
  <c r="S5767" i="1"/>
  <c r="B5768" i="1"/>
  <c r="E5768" i="1"/>
  <c r="I5768" i="1"/>
  <c r="S5768" i="1"/>
  <c r="B5769" i="1"/>
  <c r="E5769" i="1"/>
  <c r="I5769" i="1"/>
  <c r="S5769" i="1"/>
  <c r="B5770" i="1"/>
  <c r="E5770" i="1"/>
  <c r="I5770" i="1"/>
  <c r="B5771" i="1"/>
  <c r="E5771" i="1"/>
  <c r="I5771" i="1"/>
  <c r="S5771" i="1"/>
  <c r="B5772" i="1"/>
  <c r="E5772" i="1"/>
  <c r="I5772" i="1"/>
  <c r="S5772" i="1"/>
  <c r="B5773" i="1"/>
  <c r="E5773" i="1"/>
  <c r="I5773" i="1"/>
  <c r="S5773" i="1"/>
  <c r="B5774" i="1"/>
  <c r="E5774" i="1"/>
  <c r="I5774" i="1"/>
  <c r="S5774" i="1"/>
  <c r="B5775" i="1"/>
  <c r="E5775" i="1"/>
  <c r="I5775" i="1"/>
  <c r="S5775" i="1"/>
  <c r="B5776" i="1"/>
  <c r="E5776" i="1"/>
  <c r="I5776" i="1"/>
  <c r="S5776" i="1"/>
  <c r="B5777" i="1"/>
  <c r="E5777" i="1"/>
  <c r="I5777" i="1"/>
  <c r="S5777" i="1"/>
  <c r="B5778" i="1"/>
  <c r="E5778" i="1"/>
  <c r="I5778" i="1"/>
  <c r="S5778" i="1"/>
  <c r="B5779" i="1"/>
  <c r="E5779" i="1"/>
  <c r="I5779" i="1"/>
  <c r="S5779" i="1"/>
  <c r="B5780" i="1"/>
  <c r="E5780" i="1"/>
  <c r="I5780" i="1"/>
  <c r="S5780" i="1"/>
  <c r="B5781" i="1"/>
  <c r="E5781" i="1"/>
  <c r="I5781" i="1"/>
  <c r="S5781" i="1"/>
  <c r="B5782" i="1"/>
  <c r="E5782" i="1"/>
  <c r="I5782" i="1"/>
  <c r="S5782" i="1"/>
  <c r="B5783" i="1"/>
  <c r="E5783" i="1"/>
  <c r="I5783" i="1"/>
  <c r="S5783" i="1"/>
  <c r="B5784" i="1"/>
  <c r="E5784" i="1"/>
  <c r="I5784" i="1"/>
  <c r="S5784" i="1"/>
  <c r="B5785" i="1"/>
  <c r="E5785" i="1"/>
  <c r="I5785" i="1"/>
  <c r="S5785" i="1"/>
  <c r="B5786" i="1"/>
  <c r="E5786" i="1"/>
  <c r="I5786" i="1"/>
  <c r="S5786" i="1"/>
  <c r="B5787" i="1"/>
  <c r="E5787" i="1"/>
  <c r="I5787" i="1"/>
  <c r="S5787" i="1"/>
  <c r="B5788" i="1"/>
  <c r="E5788" i="1"/>
  <c r="I5788" i="1"/>
  <c r="S5788" i="1"/>
  <c r="B5789" i="1"/>
  <c r="E5789" i="1"/>
  <c r="I5789" i="1"/>
  <c r="S5789" i="1"/>
  <c r="B5790" i="1"/>
  <c r="E5790" i="1"/>
  <c r="I5790" i="1"/>
  <c r="S5790" i="1"/>
  <c r="B5791" i="1"/>
  <c r="E5791" i="1"/>
  <c r="I5791" i="1"/>
  <c r="S5791" i="1"/>
  <c r="B5792" i="1"/>
  <c r="E5792" i="1"/>
  <c r="I5792" i="1"/>
  <c r="S5792" i="1"/>
  <c r="B5793" i="1"/>
  <c r="E5793" i="1"/>
  <c r="I5793" i="1"/>
  <c r="S5793" i="1"/>
  <c r="B5794" i="1"/>
  <c r="E5794" i="1"/>
  <c r="I5794" i="1"/>
  <c r="S5794" i="1"/>
  <c r="B5795" i="1"/>
  <c r="E5795" i="1"/>
  <c r="I5795" i="1"/>
  <c r="S5795" i="1"/>
  <c r="B5796" i="1"/>
  <c r="E5796" i="1"/>
  <c r="I5796" i="1"/>
  <c r="S5796" i="1"/>
  <c r="B5797" i="1"/>
  <c r="E5797" i="1"/>
  <c r="I5797" i="1"/>
  <c r="S5797" i="1"/>
  <c r="B5798" i="1"/>
  <c r="E5798" i="1"/>
  <c r="I5798" i="1"/>
  <c r="S5798" i="1"/>
  <c r="B5799" i="1"/>
  <c r="E5799" i="1"/>
  <c r="I5799" i="1"/>
  <c r="S5799" i="1"/>
  <c r="B5800" i="1"/>
  <c r="E5800" i="1"/>
  <c r="I5800" i="1"/>
  <c r="S5800" i="1"/>
  <c r="B5801" i="1"/>
  <c r="E5801" i="1"/>
  <c r="I5801" i="1"/>
  <c r="S5801" i="1"/>
  <c r="B5802" i="1"/>
  <c r="E5802" i="1"/>
  <c r="I5802" i="1"/>
  <c r="S5802" i="1"/>
  <c r="B5803" i="1"/>
  <c r="E5803" i="1"/>
  <c r="I5803" i="1"/>
  <c r="S5803" i="1"/>
  <c r="B5804" i="1"/>
  <c r="E5804" i="1"/>
  <c r="I5804" i="1"/>
  <c r="S5804" i="1"/>
  <c r="B5805" i="1"/>
  <c r="E5805" i="1"/>
  <c r="I5805" i="1"/>
  <c r="S5805" i="1"/>
  <c r="B5806" i="1"/>
  <c r="E5806" i="1"/>
  <c r="I5806" i="1"/>
  <c r="S5806" i="1"/>
  <c r="B5807" i="1"/>
  <c r="E5807" i="1"/>
  <c r="I5807" i="1"/>
  <c r="S5807" i="1"/>
  <c r="B5808" i="1"/>
  <c r="E5808" i="1"/>
  <c r="I5808" i="1"/>
  <c r="S5808" i="1"/>
  <c r="B5809" i="1"/>
  <c r="E5809" i="1"/>
  <c r="I5809" i="1"/>
  <c r="S5809" i="1"/>
  <c r="B5810" i="1"/>
  <c r="E5810" i="1"/>
  <c r="I5810" i="1"/>
  <c r="S5810" i="1"/>
  <c r="B5811" i="1"/>
  <c r="E5811" i="1"/>
  <c r="I5811" i="1"/>
  <c r="S5811" i="1"/>
  <c r="B5812" i="1"/>
  <c r="E5812" i="1"/>
  <c r="I5812" i="1"/>
  <c r="S5812" i="1"/>
  <c r="B5813" i="1"/>
  <c r="E5813" i="1"/>
  <c r="I5813" i="1"/>
  <c r="S5813" i="1"/>
  <c r="B5814" i="1"/>
  <c r="E5814" i="1"/>
  <c r="I5814" i="1"/>
  <c r="S5814" i="1"/>
  <c r="B5815" i="1"/>
  <c r="E5815" i="1"/>
  <c r="I5815" i="1"/>
  <c r="S5815" i="1"/>
  <c r="B5816" i="1"/>
  <c r="E5816" i="1"/>
  <c r="I5816" i="1"/>
  <c r="S5816" i="1"/>
  <c r="B5817" i="1"/>
  <c r="E5817" i="1"/>
  <c r="I5817" i="1"/>
  <c r="S5817" i="1"/>
  <c r="B5818" i="1"/>
  <c r="E5818" i="1"/>
  <c r="I5818" i="1"/>
  <c r="S5818" i="1"/>
  <c r="B5819" i="1"/>
  <c r="E5819" i="1"/>
  <c r="I5819" i="1"/>
  <c r="S5819" i="1"/>
  <c r="B5820" i="1"/>
  <c r="E5820" i="1"/>
  <c r="I5820" i="1"/>
  <c r="S5820" i="1"/>
  <c r="B5821" i="1"/>
  <c r="E5821" i="1"/>
  <c r="I5821" i="1"/>
  <c r="S5821" i="1"/>
  <c r="B5822" i="1"/>
  <c r="E5822" i="1"/>
  <c r="I5822" i="1"/>
  <c r="S5822" i="1"/>
  <c r="B5823" i="1"/>
  <c r="E5823" i="1"/>
  <c r="I5823" i="1"/>
  <c r="S5823" i="1"/>
  <c r="B5824" i="1"/>
  <c r="E5824" i="1"/>
  <c r="I5824" i="1"/>
  <c r="S5824" i="1"/>
  <c r="B5825" i="1"/>
  <c r="E5825" i="1"/>
  <c r="I5825" i="1"/>
  <c r="S5825" i="1"/>
  <c r="B5826" i="1"/>
  <c r="E5826" i="1"/>
  <c r="I5826" i="1"/>
  <c r="S5826" i="1"/>
  <c r="B5827" i="1"/>
  <c r="E5827" i="1"/>
  <c r="I5827" i="1"/>
  <c r="S5827" i="1"/>
  <c r="B5828" i="1"/>
  <c r="E5828" i="1"/>
  <c r="I5828" i="1"/>
  <c r="S5828" i="1"/>
  <c r="B5829" i="1"/>
  <c r="E5829" i="1"/>
  <c r="I5829" i="1"/>
  <c r="S5829" i="1"/>
  <c r="B5830" i="1"/>
  <c r="E5830" i="1"/>
  <c r="I5830" i="1"/>
  <c r="S5830" i="1"/>
  <c r="B5831" i="1"/>
  <c r="E5831" i="1"/>
  <c r="I5831" i="1"/>
  <c r="S5831" i="1"/>
  <c r="B5832" i="1"/>
  <c r="E5832" i="1"/>
  <c r="I5832" i="1"/>
  <c r="S5832" i="1"/>
  <c r="B5833" i="1"/>
  <c r="E5833" i="1"/>
  <c r="I5833" i="1"/>
  <c r="S5833" i="1"/>
  <c r="B5834" i="1"/>
  <c r="E5834" i="1"/>
  <c r="I5834" i="1"/>
  <c r="S5834" i="1"/>
  <c r="B5835" i="1"/>
  <c r="E5835" i="1"/>
  <c r="I5835" i="1"/>
  <c r="S5835" i="1"/>
  <c r="B5836" i="1"/>
  <c r="E5836" i="1"/>
  <c r="I5836" i="1"/>
  <c r="S5836" i="1"/>
  <c r="B5837" i="1"/>
  <c r="E5837" i="1"/>
  <c r="I5837" i="1"/>
  <c r="S5837" i="1"/>
  <c r="B5838" i="1"/>
  <c r="E5838" i="1"/>
  <c r="I5838" i="1"/>
  <c r="S5838" i="1"/>
  <c r="B5839" i="1"/>
  <c r="E5839" i="1"/>
  <c r="I5839" i="1"/>
  <c r="S5839" i="1"/>
  <c r="B5840" i="1"/>
  <c r="E5840" i="1"/>
  <c r="I5840" i="1"/>
  <c r="S5840" i="1"/>
  <c r="B5841" i="1"/>
  <c r="E5841" i="1"/>
  <c r="I5841" i="1"/>
  <c r="S5841" i="1"/>
  <c r="B5842" i="1"/>
  <c r="E5842" i="1"/>
  <c r="I5842" i="1"/>
  <c r="S5842" i="1"/>
  <c r="B5843" i="1"/>
  <c r="E5843" i="1"/>
  <c r="I5843" i="1"/>
  <c r="S5843" i="1"/>
  <c r="B5844" i="1"/>
  <c r="E5844" i="1"/>
  <c r="I5844" i="1"/>
  <c r="S5844" i="1"/>
  <c r="B5845" i="1"/>
  <c r="E5845" i="1"/>
  <c r="I5845" i="1"/>
  <c r="S5845" i="1"/>
  <c r="B5846" i="1"/>
  <c r="E5846" i="1"/>
  <c r="I5846" i="1"/>
  <c r="S5846" i="1"/>
  <c r="B5847" i="1"/>
  <c r="E5847" i="1"/>
  <c r="I5847" i="1"/>
  <c r="S5847" i="1"/>
  <c r="B5848" i="1"/>
  <c r="E5848" i="1"/>
  <c r="I5848" i="1"/>
  <c r="S5848" i="1"/>
  <c r="B5849" i="1"/>
  <c r="E5849" i="1"/>
  <c r="I5849" i="1"/>
  <c r="S5849" i="1"/>
  <c r="B5850" i="1"/>
  <c r="E5850" i="1"/>
  <c r="I5850" i="1"/>
  <c r="S5850" i="1"/>
  <c r="B5851" i="1"/>
  <c r="E5851" i="1"/>
  <c r="I5851" i="1"/>
  <c r="S5851" i="1"/>
  <c r="B5852" i="1"/>
  <c r="E5852" i="1"/>
  <c r="I5852" i="1"/>
  <c r="S5852" i="1"/>
  <c r="B5853" i="1"/>
  <c r="E5853" i="1"/>
  <c r="I5853" i="1"/>
  <c r="S5853" i="1"/>
  <c r="B5854" i="1"/>
  <c r="E5854" i="1"/>
  <c r="I5854" i="1"/>
  <c r="S5854" i="1"/>
  <c r="B5855" i="1"/>
  <c r="E5855" i="1"/>
  <c r="I5855" i="1"/>
  <c r="S5855" i="1"/>
  <c r="B5856" i="1"/>
  <c r="E5856" i="1"/>
  <c r="I5856" i="1"/>
  <c r="S5856" i="1"/>
  <c r="B5857" i="1"/>
  <c r="E5857" i="1"/>
  <c r="I5857" i="1"/>
  <c r="S5857" i="1"/>
  <c r="B5858" i="1"/>
  <c r="E5858" i="1"/>
  <c r="I5858" i="1"/>
  <c r="S5858" i="1"/>
  <c r="B5859" i="1"/>
  <c r="E5859" i="1"/>
  <c r="I5859" i="1"/>
  <c r="S5859" i="1"/>
  <c r="B5860" i="1"/>
  <c r="E5860" i="1"/>
  <c r="I5860" i="1"/>
  <c r="S5860" i="1"/>
  <c r="B5861" i="1"/>
  <c r="E5861" i="1"/>
  <c r="I5861" i="1"/>
  <c r="S5861" i="1"/>
  <c r="B5862" i="1"/>
  <c r="E5862" i="1"/>
  <c r="I5862" i="1"/>
  <c r="S5862" i="1"/>
  <c r="B5863" i="1"/>
  <c r="E5863" i="1"/>
  <c r="I5863" i="1"/>
  <c r="S5863" i="1"/>
  <c r="B5864" i="1"/>
  <c r="E5864" i="1"/>
  <c r="I5864" i="1"/>
  <c r="S5864" i="1"/>
  <c r="B5865" i="1"/>
  <c r="E5865" i="1"/>
  <c r="I5865" i="1"/>
  <c r="S5865" i="1"/>
  <c r="B5866" i="1"/>
  <c r="E5866" i="1"/>
  <c r="I5866" i="1"/>
  <c r="S5866" i="1"/>
  <c r="B5867" i="1"/>
  <c r="E5867" i="1"/>
  <c r="I5867" i="1"/>
  <c r="S5867" i="1"/>
  <c r="B5868" i="1"/>
  <c r="E5868" i="1"/>
  <c r="I5868" i="1"/>
  <c r="S5868" i="1"/>
  <c r="B5869" i="1"/>
  <c r="E5869" i="1"/>
  <c r="I5869" i="1"/>
  <c r="S5869" i="1"/>
  <c r="B5870" i="1"/>
  <c r="E5870" i="1"/>
  <c r="I5870" i="1"/>
  <c r="S5870" i="1"/>
  <c r="B5871" i="1"/>
  <c r="E5871" i="1"/>
  <c r="I5871" i="1"/>
  <c r="S5871" i="1"/>
  <c r="B5872" i="1"/>
  <c r="E5872" i="1"/>
  <c r="I5872" i="1"/>
  <c r="S5872" i="1"/>
  <c r="B5873" i="1"/>
  <c r="E5873" i="1"/>
  <c r="I5873" i="1"/>
  <c r="S5873" i="1"/>
  <c r="B5874" i="1"/>
  <c r="E5874" i="1"/>
  <c r="I5874" i="1"/>
  <c r="S5874" i="1"/>
  <c r="B5875" i="1"/>
  <c r="E5875" i="1"/>
  <c r="I5875" i="1"/>
  <c r="S5875" i="1"/>
  <c r="B5876" i="1"/>
  <c r="E5876" i="1"/>
  <c r="I5876" i="1"/>
  <c r="S5876" i="1"/>
  <c r="B5877" i="1"/>
  <c r="E5877" i="1"/>
  <c r="I5877" i="1"/>
  <c r="S5877" i="1"/>
  <c r="B5878" i="1"/>
  <c r="E5878" i="1"/>
  <c r="I5878" i="1"/>
  <c r="S5878" i="1"/>
  <c r="B5879" i="1"/>
  <c r="E5879" i="1"/>
  <c r="I5879" i="1"/>
  <c r="S5879" i="1"/>
  <c r="B5880" i="1"/>
  <c r="E5880" i="1"/>
  <c r="I5880" i="1"/>
  <c r="S5880" i="1"/>
  <c r="B5881" i="1"/>
  <c r="E5881" i="1"/>
  <c r="I5881" i="1"/>
  <c r="S5881" i="1"/>
  <c r="B5882" i="1"/>
  <c r="E5882" i="1"/>
  <c r="I5882" i="1"/>
  <c r="S5882" i="1"/>
  <c r="B5883" i="1"/>
  <c r="E5883" i="1"/>
  <c r="I5883" i="1"/>
  <c r="S5883" i="1"/>
  <c r="B5884" i="1"/>
  <c r="E5884" i="1"/>
  <c r="I5884" i="1"/>
  <c r="S5884" i="1"/>
  <c r="B5885" i="1"/>
  <c r="E5885" i="1"/>
  <c r="I5885" i="1"/>
  <c r="S5885" i="1"/>
  <c r="B5886" i="1"/>
  <c r="E5886" i="1"/>
  <c r="I5886" i="1"/>
  <c r="S5886" i="1"/>
  <c r="B5887" i="1"/>
  <c r="E5887" i="1"/>
  <c r="I5887" i="1"/>
  <c r="S5887" i="1"/>
  <c r="B5888" i="1"/>
  <c r="E5888" i="1"/>
  <c r="I5888" i="1"/>
  <c r="S5888" i="1"/>
  <c r="B5889" i="1"/>
  <c r="E5889" i="1"/>
  <c r="I5889" i="1"/>
  <c r="S5889" i="1"/>
  <c r="B5890" i="1"/>
  <c r="E5890" i="1"/>
  <c r="I5890" i="1"/>
  <c r="S5890" i="1"/>
  <c r="B5891" i="1"/>
  <c r="E5891" i="1"/>
  <c r="I5891" i="1"/>
  <c r="S5891" i="1"/>
  <c r="B5892" i="1"/>
  <c r="E5892" i="1"/>
  <c r="I5892" i="1"/>
  <c r="S5892" i="1"/>
  <c r="B5893" i="1"/>
  <c r="E5893" i="1"/>
  <c r="I5893" i="1"/>
  <c r="S5893" i="1"/>
  <c r="B5894" i="1"/>
  <c r="E5894" i="1"/>
  <c r="I5894" i="1"/>
  <c r="S5894" i="1"/>
  <c r="B5895" i="1"/>
  <c r="E5895" i="1"/>
  <c r="I5895" i="1"/>
  <c r="S5895" i="1"/>
  <c r="B5896" i="1"/>
  <c r="E5896" i="1"/>
  <c r="I5896" i="1"/>
  <c r="S5896" i="1"/>
  <c r="B5897" i="1"/>
  <c r="E5897" i="1"/>
  <c r="I5897" i="1"/>
  <c r="S5897" i="1"/>
  <c r="B5898" i="1"/>
  <c r="E5898" i="1"/>
  <c r="I5898" i="1"/>
  <c r="S5898" i="1"/>
  <c r="B5899" i="1"/>
  <c r="E5899" i="1"/>
  <c r="I5899" i="1"/>
  <c r="S5899" i="1"/>
  <c r="B5900" i="1"/>
  <c r="E5900" i="1"/>
  <c r="I5900" i="1"/>
  <c r="S5900" i="1"/>
  <c r="B5901" i="1"/>
  <c r="E5901" i="1"/>
  <c r="I5901" i="1"/>
  <c r="S5901" i="1"/>
  <c r="B5902" i="1"/>
  <c r="E5902" i="1"/>
  <c r="I5902" i="1"/>
  <c r="S5902" i="1"/>
  <c r="B5903" i="1"/>
  <c r="E5903" i="1"/>
  <c r="I5903" i="1"/>
  <c r="S5903" i="1"/>
  <c r="B5904" i="1"/>
  <c r="E5904" i="1"/>
  <c r="I5904" i="1"/>
  <c r="S5904" i="1"/>
  <c r="B5905" i="1"/>
  <c r="E5905" i="1"/>
  <c r="I5905" i="1"/>
  <c r="S5905" i="1"/>
  <c r="B5906" i="1"/>
  <c r="E5906" i="1"/>
  <c r="I5906" i="1"/>
  <c r="S5906" i="1"/>
  <c r="B5907" i="1"/>
  <c r="E5907" i="1"/>
  <c r="I5907" i="1"/>
  <c r="S5907" i="1"/>
  <c r="B5908" i="1"/>
  <c r="E5908" i="1"/>
  <c r="I5908" i="1"/>
  <c r="S5908" i="1"/>
  <c r="B5909" i="1"/>
  <c r="E5909" i="1"/>
  <c r="I5909" i="1"/>
  <c r="B5910" i="1"/>
  <c r="E5910" i="1"/>
  <c r="I5910" i="1"/>
  <c r="S5910" i="1"/>
  <c r="B5911" i="1"/>
  <c r="E5911" i="1"/>
  <c r="I5911" i="1"/>
  <c r="S5911" i="1"/>
  <c r="B5912" i="1"/>
  <c r="E5912" i="1"/>
  <c r="I5912" i="1"/>
  <c r="S5912" i="1"/>
  <c r="B5913" i="1"/>
  <c r="E5913" i="1"/>
  <c r="I5913" i="1"/>
  <c r="S5913" i="1"/>
  <c r="B5914" i="1"/>
  <c r="E5914" i="1"/>
  <c r="I5914" i="1"/>
  <c r="S5914" i="1"/>
  <c r="B5915" i="1"/>
  <c r="E5915" i="1"/>
  <c r="I5915" i="1"/>
  <c r="S5915" i="1"/>
  <c r="B5916" i="1"/>
  <c r="E5916" i="1"/>
  <c r="I5916" i="1"/>
  <c r="S5916" i="1"/>
  <c r="B5917" i="1"/>
  <c r="E5917" i="1"/>
  <c r="I5917" i="1"/>
  <c r="S5917" i="1"/>
  <c r="B5918" i="1"/>
  <c r="E5918" i="1"/>
  <c r="I5918" i="1"/>
  <c r="S5918" i="1"/>
  <c r="B5919" i="1"/>
  <c r="E5919" i="1"/>
  <c r="I5919" i="1"/>
  <c r="S5919" i="1"/>
  <c r="B5920" i="1"/>
  <c r="E5920" i="1"/>
  <c r="I5920" i="1"/>
  <c r="S5920" i="1"/>
  <c r="B5921" i="1"/>
  <c r="E5921" i="1"/>
  <c r="I5921" i="1"/>
  <c r="S5921" i="1"/>
  <c r="B5922" i="1"/>
  <c r="E5922" i="1"/>
  <c r="I5922" i="1"/>
  <c r="S5922" i="1"/>
  <c r="B5923" i="1"/>
  <c r="E5923" i="1"/>
  <c r="I5923" i="1"/>
  <c r="S5923" i="1"/>
  <c r="B5924" i="1"/>
  <c r="E5924" i="1"/>
  <c r="I5924" i="1"/>
  <c r="S5924" i="1"/>
  <c r="B5925" i="1"/>
  <c r="E5925" i="1"/>
  <c r="I5925" i="1"/>
  <c r="S5925" i="1"/>
  <c r="B5926" i="1"/>
  <c r="E5926" i="1"/>
  <c r="I5926" i="1"/>
  <c r="S5926" i="1"/>
  <c r="B5927" i="1"/>
  <c r="E5927" i="1"/>
  <c r="I5927" i="1"/>
  <c r="S5927" i="1"/>
  <c r="B5928" i="1"/>
  <c r="E5928" i="1"/>
  <c r="I5928" i="1"/>
  <c r="S5928" i="1"/>
  <c r="B5929" i="1"/>
  <c r="E5929" i="1"/>
  <c r="I5929" i="1"/>
  <c r="S5929" i="1"/>
  <c r="B5930" i="1"/>
  <c r="E5930" i="1"/>
  <c r="I5930" i="1"/>
  <c r="S5930" i="1"/>
  <c r="B5931" i="1"/>
  <c r="E5931" i="1"/>
  <c r="I5931" i="1"/>
  <c r="S5931" i="1"/>
  <c r="B5932" i="1"/>
  <c r="E5932" i="1"/>
  <c r="I5932" i="1"/>
  <c r="S5932" i="1"/>
  <c r="B5933" i="1"/>
  <c r="E5933" i="1"/>
  <c r="I5933" i="1"/>
  <c r="S5933" i="1"/>
  <c r="B5934" i="1"/>
  <c r="E5934" i="1"/>
  <c r="I5934" i="1"/>
  <c r="S5934" i="1"/>
  <c r="B5935" i="1"/>
  <c r="E5935" i="1"/>
  <c r="I5935" i="1"/>
  <c r="B5936" i="1"/>
  <c r="E5936" i="1"/>
  <c r="I5936" i="1"/>
  <c r="S5936" i="1"/>
  <c r="B5937" i="1"/>
  <c r="E5937" i="1"/>
  <c r="I5937" i="1"/>
  <c r="S5937" i="1"/>
  <c r="B5938" i="1"/>
  <c r="E5938" i="1"/>
  <c r="I5938" i="1"/>
  <c r="S5938" i="1"/>
  <c r="B5939" i="1"/>
  <c r="E5939" i="1"/>
  <c r="I5939" i="1"/>
  <c r="S5939" i="1"/>
  <c r="B5940" i="1"/>
  <c r="E5940" i="1"/>
  <c r="I5940" i="1"/>
  <c r="S5940" i="1"/>
  <c r="B5941" i="1"/>
  <c r="E5941" i="1"/>
  <c r="I5941" i="1"/>
  <c r="S5941" i="1"/>
  <c r="B5942" i="1"/>
  <c r="E5942" i="1"/>
  <c r="I5942" i="1"/>
  <c r="S5942" i="1"/>
  <c r="B5943" i="1"/>
  <c r="E5943" i="1"/>
  <c r="I5943" i="1"/>
  <c r="S5943" i="1"/>
  <c r="B5944" i="1"/>
  <c r="E5944" i="1"/>
  <c r="I5944" i="1"/>
  <c r="S5944" i="1"/>
  <c r="B5945" i="1"/>
  <c r="E5945" i="1"/>
  <c r="I5945" i="1"/>
  <c r="S5945" i="1"/>
  <c r="B5946" i="1"/>
  <c r="E5946" i="1"/>
  <c r="I5946" i="1"/>
  <c r="S5946" i="1"/>
  <c r="B5947" i="1"/>
  <c r="E5947" i="1"/>
  <c r="I5947" i="1"/>
  <c r="S5947" i="1"/>
  <c r="B5948" i="1"/>
  <c r="E5948" i="1"/>
  <c r="I5948" i="1"/>
  <c r="S5948" i="1"/>
  <c r="B5949" i="1"/>
  <c r="E5949" i="1"/>
  <c r="I5949" i="1"/>
  <c r="S5949" i="1"/>
  <c r="B5950" i="1"/>
  <c r="E5950" i="1"/>
  <c r="I5950" i="1"/>
  <c r="S5950" i="1"/>
  <c r="B5951" i="1"/>
  <c r="E5951" i="1"/>
  <c r="I5951" i="1"/>
  <c r="S5951" i="1"/>
  <c r="B5952" i="1"/>
  <c r="E5952" i="1"/>
  <c r="I5952" i="1"/>
  <c r="S5952" i="1"/>
  <c r="B5953" i="1"/>
  <c r="E5953" i="1"/>
  <c r="I5953" i="1"/>
  <c r="S5953" i="1"/>
  <c r="B5954" i="1"/>
  <c r="E5954" i="1"/>
  <c r="I5954" i="1"/>
  <c r="S5954" i="1"/>
  <c r="B5955" i="1"/>
  <c r="E5955" i="1"/>
  <c r="I5955" i="1"/>
  <c r="B5956" i="1"/>
  <c r="E5956" i="1"/>
  <c r="I5956" i="1"/>
  <c r="S5956" i="1"/>
  <c r="B5957" i="1"/>
  <c r="E5957" i="1"/>
  <c r="I5957" i="1"/>
  <c r="S5957" i="1"/>
  <c r="B5958" i="1"/>
  <c r="E5958" i="1"/>
  <c r="I5958" i="1"/>
  <c r="S5958" i="1"/>
  <c r="B5959" i="1"/>
  <c r="E5959" i="1"/>
  <c r="I5959" i="1"/>
  <c r="S5959" i="1"/>
  <c r="B5960" i="1"/>
  <c r="E5960" i="1"/>
  <c r="I5960" i="1"/>
  <c r="S5960" i="1"/>
  <c r="B5961" i="1"/>
  <c r="E5961" i="1"/>
  <c r="I5961" i="1"/>
  <c r="S5961" i="1"/>
  <c r="B5962" i="1"/>
  <c r="E5962" i="1"/>
  <c r="I5962" i="1"/>
  <c r="S5962" i="1"/>
  <c r="B5963" i="1"/>
  <c r="E5963" i="1"/>
  <c r="I5963" i="1"/>
  <c r="S5963" i="1"/>
  <c r="B5964" i="1"/>
  <c r="E5964" i="1"/>
  <c r="I5964" i="1"/>
  <c r="S5964" i="1"/>
  <c r="B5965" i="1"/>
  <c r="E5965" i="1"/>
  <c r="I5965" i="1"/>
  <c r="S5965" i="1"/>
  <c r="B5966" i="1"/>
  <c r="E5966" i="1"/>
  <c r="I5966" i="1"/>
  <c r="S5966" i="1"/>
  <c r="B5967" i="1"/>
  <c r="E5967" i="1"/>
  <c r="I5967" i="1"/>
  <c r="S5967" i="1"/>
  <c r="B5968" i="1"/>
  <c r="E5968" i="1"/>
  <c r="I5968" i="1"/>
  <c r="S5968" i="1"/>
  <c r="B5969" i="1"/>
  <c r="E5969" i="1"/>
  <c r="I5969" i="1"/>
  <c r="S5969" i="1"/>
  <c r="B5970" i="1"/>
  <c r="E5970" i="1"/>
  <c r="I5970" i="1"/>
  <c r="S5970" i="1"/>
  <c r="B5971" i="1"/>
  <c r="E5971" i="1"/>
  <c r="I5971" i="1"/>
  <c r="S5971" i="1"/>
  <c r="B5972" i="1"/>
  <c r="E5972" i="1"/>
  <c r="I5972" i="1"/>
  <c r="S5972" i="1"/>
  <c r="B5973" i="1"/>
  <c r="E5973" i="1"/>
  <c r="I5973" i="1"/>
  <c r="S5973" i="1"/>
  <c r="B5974" i="1"/>
  <c r="E5974" i="1"/>
  <c r="I5974" i="1"/>
  <c r="S5974" i="1"/>
  <c r="B5975" i="1"/>
  <c r="E5975" i="1"/>
  <c r="I5975" i="1"/>
  <c r="S5975" i="1"/>
  <c r="B5976" i="1"/>
  <c r="E5976" i="1"/>
  <c r="I5976" i="1"/>
  <c r="S5976" i="1"/>
  <c r="B5977" i="1"/>
  <c r="E5977" i="1"/>
  <c r="I5977" i="1"/>
  <c r="S5977" i="1"/>
  <c r="B5978" i="1"/>
  <c r="E5978" i="1"/>
  <c r="I5978" i="1"/>
  <c r="S5978" i="1"/>
  <c r="B5979" i="1"/>
  <c r="E5979" i="1"/>
  <c r="I5979" i="1"/>
  <c r="S5979" i="1"/>
  <c r="B5980" i="1"/>
  <c r="E5980" i="1"/>
  <c r="I5980" i="1"/>
  <c r="S5980" i="1"/>
  <c r="B5981" i="1"/>
  <c r="E5981" i="1"/>
  <c r="I5981" i="1"/>
  <c r="S5981" i="1"/>
  <c r="B5982" i="1"/>
  <c r="E5982" i="1"/>
  <c r="I5982" i="1"/>
  <c r="S5982" i="1"/>
  <c r="B5983" i="1"/>
  <c r="E5983" i="1"/>
  <c r="I5983" i="1"/>
  <c r="S5983" i="1"/>
  <c r="B5984" i="1"/>
  <c r="E5984" i="1"/>
  <c r="I5984" i="1"/>
  <c r="S5984" i="1"/>
  <c r="B5985" i="1"/>
  <c r="E5985" i="1"/>
  <c r="I5985" i="1"/>
  <c r="S5985" i="1"/>
  <c r="B5986" i="1"/>
  <c r="E5986" i="1"/>
  <c r="I5986" i="1"/>
  <c r="S5986" i="1"/>
  <c r="B5987" i="1"/>
  <c r="E5987" i="1"/>
  <c r="I5987" i="1"/>
  <c r="S5987" i="1"/>
  <c r="B5988" i="1"/>
  <c r="E5988" i="1"/>
  <c r="I5988" i="1"/>
  <c r="S5988" i="1"/>
  <c r="B5989" i="1"/>
  <c r="E5989" i="1"/>
  <c r="I5989" i="1"/>
  <c r="S5989" i="1"/>
  <c r="B5990" i="1"/>
  <c r="E5990" i="1"/>
  <c r="I5990" i="1"/>
  <c r="S5990" i="1"/>
  <c r="B5991" i="1"/>
  <c r="E5991" i="1"/>
  <c r="I5991" i="1"/>
  <c r="S5991" i="1"/>
  <c r="B5992" i="1"/>
  <c r="E5992" i="1"/>
  <c r="I5992" i="1"/>
  <c r="S5992" i="1"/>
  <c r="B5993" i="1"/>
  <c r="E5993" i="1"/>
  <c r="I5993" i="1"/>
  <c r="S5993" i="1"/>
  <c r="B5994" i="1"/>
  <c r="E5994" i="1"/>
  <c r="I5994" i="1"/>
  <c r="S5994" i="1"/>
  <c r="B5995" i="1"/>
  <c r="E5995" i="1"/>
  <c r="I5995" i="1"/>
  <c r="S5995" i="1"/>
  <c r="B5996" i="1"/>
  <c r="E5996" i="1"/>
  <c r="I5996" i="1"/>
  <c r="S5996" i="1"/>
  <c r="B5997" i="1"/>
  <c r="E5997" i="1"/>
  <c r="I5997" i="1"/>
  <c r="S5997" i="1"/>
  <c r="B5998" i="1"/>
  <c r="E5998" i="1"/>
  <c r="I5998" i="1"/>
  <c r="S5998" i="1"/>
  <c r="B5999" i="1"/>
  <c r="E5999" i="1"/>
  <c r="I5999" i="1"/>
  <c r="S5999" i="1"/>
</calcChain>
</file>

<file path=xl/sharedStrings.xml><?xml version="1.0" encoding="utf-8"?>
<sst xmlns="http://schemas.openxmlformats.org/spreadsheetml/2006/main" count="25040" uniqueCount="16552">
  <si>
    <t>‏‏‏‏‏‏‏‏سعی کن فضولی نکنی،عواقب داره؛-) توییتهای سیاسی ازخودمِ،بقیه ش کپیِ اکثراً فالوبك شدي،آنفالوكني،آنفالويي،بحثي نی</t>
  </si>
  <si>
    <t>چجوری درمورد استمرار تحریم های بانکی قانع شدند این نماینده ها؟!؟ 🤔🤔🤔 #سوال_از_رییس‌جمهور</t>
  </si>
  <si>
    <t>دختـــر انقـــلابـــــي 🇮🇷</t>
  </si>
  <si>
    <t>خدايي روحيه داشتنو از روحاني ياد بگيرين..يه ملت ازش نا راضين ..نماينده ها ميان اعتراض ميكنن با اينكه خودشونم كم گذاشتن ..مليونها آدم بيكارو گرسنه بهش لعنت ميفرستن ..اين نشسته ور دل جهانگيري لبخند ژكوند تحويل دوربين ميده : #سوال_از_رئیس‌جمهور</t>
  </si>
  <si>
    <t>ايتس مي ( G )</t>
  </si>
  <si>
    <t>‏که خواست نامش فاش نشود</t>
  </si>
  <si>
    <t>https://twitter.com/elia12420/status/1034166092606984195</t>
  </si>
  <si>
    <t>این برای اونا که تعجب کردن که #روحانی گفت مردم در مصرف نفت صرفه‌جویی کنن. منظورش این عزیزان بوده. #سوال_از_رئیس‌جمهور RT @elia12420: فردا صبح باید برم برای گرفتن کوپن نفت بله درست شنیدین ما برای زمستان از نفت برای گرمایش استفاده میکنیم دردسرش زیاده ولی در هرصورت خطرش از گاز کمتره #زابل</t>
  </si>
  <si>
    <t>یک منبع آگاه</t>
  </si>
  <si>
    <t>هیچ چیز قدرتمندتر از آرمانی که زمانش فرا رسیده باشد، نیست !</t>
  </si>
  <si>
    <t>https://news.mojahedin.org/id/d975387a-42db-4e0b-a7c8-3f45b742c695</t>
  </si>
  <si>
    <t>قدرت خرید #کارگران #ایران به یک‌سوم رسید #روحانی #براندازم</t>
  </si>
  <si>
    <t>رضا صدر</t>
  </si>
  <si>
    <t>گاهی مینویسم...گاهی میروم سراغ نقاشی یا عکاسی...گاهی درس میدهم اما هیچ کدام باعث نمیشود درد کشورم را فراموش کنم...</t>
  </si>
  <si>
    <t>خدا این #مرکز_آمار رو واسه همهء کسانی که میخوان توی این #مملکت کار کنن حفظ کنه...والا... #سوال_از_رئیس_جمهور</t>
  </si>
  <si>
    <t>Ghoghnus</t>
  </si>
  <si>
    <t>‏طلبه😎معلم🤓همسر😍پدر😘ارشد ارتباطات😷پژوهشگر حوزه سواد رسانه👻</t>
  </si>
  <si>
    <t>جمهوری اسلامی ایران</t>
  </si>
  <si>
    <t>https://pbs.twimg.com/media/DlqtiViXcAAmlq7.jpg</t>
  </si>
  <si>
    <t>عاقا حالا چی میشه که نمایندگان قانع نشدند از جواب های #سوال_از_رییس‌جمهور ؟</t>
  </si>
  <si>
    <t>M.Barzegar</t>
  </si>
  <si>
    <t>‏ور تو ز ما بی نیاز ما به تو امّیدوار</t>
  </si>
  <si>
    <t>دلم از هرچی سر #روحانی بیاد در پوست خودش نمی‌گنجه. حالا هی مغزم بگه این جزو معدود افراد انتخابیه و تضعیفش جلو نهادهای قدرت انتصابی تضعیف قدرت مردم در حاکمیته. دل میگه دندش نرم!</t>
  </si>
  <si>
    <t>امّید</t>
  </si>
  <si>
    <t>متاهل و توّابم،ان شاءالله تعالی</t>
  </si>
  <si>
    <t>ایران</t>
  </si>
  <si>
    <t>مظهر سردرگمی امروز بدجور در گِل گیر کرده بود... #سوال_از_رئیس‌جمهور</t>
  </si>
  <si>
    <t>حسین</t>
  </si>
  <si>
    <t>https://t.me/iNashenas_Bot?start=292970808</t>
  </si>
  <si>
    <t>‏‏‏‏‏پدر ‎‎‎‎#دایورت ایران / ‎‎‎‎#قم / حامی شدید اصول قانون اساسی.چندجا هم اصول غیر قانون اساسی ! فالو = فالوبک / ناشناس بدید .</t>
  </si>
  <si>
    <t>هر جا آرامش داشته باشم:))</t>
  </si>
  <si>
    <t>#مجلس نیست که ! از دبستان بدتره ! یارو انگار اومده فوتبال میبینه ! داد میزنه که داور رو تحت تأثیر قرار بده ! اونور یکی داره میدوئه که بره رأی بده به لاریجانی میگه نزن دکمه رو ! اول رأی گیری 269 نفر هستن ، آخر رأی گیری 273 نفر ! وضعیت ریاضیات تابلو اعلانات رو هم که بچه ها گفتن !</t>
  </si>
  <si>
    <t>komeil_noor</t>
  </si>
  <si>
    <t>نماینده ادوار مجلس شورای اسلامی(تبریز، آذر شهر و اسکو ) و معاون رئیس جمهور سابق</t>
  </si>
  <si>
    <t>Islamic Republic of Iran</t>
  </si>
  <si>
    <t>تیر افراطیون برای انحراف #سوال_از_رئیس_جمهور به سنگ خورد سوال در فضای منطقی مطرح شد #وکلای ملت حرف مردم را زدندوبا قانع نشدن آنرا ثابت کردند</t>
  </si>
  <si>
    <t>میرتاج الدینی</t>
  </si>
  <si>
    <t>‏‏‏‏‏‏‏بسم رب الجهاد.. انقلابی ام.. 🌹 جاد.🌹.</t>
  </si>
  <si>
    <t>روحانی: در بهار ۹۷ ما بیش از متقاضیان تقاضای کار ایجاد اشتغال داشتیم. متاسفانه مردم ما قانع نیستند. یه طوری داره حرف میزنه ما مردم یه چیزی هم بهش بدهکار شدیم، همه چیز تقصیر مردمه. واقعا دولت گناهی نداره #روحانی #سوال_از_رییس‌جمهور</t>
  </si>
  <si>
    <t>Solaleh zahra</t>
  </si>
  <si>
    <t>یک روزنامه نگار متوسط که با خودش حرف می زند (مهدی به فتح میم)؛</t>
  </si>
  <si>
    <t>بقا و فنای شخص #روحانی بالذات سر سوزنی برای کسی اهمیت ندارد اما این مملکت بیچاره به این جا نمیرسید اگر #مجلس همین رفتار را با #احمدی_نژاد میکرد #استیضاح</t>
  </si>
  <si>
    <t>محمدمَهدی حسین نیا</t>
  </si>
  <si>
    <t>http://eitaa.com/abuali_313</t>
  </si>
  <si>
    <t>‏‏منتظر ظهور/سرباز کوچک ولایت/تفکر انقلابی/معتقد به کار تشکیلاتی</t>
  </si>
  <si>
    <t>+ روحانی:نگران نباشید همه ارز ها تو بانکه خیلی ارز داریم!!! - خیالمان راحت شد جمع کنید بریم شمال جوج بزنیم.. #سوال_از_رییس‌جمهور</t>
  </si>
  <si>
    <t>🇮🇷abuali🇵🇸</t>
  </si>
  <si>
    <t>‏غروب غیرت مارا هیچکس نخواهد دید</t>
  </si>
  <si>
    <t>روحانی یا تو ایران زندگی نمیکنه یا واقعا خودشو زده به خواب. #سوال_از_رییس‌جمهور</t>
  </si>
  <si>
    <t>Mohsen.nikkhah</t>
  </si>
  <si>
    <t>‏‏‏‏‏‏‏‏‏خودم را زندگی میکنم. (متعهد)</t>
  </si>
  <si>
    <t>اونجا که یار خونه داره</t>
  </si>
  <si>
    <t>الان بیشترین فشار روی لابیجانیه چیرو بگیره، چقد بگیره، از کی بگیره به کی بده تا این قائله‌هم ختم به خیر بشه ! #سوال_از_رییس‌جمهور</t>
  </si>
  <si>
    <t>ریحانه عسگری 🇮🇷</t>
  </si>
  <si>
    <t>‏‏ما شکیبا بودیم و این است آن کلامی که ما را به تمامی وصف می‌تواند کرد…</t>
  </si>
  <si>
    <t>#روحانی: مردم مساله اولشان اختلاف نداشتن ماست! میخوام بگم انقدر چرت گفت که بعید میدونم حتی حمزه غالبی اینا هم قانع شده باشند:))</t>
  </si>
  <si>
    <t>hossin elhaminezhad</t>
  </si>
  <si>
    <t>‏‏‏‏‏‏‏‏‏‏‏‏‏‏‏‏‏‏‏‏‏‏‏‏علاقه‌مند به گفت‌و‌گو، رمان، تاریخ،‎ ‎‎طب، فوتبال، کمپوت گیلاس، ‎‎‎سیاست، زیتون و شعر کلاسیک</t>
  </si>
  <si>
    <t>الان من سوالم اینه نمایندگان عزیز از توضیح رئیس‌جمهور درباره استمرار تحریم‌های بانکی قانع شدن؟! خب چجوری قانع شدی لامصب؟! دقیقا کجاش قانع کننده‌بود؟! #سوال_از_رئیس_جمهور</t>
  </si>
  <si>
    <t>مَهدی براری👓</t>
  </si>
  <si>
    <t>‏‏‏‏‏‏‏دانش آموخته ‏فیزیک|شهروندی از زابل و منطقه سیستان|قُرُباتٍ عِنْدَ اللَّه|فحش=بلاک</t>
  </si>
  <si>
    <t>https://pbs.twimg.com/media/DlqtyKgWsAAjWXc.jpg</t>
  </si>
  <si>
    <t>آقای رئیس جمهور شما چند لایه محافظ دارید و یک تیم تخصصی از شما محافظت میکنه کی جرات داره به شما نزدیک بشه؟! حتی در امن ترین اماکن نظامی کشور هم محافظ شما همراهتونه!! تورو خدا وضع اقتصاد رو درست کن حاشیه کافیه دیگه #سوال_از_رییس‌جمهور</t>
  </si>
  <si>
    <t>Ali Sistani</t>
  </si>
  <si>
    <t>‏‏‏خبرنگار و روزنامه نگار تحقیقی</t>
  </si>
  <si>
    <t>تو یه همچین وضعیتی رئیس جمهور مملکت پا شده رفته مجلس تا پاسخگو باشه! اونوقت حداقل 20،سی نفر از نماینده ها غایبن. کجان دقیقا؟ اون کاری که مهمتر از پیگیری مطالبات مردمه و باعث غیبت شون شده چیه؟ #سوال_از_رئیس_جمهور</t>
  </si>
  <si>
    <t>هادی ذالکی</t>
  </si>
  <si>
    <t>‏یه چیزایی می‌نویسم اسمش رو هرچی میخوای بزار😋</t>
  </si>
  <si>
    <t>#استیضاح وزیر صمت این استیضاح ها به وضعیت کشور و حل مشکلات کمکی خواهد کرد؟؟</t>
  </si>
  <si>
    <t>علیرضا گلوی</t>
  </si>
  <si>
    <t>شـــــــام خـون سحــــر دارد</t>
  </si>
  <si>
    <t>Vancouver, British Columbia</t>
  </si>
  <si>
    <t>#روحانی : چرا مردم بجای تحقق اهداف رهبر بفکر حل مشکلات خود هستن ؟!! #روحانی_خفه_شو</t>
  </si>
  <si>
    <t>𝓐𝓛𝓲_𝓑𝓐𝓑𝓐</t>
  </si>
  <si>
    <t>‏‏در اصول اولیه جنگ شناختی، باید نوع ارتباط را اصلاح کرد ارتباطات تعاملی رمز پیروزی، اقدام است.</t>
  </si>
  <si>
    <t>بنظرم داستان #سوال_از_رئیس_جمهور فقط برای مقدمه چینی برای مشروعیت Fatf بوده است</t>
  </si>
  <si>
    <t>Zantis🇮🇷</t>
  </si>
  <si>
    <t>http://www.farsnews.com</t>
  </si>
  <si>
    <t>خبرهای ویژه و فوری فارس را دراین صفحه دنبال کنید</t>
  </si>
  <si>
    <t>تهران-میدان فردوسی-کوچه شاهرود</t>
  </si>
  <si>
    <t>✅</t>
  </si>
  <si>
    <t>pic.twitter.com/UsDxBCcsfc</t>
  </si>
  <si>
    <t>🎥⭕️ سیستم نمایش آرای نمایندگان #مجلس پس از رای‌گیری درباره پاسخ #روحانی به بیکاری از کار افتاد!</t>
  </si>
  <si>
    <t>خبرگزاری فارس</t>
  </si>
  <si>
    <t>‏‏‏‏‏‏‏‏‏‏فر الی الحسین علیه السلام...</t>
  </si>
  <si>
    <t>النجف الأشرف</t>
  </si>
  <si>
    <t>حسن شاه! ببخشید که خاطرتون رو مکدر کردیم و تصورمون از آینده اشتباه بوده!!!!! #سوال_از_رییس‌جمهور</t>
  </si>
  <si>
    <t>حاج آقا</t>
  </si>
  <si>
    <t>http://omidbeig.wordpress.com</t>
  </si>
  <si>
    <t>Pantheist, Export manager @ my father company 😎, Gamer</t>
  </si>
  <si>
    <t>Tehran, Iran, Earth</t>
  </si>
  <si>
    <t>ترتیب دادن تظاهرات اعتراضی علیه دولت توسط رئیسی (که البته به ضرر حکومت تموم شد) و اخلال در بازار ارز و... امروز هم استیضاح #روحانی همش شوآفه برای خلع روحانی و انتقام باخت انتخابات ۹۶</t>
  </si>
  <si>
    <t>امید</t>
  </si>
  <si>
    <t>▪اگه بگم کی و چی ام ریا میشه😉. ▪کار که برا خدا باشه روزی میاد دنبالت نیاز نیست تو بدویی دنبال روزیت.</t>
  </si>
  <si>
    <t>https://pbs.twimg.com/media/Dlqt8-5XsAAwCd-.jpg</t>
  </si>
  <si>
    <t>نمیخواستم بگم ولی میگم ، از وقتی که ۵ دی منو تهدید کردید به مرگ ، تصمیم گرفتم همتونو با خاک یکسان کنم ، جواب سوالاتونو گرفتین؟ حالا بذارید برم من #سوال_از_رییس‌جمهور</t>
  </si>
  <si>
    <t>*Mohajer*</t>
  </si>
  <si>
    <t>آنچه در ذهن #روحانی می‌گذرد هشت سال احمدی‌نژاد: فرا فرا بحران سال ۹۲ تا ۹۶ : رفاه و عشق و حال زمستان ۹۶: عوف شدیم ۹۷: آسیب #سوال_از_رییس‌جمهور</t>
  </si>
  <si>
    <t>مصطفی گلی</t>
  </si>
  <si>
    <t>https://www.roozportal.com</t>
  </si>
  <si>
    <t>‏آخرین اخبار روز-جامع ترین مرجع وب سایتهای ایرانی و خارجی.</t>
  </si>
  <si>
    <t>https://roozportal.com/?p=17419</t>
  </si>
  <si>
    <t>مشت بعدی #مجلس به #روحانی / طرح استیضاح «#محمد_شریعتمداری» وزیر صنعت، معدن و تجارت با امضای 51 نفر از نمایندگان به هیأت رئیسه تقدیم شد</t>
  </si>
  <si>
    <t>Rooz Portal</t>
  </si>
  <si>
    <t>تهران</t>
  </si>
  <si>
    <t>این شوی #سوال_از_رئیس‌جمهور برای این بود که مشکلات رو فرافکنی کنن. ریشه مشکلات اقدامات دولت نیست. تحریم و فساد ساختاری و اقتصاد نظامیه.</t>
  </si>
  <si>
    <t>🇮🇷 Mahdi G</t>
  </si>
  <si>
    <t>ارزومند ازادی و سربلندی ایران</t>
  </si>
  <si>
    <t>با این حرف های که #روحانی زد باید دخترش برای زیارت ضامن عراقی فرستاد. فکر میکردم بی شرفی حد مرز داره... #این_انتخاب_من_نیست #روحانی_خفه_شو</t>
  </si>
  <si>
    <t>bardia irani</t>
  </si>
  <si>
    <t>خَدو بر نمایندگانی که مثل برگ چغندر امروز در مجلس حضور داشتند... #سوال_از_رئیس‌جمهور</t>
  </si>
  <si>
    <t>‏‏من... هیچ</t>
  </si>
  <si>
    <t>Uppsala, Sverige</t>
  </si>
  <si>
    <t>من یه ریتوئیت در مورد شیخ حسن کردم، مدام از آسمون بالای خونمون صدای هلی کوپتر میاد(هلیکوپتر نه شبیه هلال احمرِ نه ترابری)... یحتمل با یک توئیت دیگه طی عملیات هلی برن به گونی هدایت خواهم شد تا یکی از مشکلات عدیده ی مملکت گل و بلبل حل شود #سوال_از_رئیس‌جمهور</t>
  </si>
  <si>
    <t>DeLRish</t>
  </si>
  <si>
    <t>یه مشهدی</t>
  </si>
  <si>
    <t>به نظر شما خود رئیس جمهور از پاسخ هاش قانع شده بود یا نه #سوال_از_رئیس‌جمهور</t>
  </si>
  <si>
    <t>مهدی کوچیکه</t>
  </si>
  <si>
    <t>http://Instagram.com/sadafsamimisereshki</t>
  </si>
  <si>
    <t>خبر بنویس هستم! Journalist / لازمه بنویسم توییت‌ها نظر شخصیست،ریتوییت به معنای تایید نیست و مسئولیتی در قبال کامنت‌ دیگران ندارم؟!</t>
  </si>
  <si>
    <t>https://pbs.twimg.com/media/DlquBTHW0AAG4El.jpg</t>
  </si>
  <si>
    <t>جلسه #استیضاح وزیرمون اینه،راس امورمون اینه،عصاره ملتمون اینه، قانون گذارمون اینه...درسته پاسخ های روحانی در شان رئیس جمهور ۲۴ میلیونی نبود؛ اما قانع نشدن این جماعت هم از روی درک شرایط و بر اساس منافع مردم نبود! البته بر اساس عکس و عکس العمل‌ها عرض می کنم‌ها ! #روحانی</t>
  </si>
  <si>
    <t>صدف صميمی</t>
  </si>
  <si>
    <t>‏اندیشه‌جو و پژوهشگری جهان‌وطن، در پی ساختِ رویای کودکی‌ام یعنی تمدن اسلامی- موضوع پژوهشم، سنجه‌های تمدن‌سازی‌ست</t>
  </si>
  <si>
    <t>روحانی میگه: آرزوی منه که تهدید به ترور شوم،شهید شوم! آنهم با یک پلاکارد کاغذی! درست مثل وقتی که "علوی" کارنابلدِ ساده‌لوحِ بی‌سابقه را با توسل به حضرت زهرا میفرستد وسط میدانِ پیچیده‌ترین دستگاه‌ امنیتی دیندار شدن لیبرالها هم دیدنیه #لیبرالها_بهشت_نمیروند #سوال_از_رئیس‌جمهور</t>
  </si>
  <si>
    <t>هاجر</t>
  </si>
  <si>
    <t>http://instagram.com/m.khojasteh75</t>
  </si>
  <si>
    <t>‏‏‏freelance journalist/ دانشجوی علوم سیاسی atu، روزنامه نگار، فعال سیاسی و اجتماعی، مدیرمسئول نشریه جریان و مدیر اجرایی ماهنامه خردنامه</t>
  </si>
  <si>
    <t>سوال مردم این است؛ بعد از طرح #سوال_از_رئیس‌جمهور آیا تغییری در وضع زندگی مردم حس خواهد شد و ایشان تغییری در رفتارها غلط 6 ساله خود ایجاد می‌کنند؟ آقای محترم انگار باورتان شده که واقعا #رئیس_جمهور_سوییس هستید؟!</t>
  </si>
  <si>
    <t>🇮🇷محمد خجسته</t>
  </si>
  <si>
    <t>سیمرغ چرت و پرت گویی سال تعلق میگیرد به آروحانی بابت پاسخ به سوالات مجلس #سوال_از_رییس‌جمهور</t>
  </si>
  <si>
    <t>https://goo.gl/7F2aN6</t>
  </si>
  <si>
    <t>A person how has been on TV. #ENTJ &amp; LOVER</t>
  </si>
  <si>
    <t>Tehran</t>
  </si>
  <si>
    <t>یعنی یه نفر تو مجلس نیست که بدونه پراید، پنیر و پسته و ماست، میوه، مرغ و ...گرون شدن؟ چرا سوالی از عدم نظارت از رئیس جمهور نپرسیدن؟ چرا کسی نمیگه این صاحبان صنایع هستن که همه چیزو گرون کردن؟ برای خاله بازی جلسه گذاشتن؟ #رئیس_جمهور #مجلس #سوال_از_رییس‌جمهور #دزدی @Rouhani_ir</t>
  </si>
  <si>
    <t>مهندس جوان</t>
  </si>
  <si>
    <t>اونقدر پس وپیش وچپ وراست پرده،بازی کردن وبازی دادن،که از قانع نشدن #نمایندگان_مجلس بسی نگران ومضطربم...خدایا به خیر بگردان... #سوال_از_رئیس_جمهور</t>
  </si>
  <si>
    <t>مدیرمؤسسه بشارت صبح بیداری،دلبسته ارزشهای انقلابی، معلم،قائلِ بسترسازیِ انقلاب اسلامی برای انقلاب جهانی مهدوی،باورمند به اندیشه های امامین انقلاب</t>
  </si>
  <si>
    <t>بعد از صحبتهای امروز #روحانی به این جمع بندی رسیدم که ما در مراعات حال ایشان کوتاهی کرده ایم و اصولا فهمِ فهمیدنِ خدمات دولتِ روحانی را در: اشتغال مبارزه_بافساد متعادل سازی نرخ ‌ارزدر۱۱۰۰۰تومان بازگشتِ عزت به پاسپورت ایرانیا کاهش نرخ تورم علارغمِ بالا رفتن قیمت همه چیز نداریم</t>
  </si>
  <si>
    <t>فتـح الـهی</t>
  </si>
  <si>
    <t>https://www.instagram.com/redintellects/</t>
  </si>
  <si>
    <t>‏‏‏((چه سبکبار، چه سنگین، کوچ کنید و به مال و جانتان در راه خدا جهاد کنید، که اگر دانای به حقایق باشید، این به خیر شماست‏)) قرآن حکیم، سوره توبه، آیه ی چهل و ی</t>
  </si>
  <si>
    <t>اینکه رئیس جمهور گفته مسئله برجام به این دلیل بود که ماخودمون رو به دنیا ثابت کنیم! نشون میده وضعیت زندگی و معیشت مردم سر سوزنی برای ایشون مهم نیست! #سوال_از_رییس‌جمهور</t>
  </si>
  <si>
    <t>عقل سرخ</t>
  </si>
  <si>
    <t>وسیع باش و تنها و سربه زیر و سخت... programmer &amp; Software Engineer...</t>
  </si>
  <si>
    <t>IRAN</t>
  </si>
  <si>
    <t>یه نکته از قانع نشدند نمایندگان #مجلس از پاسخ #رئیس_جمهور اینه که #اصلاح_طلبان می خواهند راه خود را از #دولت #حسن_روحانی جدا کنند تا تمام این مشکلات را فقط گردن دولت بیاندازند و بگویند مجلس و اصلاح طلبان اصلا در مشکلات اخیر نقشی نداشته اند #استیضاح</t>
  </si>
  <si>
    <t>محمدرضا بحرانی</t>
  </si>
  <si>
    <t>‏‏‏‏‏‏گرافیست/مهندسی مکانیک/یکم دغدغه مند فرهنگی - اجتماعی باشیم/یکم بخندیم/یکم منطقی باشیم/یکم زود قضاوت نکنیم/یکم با ادب باشیم</t>
  </si>
  <si>
    <t>باید از نمایندگان مجلس سوال میکردن آیا از پاسخ های رئیس جمهور سوئیس راضی بودید !؟ #سوال_از_رئیس‌جمهور</t>
  </si>
  <si>
    <t>مِتی</t>
  </si>
  <si>
    <t>‎#مستقلی. فعال فرهنگی و تشکلاتی. روزمره نویس.الگویم بی بی فاطمه زهرا(س). هدفم آدم شدن و نیروسازی در راه انقلاب و ظهور امام زمان(عج) ف</t>
  </si>
  <si>
    <t>https://pbs.twimg.com/media/DlquOaNX4AA5l1W.jpg</t>
  </si>
  <si>
    <t>نمیدونم چرا با حرفای عمو حسن یاد این برنامه کودک ها افتادم! #سوال_از_رئیس_جمهور</t>
  </si>
  <si>
    <t>ستاری</t>
  </si>
  <si>
    <t>👤</t>
  </si>
  <si>
    <t>http://t.me/aghamohsen72</t>
  </si>
  <si>
    <t>خبرنگار/‏تحلیلگر اقتصادی</t>
  </si>
  <si>
    <t>ایران جان</t>
  </si>
  <si>
    <t>https://pbs.twimg.com/media/DlquPo0W4AEvJJI.jpg</t>
  </si>
  <si>
    <t>میگم اسحاق چطور شد به تو گیر ندادن؟ #سوال_از_رئیس_جمهور</t>
  </si>
  <si>
    <t>AghaMohsen</t>
  </si>
  <si>
    <t>ارزشی و مجاهد، فالو نکنن!/ از بی ادبی ام مقابل ارزشی ها، از سایرین عذرخواهی میکنم./ #برانداز_معتدل.</t>
  </si>
  <si>
    <t>عاقبت دودوزه بازی و ابتذال گرایی و شترمرغ منشی و خیانت به اعتماد مردم این میشه که هم مردم میرینن بهت، هم مجلس، هم رهبر هم برانداز هم اصلاحطلب هم اصولگرا! #روحانی #روحانی_خفه_شو #روحانی_خفه #سوال_از_رئیس‌جمهور #سوال_از_روحانی #سوال</t>
  </si>
  <si>
    <t>یوونتوسی</t>
  </si>
  <si>
    <t>قلب آبي💙</t>
  </si>
  <si>
    <t>بي پدر و مادر مردمُ يه دسته گراز فرض كرده #روحاني #دروغ</t>
  </si>
  <si>
    <t>مَمَدحُسين</t>
  </si>
  <si>
    <t>‏‏‏‏آقای دغدغه‌مند... دغدغه‌‌مند سیاست و فرهنگی که به تغییرات زیادی نیاز دارد...</t>
  </si>
  <si>
    <t>ایستاده در غبار</t>
  </si>
  <si>
    <t>#توجه میگن #روحانی درخواست آزمایش از صبحانه های نماینده ها رو داده! انگار بعد جلسه میگفته یکی علیه‌اش توطئه کرده و تو غذاشون دست برده که با من همکاری نکنن؟؟!؟؟ #سوال_از_رئیس‌جمهور #مجلس</t>
  </si>
  <si>
    <t>🇮🇷رضـــ سرباز ــــا</t>
  </si>
  <si>
    <t>خبرت هست که بی روی تو آرامم نیست؟</t>
  </si>
  <si>
    <t>پراید 44 میلیونی هم افتاد گردن علم الهدی و یه پلاکارد توی فیضیه آخه دیگه چطوری قانعمون کنه؟ مردم! چرا قانع نمیشید؟ #سوال_از_رئیس‌جمهور</t>
  </si>
  <si>
    <t>🇮🇷سیده راضیه طاهریان</t>
  </si>
  <si>
    <t>پروفسور #انقلابی هستم محکوم به درد</t>
  </si>
  <si>
    <t>https://twitter.com/ZeynabHosseinii/status/1034327771894272000
https://twitter.com/saeed_ghamari/status/1034321184375099392</t>
  </si>
  <si>
    <t>اگه بگم خود روحانی هم قانع نشد چی میگید ؟؟ #سوال_از_رئیس‌جمهور RT @ZeynabHosseinii: جا داره بگم حاج خانوم همسایه ماهم قانع نشد ! #سوال_از_رییس‌جمهور</t>
  </si>
  <si>
    <t>بالتازار</t>
  </si>
  <si>
    <t>http://pahlevanihamed.tumblr.com/</t>
  </si>
  <si>
    <t>مهندسى برق مخابرات /دانشجوى كارشناسى ارشد مديريت رسانه/ طراح طلا و جواهر</t>
  </si>
  <si>
    <t>https://pbs.twimg.com/media/DlquYJuXoAARRsX.jpg</t>
  </si>
  <si>
    <t>اين #سوال_از_رئيس_جمهور هيچى نداشت ولى مشكل "آب خوردن" روحانى رو حل كرد!</t>
  </si>
  <si>
    <t>حامد پهلوانى🇮🇷</t>
  </si>
  <si>
    <t>غربت آن است که در جمعی و جانانت نیست</t>
  </si>
  <si>
    <t>در چاه قهر</t>
  </si>
  <si>
    <t>- اینا که قانع نشدند! + آشپز رو صدا بزن #سوال_از_رییس‌جمهور</t>
  </si>
  <si>
    <t>چنگیزجان</t>
  </si>
  <si>
    <t>https://t.me/Mahmoud_Pop</t>
  </si>
  <si>
    <t>‏‏‏‏‏‏‏‏‏‏‏نَکند رِخنه کُند در دلِ ایمانم شک! من دیپلمات نیستم، من انقلابی ام.</t>
  </si>
  <si>
    <t>مشهد</t>
  </si>
  <si>
    <t>مولاوردی(دیروز) : رئیس جمهور فردا در مجلس بسیاری از حقایق را بیان می‌کند! روحانی(امروز‌) : قاچاق نصف شده، برجام کلی از مشکلات رو حل کرد، گشایش اقتصادی داشتیم، کلی شغل ایجاد شده! + ملت ایران کف کردین؟ تا بیان حقایقی دیگر بدرود :)) #سوال_از_رییس‌جمهور</t>
  </si>
  <si>
    <t>محمود سیدآبادی</t>
  </si>
  <si>
    <t>کامپیوتر خوندم اوسینت رو دوست دارم/ پای رهبرم هستم تا آخرین نفس</t>
  </si>
  <si>
    <t>پا بوس بی بی معصومه س</t>
  </si>
  <si>
    <t>آقای روحانی، اگر شما در مرحله ی آسیب هستید من در مرحله ی گیم آور هستم. #سوال_از_رئیس_جمهور</t>
  </si>
  <si>
    <t>صابرم</t>
  </si>
  <si>
    <t>‏‏‏‏‏‏‏‏مثل ‏‏‏‏یه پیکان خسته که نوستالژی ویکه تازه دهه ۶۰بودپرشتاب پرتوان هنوز هم حرف برای گفتن داره ادمین کانال نهم دی بلاک شده توسط اسراییل ب فارسی وخ ابتکار</t>
  </si>
  <si>
    <t>https://pbs.twimg.com/media/DlqucpoX4AALZAE.jpg</t>
  </si>
  <si>
    <t>چرا قانع نشدید فرستادید ق ق اگه تلافی کنه چی حالا ما چه گٍلی به سر بگیریم #سوال_از_رییس‌جمهور</t>
  </si>
  <si>
    <t>پیکان جوانان</t>
  </si>
  <si>
    <t>اندکی قلم به دست و یادداشت نویس روزنامه</t>
  </si>
  <si>
    <t>نمایندگان قانع نشدند از جوابهای روحانی؛ هر چند روحانی دیگر آن اقناع همیشگی را ندارد ولی ورق به سود پرسش کننده گان هم نیست و نخواهد شد. این سکوت تاکتیکی روحانی می تواند آنچنان بی پشتوانه هم نباشد. سیاست ها در کسری از ثانیه تغییر میکنند. #روحانی #مجلس</t>
  </si>
  <si>
    <t>ebrahim gholitabar omran</t>
  </si>
  <si>
    <t>‏‏ذکر تعجیل فرج رمز نجات بشر است ما برآنیم که این ذکر جهانی بشود // دکترای ریاضی بی کار ... و نه بی عار</t>
  </si>
  <si>
    <t>مردم چرا طوری رفتار نمی کنند که مطلوب باشد آقای رئیس جمهور از عملکردتان بشدت ناراضی است #سوال_از_رییس‌جمهور</t>
  </si>
  <si>
    <t>به خوبی فکر کن ...</t>
  </si>
  <si>
    <t>‏‏‏‏فرمود خرمشهرها در پیش است. به نظرم یکی از خرمشهرها، کاخ سفید است و مأموریتمان فتح آن و نجات مستضعفان عالم از شیطان بزرگ. این فتح یحتمل، نرم خواهد بود</t>
  </si>
  <si>
    <t>ًصَفَّاً كأنّهم بنیانٌ مَرصوص</t>
  </si>
  <si>
    <t>از اونجایی که جدیدن مد شده کنار هر اسمی یه پلاس اضافه میکنن، منم میگم لاریجانی = روحانی پلاس #سوال_از_رییس‌جمهور</t>
  </si>
  <si>
    <t>سرباز صفر</t>
  </si>
  <si>
    <t>Kerman</t>
  </si>
  <si>
    <t>pic.twitter.com/WY6oIilsaU</t>
  </si>
  <si>
    <t>هی من توضیح میدم هی کارت زرد میدن باز هی من توضیح میدم هی کارت زرد میدن #سوال_از_رئیس_جمهور</t>
  </si>
  <si>
    <t>ٺمــــاݩــــــة</t>
  </si>
  <si>
    <t>‏فعال دانشجویی | ‏‏‏بی شک انقلاب اسلامی به تمامی اهدافش خواهد رسید.</t>
  </si>
  <si>
    <t>الحمدلله جمهوری اسلامی ایران</t>
  </si>
  <si>
    <t>باید حرف‌های امروز روحانی #نشرحداکثری شود.مردم خود قضاوت خواهند کرد که شیخ حسن روحانی، رئیس جمهور کدام کشور است! #سوال_از_رییس‌جمهور</t>
  </si>
  <si>
    <t>محمدجواد اصغری</t>
  </si>
  <si>
    <t>karaj</t>
  </si>
  <si>
    <t>#مجلس'ده-‌کی وکیللر ۴ دقیقه واختلاریندان یاریسینی بو صؤحبتله بیتیریرلر: آرزوی طول عمر برای مقام معظم رهبری، تبریک عید قربان، تبریک عید سعید غدیر خم، شهدا، امام شهدا و..." نه‌یه گؤره جلسه تشکیل وئریبلر؟</t>
  </si>
  <si>
    <t>خالخین اوشاغی</t>
  </si>
  <si>
    <t>اين هستنده در تقابل با هستي طبقاتي است. كسب و كارش خواندن و نوشتن است و زندگي را سخت نمي گيرد. روزنامه‌نگار اقتصادی و سیاسی</t>
  </si>
  <si>
    <t>اگر قابیل با بیل به سر هابیل نزده بود الان همه چیز خوب بود. چکیده حرف‌های #روحانی</t>
  </si>
  <si>
    <t>Amir.Mehrzad</t>
  </si>
  <si>
    <t>قانع نشدن نماینده‌ها نسبت به جواب‌های #روحانی، انعکاس قانع نشدن مردم نسبت به گفتگوهای تلویزیونی او بود.</t>
  </si>
  <si>
    <t>طراح جنبش #پشت_من_بمان = طرحی برای تجمعات مسالمت آمیز برای اودرن بیشتر مردم به صحنه در روزهای خاص.</t>
  </si>
  <si>
    <t>روحانی 1 - 4 مجلس #روحانی</t>
  </si>
  <si>
    <t>گاگول</t>
  </si>
  <si>
    <t>لاریجانی منو یاد گاد مافیا میندازه 😂 رای دادید؟ حالا چشماتون رو ببندید. روز میشه. حسن رو دیشب کشتند. #حسن_روحانى #لاریجانی #مجلس</t>
  </si>
  <si>
    <t>Masoud</t>
  </si>
  <si>
    <t>دیگر چه بلاییست غم انگیزتر از این من بار سفر بستم و یک شهر نفهمید. (متعهد)</t>
  </si>
  <si>
    <t>نماینده ها ی جوری از قاچاق شاکی ان انگار نه انگار خودشون دستشون تو کاره!!! #مجلس #سوال_از_رئيس_جمهور</t>
  </si>
  <si>
    <t>رویا بدون رویا</t>
  </si>
  <si>
    <t>I Am That I Will Be</t>
  </si>
  <si>
    <t>#روحانی : همه چیز رو ۴ برابر کردیم به جز حقوق حالا شما فقط همون یکی رو میبینید؟</t>
  </si>
  <si>
    <t>اهمش</t>
  </si>
  <si>
    <t>سعی میکنم منطقی باشم</t>
  </si>
  <si>
    <t>پاسخ های آقای #حسن_روحانی در #مجلس را دیدم به نظرم ایشان اصلا در حد و اندازه های یک رییس دولت نیستند . پاسخ هایشان بیشتر بازی با کلمات بود . خیلی ضعیف هستند برای همین شرایط هر روز بدتر و مبهم تر می شود . #دولت_ضعیف</t>
  </si>
  <si>
    <t>جمال چابهاری (چابهار)</t>
  </si>
  <si>
    <t>#سوال_از_رئیس_جمهور چه معنا میدهد وقتی وی اساسا نمیخواهد قدمی برای حل مشکلات کشور بردارد؟</t>
  </si>
  <si>
    <t>آخ...راستی یادم رفت توی توییتهای قبل ، از حضور #سپاه در رسیدگی به موضوع #قاچاق بگم...خدا از سر تقصیرات وکوتاهیهای سپاه هم بگذره...بههههلهههه.... #سوال_از_رئیس_جمهور</t>
  </si>
  <si>
    <t>http://neveshtehaa.blog.ir</t>
  </si>
  <si>
    <t>‏‏روزنامه نگار، ‏‏‏محقق و پژوهشگر، مستندساز</t>
  </si>
  <si>
    <t>Iran/Tehran</t>
  </si>
  <si>
    <t>سال 94 قبل از انتخابات #مجلس گفته میشد که لیست امید باید رای بیاره تا با #دولت و #روحانی همراهی کنند و کشور بهتر ساخته شود! لیست امید در شهرهای بزرگ و بعضا کوچک رای آورد اما تقابل بی سابقه ای میان دولت و مجلس شکل گرفت که از اول انقلاب تاکنون بیسابقه س! روحانی هم در بدترین شرایط!</t>
  </si>
  <si>
    <t>Sayed Mahdi Dezfouli</t>
  </si>
  <si>
    <t>‏ژورنالیست . ‏‏‏کارشناس ارشد مدیریت و برنامه ریزی شهری کارشناسی کامپیوتر - نرم افزار</t>
  </si>
  <si>
    <t>Lahijan</t>
  </si>
  <si>
    <t>وقتی لیستهای انتخاباتی براساس رابطه و پول بسته شود نتیجه این میشود که در مجلسی که بیشترین نفرات از جناح حامیان دولت هستند رییس دولت استیضاح میشود! #لیست_امید #حسن_روحانی #مجلس_شورای_اسلامی #سوال_از_رئیس_جمهور</t>
  </si>
  <si>
    <t>حامد رمضانی</t>
  </si>
  <si>
    <t>‏‏‏‏حامی ‏‏‏‏‏براندازی، آنتی جسم ناقص و جان ناقابل، اگه قسمت بشه جمهوریخواه و اگه نشه گزینه مشروطیت همچنان روی میزه. حرف آخر ‎#متحد_شویم 🤝</t>
  </si>
  <si>
    <t>United Kingdom</t>
  </si>
  <si>
    <t>روحانی: مردم باید بدونن که ما همه با هم هستیم. آقای روحانی ماهمه با هم هستیم، اما این جنسش با اونی که تو داری میگی فرق داره، با هم بودن شما یعنی زیر پا گذاشتن ما و با هم بودن ما یعنی به زیر کشید نظام فاسد شما #سوال_از_رئیس_جمهور</t>
  </si>
  <si>
    <t>هومَت</t>
  </si>
  <si>
    <t>https://www.facebook.com/ehsan.ramezanian</t>
  </si>
  <si>
    <t>يك ایران‌دوست لیبرال</t>
  </si>
  <si>
    <t>نشد یک‌بار سخنرانی یکی از مقامات حکومتی را گوش کنم و احساس بیگانگی نکنم. انگار دنیای ما با دنیای آنها در تمام وجوهش فرق دارد. #سوال_از_رئیس_جمهور</t>
  </si>
  <si>
    <t>احسان رمضانیان</t>
  </si>
  <si>
    <t>آدم ها بـراي هـم سنگ تمـام مـي گذارنـد، اما نـه وقـي کــه در ميانشــان هســتي، آنجــا کــه در ميــان خـاک خوابيــدي، "سنـــگِ تمــام" را ميگذارنـد و مــي رونــد</t>
  </si>
  <si>
    <t>برین #روبیکا و به #روحانی رای بدین</t>
  </si>
  <si>
    <t>چرک نویس</t>
  </si>
  <si>
    <t>‏‏‏‏فرزند| برادر | همسر | پدر |طلبه و خلاصه یکی مثل دیگران...</t>
  </si>
  <si>
    <t>قم تهران...</t>
  </si>
  <si>
    <t>اقای #روحانی گفتند تحریم های مربوط به برنامه هسته ای لغو شداما #تحریم های سایر بخش ها رو داشتیم. اقای روحانی یادتونه اون موقعی که خواستید از موفقیت #برجام بگید اومدیدپشت تریبون و گفتید تحریمهای دیگه هم لغومیشه نه تعلیق و بعد نام بردید تحریم های بانکی موشکی تسلیحاتی و... یادتونه؟</t>
  </si>
  <si>
    <t>ابراهیم نصیری</t>
  </si>
  <si>
    <t>چنانچه اکثریت نمایندگان حاضر در جلسه از پاسخ رئیس جمهور به سوالی قانع نشده باشند و موضوع مورد سوال نقض قانون یا استنکاف از قانون محسوب شود، آن سوال به قوه قضائیه ارسال می شود. #از_لاریجانی_به_لاریجانی #سوال_از_رئیس‌جمهور</t>
  </si>
  <si>
    <t>بچه محل بوعلی 🇮🇷</t>
  </si>
  <si>
    <t>ميان من و تو ... ای تغزلِ مغموم! فاصله‌ای‌ست که ميان همه‌ی مفاهيم آسيمه‌ام هنوز ناميش نيست!</t>
  </si>
  <si>
    <t>https://twitter.com/Eranico_com/status/1034324539314978816</t>
  </si>
  <si>
    <t>بهتره تمامی وزرای صمت، اقتصاد و کار چند نسل بعد رو هم از همین الان با استناد به همین سوال‌ها استیضاح و برکنار کنن وقتی مشکل مملکت تو رده‌های بالاتره با #استیضاح وزیر چیزی حل نمیشه RT @Eranico_com: #فوری طرح استیضاح «محمد شریعتمداری» وزیر صنعت، معدن و تجارت در ۱۵ محور و با امضای ۵۱ نفر از نمایندگان به هیأت رئیسه تقدیم شد</t>
  </si>
  <si>
    <t>ساری پیشیک</t>
  </si>
  <si>
    <t>به دنبال صاحب چتر زرد رنگ</t>
  </si>
  <si>
    <t>Nieuwmarkt/Lastage, Amsterdam</t>
  </si>
  <si>
    <t>https://twitter.com/alaneyre1/status/948202174097625091</t>
  </si>
  <si>
    <t>اوضاع مملکت یه جوری داغونه که هر توییتری باید اینو هر روز که میاد رییت کنه 😂😢 #استیضاح #زلزله #تورم RT @AlanEyre1: @wariningIran واقعا پشمم از این حوادث کلی ریخته است!</t>
  </si>
  <si>
    <t>تد موزبی</t>
  </si>
  <si>
    <t>‏‏‏از انقلاب با ولایت تا ظهور....</t>
  </si>
  <si>
    <t>arak</t>
  </si>
  <si>
    <t>امروز در مجلس روحانی مشکلات ارزی و اغتشاشات دی ماه رو پاس داد به مشهد، این یعنی قصد پاسخگویی ندارم و فقط میخوام شانتاژ کنم و بگم یه عده تندرو مسئول رکود و فجایع اقتصادی هستن! #سوال_از_رئیس_جمهور</t>
  </si>
  <si>
    <t>مریم رضائی🇮🇷</t>
  </si>
  <si>
    <t>در جستجوی معنا...</t>
  </si>
  <si>
    <t>Tehran,Iran</t>
  </si>
  <si>
    <t>#روحانی در جلسه امروز #سوال_از_رئیس_جمهور گفت: "امیدوارم جلسه امروز در نهایت به ناراحتی و ناامیدی کاخ سفید منجر شود." اینجا اولویت حفظ #آبروی_نظام یعنی انتظار صداقت، شفافیت و تغییر اساسی بیهوده است! مقایسه کنید با مساله اعترافات #مايكل_كوهن و اعتقاد به آبرو در آمریکا!</t>
  </si>
  <si>
    <t>گرگ گیاه خوار</t>
  </si>
  <si>
    <t>https://pbs.twimg.com/media/Dlqu6PbWsAABTq1.jpg</t>
  </si>
  <si>
    <t>روحانی و نگاه مردم. #سوال_از_رئیس‌جمهور</t>
  </si>
  <si>
    <t>ویرجینیا وولف</t>
  </si>
  <si>
    <t>‏‏‏‏‏‏‏‏‏‏‏‏جهاد ادامه داره چون دشمن هنوز پشت خاکریزه، جهاد ادامه داره چون نفوذی ها هنوز مشغول گرا دادن هستن، جهاد ادامه داره چون اونی که باید بیاد هنوز نیومده</t>
  </si>
  <si>
    <t>دیار باران</t>
  </si>
  <si>
    <t>از کدوم بخش از استندآپ کمدی، کمدین #حسن_روحانی خوشتون اومد و کلی باهاش خندیدید؟ #سوال_از_رییس‌جمهور #ريتوييت_لطفا</t>
  </si>
  <si>
    <t>فئودور یاسروفسکی</t>
  </si>
  <si>
    <t>med intern :))) we are #Liverpool, this means more ❤</t>
  </si>
  <si>
    <t>نات یور بیزنس :)</t>
  </si>
  <si>
    <t>آقای #روحانی ممنونم که هرروز بهم ثابت می‌کنی رای ندادن بهت کار درستی بود!</t>
  </si>
  <si>
    <t>‏‏‏‏‏‏‏روزها دیگر به شماره افتاده اند</t>
  </si>
  <si>
    <t>https://pbs.twimg.com/media/DlqvCQqXsAEgWHV.jpg</t>
  </si>
  <si>
    <t>ظاهرا پاسخ سوالات نمایندگان خارج از مجلس داده می شود #سوال_از_رییس‌جمهور #مجلس</t>
  </si>
  <si>
    <t>امیر🎗</t>
  </si>
  <si>
    <t>Neverland</t>
  </si>
  <si>
    <t>تو یه همچین وضعیت بحرانی ئی رئیس جمهور مملکت پا شده رفته مجلس تا پاسخگو باشه, اونوقت حداقل 20سی نفر از نماینده ها غائبن. کجان دقیقا؟ اون کاری که مهمتر از پیگیری مطالبات مردمه و باعث غیبت شون شده چیه؟ #سوال_از_رییس‌جمهور</t>
  </si>
  <si>
    <t>⭐️⭐️რეზა⭐️⭐️</t>
  </si>
  <si>
    <t>تا اون جایی که یادمه #روحاني قرار بود بخشی از حرف های مگو رو توو #مجلس بگه. هیچی که نگفت هیچ، جواب درستی هم به سوالات #نمایندگان_مجلس نداد. #روحانی #مجلس</t>
  </si>
  <si>
    <t>farib rah</t>
  </si>
  <si>
    <t>You will reap what you plant in your minds farm</t>
  </si>
  <si>
    <t>Half Of The World</t>
  </si>
  <si>
    <t>#روحانی در کلیپ معروف دهه ۶۰ گفته بود نباید حقوق کامل به بازنشستگان ارتش پرداخت بشه و باید در حد بخور و نمیر باشه چون معلوم نیست علیه ما توطئه کردن یا نه.دقیقا الان طرز تفکرش درباره مردم همینه.خودشم گفت اگه به بانک مرکزی دستور میدادم قیمت ارز پایین میومد!! #بی_شرف</t>
  </si>
  <si>
    <t>ښُلطۄں®</t>
  </si>
  <si>
    <t>http://inestagram.com/paper.tulip</t>
  </si>
  <si>
    <t>‏‏‏يه بنده ى خدا ... در پى آرزوهاى محال ...</t>
  </si>
  <si>
    <t xml:space="preserve">جمهوری اسلامی ایران </t>
  </si>
  <si>
    <t>براى اينكه تلخى صبتاى روحانى از بين بره دونات پختيم ^___^ #سوال_از_رییس‌جمهور</t>
  </si>
  <si>
    <t>هیما حسینی</t>
  </si>
  <si>
    <t>“برعکس همه”، سیاست رو دوست دارم برام شبیه سریاله، گوله نمک،تازه وارد</t>
  </si>
  <si>
    <t>پنهان میان سایه ها</t>
  </si>
  <si>
    <t>به نظرم مهم ترین جمله حسن این بود که: “امیدوارم بتوانم نکات مورد نظر رهبری را رعایت کنم!” #سوال_از_رییس_جمهور</t>
  </si>
  <si>
    <t>آقای سایه</t>
  </si>
  <si>
    <t>تنها چیزی به مغزم خوش اومد حرف نماینده قم بود! شما رئیس‌جمهور سوئیس هستید یا جمهوری اسلامی ایران/ با حلوا حلوا دهن شیرین نمی‌شود پ.ن: این مردک ولی هنوز نفهمیده و همه چیز ملت رو با سوییس قاطی میکنه! #مشهد_تايلندتشيع #روحانی</t>
  </si>
  <si>
    <t>تارِک شلوارک بندری</t>
  </si>
  <si>
    <t>‏‏‏‏‏‏‏‏‏‏‏‏‏‏‏‏‏‏‏‏‏‏‏‏‏‏‏‏‏‏من فرزند ‎‎‎‎‎#ایرانم سلام بر ‎‎‎‎#انسانیت دانشجوی ‎‎‎‎#علوم_اقتصادی ولی عاشق ‎ ‎‎‎‎‎#علوم_اجتماعی حامی ‎‎‎‎‎‎#حقوق_بشر</t>
  </si>
  <si>
    <t xml:space="preserve">  ایران تهران</t>
  </si>
  <si>
    <t>پروردگارا خودت شاهد این ظلم باش ماتو ایران زندگی میکنیم #روحاني</t>
  </si>
  <si>
    <t>💖پریسا💖</t>
  </si>
  <si>
    <t>‏‏‏‏‏‏</t>
  </si>
  <si>
    <t>Iran</t>
  </si>
  <si>
    <t>#روحانی رفته مجلس جواب نماینده‌ها رو بده اما تا همینجاش از همه نماینده‌ها بیشتر سوال پرسیده :)))</t>
  </si>
  <si>
    <t>Mabbasi90</t>
  </si>
  <si>
    <t>دل پیچه می گیرم از خوردن.. از دیدن و شنیدن.. و حتی از بوییدن.. حال خوشم آرزوست🙃</t>
  </si>
  <si>
    <t>خداییش آدم از قانع نشدن نماینده ها یکم نگران می شه... شما نمی شید؟ البته درسته من #قانع_نشدم ولی نماینده تو چرا؟ این همه استدلال برای قانع شدنت کافی نبود؟ من فکر می کنم خبری در راهه... #سوال_از_رئیس_جمهور</t>
  </si>
  <si>
    <t>دل پیچه</t>
  </si>
  <si>
    <t>‏‏‏‏‏‏‏‏‏‏📚عدالت، شفافیت، رقابت، فن‌آفرینی ومحیط کسب‌وکار ⏪اینجا مربوط به مسئولیت اجتماعیم است وربطی به مسئولیت رسمیم ندارد اصرار نفرمایید🔔مسئول کامنتها نیستم</t>
  </si>
  <si>
    <t>۵سوال دیروز مجلس: ۱.قاچاق ۲.بیکاری ۳.ادامه تحریمها ۴.اشتغال ۵.رکود مجلس از پاسخهای #روحانی به ۴سوال قانع نشد و #استیضاح روحانی جدی شد ۵سوال بعدی اینهاست: ۱.تورم کم‌سابقه ۲.حراج۶۰تن طلاو۱۸میلیارد دلارجهانگیری ۳.ادامه حقوقهای نجومی ۴.رانت برای ژنهای‌خوب ۵.هرج ومرج در بازارخودرو</t>
  </si>
  <si>
    <t>سیدامیر سیاح</t>
  </si>
  <si>
    <t>From shz Live in bandar e abbas</t>
  </si>
  <si>
    <t>#روحانی گفت، دلیل کنار کشیدن #ترامپ از #برجام، #اعتراضات_سراسری مردم به #گرانی بوده. آقای #رییس_جمهور همه مشکلات جامعه، تقصیر ما #مردم هستش. فقط شما خوبید. احیانا خواستی #استیضاح بشی، یه خبر بده، میام کل #مشکلات ب وجود اومده رو ب گردن میگیرم.</t>
  </si>
  <si>
    <t>امیروشون</t>
  </si>
  <si>
    <t>گفتم غم تو دارم... رفت!</t>
  </si>
  <si>
    <t>تو فصل بعد #روحاني استيضاح مي شه. وايت واكرا حمله مي كنن وستروس. اژدهام دارن. بعد همه همديگه رو مي تركونن. با خاك يكسان ميشه هفت اقليم. بعد عباس جديدي مياد با شاه تاريكي سلفي مي گيره. بعدشم احمدي نژاد توئيت مي كنه مي گه زنده باد بهار. سوار پرايدش مي شه مي ره. جان استو هم نداريم.</t>
  </si>
  <si>
    <t>Milad Gholami</t>
  </si>
  <si>
    <t>یه آرسنالی مشهدی یا یه مشهدی آرسنالی، کانال سروش http://sapp.ir/sedkhandan</t>
  </si>
  <si>
    <t>#روحانی میگه علت همه مشکلات و گرونی ها اعتراضات دی ماه مشهده حالا که ما باعث شدیم پراید بشه 40 تومن سایپا باید به عنوان تشکر به همه ما مشدیا یه پراید 6 تومنی بده #سوال_از_رئیس_جمهور</t>
  </si>
  <si>
    <t>سید حمید علیزاده</t>
  </si>
  <si>
    <t>•Graphic Designer•</t>
  </si>
  <si>
    <t>من از سوییس با شما صحبت می کنم. علی برکت الله. #سوال_از_رئیس_جمهور</t>
  </si>
  <si>
    <t>Masood</t>
  </si>
  <si>
    <t>بعضیهاراهرچه بخوانی خسته نمیشوی بعضیهاراهرچه گوش دهی عادت نمیشوند!بعضےهاهرچہ تڪرارشوند;بازبِڪرند The future belong to islamic nation #מוותלישראל</t>
  </si>
  <si>
    <t>https://twitter.com/zonnour/status/1034330719181393921
http://icana.ir/Fa/News/400673</t>
  </si>
  <si>
    <t>دمت گرم شیخ حرف دل ما رو زدی ولی حیف که یه گوشش درو یه گوشش دروازه بی غیرت تر از اینه که به خودش بگیره.. #سوال_از_رئیس_جمهور RT @zonnour: آقای روحانی! شما رییس جمهور سوییس هستید یا ایران؟</t>
  </si>
  <si>
    <t>مـحـمــدهـــــــادی</t>
  </si>
  <si>
    <t>‏Assistant Professor of Imam Sadiq University استادیار دانشگاه امام صادق علیه السلام،▏مقدم هرنوع مخالف باهر فکر و دین و سلیقه سیاسی ولی منطقی گلباران</t>
  </si>
  <si>
    <t>نمایندگان دقیقا از همان سوالی که مربوط به ام الفساد عملکرد #روحانی بود قانع شدند. #برجام #تحریم</t>
  </si>
  <si>
    <t>Dr.Ali.Senobar</t>
  </si>
  <si>
    <t>هم رجايي و باهنر را مي کُشند و هم به سوگشان مي نشينند ، هم منافقین را دستگير مي کنند و هم براي آزادی آنان تلاش میکنند وبا آنها ارتباط میگیرند....</t>
  </si>
  <si>
    <t>جناب #روحانی برگشته گفته ما از لحاظ بیکاری کارنامه خوبی داریم فکر کنم منظورش این بوده تونسته رقم بیکاری در کشور را به بالاترین حد بعد از انقلاب برسونه.... #سنگ_پا</t>
  </si>
  <si>
    <t>Seyyed.a.h</t>
  </si>
  <si>
    <t>‏‏‏‏‏‏‏‏‏🥀‏‏‏‏‏‏‏‏‏‏‏‏‏‏‏‏شهید ابراهیم هادی : مشکل کارهای ما اینه که برای رضای همه کار می‌کنیم، به جز خدا ... اکانت ریتوییتر(‎‎‎‎‎‎‎@remissa77)</t>
  </si>
  <si>
    <t>جمهوری اسلامی ایران⁦🇮🇷⁩</t>
  </si>
  <si>
    <t>پرزیدنت فرمودن: « اصلا فرض کنین برجام از اول نبوده » عمو جون، ۷۰درصد رأی شما از رأی دهنده ها، به واسطه فاجعه بزرگی بنام #برجام بوده!! ماله کش کی بودی تو؟! #سوال_از_رئیس‌جمهور</t>
  </si>
  <si>
    <t>رمیصا⁦⁩ 🇮🇷⁩</t>
  </si>
  <si>
    <t>والله که شهر بی‌ تو مرا حبس میشود.. آوارگی و کوه و بیابانم آرزوست.. خود کارِ من گذشت زهر آرزو و آز.. از کان و از مکان پی ارکانم آرزوست.. #اللهم_عجل_لولیک_الفرج</t>
  </si>
  <si>
    <t>بزرگترین آرزوم در اینروزها: خدایا لطفاً کاری کن دوباره مصلحت اندیشی های گاه و بیگاه بر روزمرگی های سخت مردم ترجیح داده نشود... ماندن #روحانی در این شرایط یعنی ادامه رکود،افزایش بیکاری،افزایش سرسام آور قیمت همه کالاها،کاهش ارزش پول ملی و ... #استیضاح_روحانی</t>
  </si>
  <si>
    <t>حسين مرادي</t>
  </si>
  <si>
    <t>http://instagram.com/m.lavasani</t>
  </si>
  <si>
    <t>‏آقا نشد هرآنکه به پای تو پا نشد .</t>
  </si>
  <si>
    <t>دقیقا به چه امیدی نشستید پای حرفای #روحانی ؟ یعنی احتمال میدادید که دری وری نگه؟ #دل_خوش</t>
  </si>
  <si>
    <t>شِیخ</t>
  </si>
  <si>
    <t>دوست عزيزم، من از تو نمي خوام كه من رو فالو كني، ولي به جاش خواهش مي كنم ١٠ ثانيه به قدم بعد زندگي فكر كني ...</t>
  </si>
  <si>
    <t>وقتي به اسم #وطن_پرست فرستادنتون جنگ نتيجه اش شد #مشهد_تايلندتشيع به اسم اصلاحات ميفرستنتون راي گيري نتيجه اش ميشه #روحاني الان با اسم #مدافع_حرم ميفرستنتون جنگ نتيچش چي ميشه؟! 😂 #علم_الهدى #تظاهرات_سراسرى #چالش_دعوت_به_عملیات #ايران_را_پس_ميگيريم #براندازم #براندازيم</t>
  </si>
  <si>
    <t>اشتباه خوب</t>
  </si>
  <si>
    <t>‏‏‏‏😲‏دیکتاتور تَر از آزادی نداریم😲</t>
  </si>
  <si>
    <t>سَنگَرِ دَر مُحاصِرِه</t>
  </si>
  <si>
    <t>https://pbs.twimg.com/media/Dlq6p9IW4AEy3mn.jpg</t>
  </si>
  <si>
    <t>چرا از فساد داداش #روحاني و جهانگیری و... سوال نشد؟ چرا از اختلاس‌های هزارمیلیاردی و طرح مزخرف سلامت و گرونی‌های افسار گسیخته سوال نشد؟ اینا همون خطوط قرمزیه که روحانی برای مجلس ترسیم کرده؟ نماینده‌های مستقل چرا کوتاه اومدن؟ چند تا نماینده امروز غایب بودن؟ #سوال_از_رییس‌جمهور</t>
  </si>
  <si>
    <t>سوزوکی</t>
  </si>
  <si>
    <t>Reza Miandareh, al cospetto di Dio,God's neighbor,Сосед Бога,ever student, father</t>
  </si>
  <si>
    <t>Milan, Lombardy</t>
  </si>
  <si>
    <t>https://pbs.twimg.com/media/Dlq6rL8WsAALjOf.jpg</t>
  </si>
  <si>
    <t>شبها گذرد که دیده نتوانم بست مردم همه از خواب و من از فکر تو مست باشد که به دست خویش خونم ریزی تا جان بدهم دامن مقصود به دست #روحاني #مجلس</t>
  </si>
  <si>
    <t>God's neighbor</t>
  </si>
  <si>
    <t>‏‏‏‏‏‏‏💚عَزیزٌ عَلَیَّ اَنْ اَرَی الْخَلْقَ وَلا تُری💚 📚کتاب وسیاست وشعر و شکلات🍫 مربی ایروبیک وبدنسازی🎧👟</t>
  </si>
  <si>
    <t>💚❤IRAN,SɨSｲﾑŋ+乙ﾑɦε∂ﾑŋ❤💚</t>
  </si>
  <si>
    <t>تو یه همچین وضعیت بحرانی ئی رئیس جمهور مملکت پا شده رفته مجلس تا پاسخگو باشه, اونوقت حداقل 20سی نفر از نماینده ها غایبن. کجان دقیقا؟ اون کاری که مهمتر از پیگیری مطالبات مردمه و باعث غیبت شون شده چیه؟ #سوال_از_رییس‌جمهور</t>
  </si>
  <si>
    <t>Sahar-G.R.I👸</t>
  </si>
  <si>
    <t>‏ما جهان آرای خرمشهرهای دیگریم ✌🇮🇷🇵🇸🇱🇧🇮🇶</t>
  </si>
  <si>
    <t>روحانی: برجام برای تثبیت صلح آمیز بودن برنامه هسته ای بود و این امر محقق شده است! در تاسیسات هسته ای بتن ریزی کردند که ثابت کنند تاسیسات هسته ای شان صلح آمیز است! جناب شیخ! اصولا برنامه هسته ای وجود ندارد که غیر صلح آمیز باشد یا صلح آمیز... #روحانی #مجلس_بی_کفایت #برجام</t>
  </si>
  <si>
    <t>ابن شهر آشوب</t>
  </si>
  <si>
    <t>http://filter_Shod_n.bar.com</t>
  </si>
  <si>
    <t>‏‏‏‏‏Phd Candidate(تکنوکرات)</t>
  </si>
  <si>
    <t>حلقه های زحل</t>
  </si>
  <si>
    <t>#استیضاح_غیررسمی رئیس جمهور از چهار پاسخ #روحانی،نمایندگان(با انگیزه های مختلف :-) فقط در یک پاسخ قانع شدند. مساله ای که از نظر دورماند،#تیم_ناکارآمد دولت است که مسئولیت انتخابشان،هرگز بتنهایی بعهده روحانی نبوده است نمایندگان می توانند آنقدر ازین تیم بریزند که گزینه ها واقعی شوند</t>
  </si>
  <si>
    <t>دکتر خاردار🇮🇷</t>
  </si>
  <si>
    <t>اگر داغ دل بود ما ديده ايم،اگر خون دل بود ما خورده ايم</t>
  </si>
  <si>
    <t>باز #روحانی دهنشو باز کرد چندتا خالی بست #دلار رفت بالا. #روحانی میشه حرف نزنی!!!</t>
  </si>
  <si>
    <t>Red Army...</t>
  </si>
  <si>
    <t>از جناب #روحانی برای اینکه به هیچ یک از سوالات نمایندگان جواب نداد تشکر میکنیم که فهمیدیم #پاسخگویی یعنی چه و آیه قران درباره این که با احترام با یکدیگر حرف بزنید یعنی به من بی احترامی نکنید هرچند پاسخگوی ملت ارباب خود نباشم...اگر چه من تندترین... مایه از رهبر شده شکلات سیاسی</t>
  </si>
  <si>
    <t>مهدی</t>
  </si>
  <si>
    <t>ای آنکه مذاکره شعارت استخر هتلهای لاکچری سوئیس در انتظارت #سوال_از_رییس‌جمهور</t>
  </si>
  <si>
    <t>‏‏‏‏‏‏‏‏‏‏‏‏‏‏انقلابی ؛ پرسپولیسی ؛ اداره_برقی!!☀ تا در ره دوست بی سر و پا نشوی/ بی_درد بمانی و به دردی نرسی☀</t>
  </si>
  <si>
    <t>pic.twitter.com/qa3k1kHVXz</t>
  </si>
  <si>
    <t>هی پرسیدن چرند گفتم هی پرسیدن چرند گفتم هی پرسیدن چرند گفتم .. خب فهمیدن قانع نشدن #سوال_از_رییس‌جمهور</t>
  </si>
  <si>
    <t>محمد 🇮🇷</t>
  </si>
  <si>
    <t>ولی درستش این بود سخنرانی روحانی رو از شبکه نسیم پخش میکردن , ابوطالب حسینی و علی صبوری دیگه شانسی برای برنده شدن نداشتن ! #سوال_از_رییس‌جمهور</t>
  </si>
  <si>
    <t>#𝘊𝘺𝘣𝘦𝘳𝘚𝘦𝘤 𝘌𝘯𝘨𝘪𝘯𝘦𝘦𝘳 , #𝘏𝘢𝘤𝘬𝘵𝘪𝘷𝘪𝘴𝘵 , #𝘖𝘱𝘐𝘴𝘳𝘢𝘦𝘭 , #𝘖𝘱𝘜𝘚𝘈 | 𝘊𝘰𝘯𝘵𝘢𝘤𝘵 𝘮𝘦 (𝘉𝘪𝘵𝘮𝘴𝘨) BM-2cVc8WPW4ngr8UtoFfR7NztnZ4qeC4hdEj</t>
  </si>
  <si>
    <t>شربت و شیرینی #استیضاح #روحانی چه می‌چسبه. بذارید مردم نشاط داشته باشند. این شربت و شیرینی رو از مردم نگیرید.</t>
  </si>
  <si>
    <t>🅷🅰🅼🅴🅳</t>
  </si>
  <si>
    <t>‏‏مسخره است، ‏‎‎‎#لیبرال هایی که میگویند باید برای پیشرفتمان مستضعفین را عقیم کنیم،شدند مسولان کشوری که شعارش حمایت از مستضعفان عالم است دستشان راکوتاه میکنیم</t>
  </si>
  <si>
    <t>کلا همه دولت و مجلس #استخرِ_فرح در انتظارتون! (این شخص دیگر اعصاب ندارد) #سوال_از_رییس‌جمهور</t>
  </si>
  <si>
    <t>masoud</t>
  </si>
  <si>
    <t>https://Twitter.com/iraneman_org</t>
  </si>
  <si>
    <t>‏‏‏‏‏‏‏‏‏‏‏‏‏پویای سیاسی - اقتصادی و عدالت اجتماعی پویش مدرسه سازی ایران من http://iraneman.org‎‎‎‎ http://iran-e-man.ir‎‎‎</t>
  </si>
  <si>
    <t>#زیدآبادی: نمایندگان مجلس که در حین نطق #رئیس_جمهور توان لحظه‌ای ساکت نشستن و تحمل شنیدن را ندارند و دائم با موبایل یا با یکدیگر حرف می‌زنند؛ روی چه حساب و کتابی باید قادر به حل معضلات این کشور باشند؟ این ناتوانی از سر و روی‌شان می‌بارد؛ چه نیازی است آن را به پشت پرده نسبت دهیم/</t>
  </si>
  <si>
    <t>Pooya 🎗️</t>
  </si>
  <si>
    <t>“پیج شهید مصطفی چمران “”کارشناس ارشد حقوق دانشگاه تهران” “نه اصول گرا نه اصلاح طلب، #انقلابی ام”، یا #علی</t>
  </si>
  <si>
    <t>بازار داغ #استیضاح طرح #استیضاح “#وزیر_سمت “ در ۱۵ محور و با امضای ۵۱ نفر از نمایندگان به هیأت رئیسه تقدیم شد. بعد از آن نوبت #استیضاح وزیر راه و شهر سازی</t>
  </si>
  <si>
    <t>Mr.Shahrokh.Alavi🇮🇷🇵🇸🇸🇾🇮🇶🇱🇧</t>
  </si>
  <si>
    <t>https://t.me/Soleymanzadehadmin</t>
  </si>
  <si>
    <t>‏‏‏فعال رسانه ای/ مدیر مسئول پایگاه خبری انعکاس بناب</t>
  </si>
  <si>
    <t>ایران، آذربایجان شرقی، بناب</t>
  </si>
  <si>
    <t>pic.twitter.com/lSCNQf2ZbX</t>
  </si>
  <si>
    <t>روحانی: ما که مشکلی نداریم!!! هی من توضیح میدم هی کارت زرد میدن باز هی من توضیح میدم هی کارت زرد میدن #روحانی</t>
  </si>
  <si>
    <t>سلیمانزاده</t>
  </si>
  <si>
    <t>https://pbs.twimg.com/media/Dlq6y0RUcAEjMYE.jpg</t>
  </si>
  <si>
    <t>https://t.me/HezarAshraf</t>
  </si>
  <si>
    <t>#ایران 6شهریور1372 انتخاب #مریم_رجوی بعنوان #رئيس_جمهور برگزيده شورای ملی #مقاومت ایران 6شهریور1372 #شورای_ملی_مقاومت ايران که متشکل از سازمان ها و شخصيت‌های برجسته #اپوزيسيون ايران است در اجلاس سالانه خود، #رجوی را به‌عنوان رئيس جمهور برگزيدند</t>
  </si>
  <si>
    <t>HezarAshraf</t>
  </si>
  <si>
    <t>مهربان ترین، شوخ طبع ترین، باظرفیت ترین و سیاسی ترین کاهن جهان با اختلاف آرای بسیار زیاد، اینجانب هستم</t>
  </si>
  <si>
    <t>زیر پونز..</t>
  </si>
  <si>
    <t>https://pbs.twimg.com/media/Dlq7DWSUUAAzs4a.jpg</t>
  </si>
  <si>
    <t>گذرمون به خایه صادق لاریجانی نخورده بود که اینم بحمدالله حاصل شد ( روحانی در بازگشت از مجلس به سمت منزل رییس دستگاه قضا ) #روحانی</t>
  </si>
  <si>
    <t>کاهن اعظم</t>
  </si>
  <si>
    <t>‏‏‏‏‏‏‏‏‏‏‏‏‏‏‏‏بہ جان خودت بیوفت؛ خودت،خودت را بساز وگرنه دیگران بـــه تو ‎‎‎‎‎‎‎‎‎‎‎#شڪل می دهند.</t>
  </si>
  <si>
    <t>مسافر</t>
  </si>
  <si>
    <t>روز بدِ #روحانی تکمیل شد طرح استیضاح وزیر صنعت، معدن و تجارت در ۱۵ محور و با امضای ۵۱ نفر از نمایندگان به هیأت رئیسه تقدیم شد. پ.ن: مسئله این است حالا کی میخواد بیاد جای اینا؟ :| #سوال_از_رئیس_جمهور</t>
  </si>
  <si>
    <t>أَلْبَلاءُ لِلْوِلاء</t>
  </si>
  <si>
    <t>http://www.sajadnrz.me/</t>
  </si>
  <si>
    <t>مهندس پیشین ناسا! پدر مورفی نجات یافته از گارگَنچوا !کاپیتان اندورنس برنامه نویس اندروید.دارای گرایش به مالیخولیا دارای سابقه نسبتا خراب در تمامی زمینه ها :))</t>
  </si>
  <si>
    <t>سیاره ادموندز</t>
  </si>
  <si>
    <t>تو عمق فاجعه پرورش نهنگ بزنیم جوابه ؟ یا هنوز جا داره؟ #روحاني @HichkasOfficial</t>
  </si>
  <si>
    <t>کـــــــــــوپــــــــــر</t>
  </si>
  <si>
    <t>‏‏‏‏‏‏‏‏‏‏‏‏امیر المومنین ‎‎‎‎‎‎‎‎‎‎‎‎#علی علیه السلام: تو مراقب آخرتت باش! دنیا خودش ذلیلانه پیش تو می آید!| من مشتعل عشق ‎‎‎‎#علی (ع) ام چه کنم!❤</t>
  </si>
  <si>
    <t>دیار فرزانگان، ووریِرد، بروجرد</t>
  </si>
  <si>
    <t>_تکلیف این دوتابعیتی بودنتون چیشد؟! +بعدی +الان سرمایه شماچقدره؟! _بعدی تکلیف این پرایدهاچی میشه؟! _بعدی +هوای سیستان خرابه فکری براش کردید؟! _بعدی مردم خیلی زیرفشارن پس چه میکنیدشما؟! _بعدی +چراتن به برجام دادید؟! _بعدی +فازت چیه تو؟! _بعدی +😯 _بعدی😎 #سوال_از_رییس‌جمهور</t>
  </si>
  <si>
    <t>آنـــــشـــــرلـــــی (2 روز تا غدیر...)</t>
  </si>
  <si>
    <t>http://www.rtgk.persianblog.ir</t>
  </si>
  <si>
    <t>فَإِنَّ حِزْبَ اللَّهِ هُمُ الْغَالِبُونَ| علوم ارتباطات اجتماعى خوانده ام | حوزه ی فعالیت: عکاسی و فضای مجازی | کلام آخر، تنها ره سعادت: ایمان، جهاد، شهادت</t>
  </si>
  <si>
    <t>با افتخار، جمهوری اسلامی ایران 🇮🇷</t>
  </si>
  <si>
    <t>https://pbs.twimg.com/media/Dlq605rXoAAb1ih.jpg</t>
  </si>
  <si>
    <t>تو جنگ زبان سرخه ای کاربرد زیادی داشت، پشت بی سیم وقتی عملیات داشتیم دو تا سرخه ای با هم صحبت می کردند. الان هم می خوام اینجا به زبون سرخه ای یه ضرب المثلی بگم که خودم بفهمم و #روحانی. شاغالی كه سيا كركيگ گينده ژو توك سيايه معادل آوايي: šāqāli ke seyā kergik ginde žu tuk seyāye</t>
  </si>
  <si>
    <t>رضا تقی پور 🇮🇷  Reza Taghipour</t>
  </si>
  <si>
    <t>https://t.me/xHarfBot?start=106426054</t>
  </si>
  <si>
    <t>‏‏‏‏‏خبرنگار/طنز نویس/نوازنده ساز از نوع مخالف/ ریت می کنم اما کپی نه</t>
  </si>
  <si>
    <t>من اگه نماینده مجلس بودم این سوالو از روحانی می کردم چرا قیمت #سیگار ۳۰۰ درصد افزایش داشته؟ چه کردید با این جوون ها آقااااای رئیس جمهور؟(پشت تریبون با داد و فریاد) همرو بهمن کش کردید، هر جوابی هم میداد قانع نمی شدم! #سوال_از_رئیس‌جمهور</t>
  </si>
  <si>
    <t>بادی به غبغب</t>
  </si>
  <si>
    <t>دکترای روانشناسی،با افتخار بسیجی و هیأتی #سرباز کوچک امام خامنه ای در جنگ نرم و #خواهر_شهیدان احمد و مهدی خالقی. وابسته #نظام_اسلامی</t>
  </si>
  <si>
    <t>طهران</t>
  </si>
  <si>
    <t>https://twitter.com/hossien67/status/1034301182322167809</t>
  </si>
  <si>
    <t>باید دید طرف کیه؟ طرف خدا و مردم یا طرف کدخدا #سوال_از_رئیس‌جمهور RT @hossien67: نمی دونم چرا روحانی که ایقدر می تونه دور بزنه ،چرا نتونست تحریم ها رو ،آمریکا رو ،اروپا رو ، برجام رو دور بزنه 🤔 #سوال_از_رئیس‌جمهور</t>
  </si>
  <si>
    <t>فریبا(ریحانه سادات)خالقی</t>
  </si>
  <si>
    <t>http://manoto.news</t>
  </si>
  <si>
    <t>@manotonews Series Producer &amp; Editor in chief تهيه كننده و سردبير اتاق خبر تلويزيون من و تو</t>
  </si>
  <si>
    <t>London</t>
  </si>
  <si>
    <t>واكنش بازار به صحبت هاى قانع كننده و تخصصى حسن #روحانى در #مجلس: دلار ١١هزار تومان، یورو ١٢هزار و ٥٠٠ تومان و پوند ١٣هزار و ٨٠٠تومان. سكه، حدود ٤ ميليون تومان.</t>
  </si>
  <si>
    <t>Pouria Zeraati</t>
  </si>
  <si>
    <t>کارشناس همه موضوعات هستم اما مسئولیت توییتهای خودم رو هم بر عهده نمیگیرم چه برسه به کامنت و کوت دیگران😐</t>
  </si>
  <si>
    <t>میگن احتمال داره قانع نشدن نمایندگان از #سوال_از_رئیس‌جمهور ، رو بفرستند #قوه_قضاییه. دستشون درد نکنه فقط این قوه بیزحمت اون پرونده های رییس جمهور قبلی رو بررسی کنه تا پرونده جدید نیومده روی دستش. اینم به #مصلحت_اندیشی پرونده های قبلی دچار میشه😏</t>
  </si>
  <si>
    <t>Hadi Mousavi</t>
  </si>
  <si>
    <t>freedom and nothing</t>
  </si>
  <si>
    <t>https://pbs.twimg.com/media/Dlq7Jv-W4AARU67.jpg</t>
  </si>
  <si>
    <t>چه انتظاری داشتید از #روحانی؟! می خواستید مسبب مشکلات مملکت رو کنه؟! می خواستید بگه این رژیم #فاسد از بالای بالا گندیده؟! زهی خیال باطل #ایران_را_پس_میگیریم #رژیم_فاسد #فساد_سیستماتیک</t>
  </si>
  <si>
    <t>violet</t>
  </si>
  <si>
    <t>‏‏//‏‏Voice of Freedom// محلی برای حق طلبی/ کار ما مبارزه است //خلاصه اینقدر فریاد میزنیم تا کَر بشن// ‎‎‎‎#Political ‎‎‎‎#economic ‎‎‎‎#controversial ‎‎‎</t>
  </si>
  <si>
    <t>الان با پولی که باباش قبل عید یک خونه دویست متری میخرید الان حتی نمیتونه یک خونه هشتادمتری بخره!!!! یعنی چی؟؟؟ #فصل_عمل #مسکن #روحانی</t>
  </si>
  <si>
    <t>Seday Azadi</t>
  </si>
  <si>
    <t>تنهایِ تنهایِ تنها...موجودی آبانی،با دلی بارانی،انسانی فانی... بسکتبالیست، رئالیست(واقع باور)،اهلِ مطالعه و شعر...کافیه؟</t>
  </si>
  <si>
    <t>این ها که میگویند دولت برکنار شود، در نقشۀ #دشمن عمل می کنند. #امام_خامنه_ای 97/5/22 #سوال_از_رئیس_جمهور</t>
  </si>
  <si>
    <t>آقای هیچ</t>
  </si>
  <si>
    <t>حتی اگه کار به استیضاح بکشه، با همین آرای امروز (که نماینده‌ها قانع نشدن) بازم #روحاني رییس‌جمهور باقی می‌مونه. برای استیضاح ر.ج. باید دو سوم کل آرا کسب بشه.</t>
  </si>
  <si>
    <t>تعريفی كه من وتو از انسان بودن ، انسانيت ، سعادت و خوشبختی داريم به ما اجازه نداد تنها به خودمان فكركنيم وديگران را از ياد ببريم .</t>
  </si>
  <si>
    <t>حکایت #روحانی نسب به خامنه ای از قدیم گفتن سگ زرد برادر شغاله</t>
  </si>
  <si>
    <t>سارو#براندازم</t>
  </si>
  <si>
    <t>http://www.facebook.com/mohsenbayatzanjani</t>
  </si>
  <si>
    <t>محسن بیات زنجانی / سابقا معلم!</t>
  </si>
  <si>
    <t>Qom, Iran</t>
  </si>
  <si>
    <t>سؤال از #رئیس‌جمهور جزو آن بخش از #قانون است که باید به آن بالید؛ اصولا هر بخشی از قانون که مسؤولین را به پاسخگوئی وادار کند شایسته تجلیل است لیکن باید از #مجلس پرسید ورود به بحث #مؤسسات‌مالی و تسویه‌ حساب‌های آنها از جیب ملت صلاح نبود یا وقت به آن نرسید؟!</t>
  </si>
  <si>
    <t>🇮🇷 mohsen bayatzanjani 🎗</t>
  </si>
  <si>
    <t>در حال مخالفت</t>
  </si>
  <si>
    <t>Shiraz-Tehran</t>
  </si>
  <si>
    <t>تا اين #روحاني حرف ميزنه قيمت ارز ميره بالا! بابا ازش سوال هم نپرسين جون مادرتون اين چرت و پرت ميگه خراب ميكنه. #سوال_از_روحانی</t>
  </si>
  <si>
    <t>مخالف</t>
  </si>
  <si>
    <t>#مظلومیم اما کلمون بو #قرمه_سبزی میده (آقامیگفت"مظلوم مقتدر")😂😂😂</t>
  </si>
  <si>
    <t>WORLD</t>
  </si>
  <si>
    <t>آقای #روحانی یک آدم بازاری با ۵ کلاس سواد حساب انبار و موجودی خود را دارد، چطور #دولت با این همه #ژنرال و #کارشناس بعد از ۴ ماه تازه متوجه شد بسته #اقتصادی مشکل دارد؟ #سوال_از_رئیس‌جمهور</t>
  </si>
  <si>
    <t>گرگ تنها</t>
  </si>
  <si>
    <t>‏‏‏‏‏‏‏‏‏....</t>
  </si>
  <si>
    <t>کاش #روحانی قبل رفتن پشت تریبون مجلس، عبا و عمامه شو درمیاورد... بعد شروع میکرد به #دروغ گفتن در پیشگاه ملتی که سوگند یاد کرده بود!!!</t>
  </si>
  <si>
    <t>🇮🇷 Narsis</t>
  </si>
  <si>
    <t>‏‏‏‏‏‏‏ «نه»به هرچیز که مطابق باور و اعتقاداتم نباشد و «نمیدانم»درموردهرچیزکه شک دارم وپافشاری بر باورهاوارزشهای عالی انسانی. خلاصه بگم.یه شهریوری ام.😎</t>
  </si>
  <si>
    <t>فتنه لاریجانی ها #سوال_از_رییس‌جمهور</t>
  </si>
  <si>
    <t>A.S.M.B</t>
  </si>
  <si>
    <t>‏‏تحلیلگر سیاسی و نویسنده ‏‏‏‏ ‏Political analyst, Writer</t>
  </si>
  <si>
    <t>آ روحانی:هروقت با وزرا کار داریم، در #مجلس هستند آ لاریجانی:ما که نمیبینیم! به عقیده ی منم حق با رییس جمهور هستش،اگر اعضای کابینه در دوستی ای با مجلس نداشت، استیضاح #کرباسیان آ #آذری_جهرمی و #واعظی برای بیان فرمایشات،اینقدر خودمونی در #بهارستان قدم نمیزدند #سوال_از_رییس‌جمهور</t>
  </si>
  <si>
    <t>مهراد</t>
  </si>
  <si>
    <t>مجلس چرخید و چرخید و نهایتا رسید به جایی که ما همون ابتدا بودیم! هر چند بین فهمیدن و ادای فهمیدن فرق بسیار است!!! #سوال_از_رئیس‌جمهور</t>
  </si>
  <si>
    <t>زهرا سادات رضوی علوی</t>
  </si>
  <si>
    <t>مشاور مشاور ولی فقیه در سازمان مخوف #ممک . فالو = فالوبک دارای ردیاب برای کاربرانی که فالو کرده و مثلا با زرنگی آنفالو میکنند!</t>
  </si>
  <si>
    <t>Out of your mind</t>
  </si>
  <si>
    <t>حسن #روحانی: "حقوق مستمری بگیران طی چند سال گذشته 3.4 برابر و حتی در برخی موارد 4 برابر شده است." مادر مستمری بگیر من: "خفه شو بی پدر مادر دروغگو، بدبختمون کردید." #روحانی_خفه_شو</t>
  </si>
  <si>
    <t>Insurgent</t>
  </si>
  <si>
    <t>‏‏‏‏‏‏‏‏‏‏‏آنچه دلم خواست نه آن میشود آنچه خدا خواست همان میشود ********** میترسم از خدا ونمیترسم ازکسی$$$ میترسم از کسی که نمیترسد از خدا</t>
  </si>
  <si>
    <t>https://pbs.twimg.com/media/Dlq7V9jW0AADtu0.jpg</t>
  </si>
  <si>
    <t>شباهت بین دوتا تصویر در چیست؟؟؟؟ مرد هزار چهره #سوال_از_رییس‌جمهور</t>
  </si>
  <si>
    <t>داداش کایکو(غدیری ام سقیفه ای نیستم)</t>
  </si>
  <si>
    <t>‏‏وارد کننده مواد غذایی و آشامیدنی کارشناس ارشد مکانیک ساخت و تولید ساکن تهران و مجرد اصلاح طلبی که به اصول پایبند هست. سیاست، اقتصاد و فرهنگ</t>
  </si>
  <si>
    <t>#استیضاح وزیری که از دولت پنهان خط میگیرد و هر جلسه ای که با اونها داشت فردایش افزایش قیمت خودرو را داشتیم‌. #وزیر_صمت #شریعتمداری #وزیر_رانت #وزیز_گرانی</t>
  </si>
  <si>
    <t>🇮🇷 Engineer Mojtaba</t>
  </si>
  <si>
    <t>آقاى رئيس جمهور منم سوالى دارم مسئول فيو نخوردن توييت هام كيه !؟دوره ١١رياست جمهورى توييت هام بيشتر ميخورد !!! بركت رفته از اين دوره #سوال_از_رییس‌جمهور</t>
  </si>
  <si>
    <t>http://entekhab.ir</t>
  </si>
  <si>
    <t>‏پایگاه خبری انتخاب | Entekhab news site| در تلگرام: ‎@Entekhab_ir | در اینستاگرام: http://Entekhab.News‎</t>
  </si>
  <si>
    <t>احمد توکلی عضو مجمع تشخیص مصلحت نظام: 🔷مجلس به سمت طرح #استیضاح #رئیس‌جمهور نمی‌رود 🔹نمایندگان به اصلاحات در دولت کمک کنند/اعتمادآنلاین</t>
  </si>
  <si>
    <t>پايگاه خبری انتخاب</t>
  </si>
  <si>
    <t>یک چیز مهم این هست که رسانه ها به واضح نشان دهند که #رئیس_جمهور هیچ برنامه ای ندارد!!! نه اینکه مظلوم نمایی کنند و بروند #فصل_عمل #سوال_از_رییس‌جمهور #روحانی</t>
  </si>
  <si>
    <t>https://pbs.twimg.com/media/Dlq7lN-XgAE2Hpq.jpg</t>
  </si>
  <si>
    <t>روحانی: ولله ما دچار بحران نيستيم؛ ما در مرحله آسيب هستيم جناب رئیس جمهور به حد کافی مردم آسیب خوردند دیگر بس است خسارت محض، برید کنار #سوال_از_رییس‌جمهور</t>
  </si>
  <si>
    <t>‏‏‏</t>
  </si>
  <si>
    <t>شیراز</t>
  </si>
  <si>
    <t>#روحانی اینقدر ترسو بود که جرات نکرد پشت پرده بحرانهای این روزها را افشا کنه #مجلس #علی برکت الله</t>
  </si>
  <si>
    <t>mohammadreza</t>
  </si>
  <si>
    <t>http://instagram.com/hedieaghapour</t>
  </si>
  <si>
    <t>‏journalist/human rights activist ‏‏/عضو جمعیت حامیان صلح پایدار/فعال حقوق بشر</t>
  </si>
  <si>
    <t>هنوزم معتقدم شام معاویه قبل هر استیضاح برقراره و تحرکات امیدیا این چند وقت و این خروجی٬ بسیار قابل تامله! خیلی آماده بود برای قانع نکردن ! #سوال_از_رییس‌جمهور</t>
  </si>
  <si>
    <t>هدیه آقاپور</t>
  </si>
  <si>
    <t>http://Instagram.com/saeed.naimi</t>
  </si>
  <si>
    <t>Father of two (Orhan &amp; Ana) , Husband , Civil Engineer, Left-Liberal,Interested in politics &amp; Cultural rights of Turkish minority in Iran Twitts in Tr, Fa &amp; En</t>
  </si>
  <si>
    <t>خلاصه پاسخ #روحانی به #سوال_از_رئیس‌جمهور : کل مشکلات کشور ناشی از اعتراضات دی ماه هست !! این هم #پاسخ_شفاف</t>
  </si>
  <si>
    <t>Saeed Naimi</t>
  </si>
  <si>
    <t>فعال سیاسی، روز نگار، کارشناس اقتصادی بورس و بازارهای مالی، فکر کنم در هر نظام حکومتی، اصلاح طلب باشم...</t>
  </si>
  <si>
    <t>#سوال_از_رئیس‌جمهور نمایش مضحکی از #دموکراسی بود . معامله شد مجلس قانع نشود و سوال به قوه قضاییه فرستاده نشود (70 درصد نمایندگان از جواب ها قانع نشدند ) . #روحانی #مجلس #استیضاح #رهبری</t>
  </si>
  <si>
    <t>Mohsen Teimouri</t>
  </si>
  <si>
    <t>‏‏‏‏‏‏‏یک کارگر (موقتی) با سواد</t>
  </si>
  <si>
    <t>مولاوردی روز قبل #سوال_از_رییس‌جمهور: #روحانی میاد تا بسیاری از حقایق رو روشن کنه! +بعله حقیقت این بود که فهمیدیم برجام فقط برای تحریم های هسته ای بود و لاغیر! میترسم دوماه بعدم بگید نه برای هسته ای هم نبود همینجوری یه چیزی امضا کردیم کی به کیه!</t>
  </si>
  <si>
    <t>تاتیم چِ</t>
  </si>
  <si>
    <t>خبرنگار و فعال رسانه ای</t>
  </si>
  <si>
    <t>آقای روحانی در مجلس باز هم مشکلات را به گردن دولت گذشته انداخت! او تمام مشکلات کشور را به اعتراض عده ای در پنج دی ماه به گرانی ربط داد! او نمایندگان بی خاصیت را خوب میشناسد. نمایش تهوع آور امروز #مجلس و #دولت تمام میشود بدون اینکه هیچ اثر مثبتی داشته باشد</t>
  </si>
  <si>
    <t>Leila</t>
  </si>
  <si>
    <t>Civil engineering /Dam--RCC, double arc, rock fill -- &amp; Hydropower plant construction /Project management/ 💙, 💹, 🛫</t>
  </si>
  <si>
    <t>پس از ارائه بررسی و گزارش جمع بندی #قوه_قضاییه به سوالات ارجاع شده #مجلس تصمیم گیری خواهد کرد.مکانیسمی برای #تغییر معادلات #سوال_از_رئیس‌جمهور #قوه_قضاییه #برادران_لاریحانی</t>
  </si>
  <si>
    <t>Masoud Shahan</t>
  </si>
  <si>
    <t>من هوادار مجاهدین خلق ایران هستم ورود بسیجی و ارزشی ممنوع هرکسی کامنتهایش بی احترامی وفحاشی باشد بلاک میشه</t>
  </si>
  <si>
    <t>https://pbs.twimg.com/media/Dlq7nsSW0AAehs8.jpg</t>
  </si>
  <si>
    <t>چرا از فساد داداش روحانی و جهانگیری سوال نشد؟ چرا از اختلاس‌های هزارمیلیاردی و طرح مزخرف سلامت و گرونی‌های افسارگسیخته سوال نشد؟ اینا همون خطوط قرمزیه که روحانی برای مجلس ترسیم کرده؟ نماینده‌های مستقل چرا کوتاه اومدن؟ #سوال_از_رئیس‌جمهور #براندازم #اعتراضات_سراسری</t>
  </si>
  <si>
    <t>الماس</t>
  </si>
  <si>
    <t xml:space="preserve">‏ز بار گناهم ، خستم آی شهدا//// میخوام که بگیرید ، دستم آی شهدا </t>
  </si>
  <si>
    <t>نماینده های محترم! علاوه بر این که باید به #روحانی تفهیم کنین که از دوره بایدها رد شده و الان وقت عمل کردنه باید بهش حالی کنین که رییس جمهور کشور ایرانه!!!! #رییس_جمهور_سوییس #سوال_از_رئیس_جمهور</t>
  </si>
  <si>
    <t>سپیده</t>
  </si>
  <si>
    <t>https://t.me/pesariran_v</t>
  </si>
  <si>
    <t>یک آزادی خواه، معتقد به سکولاریسم برانداز،خرابکار، کف خیابانی،محارب بانظام مردم ستیز، و یک کانون شورشی اگه قلبت برای آزادی میزنه فالو کن اتحاد ما رمز پیروزی</t>
  </si>
  <si>
    <t>فکر کن بچه محلت</t>
  </si>
  <si>
    <t>https://pbs.twimg.com/media/Dlq7m_vXgAA7gUt.jpg</t>
  </si>
  <si>
    <t>🔴#استیضاح وزیر صنعت در ۱۵ محور و با ۵۱ امضا تقدیم هیأت رئیسه شد #استیضاح_روحانی #IranRegimeChange</t>
  </si>
  <si>
    <t>برانداز رادیکال</t>
  </si>
  <si>
    <t>‏‏‏‏هم رُشد کنیم، هم رشد دهیم... / فقه و حقوق / ‎‎‎#رسانه</t>
  </si>
  <si>
    <t>وقتی نمی‌توانی کسی را قانع کنی یعنی نتوانسته‌ای با عمل خودت را به دیگران اثبات کنی و حالا می‌خواهی با سخنانت خود را بر دیگران تحمیل کنی #سوال_از_رییس‌جمهور</t>
  </si>
  <si>
    <t>Amir  Hasanshahi</t>
  </si>
  <si>
    <t>دبيركل حزب همبستگي دانش آموختگان ايران(هدا)، عضو هيأت رئيسه خانه احزاب ايران، فعال سياسي اصلاح طلب</t>
  </si>
  <si>
    <t>جا داشت #روحاني با تمام وجود بخاطر سهم دولت در ايجاد نابساماني اقتصاد كشور از پيشگاه مردم عذرخواهي مي كرد، آسيب ها را شفاف بيان و نقشه راه دولتش را براي عبور از شرايط كنوني تشريح مي كرد. متاسفانه تاوان تصميمات خلق الساعه در كشور را شهروندان بي پناه مي پردازند. #سوال_از_روحانی</t>
  </si>
  <si>
    <t>Ahmad Sharif</t>
  </si>
  <si>
    <t>http://www.ibena.ir</t>
  </si>
  <si>
    <t>‏‏‏‏‏‏ رسانه مرجع شبکه بانکی http://t.me/ibenanews‎‎‎‎‎‎</t>
  </si>
  <si>
    <t>http://www.ibena.ir/news/90513/</t>
  </si>
  <si>
    <t>قانع نشدن نمایندگان از ۴ پاسخ #روحانی</t>
  </si>
  <si>
    <t>ibena.ir</t>
  </si>
  <si>
    <t>بعد از شنیدن پاسخ های #روحانی به سوالات نمایندگان مجلس، همش این قسمت از ترانه زنده یاد ویگن و هایده میاد تو ذهنم: چه آرزوهایی که نمرد، چه سینه هایی که نسوخت...</t>
  </si>
  <si>
    <t>Majidkolsoumi</t>
  </si>
  <si>
    <t>عكاسى در مطبوعات باند بازى بود تصميم گرفتم عكاس خيابان شوم /من يه بَبرِ كوردَم/شاگرد مكتب حجازى</t>
  </si>
  <si>
    <t>انتظار داشتيد #روحاني بياد مجلس چي بگه؟ همون اراجيفِ قبلي رو گفت ضربدر دو #سوال_از_رئیس_جمهور #سوال_از_روحانی</t>
  </si>
  <si>
    <t>سَژّاد</t>
  </si>
  <si>
    <t>‏دکتری الهیات متاهل مدرس و پژوهشگر</t>
  </si>
  <si>
    <t>بین مردم</t>
  </si>
  <si>
    <t>من بر خلاف خیلی ها حس میکنم جلسه امروز مجلس با دولت خیلی خوب بود. همه ی این اتفاقات اخیر دست های پنهان خداست برای این که برخی ها #خوار و #ذلیل بشوند. همان هایی که به دنبال تنزل جایگاه #ولی_فقیه بوده اند. حالا به امور خودشان گرفتار شدند. #سوال_از_رییس‌جمهور</t>
  </si>
  <si>
    <t>مجد🇮🇷</t>
  </si>
  <si>
    <t>طرح #استیضاح وزیر صنعت تقدیم هیات رییسه مجلس شد سخنگوی هیات رییسه #مجلس شورای اسلامی، گفت: طرح استیضاح #وزیر_صنعت، معدن و تجارت با امضاء نمایندگان تقدیم هیات رییسه مجلس شد.</t>
  </si>
  <si>
    <t>‏‏‏‏🌹شهادت هنر مردان خداست🌹</t>
  </si>
  <si>
    <t>فِی قُلوبِ مَن والاه💞</t>
  </si>
  <si>
    <t>طرف رو صبح تا شب صاف میکنن با فحش و نفرین اونوقت با دو تا شعار این جور شلوغش میکنن و مظلوم نمایی!!!! برو باو :)) #سوال_از_رییس‌جمهور</t>
  </si>
  <si>
    <t>علی</t>
  </si>
  <si>
    <t>‏مادر یک فروند دختر | مهندس خانه نشین | خانه دار با احساس</t>
  </si>
  <si>
    <t>جلسه #سوال_از_رییس_جمهور ساعت 8 صبح شروع شد من خواب بودم، ایشون چطور؟ #روحاني</t>
  </si>
  <si>
    <t>حواس ضرب</t>
  </si>
  <si>
    <t>https://pbs.twimg.com/media/Dlq72dIWsAEUv4j.jpg</t>
  </si>
  <si>
    <t>http://www.stnews.ir/</t>
  </si>
  <si>
    <t>شرکت در نظرسنجی #خبرگزاری_علم_و_فناوری  #روحانی #سوال_از_رییس #مجلس #سوال_از_رئیس_جمهور</t>
  </si>
  <si>
    <t>http://www.peshawa.org</t>
  </si>
  <si>
    <t>‏Student, ‎#kurdish activist, ‎#ExMuslimBecause ‎#حدکا ‎#من_مرتد_هستم #rasan #راسان</t>
  </si>
  <si>
    <t>ایا با فروش #دریای_کاسپین به روسیه ایران تجزیه نشد به مردم ایران خیانت نشد؟ پس چرا تا ما کوردها درخواست حق خود شدیم، تروریست، تجزیه طلب و خیانتکار هستیم؟ #روحاني #نه_به_جمهوري_اسلامی #براندازم</t>
  </si>
  <si>
    <t>Hiwa Shariatzadeh</t>
  </si>
  <si>
    <t>‏‏‏یک کارگر فعال حزبی - دانشجویی دانشجوی دکتری دانشگاه اصفهان</t>
  </si>
  <si>
    <t>در۵سال دولت روحانی تا کنون هیچوقت اینطور مردم را متفق القول برضد #روحانی نمیبینم همه اینها در یک سال پس از رای23.5 میلیونی روحانی پیش آمده اینها نتیجه روی گردانی از ملت و اتکا به قدرتهای غیرمردمی داخل کشوره این سرعت ناامید کردن مردم بی نظیره آقای #رئیس_جمهور #سوال_از_رئیس‌جمهور</t>
  </si>
  <si>
    <t>Mahdi moji</t>
  </si>
  <si>
    <t>http://www.tasnimnews.com</t>
  </si>
  <si>
    <t>Tasnim News Agency</t>
  </si>
  <si>
    <t>https://pbs.twimg.com/media/Dlq8QQDU8AAFK4c.jpg</t>
  </si>
  <si>
    <t>http://tn.ai/1814217</t>
  </si>
  <si>
    <t>درباره جمله‌ی پرتکرار روحانی: آیا #برجام #سایه_جنگ را از ایران دور کرد؟/ #روحانی بار دیگر در جلسه امروز #سوال_از_رئیس‌جمهور گفت که با برجام، #ایران از ذیل فصل هفت #سازمان_ملل خارج شد/ این موضوع چقدر با واقعیت منطبق است؟</t>
  </si>
  <si>
    <t>خبرگزاری تسنیم 🇮🇷</t>
  </si>
  <si>
    <t>گم و گور</t>
  </si>
  <si>
    <t>چند تا #نماینده هم دنبال کارای مهمتر بودن حضور نداشتن مثلا #کواکبیان سوریه هست با وزیر دفاع #سوال_از_رئیس_جمهور</t>
  </si>
  <si>
    <t>gom o goor</t>
  </si>
  <si>
    <t>معمولیم..البته هنوز</t>
  </si>
  <si>
    <t>همه ترسم از اینه که #روحانی شده سپر رهبر و اون پشتش سنگر گرفته تا دیده نشه. الهی این سنگرِ آخر هم بشکنه تا برسیم به غول مرحله آخر. #سوال_از_رئیس‌جمهور #سوال_از_رئیس_جمهور #سوال_از_رهبر</t>
  </si>
  <si>
    <t>گل آقا</t>
  </si>
  <si>
    <t>https://pbs.twimg.com/media/Dlq8VCfU0AAJf9r.jpg</t>
  </si>
  <si>
    <t>یقینا این مجلس از حقوق ملت دفاع خواهد کرد! #سوال_از_رئیس‌جمهور</t>
  </si>
  <si>
    <t>https://twitter.com/mostafatajzade/status/1034333041232105472</t>
  </si>
  <si>
    <t>خوب هست که بدانند این رای از درون مجلسی هست که همه حامیان کشته شده او بودنند!!! فرافکنی را با عقل ناقص خود محک نزنید #فصل_عمل #نماینده RT @mostafatajzade: #روحانی می‌توانست با تبیین علل و عوامل اصلی مشکلات کشور گام بلندی در جهت رشد آگاهی‌های عمومی بردارد و مشارکت ملت را برای حل معضلات، خنثی‌کردن کارشکنی‌های دولت پنهان و طمع‌ورزی‌ ترامپ جلب کند. رای منفی مجلس نشان داد نگفتن حقایق رقیب را جری و مردم را ناامید می‌کند.</t>
  </si>
  <si>
    <t>‏‏‏‏‏‏‏‏‏‏‏‏‏‏‏‏‏‏‏‏‏‏‏‏‏‏‏‏‏‏‏‏‏‏‏‏‏‏‏‏‏‏‏‏‏‏‏‏‏‏‏‏‏‏‏‏‏‏‏‏‏‏‏‏‏‏‏‏‏‏‏S.R.K با سید علی باش،ارزش داری (بشکست داغ یمنی ها و فلسطین پشت ما را )</t>
  </si>
  <si>
    <t>https://pbs.twimg.com/media/Dlq8ZE-X0AI9R5r.jpg</t>
  </si>
  <si>
    <t>میونِ اینهمه فریادهای حق طلبانه #رسانه_کذاب_دادستان_خواب #سوال_از_رییس‌جمهور #ظرفیت_بسیج #زلزله_کرمانشاه #یمن_اسوه_مظلومیت_و_ مقاومت #القدس_عاصمة_فلسطين_الأبدية که تمام وجودهرانسانی روشعله ورمیکنه،زنگ گوشی عزیزی این بودوعجیب آرامبخش: عشق یعنی یِ پلاک یِ پلاک مونده زیرخاک</t>
  </si>
  <si>
    <t>Gordane Montazer🇵🇸🇮🇷منتظرG</t>
  </si>
  <si>
    <t>‏‏روزنامه نگار</t>
  </si>
  <si>
    <t>جریان امروز #مجلس کودتا علیه #روحانی و #دولت_منتخب مردم بود. #دولت_درسایه گام به گام جلو می رود و روحانی بیشتر از پیش امیدها را نا امید می کند. اقای رییس جمهور از چه ترسیده اید؟</t>
  </si>
  <si>
    <t>mansouroola</t>
  </si>
  <si>
    <t>حقیقت طلب</t>
  </si>
  <si>
    <t>#روحانی قرار بود #حقایق را بگوید . اما از او خواسته شد ، در شرایط حساس کنونی از #وحدت بگوید . اما مجلس ........ ظاهرأ برنامه چیز دیگریست !</t>
  </si>
  <si>
    <t>Hoda</t>
  </si>
  <si>
    <t>‏‏‏‏‏چو شقایق از دل سنگ برآر رایت خون ...</t>
  </si>
  <si>
    <t>لایعرف الوطن الامن عرف الغربة</t>
  </si>
  <si>
    <t>عاقو قبول نیست یه بار دیگه از اول امتحان بگیرید سوال درسایه تهدید معنا نداره که #سوال_از_رییس‌جمهور</t>
  </si>
  <si>
    <t>امام زهرا صدر(دام ظلی!!!)</t>
  </si>
  <si>
    <t>I'm special because I am a Muslim!</t>
  </si>
  <si>
    <t>نماينده ها بايد مجلس رو واسه روحاني تبديل به #استخرِ_فرح كنن وگرنه مهموني نيست كه! #سوال_از_رئيس_جمهور</t>
  </si>
  <si>
    <t>عليرضا جهانگيرى 🇮🇷</t>
  </si>
  <si>
    <t>آماری که امروز آقای رئیس جمهور در پاسخ به #سوال_از_رئیس_جمهور تو مجلس ارائه کرد منو یاد داستان خیاط و لباس جدید پادشاه انداخت</t>
  </si>
  <si>
    <t>سردار سورنا</t>
  </si>
  <si>
    <t>،</t>
  </si>
  <si>
    <t>روحانی:برجام برای اینبودکه دنیافعالیت صلح‌آمیز هسته‌ای مارابه رسمیت بشناسد رفع تحریم ها چی پس؟!ارسماتوهین به شعورمون کرد #سوال_از_رییس‌جمهور</t>
  </si>
  <si>
    <t>Alex Mahone</t>
  </si>
  <si>
    <t>‏‏جاج کردن یکی از لذت های بزرگ زندگیه منه</t>
  </si>
  <si>
    <t>#سوال_از_رییس‌جمهور فقط گوشام داره دود ازش بلند میشه</t>
  </si>
  <si>
    <t>جاجر</t>
  </si>
  <si>
    <t>‏دانشجوی دکترا، مسلمان، انقلابی، عدالت طلب، منتقد، طنزپرداز. اولی رو هستم. بقیه رو تلاش میکنم که باشم.... روزمره نویسی با هشتگ ‎#رج</t>
  </si>
  <si>
    <t>اصفهان</t>
  </si>
  <si>
    <t>روحانی گفته والله ما دچار بحران نیستیم - البته خب اینکه الان موقع اجازه گرفتن برا مذاکره نیست و زمان پاسخگویی روحانیه هم بی تاثیر نیست #سوال_از_رئیس_جمهور</t>
  </si>
  <si>
    <t>شازده کوچولو</t>
  </si>
  <si>
    <t>‏‏العدل اساس الملک</t>
  </si>
  <si>
    <t>https://twitter.com/HamaaseDovvom/status/1034285744221827072</t>
  </si>
  <si>
    <t>جناب #دلیگانی عزیز امروز نه #مجلس از پاسخ های #روحاني راضی شد و نه #ملت از پاسخ های او قانع شدند امیدوارم بر وعدیتان یعنی #استیضاح_روحانی پایبند باشید مطمئن باشید مردم هرگز صحبت ها و وعده هایتان را فراموش نخواهند کرد #استیضاح_روحانی RT @HamaaseDovvom: اگر امروز آقای رئیس جمهور پاسخ قابل قبولی برای پنج سوال اقتصادی ارائه ندهد، ناگزير از امضای طرح استيضاح وی خواهيم بود</t>
  </si>
  <si>
    <t>من هم یک بقایی هستم</t>
  </si>
  <si>
    <t>‏چون نیک بنگری همه تزویر میکنند ... (مسئولیتی در برابر هیچ منشن و ریتوییتی برعهده ندارم) وفادار به قانون اساسی جمهوری اسلامی ایران 🇮🇷</t>
  </si>
  <si>
    <t>Iran   🇮🇷 , Khouzestan</t>
  </si>
  <si>
    <t>جناب رئیس‌جمهور #روحانی @Rouhani_ir ، شما که مدعی هستید تنها راه برون‌رفت از وضعیت موجود، اعتدال است و (تندروی)نه چپ و نه راست جوابگوی مسائل کشور نیستند چرا در تمام مدت ریاست‌جمهوریتان مردم هزینه‌ی سخنان کنایه‌آمیز شما به دیگران(انتصاب‌کننده و منتصبین) را پرداخت کرده‌اند!؟</t>
  </si>
  <si>
    <t>Mohammad Hossein</t>
  </si>
  <si>
    <t>ببین … من هیولا نیستم … من فقط یه وضعیت بحرانی ام …</t>
  </si>
  <si>
    <t>هویج تپه</t>
  </si>
  <si>
    <t>باید به #روحانی گفت ، اینقدر کرسی نگو گالیور</t>
  </si>
  <si>
    <t>Pantaloon</t>
  </si>
  <si>
    <t>پروسه ناامید شدن مردم نه از #اعتراصات دی ماه نه از تهدیدات ترامپ و خروج از برجام، که دقیقا از روز اعلام کابینه شروع شد. کابینه جز چهارتا وزیر، کاملا دست خود #روحانی بود نه نمایندگان مجلس و رهبری و سایر ارگانها این که عده ای همه مشکلات را گردن بقیه می اندازند صادقانه نیست.</t>
  </si>
  <si>
    <t>http://www.ostadekamel.blog.ir</t>
  </si>
  <si>
    <t>نقد آقای #غفارعباسی ملقب به غفاری، قل هل یستوی الأعمی و البصیر، أفلاتتفکرون ؟!</t>
  </si>
  <si>
    <t>Qom</t>
  </si>
  <si>
    <t>متاسفانه آقای رییس جمهور دیدگاهش را در مورد آقای عباسی (غفاری) نگفت و ما قانع نشدیم! #اصلا_شوخی_ندارم #سوال_از_رئیس_جمهور #آیت_الله_دروغین #غفارعباسی #استادغفاری #آیت_الله_غفاری</t>
  </si>
  <si>
    <t>ostadekamel</t>
  </si>
  <si>
    <t>#رئیس_جمهور عزیز به #نمایندگان_مجلس پاسخ داد ولی در ۴ مورد #کاهش# بیکاری#رکود #اقتصادی#افزایش# نرخ ارز#قاچاق نمایندگان را قانع نکرد چرا آقای رئیس جمهور؟؟؟؟؟))😶😡#فصل_عمل</t>
  </si>
  <si>
    <t>مجازآباد</t>
  </si>
  <si>
    <t>http://linkis.com/87554/7OG7D?808685</t>
  </si>
  <si>
    <t>جمهوری خواه و براندازم</t>
  </si>
  <si>
    <t>در غربت</t>
  </si>
  <si>
    <t>https://pbs.twimg.com/media/Dlq9AUKWwAEWQ7-.jpg</t>
  </si>
  <si>
    <t>#روحانی: متاسفانه مردم ما قانع نیستند.</t>
  </si>
  <si>
    <t>amirafshar</t>
  </si>
  <si>
    <t>Architect</t>
  </si>
  <si>
    <t>ولی فکر کنم دلیل قانع نشدن نماینده ها این بوده که دیشب آقای روحانی تو برنامه تلویزیونی نیومد بگه هوامو داشته باشید، دارمتون🍰 #سوال_از_رییس‌جمهور</t>
  </si>
  <si>
    <t>یاس کبود</t>
  </si>
  <si>
    <t>‏‏‏‏‏ 💚سبز یعنی استقامت تا بهار💚</t>
  </si>
  <si>
    <t>فارغ از آنچه گفته شد و میشود در مورد #جلسه_سؤال_از_رئیس_جمهور #روحانی با تیزهوشی بدنبال ایجاد شکاف جدی بین رهبری و مردم است و مسئولیت نگفتن های امروزش را به صراحت گردن خامنه‌ای انداخت روحانی بشدت منع شده بود از تولید جنجال و ایجاد تنش در کشور</t>
  </si>
  <si>
    <t>Mohsen Rahmani</t>
  </si>
  <si>
    <t>‏‏‏‏‏‏‏‏‏‏‏‏فارغ از هر دو جهانم به گل روی علی(ع)/ مهندس مکانیک/ کارشناس ارشد رسانه/ فعال فرهنگی/ مربی و معلم/</t>
  </si>
  <si>
    <t>آقا این فیلم سوال از مجلس، ببخشید #سوال_از_رییس‌جمهور رو از کجا دانلود کنیم؟!</t>
  </si>
  <si>
    <t>اسنایپر</t>
  </si>
  <si>
    <t>1996_November_13</t>
  </si>
  <si>
    <t>مشهد فاحشه خانه توریستی برای عراقی ها،به لطف جمهوری اسلامی #مشهد_الرضا به #شهوت_الرضا تبدیل شد. بعد از #وطن فروشی این بار #ناموس_ فروشی از افتخارات چهل ساله جمهوری اسلامی #مشهد_تايلندتشيع #مشهد #مشهدالرضا #ایران #روحانی #عراق #سوال_از_رئیس‌جمهور #اسلام</t>
  </si>
  <si>
    <t>Sima</t>
  </si>
  <si>
    <t>وي گاها ميخواند و مينوسد ...</t>
  </si>
  <si>
    <t>tehran</t>
  </si>
  <si>
    <t>همه چی یه طرف دوبرابر شدن حقوقا یه طرف خدایا شکرت #روحانی</t>
  </si>
  <si>
    <t>nima</t>
  </si>
  <si>
    <t>‏بارالهی ما را از شر فتنه های دنیوی محفوظ نگهدار...</t>
  </si>
  <si>
    <t>https://pbs.twimg.com/media/Dlq9CLyXcAACMRM.jpg</t>
  </si>
  <si>
    <t>وقتی #رئیس_جمهور جایی کم میاره دست به دامن #فضاسازی این افراد میشه که بندازه تقصیر افراد خیالی.... بله.... بهم ریختگی چند روزه دیماه باعث همه چیز است اما #فتنه۸۸ بی تاثیر بود... #سوال_از_رییس‌جمهور @Rouhani_ir</t>
  </si>
  <si>
    <t>Behnam 🇮🇷</t>
  </si>
  <si>
    <t>رئیس جمهور در جلسه امروز بر ملزم بودن خود به مراعات و دقت نظر در خواسته های رهبری تاکید کردند ، ولی کاش به پشتوانه اصلی خود(۲۴ میلیون رای مردم) هم اشاره ای می کردند . #مجلس #روحانی</t>
  </si>
  <si>
    <t>وحید جبارزاده</t>
  </si>
  <si>
    <t>‏‏‏‏‏‏‏‏‏‏‏‏‏‏‏‏‏‏‏‏‏‏‏‏‏‏‏‏‏‏‏‏‏‏‏‏‏‏‏‏‏‏‏‏‏‏‏‏‏‏‏‏‏‏‏‏‏‏‏‏‏‏‏‏‏‏‏‏‏‏‏‏‏‏‏‏‏‏‏‏‏‏‏‏‏‏‏‏‏‏‏‏‏‏‏‏‏‏‏‏‏‏‏‏‏‏‏‏‏‏‏‏‏‏فقط خودتو پیداکن واسه بقیه چیزا«گوگل» هست.</t>
  </si>
  <si>
    <t>زیر گِل</t>
  </si>
  <si>
    <t>این دعوای #مجلس و #دولت فقط حکم متعادل کننده سهم هر کس از #سفره_انقلاب رو داره،هروقت توازن سهام بهم بخوره میکِشنش مجلس تا تعادل دوباره برقرار بشه،زیاد جدیش نگیرید.</t>
  </si>
  <si>
    <t>عـَسـَل</t>
  </si>
  <si>
    <t>‏‏‏‏‏‏‏‏‏‏‏‏‏‏‏طلبه/فارغ التحصیل رشته ساخت و تولید/قبل از طلبگی عکاس و خبرنگار/مربی موسسه تربیتی امام روح الله/لرستانی</t>
  </si>
  <si>
    <t>لایُمکِن الفِرارُ مِن حُکومتِک</t>
  </si>
  <si>
    <t>روحانی 92: همه مشکلات تقصیر دولت قبل است(احمدی نژاد) روحانی 96: همه مشکلات تقصیر رقیب انتخاباتی دولت فعلی است(رئیسی) پ.ن:ماله کشان گندهای مدیریتی یا بهانه ایی می یابند یا بهانه ایی می سازند!!! #پنج_دی #سوال_از_رییس_جمهور #خجالت_هم_خوب_چیزیه #مجلس_دولتی_هم_دیگرقانع_نشد</t>
  </si>
  <si>
    <t>حامد حسنی</t>
  </si>
  <si>
    <t>http://www.khabarfoori.com</t>
  </si>
  <si>
    <t>خبرفوری-درلحظه باخبر شوید http://telegram.me/akhbarefori https://cafebazaar.ir/app/com.khabarfoori/?l=en</t>
  </si>
  <si>
    <t>http://khabarfoori.com/detail/553987</t>
  </si>
  <si>
    <t>🔸استیضاح و گشایش پرونده #حسن_روحانی در قوه قضائیه، دو نتیجه قانع نشدن مجلس ازتوضیحات #رئیس‌جمهور 🔸وقتی #نمایندگان ازپاسخ رئیس جمهور قانع نشوند،چه می‌شود؟ اینجا بخوانید👇</t>
  </si>
  <si>
    <t>Khabar Fori</t>
  </si>
  <si>
    <t>Journalist</t>
  </si>
  <si>
    <t>https://pbs.twimg.com/media/DlrHRhbU0AIM6qa.jpg</t>
  </si>
  <si>
    <t>بزم نمایندگان #مجلس</t>
  </si>
  <si>
    <t>Majid Hedayati Nasab</t>
  </si>
  <si>
    <t>‏دآنشجو.بیکار اینده.ورشکسته.ندار</t>
  </si>
  <si>
    <t>Shiraz &amp; Isfahan</t>
  </si>
  <si>
    <t>حرف زدن#ذوالنور خیلی سخیف و قبیح بود یک سوالت ازمنتخب مردمه دوما خودت نماینده مجلسی شان نمایندگی حفظ کن #مجلس #روحاني #سوال_از_رئیس‌جمهور</t>
  </si>
  <si>
    <t>Mσнαммα∂яєzα</t>
  </si>
  <si>
    <t>‏‏‏‏‏الهی و ربی من لی غیرک</t>
  </si>
  <si>
    <t>زیر آسمان نیلگون خدا</t>
  </si>
  <si>
    <t>جوری رئیس جمهور صحبت میکرد که باید بهش گفت: جناب ️روحانی ! آیا از عملکرد مردم در پنج سال گذشته راضی هستید ؟ #سوال_از_رئیس_جمهور</t>
  </si>
  <si>
    <t>Neda</t>
  </si>
  <si>
    <t>http://reba.ir</t>
  </si>
  <si>
    <t>سابقا ‏‏خبرنگار؛ فی‌الحال درپی کار/ ‏هیچ کاری مهم‌تر از زدودن ‎‎‎‎‎‎‎‎#ربا سراغ ندارم؛ اول عاشق مبارزه با ربا هستم بعد اسرائیل! //</t>
  </si>
  <si>
    <t>#سوال_از_رئیس_جمهور شب را چگونه صبح می‌کنی؟</t>
  </si>
  <si>
    <t>امیر رفیعی</t>
  </si>
  <si>
    <t>‏نگاه به مسائل از افق بازتر، نتابج بهتری نصیب آدم میکنه.</t>
  </si>
  <si>
    <t>به نظرم امروز #روحانی در مجلس، نیمه اول معمولی داشت ولی نیمه دوم صحبت هایش، به طور کلی گند زد. یک چیزی تو مایه های روضه خوانی راه انداخت. 24 دقیقه وقت را بی هدف و بدون برنامه ریزی، گودرز را به شقایق وصل کرد. مثل #استقلال_السد که نیمه دوم هوا شد :) #گودرز_شقایق</t>
  </si>
  <si>
    <t>Ali</t>
  </si>
  <si>
    <t>https://t.me/ghaaraar</t>
  </si>
  <si>
    <t>‏‏‏آخه آقای قاضی...</t>
  </si>
  <si>
    <t>همه اینایی که امروز از استیضاح #روحانی حرف میزنن هفته گذشته بعد از سخنرانی رهبری، #احمدی_نژاد رو درخصوص ارائه پیشنهاد همین موضوع شماتت می کردن</t>
  </si>
  <si>
    <t>رضا حسین زاده</t>
  </si>
  <si>
    <t>‏‏‏مدیر تولید سینما</t>
  </si>
  <si>
    <t>#روحاني امروز در #مجلس : ما به خاطر رفاه مردم برق و آب و گاز و سوخت رو گرون نکردیم. باورم نمیشه برا این وضع کثافت منت هم میذارن سرمون☹️ #گرانی #ایران</t>
  </si>
  <si>
    <t>Farhad Rahimi</t>
  </si>
  <si>
    <t>http://www.sobhemahallat.ir</t>
  </si>
  <si>
    <t>عکاس، خبرنگار و سردبیر</t>
  </si>
  <si>
    <t>محلات</t>
  </si>
  <si>
    <t>رسانه ها تیتر زدند #کارت_زرد_مجلس به #روحانی نمیدونم قانع نشدن نمایندگان #مجلس از پاسخ های رئیس جمهور نشانه پایان انفعال مجلس است یا آغاز بازی جدید سیاسی حامیان #اصلاحات و #تدبیر_و_امید در زمین مجلس آینده شفاف ساز وضعیت کنونی است</t>
  </si>
  <si>
    <t>علی یارمحمدی</t>
  </si>
  <si>
    <t>https://pbs.twimg.com/media/DlrHp6EW0AAowTS.jpg</t>
  </si>
  <si>
    <t>جناب آقای رئیس جمهور با صحبت های امروز شما در مجلس, دیگه پشم اعتماد من ریخت, دیگه پشم امید من ریخت قرص رای دردم را خوب نکرد باید یک قرص آلترناتیو برای دردم پیدا کنم #رئیس_جمهور #روحانی #مجلس</t>
  </si>
  <si>
    <t>Parsa Shin</t>
  </si>
  <si>
    <t>http://t.me/roohallahtwitte</t>
  </si>
  <si>
    <t>MSc Chemical engineering/MSc Political Science/Production Manager at Lak Talaee</t>
  </si>
  <si>
    <t>قانع نشدن نمایندگان در #سوال_از_رییس_جمهور به معنای آماده شدن برای #استیضاح نیست! استیضاح #روحانی تبعات سنگینی برای کشورداردکه نبایدبه سمت آن حرکت کرد،اهرم های قانونی زیادی برای کنترل دولت وجوددارد! نمایندگان مجلس برای قانع کردن #عوام و رای جمع کردن نبایدتن به این اشتباه دهند.</t>
  </si>
  <si>
    <t>روح اله دهقانی (Roohallah Dehghani)</t>
  </si>
  <si>
    <t>چه فرقی می کند اسم و عکس داشته باشم ، مرا با پست هایم بشناس</t>
  </si>
  <si>
    <t>California, USA</t>
  </si>
  <si>
    <t>#روحانی توی بدترین شرایط ایران رییس جمهور شد ، تورم بالا، برگشتن #تحریم ها و #سقوط_نظام همه در یک دوره، با اینکه کل سیستم دولتی مفسده اما تمام کاسه کوزه ها سر این بدبخت خرد شد.</t>
  </si>
  <si>
    <t>Mr.Nobody</t>
  </si>
  <si>
    <t>http://khamenei.ir</t>
  </si>
  <si>
    <t>علی خواجه نژادیان (ابومهدی) - فعال فرهنگی اجتماعی- کارشناس ارشد مشاوره خانواده - کارشناس مهندسی نرم افزار Family counselor &amp; social-cultural activist</t>
  </si>
  <si>
    <t>shiraz</t>
  </si>
  <si>
    <t>امروز در جلسه #سوال_از_رئیس‌جمهور شاهد یکی از جلوه های کارآمدی #مجلس و تبلور جمهوریت و اسلامیت نظام بودیم...بدون شک جوشش مطالبات امت حزب الله زمینه ساز این اتفاق میمون بود... #روحاني</t>
  </si>
  <si>
    <t>سر خم می سلامت...</t>
  </si>
  <si>
    <t>Physician</t>
  </si>
  <si>
    <t>بیشتر صحبت های #روحانی در مجلس با این جمله آغاز می شد که "من نکته ای را خدمت شما عرض کنم"، ولی جمله ی بعدی حاوی هیچ نکته ای نبود! ؛ تلاش برای نگفتن واقعیات و مصلحت اندیشی صرف.</t>
  </si>
  <si>
    <t>mahdia gholamnejad</t>
  </si>
  <si>
    <t>یه بیست و خورده ای ساله با افکار هفتاد و خورده ای ساله و رفتار دو سه ساله (متنفر از خايمالى واسه فالو و ريتوييت و انبه و مشتقات انبه)</t>
  </si>
  <si>
    <t>در جستجوی بنزین سوپر</t>
  </si>
  <si>
    <t>اى جانم باز #روحانى رو صداسيما نشونش داد دلار گرون شد. پ.ن : روحانى رو داشتم تايپ ميكردم دومين ترند #روحانی_خفه_شو بود كه البته با ادبياتش موافق نيستم ولى گوياى خيلى چيزاي</t>
  </si>
  <si>
    <t>كوزه گر بى فوت :)</t>
  </si>
  <si>
    <t>Narrator, Book story teller, sometimes writer sometimes painter</t>
  </si>
  <si>
    <t>روی یک‌ مبل نارنجی کهنه</t>
  </si>
  <si>
    <t>پرونده #روحانی به #قوه_قضاییه ارجاع داده شد #سیرک</t>
  </si>
  <si>
    <t>shabnam</t>
  </si>
  <si>
    <t>‏‏‏‏‏‏‏حالا تمام دغدغه ام این شده ‎‎‎‎‎‎‎#حسین این ‎‎‎‎‎‎‎#اربعین کرب و بلا میبری مرا؟ ارزشیم با افتخار انقلابیم</t>
  </si>
  <si>
    <t>همین حوالی</t>
  </si>
  <si>
    <t>https://twitter.com/aamir_rafiei/status/1034358312404430848</t>
  </si>
  <si>
    <t>#سوال_از_رییس‌جمهور اینکه صبح زود بیدار شدی چه حسی داری!؟ RT @aamir_rafiei: #سوال_از_رئیس_جمهور شب را چگونه صبح می‌کنی؟</t>
  </si>
  <si>
    <t>شفیعی :)</t>
  </si>
  <si>
    <t>http://www.elahian.com</t>
  </si>
  <si>
    <t>‏نمایندهٔ مردم تهران درمجلس هشتم/عضو گروه آينده‌نگري و نظريه‌پردازي فرهنگستان علوم پزشکي</t>
  </si>
  <si>
    <t>🔔سوال از #رئیس_جمهور نماد دموکراسی ومردم سالاری 🔔 عدم قانع شدن #مجلس مظهر اقتدار مجلس واستقلال آن 🔔مجلس عصاره ملت 🔔 نتیجه آنکه ملت ونمایندگانی مقتدر ومستقل و ونظامی پاسخگو داریم . 🔊قدر این نعمت رابدانیم. #سوال_از_رئیس‌جمهور</t>
  </si>
  <si>
    <t>زهره الهیان</t>
  </si>
  <si>
    <t>https://t.me/rizbin_riznevesht</t>
  </si>
  <si>
    <t>مالنا الا احدی الحسنیین فعال رسانه ای/پدر/باافتخاربسیجی/عاشق جهاد/منتظرصاحب/مشتاق شهادت</t>
  </si>
  <si>
    <t xml:space="preserve">با افتخار جمهوری اسلامی ایران </t>
  </si>
  <si>
    <t>#سوال_از_رئیس_جمهور فقط اونجاش که گفت منو تو فیضیه تهدید به ترور کردن😆</t>
  </si>
  <si>
    <t>ریزبین ، ریزنوشت</t>
  </si>
  <si>
    <t>‏‏‏‏‏‏دانشجوی جامعه خوان، جز عشق حسین«علیه السلام» هیچ افتخار دیگه ای ندارم..</t>
  </si>
  <si>
    <t>بعداز شنییدن جواب های آقای روحانی فقط یه جمله میتونم بگم.. «ای کاش ذره ای دغدغه مردم رو داشتی،ای کاش» #سوال_از_رییس‌جمهور</t>
  </si>
  <si>
    <t>🍃لینالونا</t>
  </si>
  <si>
    <t>http://www.kosar3d.ir</t>
  </si>
  <si>
    <t>Aircraft Engineer</t>
  </si>
  <si>
    <t>روحانی: حادثه دی‌ماه،آقای ترامپ را به‌طمع انداخت. اول؛اگر حوادث ملاک به طمع افتادن سران آمریکا باشد.حوادث ۸۸ که اوباما را به طمع انداخت، عاملین آشوبهایش الان توی دولتت جولان میدن. دوم؛ حماقت شخص خودت و تیم اقتصادی دولت پیر و خسته ات،ترامپ را به طمع انداخت. #سوال_از_رییس‌جمهور</t>
  </si>
  <si>
    <t>Mohsen313</t>
  </si>
  <si>
    <t>فارغ التحصيل كارشناسي ( دانشگاه تهران) و كارشناسي ارشد كارگرداني(دانشگاه هنر)كارشناسي حقوق، و كارشناسي ارشد جزا و جرم شناسي (دانشگاه تهران)</t>
  </si>
  <si>
    <t>https://pbs.twimg.com/media/DlrH90kXoAAwgy-.jpg</t>
  </si>
  <si>
    <t>#روحانی از بزرگترين افتخارات من 😎سفيد بودن اين صفحه است. #چطوريد بنفش ها😂 #كرگدن_هاى_سبز_و_بنفش</t>
  </si>
  <si>
    <t>ساميار نورى  Samyar Nouri</t>
  </si>
  <si>
    <t>برندازم</t>
  </si>
  <si>
    <t>ﻣﻬﺮﺑﺎﻧﯽ...
ﻣﻬﻤﺘﺮﯾﻦ ﺍﺻﻞ "ﺍﻧﺴﺎﻧﯿﺖ" ﺍﺳﺖ؛
ﺍﮔﺮ ﮐﺴﯽ ﺍﺯ ﻣﻦ ﮐﻤﮑﯽ ﺑﺨﻮﺍﻫﺪ،
ﯾﻌﻨﯽ ﻣﻦ ﻫﻨﻮﺯ ﺭﻭﯼ ﺯﻣﯿﻦ ﺍﺭﺯﺵ
ﺩﺍﺭﻡ...</t>
  </si>
  <si>
    <t>pic.twitter.com/Doa7Cn9h9r</t>
  </si>
  <si>
    <t>#روحانی: چطور یک عده جرات کردند رئیس جمهور را تهدید به ترور کنند؟! اشاره به پلاکارد فیضیه که روی آن خطاب به روحانی نوشته بود: استخر فرح در انتظارت! (اشاره به مرگ رفسنجانی) #استیضاح</t>
  </si>
  <si>
    <t>مسعود</t>
  </si>
  <si>
    <t>http://www.ravanpezeshk51.blogsky.com</t>
  </si>
  <si>
    <t>روان‌پزشک، روان‌درمانگر. مترجم؛ شاعر، داستان‌نویس. اهل خود-افشایی، نقد و نِــــق. مدرس سابق دانشگاه. پدرِ نیـــماهـان.</t>
  </si>
  <si>
    <t xml:space="preserve">ایران </t>
  </si>
  <si>
    <t>راست می‌گوید شیخ‌الرییسِ بنفش. من ساعت‌اش هم یادم است؛ یازده و سی و هشت دقیقه و پنجاه و سه ثانیه بود. #محفل_سودای_اسلامی #سوال_از_رئیس‌جمهور</t>
  </si>
  <si>
    <t>ناصر همتی</t>
  </si>
  <si>
    <t>‏‏‏‏‏‏‏فدایی سید علی ، برچسب ارزشی خورده، حال همه ما خوب است ولی تو باور نکن</t>
  </si>
  <si>
    <t>لعنت بر اون کسی که تورم ۶۰درصدی رو میگه ۱۰درصد #سوال_از_رئیس_جمهور</t>
  </si>
  <si>
    <t>بانو رضایی(غدیریم)</t>
  </si>
  <si>
    <t>برنامه نویس - علاقه مند به سیاست</t>
  </si>
  <si>
    <t>سوال نمایندگان از رئیس جمهور در صورتی که قانع نشن به قوه قضائیه ارسال میشه و ازونجا مستقیما میخوره تو دیوار!! #روحانی</t>
  </si>
  <si>
    <t>Hedayat Kamalian</t>
  </si>
  <si>
    <t>http://FB.com/Freedom.Messenger</t>
  </si>
  <si>
    <t>Independent Iranian news agency dedicated towards bringing the latest news on Iran. Our website: http://www.freedomessenger.com</t>
  </si>
  <si>
    <t xml:space="preserve">Iran </t>
  </si>
  <si>
    <t>https://pbs.twimg.com/media/DlrILdoWsAAYsaD.jpg</t>
  </si>
  <si>
    <t>🔴 درگیری در #مجلس ایران عکس منتخب #گاردین 🔻 بعد از خواب رفتن، سلفی گرفتن و موبایل بازی نمایندگان مجلس، شاهکار دیگری از آنها به ثبت جهانی رسید. #تظاهرات_سراسرى #اعتصاب_سراسری #چالش_دعوت_به_تظاهرات #ایران #ایران_را_پس_میگیریم</t>
  </si>
  <si>
    <t>Freedom Messenger</t>
  </si>
  <si>
    <t>pic.twitter.com/YGDXKo0Fea</t>
  </si>
  <si>
    <t>برسد به دست #رئیس_جمهور_روحانی که هم در برابر مردم و هم در برابر نمایندگان مردم نه تنها درمقابل عملکرد ضعیف دستگاه های تحت نظارت مستقیم خود عذرخواهی نکرد بلکه حاضر نشد حتی وضعیت وخیم اقتصادی کشور را نیز بپذیرد! #سوال_از_رئیس_جمهور #رئیس_جمهور</t>
  </si>
  <si>
    <t>mytwits</t>
  </si>
  <si>
    <t>https://telegram.me/harfbemanbot?start=MzIzNjAxMzAw</t>
  </si>
  <si>
    <t>در دایره انقلاب یه گوشه نشستیم😏 جوانِ دانشجو دغدغه مند بیکار🙂 دکترا قرمه سبزی🧕🏼</t>
  </si>
  <si>
    <t>#سوال_از_رئيس_جمهور فقط اينو بپرسيد اون لباسي كه پوشيدي بهش اعتقاد داري!؟ اخرت؟! حق الناس!؟ اميد؟! در اخرم استخر فرح در انتظارت!</t>
  </si>
  <si>
    <t>دختري به نام آسمان🇮🇷</t>
  </si>
  <si>
    <t>https://pbs.twimg.com/media/DlrIJh5V4AAWK3H.jpg</t>
  </si>
  <si>
    <t>اگه حرفی واسه گفتن تو مجلس نداشته باشی مجبوری طور دیگه ای ابراز وجود کنی... واقعا واسه خودم و مردم شهرم تاسف می خورم که اجازه دادن همچین موجودی نماینده شهرمون بشه... #منتخب_گاردین #گاردین #عزیزی #شیروان #نماینده_مجلس #عبدالرضا_عزیزی #شهرستان_شیروان #استیضاح</t>
  </si>
  <si>
    <t>JAVAD BICHARANLOU</t>
  </si>
  <si>
    <t>‏‏‏‏‏‏‏‏‏‏‏‏عاشق کشورم ایران 🇮🇷 وبوسه بر پرچم عشق 🇮🇷😘 ما اهل کوفه نیستیم علی تنها بماند😍 ماییم نوای بی نوایی.. بسم الله اگر حریف مایی</t>
  </si>
  <si>
    <t>جلسه #سوال_از_رییس‌جمهور با کارت زرد مجلس به روحانی پایان پذیرفت نمایندگان بالاخره به دل مردم رسیدند و از جواب ها قانع نشدند و برای اولین بار کاری به نفع مردم انجام دادند و از قدیم گفتند کار ان کرد که تمام کرد و منتظر جلسه #استیضاح_روحانی و کارت قرمز نمایندگان ملت هستیم</t>
  </si>
  <si>
    <t>آقا مسعود (3 روز تا عید غدیر)</t>
  </si>
  <si>
    <t>تشريح حادثات مكرر نگفتنيست...</t>
  </si>
  <si>
    <t>جمهوري اسلامي ايران🇮🇷</t>
  </si>
  <si>
    <t>https://pbs.twimg.com/media/DlrISHPW0AAyIev.jpg</t>
  </si>
  <si>
    <t>نه.... اين قرارمون نبود... #سوال_از_رئيس_جمهور #روحانى</t>
  </si>
  <si>
    <t>🕊اَصيلا🕊</t>
  </si>
  <si>
    <t>بچه ها بیاید دوس باشیم باهم😒 انقد اسم #روحانی رو نیارید، حالم بد شد دیگه. عِه چِتونِ؟☹☹</t>
  </si>
  <si>
    <t>فَریشون😌</t>
  </si>
  <si>
    <t>President of Islamic Republic IRAN Dr.Rouhani</t>
  </si>
  <si>
    <t>Theran,iran</t>
  </si>
  <si>
    <t>دست در دست هم دهیم به مهر میهن خویش را کنیم آباد #انقلاب_برای_انقلاب #سوال_از_رئیس‌جمهور #وحدت #ایران #مجلس #روحانی</t>
  </si>
  <si>
    <t>اعتدالِ روحانی</t>
  </si>
  <si>
    <t>https://youtu.be/wWgCHaLmfnI</t>
  </si>
  <si>
    <t>why so serious?</t>
  </si>
  <si>
    <t>Hell</t>
  </si>
  <si>
    <t>#روحانی یجوری تو مجلس حرف زد یه لحظه احساس کردم دارم تو سوئیس زندگی میکنم زنگ زدم به بچه‌ها هماهنگ کردم فردا بریم کوهای آلپ</t>
  </si>
  <si>
    <t>اکبروویچ</t>
  </si>
  <si>
    <t>واقعیت تلخ تر از زهر این است که: مردم #ایران راه مسالمت آمیز دزدی و خیانت به همدیگر را بجای #قیام_تا_سرنگونی انتخاب کرده‌اند! دیدند شرافت آزادگی هزینه بالایی دارد به همین حقارت و پستی راضی شده‌اند! #تظاهرات_سراسرى #نه_به_جمهوری_اسلامی #روحانی #خامنه‌ای</t>
  </si>
  <si>
    <t>شبگرد مبتلا</t>
  </si>
  <si>
    <t>‏‏‏‏‏‏‏فدایی رهبر دهه شصتی متاهل پدر یه سرباز امام زمان</t>
  </si>
  <si>
    <t>رییس جمهور در جریان #سوال_از_رییس_جمهور اصلا فکر کنید برجام از اول نبوده پ.ن خوب باشه مشکلی نیست شما ریاکتور اراک رو برگردون 19000سانتریفیوژرو هم نصب کن دلار رو هم بکن 3000 سکه رو هم 1م 6 سال عمر یک ملت 80 میلیونی رو هم برگردون قبوله؟</t>
  </si>
  <si>
    <t>میثم تمار</t>
  </si>
  <si>
    <t>‏‏‏منتظر القائم(عج)/اللهم عجل لولیک الفرج/با ولایت تا شهادت</t>
  </si>
  <si>
    <t>غائب بزرگ روزسؤال ازرئیس جمهوروصف آرایی مجلس ودولت دربرابرهم؛ سؤالهای دختربچه ای بود که نمیتوانداز پدرشرمگین خودبپرسد. #سوال_از_رئیس‌جمهور</t>
  </si>
  <si>
    <t>s.hosseini</t>
  </si>
  <si>
    <t>revelotionary\biotechnologist\wrestler\love to be 12th emam's soldier\ أین الطالب بدم المقتولِ بکربلاء</t>
  </si>
  <si>
    <t>amol.sari.tehran.hamedan :|</t>
  </si>
  <si>
    <t>https://twitter.com/shafaeieisa/status/1034357910544044033</t>
  </si>
  <si>
    <t>من همیشه از توضیحات رئیس جمهور قانع میشم :| #سوال_از_رییس‌جمهور RT @shafaeieisa: شما رو نمیدونم ولی من از توضیحات رئیس‌جمهور قانع شدم :-) #سوال_از_رییس‌جمهور</t>
  </si>
  <si>
    <t>یوحنا</t>
  </si>
  <si>
    <t>‏سیبرام درچه مکانی</t>
  </si>
  <si>
    <t>خوب، راه بالا بردن دلار رو که پیدا کردیم درست بگردیم یه راهم برای پایین آوردنش پیدا کنیم دیگه نورعلی نور میشه، همه چی میفته دستِ خودمون...! :))) #سخنرانی_روحانی #دلار #بالا_رفتن_قیمت_دلار #مجلس</t>
  </si>
  <si>
    <t>Sibraaam</t>
  </si>
  <si>
    <t>‏‏رفت آن سوار ، کولی ! با خود مرا نبرده ..</t>
  </si>
  <si>
    <t>Frankfurt on the Main, Germany</t>
  </si>
  <si>
    <t>#روحانی رفته مجلس گفته ما تو بحران نیستیم،درمرحله آسیبیم. یعنی میشه یه روز از خواب بیدار بشم آخوند جماعتم تو مرحله بحران ببینم؟</t>
  </si>
  <si>
    <t>ا جلو نظام</t>
  </si>
  <si>
    <t>https://telegram.me/HarfBeManBot?start=MjEyNzQwNjg0</t>
  </si>
  <si>
    <t>‏‏‏‏‏کارگرم و همچنان مشغول کار / پرسپولیس را دوست دارم رئال را بیشتر</t>
  </si>
  <si>
    <t>زیر آسمون خدا(بیرجند)</t>
  </si>
  <si>
    <t>ای آنکه ماله در دستت .................. تو ماتحتت. پ.ن: اعصاب ندارم با این نوناشون :// #سوال_از_رییس‌جمهور</t>
  </si>
  <si>
    <t>سلام،ابراهیمم</t>
  </si>
  <si>
    <t>https://ift.tt/2BTW3sU</t>
  </si>
  <si>
    <t>New post in پاراگراف (صدای شما): ‍ ‌غلامرضا حیدری نماینده مردم تهران در مجلس دهم به خبرگزاری ایسنا گفته: واقعیت این است که در جمهوری اسلامی #رییس_جمهور و مجلس دیگر #کاره‌ای_نیستند و افکار عمومی این را فهمیده است. yaghmafashkhami @PARAGRAPH1</t>
  </si>
  <si>
    <t>کانال پاراگراف</t>
  </si>
  <si>
    <t>http://telewebion.com</t>
  </si>
  <si>
    <t>پخش زنده و آرشیو تلویزیون</t>
  </si>
  <si>
    <t>http://www.telewebion.com/episode/1879272</t>
  </si>
  <si>
    <t>جلسه طرح سوال از نمایندگان و پاسخ رئیس جمهور در #مجلس #روحانی</t>
  </si>
  <si>
    <t>تلوبیون</t>
  </si>
  <si>
    <t>http://www.radiofarda.com</t>
  </si>
  <si>
    <t>News on Iran, Middle East, and World from Radio Farda</t>
  </si>
  <si>
    <t>Czech Republic</t>
  </si>
  <si>
    <t>https://pbs.twimg.com/media/Dlq8XrRWwAA0Oei.jpg</t>
  </si>
  <si>
    <t>افزایش ارزش سکه و #ارز های خارجی پس از سؤال مجلس از #روحانی به گزارش وب‌سایت اتحادیه طلا و جواهر، هر #سکه امامی به مرز ۴میلیون و ۱۰۰هزار تومان رسیده و نرخ #دلار هم از مرز ۱۱هزار تومان گذشت. مجلس فقط ازیک پاسخ روحانی قانع شد و پرونده چهار پرسش دیگر به دستگاه قضایی ارسال خواهد شد.</t>
  </si>
  <si>
    <t>RadioFarda راديوفردا</t>
  </si>
  <si>
    <t>https://pbs.twimg.com/media/DlrI1plVsAAqCMG.jpg</t>
  </si>
  <si>
    <t>http://tn.ai/1814347</t>
  </si>
  <si>
    <t>#نقوی‌حسینی:تعیین تکلیف ۴ سؤال نمایندگان از روحانی در دادگاه کارکنان دولت/دادگاه در حکم خود تعیین میکند که دولت در چه مواردی خلاف قانون و در چه مواردی در چارچوب قانون عمل کرده/محکومیتها در قانون تعریف و مجازاتهایی در نظر گرفته شده است #سوال_از_رئیس‌جمهور</t>
  </si>
  <si>
    <t>https://telegram.me/HarfBeManBot?start=MTA5MDk4MTMy</t>
  </si>
  <si>
    <t>‏‏‏‏‏سراگر عاشق شود دیوار می خواهد فقط....‏ پرسپولیسی❤/❤ایران❤/ دانشجوی مدیریت بازرگانی ‎</t>
  </si>
  <si>
    <t>Islamic Republic of Iran/shz</t>
  </si>
  <si>
    <t>اینجوری که #روحانی حرف زد یه چیزی هم بدهکار شدیم😒</t>
  </si>
  <si>
    <t>محمدرضا</t>
  </si>
  <si>
    <t>واقعا مشاوران #روحانی بهش نگفتند که بحث سوخته اشاره به #پنجم_دی را که دو سه هفته قبل مطرح کرده بود، امروز در مجلس بیان نکند؟ بیان این موضوع #فقط_و_فقط #دسته_به_دیزی #سلطان_مشهد گذاشتن بود. امروز #روحانی هیچ مطلب و راهکار جدیدی نگفت که این موضوع نگاه مردم به آینده را آشفته تر کرد.</t>
  </si>
  <si>
    <t>معتقد به جدایی دین از سیاست/ اصلاحات همیشه خوب بوده/ ایران نیاز به تعامل با همه کشور های دنیا را دارد/ آنهایی که شعار مرگ سر می دهند یا احمق هستند یا وطن فروش</t>
  </si>
  <si>
    <t>https://twitter.com/AbbasHeydari/status/1034352550735216641</t>
  </si>
  <si>
    <t>اوج تقدیر میتوانست زمانی باشد که #روحانی واقعیت های 40 سال را بگوید! و از سیاست های کلان ضد #منافع_ملی خارجی داخلی برای این مثلا نماینده ها و مردم #ایران بگوید RT @AbbasHeydari: اوج قابل تقدیر بودن رویکرد روحانی به سوالات اونجا بود که گفت ذخیره‌ی ارزی کافی برای برگردوندن قیمت دلار به یک سال پیش رو داریم ولی این کار رو نمی‌کنیم چون باید برای ماه‌های آینده نگهش داریم. کاش می‌فهمیدن...</t>
  </si>
  <si>
    <t>nightingale</t>
  </si>
  <si>
    <t>💜 → Ɠraphic Ɗesign &amp; Ƥhotography ∞ Persian , Turkish</t>
  </si>
  <si>
    <t>#روحانی تا حرفی میزنه #دلار میکشه بالا!!! 😐</t>
  </si>
  <si>
    <t>Donatello  دوناتللو</t>
  </si>
  <si>
    <t>‏‏دانشجوی کارشناسی ارشد فرهنگ و ارتباطات، فیلم‌باز. نمی‌پرسم چگونه می‌توانی بی‌خبر باشی/ که می‌ترسم بگویی، خیره در چشمم: «به آسانی!»</t>
  </si>
  <si>
    <t>Tehran, Iran</t>
  </si>
  <si>
    <t>#روحانی 6 شهریور به 5 دی سال قبل کنایه میزنه، در حالیکه وسط عملیات #بنی_صدر_سازی ئه بازم اون وسط میگه بیاید با هم دوست باشیم، من رانت میدم، شمام همکاری کنید</t>
  </si>
  <si>
    <t>محمدحسن</t>
  </si>
  <si>
    <t>http://www.mmzahedi.ir</t>
  </si>
  <si>
    <t>استاد دانشگاه# نماینده مجلس شورای اسلامی# رئیس کمیسیون آموزش و تحقیقات مجلس# وزیر علوم،تحقیقات و فناوری# سفیر جمهوری اسلامی</t>
  </si>
  <si>
    <t>مجلس، امروز #صدای_ملت بود. آقای #روحانی! زود دیر می شود. تا دیر نشده #تیم_اقتصادی قوی، جهادی و انقلابی انتخاب نمائید. ۱۶ استاندار بازنشسته را با ۱۶ #جوان نخبه، باانگیزه و توانمند جایگزین کنید.</t>
  </si>
  <si>
    <t>محمد مهدی زاهدی</t>
  </si>
  <si>
    <t>رَّضِيَ اللَّهُ عَنْهُمْ وَرَضُوا عَنْهُ(مائده/۱۱۹) این آیه را می‌بینم ناخودآگاه گریه ام می‌گیرد همین ... Ph.D. Software Engineering National Security Trend</t>
  </si>
  <si>
    <t>همه جای ایران سرای من است</t>
  </si>
  <si>
    <t>#روحانی 👈 از حاشیه سازی #روانی با عنوان #ترور_من تا بازی با #تاکتیک_وحدت و ارائه آمارهای حیرت انگیز.. #مظلوم_نمایی #سیاه_نمایی</t>
  </si>
  <si>
    <t>Huria..sadat..m</t>
  </si>
  <si>
    <t>Hates the Chaos of the Revolution and the Revolutionaries of the Alien Mercenary 1979 (1357)</t>
  </si>
  <si>
    <t>Paradise, NV</t>
  </si>
  <si>
    <t>https://twitter.com/Sasar_S/status/1034358864660058118</t>
  </si>
  <si>
    <t>خود #روحانی بنیانگذارعملی #اعدام و #قتل بود،چه برسدبه تهدیدبه قتل.2-بنیاد #دین ننگین #اسلام و #مذهب جعلی #شیعه درکشتار،چپاول ثروت غیرخودی جهت بقأءاست.3-خود #رئیس_جمهور امروزدر #مجلس_شورای_اسلامی؛بربردگی خویش به #رهبری تاکیدکرد.4-پلاکاردهای قم،..خودزنی روحانی برای مظلوم نمایی است. RT @Sasar_S: #روحانی_خفه_شو فقط همین</t>
  </si>
  <si>
    <t>REAL ALLAH</t>
  </si>
  <si>
    <t>روحانی به نمایندگان سوال کننده شما فکر کنیداصلا برجام نبوده ترامپ شما هم فکر کنید اصلا هسته ای نبوده #سوال_از_رییس_جمهور</t>
  </si>
  <si>
    <t>‏اگر درهمه ارکان جامعه وکشور تفکراعتدالی حاکم شودکشور گام های اساسی به سمت توسعه برخواهد داشت</t>
  </si>
  <si>
    <t>Qazvin</t>
  </si>
  <si>
    <t>#روحانی ابتدای دفاع به موضوع دیداربا #رهبری و توصیه های ایشان پیرامون جلسه اشاره کردند (نگرانی از تکرار #یکشنبه_سیاه) و تلاش برای حفظ ارامش درجلسه مدعیان دروغین تبعیت از #ولایت بنر تهدید قتل روحانی یادشان نرود</t>
  </si>
  <si>
    <t>سعیدکاکاوند🇮🇷‏</t>
  </si>
  <si>
    <t>یک صفحه ای خبری است که اخبار سیاسی، اقتصادی، ورزشی و اخبار مختلف جهان را با اعتبار و دقت بالا نقل می کند</t>
  </si>
  <si>
    <t>World</t>
  </si>
  <si>
    <t>https://pbs.twimg.com/media/DlrJOBhX0AEub4t.jpg</t>
  </si>
  <si>
    <t>روحانی: بسیاری به #آینده #ایران #اعتماد نمی کنند. . رییس جمهور #حسن_روحانی #تهران #مجلس #فرسان_خبر</t>
  </si>
  <si>
    <t>فرسان خبر</t>
  </si>
  <si>
    <t>#رئیس‌جمهور از مجلس کارت زرد گرفت.این همون مجلسیه که همیشه با دولت نهایت همکاریوانجام میداد! اما حالا چی شده؟! جواب ساده است #روحانی حلقه اعتدالی خودش رو تنگ ترکرده و به توصیه های اونایی که توانتخابات ازش حمایت کردند توجه نکرده!#دولت_دوازدهم در ابتدای کارش نیاز به خانه تکانی داشت</t>
  </si>
  <si>
    <t>saeed.zaman</t>
  </si>
  <si>
    <t>https://twitter.com/hesamodin1/status/1034331340311810048?s=19</t>
  </si>
  <si>
    <t>جناب اگه امکانش هست میشه یه ذره از این عدم تنش و آرامشو تو کار و کاسبی و سفره مردم هم بذارین؟ تازه میفهمم وقتی میگن همه چی زیر سر این آخونداس یعنی چی؟ احیانا جمله آخرم که تهدید محسوب نمیشه؟ اوو یادم رفت! جلسه #سوال_از_رییس_جمهور تموم شد... RT @hesamodin1: روحانى يكبار دىكر هزينه حفظ آرامش و عدم ايجاد تنش را پرداخت. سر خم مى سلامت</t>
  </si>
  <si>
    <t>فقط با يك قيام سازمانيافته با هزار كانون شورشي ميتوان اين رژيم را سرنگون و به آزادي رسيد .جانم را فدا ودستم را به سمت هر براندازي دراز ميكنم.</t>
  </si>
  <si>
    <t>https://pbs.twimg.com/media/DlrH-CZXoAAXAGg.jpg</t>
  </si>
  <si>
    <t>با طنزي چندش آور چند دروغ بزرگ در اين توييت مسخره تر از خودش گفت اول :مردم اميد به #روحاني ... دوم: موضوع آب سرد بايد گفت تو هم همدست اين آخوندها هستي و جرمت مشخصِ در ثاني نه اميدي به روحاني هست و نه كسي ديگري اين هم آب سرد نبود بلكه فتيله انفجاري ديگري را روشن كرد #براندازم</t>
  </si>
  <si>
    <t>هزاركانون شورشي</t>
  </si>
  <si>
    <t>هوای شوهرا و باباهاتونو داشته باشین. خدایی کاسبی نیس، درآمد کمه... با توقعات زیاد شرمنده شون نکنید🙏 دمتون گرم #گرانی #روحانی #گزارشگر #اقتصاد</t>
  </si>
  <si>
    <t>Leon</t>
  </si>
  <si>
    <t>http://www.khoorna.com</t>
  </si>
  <si>
    <t>‏‏‏‏‏‏روزنامه نگار - معلم - معاون سردبیر پایگاه خبری خورنا- سردبیر همدلی خوزستان دانش آموز ریاضی کاربردی</t>
  </si>
  <si>
    <t>آذر ۸۳ بعد از آن سخنرانی جنجالی #خاتمی در #دانشگاه_تهران یادداشتی نوشتم با تیتر #شب_بخیر_آقای_پرزیدنت فکر کنم وقتشه دوباره یکی بنویسم برای #روحانی خب #مردمومن با مردم حرف بزن. میری تو جلسه فقط #پاسخ_بیربط میدی؟ احسنت بر نمایندگان که #قانع نشدند</t>
  </si>
  <si>
    <t>سید عبدالهادی آرامی</t>
  </si>
  <si>
    <t>آقای #حضرتی، گفته بودید دستتان به‌ #رییس‌جمهوری نمی‌رسد که او را #استیضاح کنید! رییس‌جمهوری امروز در دسترس‌ شما بود؛ چرا مانند استیضاح وزیر رفاه روزه سکوت گرفتید؟! #سهم‌خواهی‌ #عوام‌فریبی #چاپ_بولتن_برای‌_وزارت_رفاه‌ #چراغ‌_سبز_به... #رحمت‌اله_بیگدلی</t>
  </si>
  <si>
    <t>Rahmatollahbigdeli</t>
  </si>
  <si>
    <t>الّلهُمَّ صَلِّ عَلَی مُحَمَّدٍ وَآلِ مُحَمَّدٍ. وَعَجِّلْ فَرَجَهُمْ وَالْعَنْ أعْداءَهُم أجْمَعِینَ</t>
  </si>
  <si>
    <t>بد نیست نمایندگان محترم پس از کارت زرد امروز به #رئیس_جمهور نیم نگاهی به طرح #نظام_پارلمانی و #نخست_وزیری بیندازند؛ #تا_1400 که بدبختیم اقلا بعد از آن بدبختی را تَکرار نکنیم #سئوال_از_رییس_جمهور #انتظار_فرج_از_نیمه_خرداد_کشم</t>
  </si>
  <si>
    <t>Muhammed Sadeghi</t>
  </si>
  <si>
    <t>براندازم/عرزشي،استمرارطلب،مجاهد⛔️تضمين رفاه،آزادي و دموكراسي مردم كشورم رو با شاهزاده رضا پهلوي ميدونم/اگر به قصد فالو آنفالو، فالو ميكني، فالو نكن دوست عزيزم🙏</t>
  </si>
  <si>
    <t>در اين برهه ي حساس</t>
  </si>
  <si>
    <t>https://pbs.twimg.com/media/DlrJnP5XgAECzRI.jpg</t>
  </si>
  <si>
    <t>+ نه وكيلي هست نه شاهدي، اين ديگه چه طرز برگزار كردن دادگاهه؟! – جرمت ثابت شده! اين جلسه صدور حكمه! . اگه متحد نشيم، سرنوشت تك تكمون همينه! #تظاهرات_سراسرى #روحاني</t>
  </si>
  <si>
    <t>بلوندِاتمی</t>
  </si>
  <si>
    <t>تفکر #انقلابی یعنی پر #انگیزه بودن #شاداب بودن از ویژگی‌های تفکر انقلابی #پاسخگو بودن است جناب #روحانی تفکر خود و همچنین #کابینه خود را به تفکر و کابینه انقلابی تغییر دهید #تغییر_به_نفع_مردم</t>
  </si>
  <si>
    <t>mohammad BTK</t>
  </si>
  <si>
    <t>شعر، ادبيات، تاريخ - فعال جنبش دادخواهی</t>
  </si>
  <si>
    <t>https://pbs.twimg.com/media/DlrJfd_WwAE5zdK.jpg</t>
  </si>
  <si>
    <t>#روحانی: تمامی مشکلات ما از تاریخ ۵ دی ۹۶ آغاز شد. آن روزی که عده‌ای به خیابانها آمدند و شعارهایی دادند و کم کم شعارها تبدیل به شعارهای هنجارشکنانه شد وقتی قیام و اعتراضات مردم برای روحانی ریشه مشکلات باشه باید نتیجه گرفت قیام و اعتراضات درمان مشکلات مردمه ! #IranProtests</t>
  </si>
  <si>
    <t>ahmad many🏳️</t>
  </si>
  <si>
    <t>س مثل سكوتِ پس از ويرگول | اصلاح طلبِ سابق، برانداز فعلي | استمرارطلب ها همونقدر برام غيرقابل درك و رواعصاب هستن كه مجاهدين و سلطنت طلب هاي شش سيلندره</t>
  </si>
  <si>
    <t>سيارك ب-٦١٢</t>
  </si>
  <si>
    <t>از توييت هاي چندوقت اخير آقاي تاجزاده و نقدهاشون به #روحاني و از اونور تئوري هاي جديد حجاريان، بوي اين مياد كه پروژه ي #اصلاحطلب ها روي روحاني تموم شده و كم كم بايد آماده رو شدن شخص جديدي باشيم اما غافلند از اينكه #ديگه_تمومه_ماجرا RT @mostafatajzade: #روحانی می‌توانست با تبیین علل و عوامل اصلی مشکلات کشور گام بلندی در جهت رشد آگاهی‌های عمومی بردارد و مشارکت ملت را برای حل معضلات، خنثی‌کردن کارشکنی‌های دولت پنهان و طمع‌ورزی‌ ترامپ جلب کند. رای منفی مجلس نشان داد نگفتن حقایق رقیب را جری و مردم را ناامید می‌کند.</t>
  </si>
  <si>
    <t>س سه دندونه✌🏼</t>
  </si>
  <si>
    <t>استقلال،بارسلونا،آرسنال،میلان،دورتموند عاشق کتاب و فیلم علاقه مند تاریخ نه اصلاح طلب نه اصولگرا بلکه «سبز»</t>
  </si>
  <si>
    <t>یه نفر بود که یه زمانی می گفت باید از #روحانی حمایت کنیم بهش گفتم عزیزم!روحانی خودش از خودش حمایت نمی کنه ما چه جوری حمایت کنیم آخه #سوال_از_رئیس‌جمهور</t>
  </si>
  <si>
    <t>oblomov</t>
  </si>
  <si>
    <t>https://t.me/trenditter</t>
  </si>
  <si>
    <t>ربات در دست ساخت! از هیچ جریانی حمایت نمیکنیم و جایی هم امضا ندادیم که مطابق خواست گروهی و بر خلاف واقع توییت کنیم! بات به تشخیص خودش از وضعیت، ریتوییت میکنه.</t>
  </si>
  <si>
    <t>ترمینال سرور</t>
  </si>
  <si>
    <t>هشتگ داغ 6 ساعت گذشته: #روحانی: 2644 توییت #سوال_از_رئیس_جمهور: 2231 توییت #مشهد_تايلندتشيع: 1421 توییت #ظرفیت_بسیج: 1394 توییت #اگر_بخواهید: 1278 توییت #سوال_از_رییس‌جمهور: 1174 توییت #رسانه_کذاب_دادستان_خواب: 1134 توییت #براندازم: 757 توییت</t>
  </si>
  <si>
    <t>ترندیتر</t>
  </si>
  <si>
    <t>‏‏‏‏‏‏‏‏‏همه چیز بعد از مرگ گوستاوو خراب شد...</t>
  </si>
  <si>
    <t>Medellín, Colombia</t>
  </si>
  <si>
    <t>با تشکر از پرزیدنت #روحانی برای اینهمه رفاه که برای ما مردم قدر نشناس ایجاد کردن و عذرخواهی برای کفر نعمت و بهره نبردن کافی از آفتاب تابان برجام #سوال_از_رییس‌جمهور</t>
  </si>
  <si>
    <t>کربلایی پابلو 🇮🇷🇵🇸</t>
  </si>
  <si>
    <t>‏‏‏‏‏‏‏‏‏مهندس برق، علاقه‌مند به تکنولوژی، سست عنصر، متنفر از اصلاح‌طلبان حکومتی، مخالف براندازی و آشوب، زنده باد بهار⁦⁦✌️⁩</t>
  </si>
  <si>
    <t>North</t>
  </si>
  <si>
    <t>خداییش از #روحانی بیشرف‌تر کسی سراغ دارید؟ برگشته تو چشم ملت زل زده میگه عامل همه مشکلات کشور اعتراضات #دی‌ماه‌۹۶ هست. آخه تو دیگه کی هستی بشر؟ انسانی حیوانی چی‌ای؟</t>
  </si>
  <si>
    <t>سامانه‌ی اسحاق</t>
  </si>
  <si>
    <t>http://www.Iranvajahan.blogfa.com</t>
  </si>
  <si>
    <t>‏‏‏دانشجوی دانشگاه تهران | فعال دانشجویی و تاحدودی رسانه ای!</t>
  </si>
  <si>
    <t>با استیضاح نمیتونی قسر در بری با استیضاح نمیتونی قسر در بری با استیضاح نمیتونی قسر در بری با استیضاح نمیتونی قسر در بری با استیضاح نمیتونی قسر در بری با استیضاح نمیتونی قسر در بری با #استیضاح نمیتونی قسر در بری باید جوابگوی عملکرد۵سالت باشی #سوال_از_رئیس‌جمهور #سوال_از_روحانی</t>
  </si>
  <si>
    <t>Ali Nosrati 🇮🇷</t>
  </si>
  <si>
    <t>‏‏طنز پرداز طنز نویس</t>
  </si>
  <si>
    <t>tabriz</t>
  </si>
  <si>
    <t>#فوری 🔴"واکنش منفی بازار به صحبت های روحانی " قیمت لحظه ای دلار 1397-06-06 11:32:28 قیمت #دلار #نقدی 11200 تومان قیمت #سکه 4100000 تومان #سوال_از_رئيس_جمهور #چطوری_اقتصاد</t>
  </si>
  <si>
    <t>rasane</t>
  </si>
  <si>
    <t>http://instagram.com/omidsalek/</t>
  </si>
  <si>
    <t>Tourism PhD candidate</t>
  </si>
  <si>
    <t>Girona, España</t>
  </si>
  <si>
    <t>امید واهی امثال #حسین_درخشان و البته من، به عضو شورای رهبری شدن #روحانی در آینده است با این فرمون! @h0d3r_fa</t>
  </si>
  <si>
    <t>Roger Gilmour</t>
  </si>
  <si>
    <t>https://t.me/joinchat/AAAAAEJfv3Ktm40_Km9n6w</t>
  </si>
  <si>
    <t>گوشه نویسی یک بسیجی از جنس درد، غرور و نجوا</t>
  </si>
  <si>
    <t>pic.twitter.com/LYUWQ1h85W</t>
  </si>
  <si>
    <t>https://twitter.com/safirfilm_ir/status/1034129172497612801</t>
  </si>
  <si>
    <t>هرچند عملکرد بد روحانی برای مردم ثابت شده و خیلیها در حمایت از وی شعار #پشیمانم سر میدهند اما همچنان همین ملت در سایه انفعال مخالفان #روحانی و فعالیت قوی تیم رسانه ای اعتدال و اصلاحات بازهم به همسنگر روحانی رای میدهند مردم باید بیش از این تجربه کسب کنند و بیش از اینها هزینه بدهند RT @safirfilm_ir: روحانی استیضاح شد؟ پشت #ماسک رئیس جمهور چه حرف هایی که زده نمیشه! #حسن_روحانی</t>
  </si>
  <si>
    <t>sh_hasanzad</t>
  </si>
  <si>
    <t>قهرمان الکی بی یال و کوپال که یه روزی برو بیایی داشت واسه خودش</t>
  </si>
  <si>
    <t>وسط ناکجاآباد</t>
  </si>
  <si>
    <t>پشتیبانی اسنپ: سلام آدرس مقصدتون اشتباهه، میدان بهارستان باغ وحش نداریم داریم آقا داریم #مجلس</t>
  </si>
  <si>
    <t>نیماچمپیون</t>
  </si>
  <si>
    <t>‏‏‏‏‏‏‏‏‏‏‏‏‏‏‏‏یه معلمِ عاشق طبیعت که تو یکی از دانشگاه های تهران بیوتکنولوژی میخونه (: زهرا کاظمی :)</t>
  </si>
  <si>
    <t>مدرسه موش ها</t>
  </si>
  <si>
    <t>https://twitter.com/Abasanti666/status/1034359436477915136
https://twitter.com/shafaeieisa/status/1034357910544044033</t>
  </si>
  <si>
    <t>من کلا از رئیس جمهور سوال نمیپرسم😏😎 #سوال_از_رییس‌جمهور RT @Abasanti666: من همیشه از توضیحات رئیس جمهور قانع میشم :| #سوال_از_رییس‌جمهور</t>
  </si>
  <si>
    <t>دختر آفتاب ( 2 روز تا غدیر)</t>
  </si>
  <si>
    <t>همه چیز را مجانی میکنیم!</t>
  </si>
  <si>
    <t>اگر نماینده ها قانع نشدن،پس چرا وقتی #روحانی داشت میرفت از مجلس بیرون،یکی داد نزد "هِی عمو با تو هستیما.. کجاااااا" !! ؟ 😐</t>
  </si>
  <si>
    <t>ARVIN</t>
  </si>
  <si>
    <t>‏‏‏‏‏‏‏‏‏۲۸/مجرد/شاهرود/راننده کامیون/ایرانگرد/ تکنولوژی مکانیک/دوچرخه/بوکس شطرنج/شعر</t>
  </si>
  <si>
    <t>https://pbs.twimg.com/media/DlrKQ1wW4AEOYty.jpg</t>
  </si>
  <si>
    <t>#روضه_خوانی امروز #رئیس_جمهور زیاد نتوانست در قالب مردم باشد.</t>
  </si>
  <si>
    <t>وحید رجبی</t>
  </si>
  <si>
    <t>[سربازِ سیدعلی] إِنَّ مَعَ الْعُسْرِ یُسْراً</t>
  </si>
  <si>
    <t>آبادان</t>
  </si>
  <si>
    <t>"اصلا فکر کنید برجام از اول نبوده" این حرف را همان رئیس جمهوری زد که برجام را آفتاب تابان، شکننده ی همه ی زنجیرها، آورنده ی همه ی عزت ها و هدیه الهی خواند، آثارش را تا قیامت ماندگار و هر روز بعد از برجام را گشایش تازه دانست. #سوال_از_رییس_جمهور</t>
  </si>
  <si>
    <t>علی تمیمی</t>
  </si>
  <si>
    <t>‏‏خدایا، هنگامی که شیپور جنگ طنین انداز می شود، قلب من شکفته شده به هیجان در می آید زیرا جنگ مرد را از نامرد مشخص می کند./ شهید چمران</t>
  </si>
  <si>
    <t>#روحانی به جای جواب دادن به سوالات، سوال کرده: چرا مردم نسبت به آینده ایران دچار تردید شده‌اند؟ -چون آینده‌ای براشون نگذاشتی</t>
  </si>
  <si>
    <t>پونز</t>
  </si>
  <si>
    <t>فرد خاصی نیستم</t>
  </si>
  <si>
    <t>https://pbs.twimg.com/media/DlrJ5GEX4AI3mY8.jpg</t>
  </si>
  <si>
    <t>یعنی من میخوام بدونم اون 8 نفر که رای ممتنع دادن دقیقا توی مجلس چیکار میکنن؟؟؟؟ مگه شما اونجا نیستی برای این مردم ... خب یا راضی شدی یا نشدی ... ممتنع بودنت چیه؟؟؟!!!😐 #مجلس #سوال_از_رئیس_جمهور</t>
  </si>
  <si>
    <t>پیر خرابات</t>
  </si>
  <si>
    <t>http://www.ridan.com</t>
  </si>
  <si>
    <t>‏‏‏‏‏‏‏‏‏‏‏‏‏‏‏‏‏‏‏‏‏‏‏‏‏‏‏زبانَم سُرخ،سَرَم امانمیدانم! شاید به باد سپُردمش🔁 ‎یک اصول طلبِ اصلاحگرای انقلابیِ براندازِ پیروِ خط امام و رهبر صلوااات</t>
  </si>
  <si>
    <t>هیچ جا اِستان</t>
  </si>
  <si>
    <t>- روحانی:《ولله ما دچار بحران نیستیم》 حسن جون،ما میدونیم شما دچار بحران نیستی،آدمی که کفش ۷ میلیونی و ساعت ۱۵ میلیونی و گرمکن ۱۷ میلیونی میپوشه دچار بحران نیست. این ما مردمیم که زیر بحران زاییدیم نه شما. من بشخصه ۱۲ قلو زاییدم. #روحانی #دروغ_بزرگ #بحران_چیه؟</t>
  </si>
  <si>
    <t>Black Cat</t>
  </si>
  <si>
    <t>هوای شوهرا و باباهاتونو داشته باشین. خدایی کاسبی نیس، درآمد کمه... با توقعات زیاد شرمنده شون نکنید🙏 #سوال_از_رئيس_جمهور #چطوری_اقتصاد</t>
  </si>
  <si>
    <t>طرز فکر اکثر مردم #ایران در قبال افزایش روزانه قیمتها و هزینه‌های زندگی - باشه مهم نیست! فردا بیشتر دزدی می‌کنم. خیانت می‌کنم، رشوه می‌گیرم و ... #تظاهرات_سراسرى #نه_به_جمهوری_اسلامی #روحانی #خامنه‌ای #براندازیم #قیام_تا_سرنگونی</t>
  </si>
  <si>
    <t>Export , Bourse</t>
  </si>
  <si>
    <t>https://pbs.twimg.com/media/DlrKa0PX4AEbEOZ.jpg</t>
  </si>
  <si>
    <t>#روحانی امروز در مجلس: #اشتغال‌زایی خالص از سال84 تا 91، ده‌هزار نفر بوده و ازسال92تا 97 2/700/000. حالا آمار درست‌رو که مرکز آمار منتشر کرده ببینید/منبع: #فارس</t>
  </si>
  <si>
    <t>جهاد مغنیه</t>
  </si>
  <si>
    <t>‏‏‏‏‏‏‏‏‏‏‏‏‏‏‏تو یکی نه‌ای٬ هزاری تو چراغ خود برافروز که یکی چراغ روشن٬ ز هزار مرده بهتر</t>
  </si>
  <si>
    <t>ما تو پرواز یه مسئله ای داریم با عنوان مدیریت ریسک و مدیریت احتیاط. اگه شما نتونی این دو رو همزمان با هم مدیریت کنی یعنی اگه خیلی پر ریسک پرواز کنی و یا خیلی محتاط باشی محکوم به سانحه‌ای #روحانی #مجلس</t>
  </si>
  <si>
    <t>Reza.GhS</t>
  </si>
  <si>
    <t>http://nimaakbarkhani.blogspot.com</t>
  </si>
  <si>
    <t>‏‏‏عذاب الهی یعنی داشتن حافظه قوی</t>
  </si>
  <si>
    <t>حالا #شرق می خواست #سوال_از_رییس‌جمهور و ببره تو حاشیه ؟ یا واقعا دنبال چی می گشت ما نفهمیدیم ! #رسانه_کذاب_دادستان_خواب</t>
  </si>
  <si>
    <t>Nima</t>
  </si>
  <si>
    <t>http://facebook.com/asmaerfanifar</t>
  </si>
  <si>
    <t>‏‏آنچه پایانی ندارد نه تویی و نه من، این انسانیت است که تا ابد فریاد کشیده خواهد شد. ‎‎#Nanotechnology ‎‎#solar_cells ‎‎#solid_state_physics</t>
  </si>
  <si>
    <t>https://pbs.twimg.com/media/DlrKiLZW0AEbniC.jpg</t>
  </si>
  <si>
    <t>دیروز در جایی در جواب دوستی درباره جلسه #استیضاح این رو گفتم و درواقع چیزی بود که هنه ما ملت درگه انتظار اون رو داریم هر رییس جمهوری میاد شعارش هرچی باشه دقیقا عکس اون عمل میکنه</t>
  </si>
  <si>
    <t>asma erfanifar</t>
  </si>
  <si>
    <t>اگر #روحانی یک #رئیس_جمهور ملی بود از سیاست های کلان اشتباه ضد #منافع_ملی در بعد خارجی و داحلی و بن بست ایجاد شده میگفت. از سر شاخ شدن با #امریکا یا درست کردن حزب الله و نیرو پیاده کردن بیخ گوش #اسراییل یا از #قانون_اساسی ناکارامد و فساد زا و از بن بست به وجود امده میگفت</t>
  </si>
  <si>
    <t>‏‏‏‏‏‏‏‏‏من به قدقامت یاران نرسیدم ای کاش لا اقل رکعت آخر به جماعت برسم</t>
  </si>
  <si>
    <t>ولایتِ دل</t>
  </si>
  <si>
    <t>https://twitter.com/hesamodin1/status/1034331340311810048</t>
  </si>
  <si>
    <t>نحوه نگارش این توییت مشاور رئیس جمهور یا نشان از عصبانیت ایشان دارد یا به کد اغتشاشات دی ماه، که روحانی هم در مجلس به آن اشاره کرد دارد! دکتر جان کمی آرامش پیشه کنید... #سوال_از_رئیس_جمهور RT @hesamodin1: روحانى يكبار دىكر هزينه حفظ آرامش و عدم ايجاد تنش را پرداخت. سر خم مى سلامت</t>
  </si>
  <si>
    <t>سلمانه 🇮🇷</t>
  </si>
  <si>
    <t>‏‏‏‏در تلاش برای انسان بودن</t>
  </si>
  <si>
    <t>ahvaz, Iran</t>
  </si>
  <si>
    <t>روحانی پیرو مشی هاشمی در سیاست‌ورزی است. #روحانی امروز در مجلس راه خودش برای باقی ماندن در ساختار نظام را تثبیت کرد. آمده بود که منویات رهبری را درباره جلسه امروز اجرا کند،که کرد. راه او تبدیل شدن به اپوزیسیون نیست. در عین حال کدهایی داد که جواب‌های واقعی در آن‌ها مستتر بود</t>
  </si>
  <si>
    <t>adel</t>
  </si>
  <si>
    <t>https://eitaa.com/rouyesh1</t>
  </si>
  <si>
    <t>مدرس و دانشجوی دکتری فلسفه *** انسان؛ نوسانی است میان یک آمدن موقت و یک رفتن برای همیشه!</t>
  </si>
  <si>
    <t>Iran, alborz</t>
  </si>
  <si>
    <t>استخر فرح هم به داد روحانی نرسید! #روحانی برای فرار از پاسخگویی به #استخر_فرح پناه برد و گفت تهدید به ترور شده! ولی بازم مجلس قانع نشد. پیشنهاد می‌کنم هرچه زودتر این استخر به روی مردم گشوده و یا تبدیل به موزه عبرت شود تا بیش ازین وقت سران مملکت را نگیرد! #سوال_از_رئیس_جمهور</t>
  </si>
  <si>
    <t>Mahdi Asgari</t>
  </si>
  <si>
    <t>سرباز انقلاب</t>
  </si>
  <si>
    <t>#سوال_از_رییس‌جمهور خیلی خوبه باید بیشتر هم باشه نه فقط وقتی مملکت میفته به این روز ولی نباید به سمت استیضاح بریم چون شرایط کشور بدون رییس جمهور دقیقا مطلوب بن سلمان رجوی ترامپه همینطور هم حضرت اقا گفتن باید بمونن و پاسخ گو باشن پس روحانی باید بمونه اما پاسخگو</t>
  </si>
  <si>
    <t>حاج مارکس 🇮🇷🇸🇩🇱🇧🇮🇶🇸🇾🇾🇪</t>
  </si>
  <si>
    <t>‏(‏ما در اینجا نه پی حشمت و جاه آمده اییم) ...</t>
  </si>
  <si>
    <t>ایران/۶۳</t>
  </si>
  <si>
    <t>https://pbs.twimg.com/media/DlrKu-fXsAAM1IE.jpg</t>
  </si>
  <si>
    <t>خودشم از جواب های خودش میدونست قانع نمیشه که مجبور به اجرای تئاتر چند روز پیش شدند واسه امروز .. !! #سوال_از_رییس‌جمهور #روحانی</t>
  </si>
  <si>
    <t>ریش مِحَک🇮🇷</t>
  </si>
  <si>
    <t>رشت را به میرزا کوچک خان، بوشهر به رییسعلی و قشم را به امام قلی خان می شناسند. اینجا دیار من #رودان را به نام سردار قهرمان حاج علی حاجبی بشناسید. #هرمزگان</t>
  </si>
  <si>
    <t>هرمزگان</t>
  </si>
  <si>
    <t>به روحانی پنج تا سوال دادند، چهار تا غلط زد یکی درست. با احتساب هر سه پاسخ غلط حذف یک پاسخ صحیح، یعنی نتیجه پاسخش به سوال ها 6.66- درصد شد! کنکور هم همین طور تست زدی دکتر شدی؟😉 #سوال_از_رئیس‌جمهور #کنکور_طور</t>
  </si>
  <si>
    <t>حــــاجَـلی</t>
  </si>
  <si>
    <t>‏‏‏| ‏‏‏‏‏‏‏‏‏‏‏‏‏‏‏به نام خدا | تازه آغاز ‎‎‎‎‎‎#آتش_به_اختیار ست... . | یک #دانشجوی_اقتصاد:-) | آیا اقتصاد را هم خدا آزاد میکند از دست این بشر دوپا؟ |</t>
  </si>
  <si>
    <t>!بعد ازدواج معلوم میشه!</t>
  </si>
  <si>
    <t>دوستانی که از پیچ تاریخی حرف میزنن و ضرورت بقای #روحانی بر مسند ریاست جمهوری، آیا قبول دارن که موقع استیضاح بنی صدر هم کشور در چه پیچ تاریخی عجیب و غریب و سختی بود؟! سقوط خرمشهر یک نمونه اش!گویا اگر اون زمانم بودید میگفتید بنیصدر باید بماند خرمشهررا نجات دهد. #سوال_از_رئیس_جمهور</t>
  </si>
  <si>
    <t>Keyvan Hoseinvand</t>
  </si>
  <si>
    <t>روحانی گفت امریکا بعد جلسه ی امروز مجلس خوشحال نخواهد بود راس گفت از این ک ایشون کارت زرد گرفت ب شدت ب خود میپیچد #سوال_از_رئیس‌جمهور</t>
  </si>
  <si>
    <t>Molf</t>
  </si>
  <si>
    <t>https://www.instagram.com/mostafa.goldsmith</t>
  </si>
  <si>
    <t>Goldsmith</t>
  </si>
  <si>
    <t>Iran-golestan-kordkuy</t>
  </si>
  <si>
    <t>اگر مجموع بارم سوالایی که از روحانی شد رو بیست در نظر بگیریم روحانی شد ۴ افتادی که عمووووو ترم بعد باید دوباره برداری این واحد‌و #روحانی #مجلس</t>
  </si>
  <si>
    <t>seyed mostafa hosseini</t>
  </si>
  <si>
    <t>‏‏‏‏‏‏‏‏‏‏‏یه دختر متولد پاییز🍁 با یه دنیا دغدغه؛ والیبالیست🏐 عاشق اشپزی پیرو خط ولایت✌</t>
  </si>
  <si>
    <t xml:space="preserve">Islamic Republic of Iran </t>
  </si>
  <si>
    <t>https://pbs.twimg.com/media/DlrVOeZXgAc6QlY.jpg</t>
  </si>
  <si>
    <t>آخه چرا نماینده ها قانع نشدن ؟؟😣😣 #سوال_از_رییس‌جمهور</t>
  </si>
  <si>
    <t>فاطمه ترابی</t>
  </si>
  <si>
    <t>‏‏‏‏‏‏مهندس برق قدرت شیفته آرامش من برای ایرانی بهتر ستاره دار شدم زندانی کشیدم کتک خوردم تو چیکار کردی؟ https://telegram.me/dar2delbot?start=send_X99dJX</t>
  </si>
  <si>
    <t>سوال که زیاد هست ولی برای حل شدن مشکلات اول باید یه پاسخگو پیدا کنیم #روحانی</t>
  </si>
  <si>
    <t>omidvar</t>
  </si>
  <si>
    <t>دلبسته ایرانم و دلتنگ عراقم . . .</t>
  </si>
  <si>
    <t>گوبلز بعدازشنیدن امار۱۰هزارشغل تو دولت احمدی نژاد به پرزیدنت پیغام داد حالا مایه شکری خوردیم گفتیم دروغ هرچی بزرگتر باورپذیرتر،دیگه نه اینقدر!!!!! #سوال_از_رییس‌جمهور #جسمانی</t>
  </si>
  <si>
    <t>یاسر حزباوی</t>
  </si>
  <si>
    <t>کارشناس ارشد علوم سیاسی</t>
  </si>
  <si>
    <t>#روحانی بازهم درقضیه بیکاری به دولت قبل حمله کرد! 🔹این درحالیست که #نرخ_بیکاری بدین ترتیب بوده: سال۸۴: ۱۱،۵٪ سال۹۲: ۱۰،۴٪ سال۹۵: ۱۲،۷٪ 🔸قضاوت نرخ بیکاری ۹۷ با مردم! هر چند مرکز آمار اعلام کرد؛ بیکاری به بالاترین رقم پس از انقلاب رسید! #دروغ_ممنوع</t>
  </si>
  <si>
    <t>میلاد بهمئی</t>
  </si>
  <si>
    <t>‏‏‏شیمی خوانده در دانشگاه تهران/حامی حقوق حیوانات/حامی محیط زیست/غزه،ضاحیه،بحرین،یمن،پاراچنار،کشمیر،نیجریه❤/جانم فدای ایران❤</t>
  </si>
  <si>
    <t>اینکه روحانی هردفه میاد بهونه های قبلیشو تَکرار میکنه و هردفه تقصیرات رو میندازه گردن یه عده،بخاطر دروغگو بودنش نیست؛ بلکه بخاطر اینه که سنی ازش گذشته،آلزایمر داره احتمالا و متن صحبتاشو کسای دیگه ای مینویسن! حسن ظن داشته باشید! :)))) #سوال_از_رئیس_جمهور</t>
  </si>
  <si>
    <t>🇾🇪یاسی(sunrise پیشین)🇮🇷</t>
  </si>
  <si>
    <t>‏‏‏سلام فرمانده ! نیروهایت را بسیـــــــج کن بگو خط را بشکنند محاصره شده ایم میانِ معبــــــــــرِ دنیا</t>
  </si>
  <si>
    <t>یکی اینو بگیره مگه توجیهش نکردن که جلسه سوال از رییس جمهوره؟ چرا داره به کدخدا می توپه؟😃 #سوال_از_رییس‌جمهور</t>
  </si>
  <si>
    <t>شهریوردخت</t>
  </si>
  <si>
    <t>پرچم کنار اکانت مطلقاً نشانه چپ یا راست بودن نیست.نشانه وطن پرست بودن و ایقان به کلمه وسط پرچم و ۲۲ ذکر حاشیه است.پس بپا اشتباه فالو نکنی.</t>
  </si>
  <si>
    <t>ای که رای ممتنع در کارت #استخر_فرح در انتظارت #سوال_از_رئيس_جمهور</t>
  </si>
  <si>
    <t>nav!d🇮🇷</t>
  </si>
  <si>
    <t>به فردا بدهکاریم ! با باور این دروغ که اینبار درست میشه ، به فردا جفا کردیم.. اهل فردا ، ما رو ببخشید 😔 (( اکانت فیک یک خبرنگار دبیرستانی ))</t>
  </si>
  <si>
    <t>اصلاح طلبها یه جوری تا دیروز میگفتن "#روحانی فردا در مجلس حقایق را خواهد گفت" که ما فکر کردیم خوبه بالاخره بعد از 1400 سال اسم قاتل حضرت فاطمه هم فاش میشه!! نهایت حرفهای روحانی این بود که یکی دیگه برده و خورده اما الان که رسیده بما آب قطه</t>
  </si>
  <si>
    <t>تحت تاثیر 🔵</t>
  </si>
  <si>
    <t>#روحانی جان مادرت ملت رو رها کن...</t>
  </si>
  <si>
    <t>‏عاشق ادم های خاکستری هستم... چون راحت میتونن رنگ خدا بشن سعی میکنم رنگ خدا بگیرم</t>
  </si>
  <si>
    <t>انجا نیستم که باید...</t>
  </si>
  <si>
    <t>بعد جلسه #سوال_از_رییس‌جمهور ماهم قانع نشدیم</t>
  </si>
  <si>
    <t>بزرگوار</t>
  </si>
  <si>
    <t>کارشناس ارشد اقتصاد 🇮🇷</t>
  </si>
  <si>
    <t>در #مجلس از #روحانی درباره #رشد شتابان نرخ #دلار و #برجام میپرسند! پاسخ روشن است!در کشوری که سالانه ۲۶۰هزار میلیاردتومان سودبانکی بدون پشتوانه توزیع میشود،که ۲۴۰هزار آن، متعلق به ۱درصد جمعیت کشور یعنی حدود ۸۰۰هزار نفر است،دلار‌ نباید سه برابر شود!؟ کل یارانه‌کشور ۲۰ هزار م.ت است!</t>
  </si>
  <si>
    <t>Hossein Eftekhari</t>
  </si>
  <si>
    <t>https://t.me/makhtorat</t>
  </si>
  <si>
    <t>نوميد و مفلسيم و نداريم هيچ كس...</t>
  </si>
  <si>
    <t>🇮🇷</t>
  </si>
  <si>
    <t>«و ما أصابَکُمْ مِنْ مصیبةٍ فَبِما کَسَبَتْ أیْدِیکُمْ» و هر مصیبتى که به شما رسد، به خاطر کارهایى است که ميکنید. (سوره مبارکه شوری آیه ۳۰) #سوال_از_رئیس_جمهور</t>
  </si>
  <si>
    <t>محمّد ناصر بابايي</t>
  </si>
  <si>
    <t>‏‏ما به دنیا آمده ایم برای اِستِقامت نه اِستِراحت👊</t>
  </si>
  <si>
    <t>جمهوری اسلامی ایران(عزیزم)</t>
  </si>
  <si>
    <t>pic.twitter.com/xprF7WlMT7</t>
  </si>
  <si>
    <t>🎥روحانی: اگر تهدید به ترور شوم برایم مهم نیست! 👀 مظلوم نمایی جدید روحانی. #رسانه_کذاب_دادستان_خواب #سوال_از_رییس‌جمهور #دروغ</t>
  </si>
  <si>
    <t>حاج نِلسون🇮🇷</t>
  </si>
  <si>
    <t>#پیشبینی روند #استیضاح یکباره متوقف خواهد شد. توصیه ای میشه و تمام</t>
  </si>
  <si>
    <t>⁦mahmoud⁦🇮🇷⁩</t>
  </si>
  <si>
    <t>‏‏سرباز خدا // اگر میخواهید ما را بشناسید از نجارهای شهر خود سوال کنید؛ ما تابوت خود را هم سفارش داده‌ایم، پلاکهایمان هم به گردنمان.</t>
  </si>
  <si>
    <t>تعجب میکنم که #روحانی نگفت: قانع نشدید بزدل ها، شما قانع شدن بلدید؟ چجور آب و صابون بیاریم روتونِ بشورید؟ #سوال_از_رئیس‌جمهور</t>
  </si>
  <si>
    <t>پوریا فاضل</t>
  </si>
  <si>
    <t>‏‏یک دهه ۶۰ی که ‏‏‏‏‏‏‏‏‏عضو هیچ گروه، دسته، باند و جریان سیاسی نیست.</t>
  </si>
  <si>
    <t>(x,y,z)</t>
  </si>
  <si>
    <t>#بی‌کفایتی_روحانی در چهار مورد از پنج مورد مطرح شده محرز شد، البته چیزی از ارزش‌های #روحانی کم نشده و ما چقدر خوب و مودب و دموکراتیم… حالا دیگه نخود نخود هر کی رود خانه‌ی خود.</t>
  </si>
  <si>
    <t>محمد</t>
  </si>
  <si>
    <t>http://www.translateworld.ir</t>
  </si>
  <si>
    <t>‏دانشجوی کارشناسی ارشد رشته مهندسی فناوری اطلاعات شاخه تجارت الکترونیک</t>
  </si>
  <si>
    <t>خیلی ملت بی لیاقتی هستیم قدر رئیس جمور را نمیدونیم عیب نبود رئیس جمهور از 5 تا سوال فقط 1 دانه را جواب داد ؟ چرا جواب سوال ها را به رئیس جمهور نرسوندید ؟ #سوال_از_رئیس‌جمهور #سوال_از_رئیس_جمهور</t>
  </si>
  <si>
    <t>zoljenan 🌏🇮🇷</t>
  </si>
  <si>
    <t>WHAT IF YOU'RE RIGHT AND THEY'RE WRONG? #MMALover . blocked by @ALETTAOCEANXXXX and @Baharerahnama</t>
  </si>
  <si>
    <t>WorldWide</t>
  </si>
  <si>
    <t>آقای #روحانی حالا گوه خوریش به من نیومده ولی این جلسه چه ربطی به کاخ سفید داشت؟یکم کمتر بخور واسه خودت ضرر داره</t>
  </si>
  <si>
    <t>pezhman's</t>
  </si>
  <si>
    <t>بر همه چیز کتابت بُود، مگر بر آب. و اگر گذر کنی بر دریا، از خون خويش بر آب کتابت کن، تا آن کز پی تو در آید. داند که عاشقان و مستان و سوختگان رفته اند. (خرقانی)</t>
  </si>
  <si>
    <t>میگن جلو سگ پا پس بکشی اون بیشتر میاد جلو و واق واق میکنه. آقای #روحانی منتظر طرح استیضاحت باش. #سوال_از_رئیس_جمهور @Rouhani_ir</t>
  </si>
  <si>
    <t>آسْتاره</t>
  </si>
  <si>
    <t>http://instagram.com/roohollah.zam</t>
  </si>
  <si>
    <t>journalist, The Islamic Republic's opposition</t>
  </si>
  <si>
    <t>France</t>
  </si>
  <si>
    <t>به نظر شما مجلس با قاطعیت با #روحانی برخورد خواهد کرد #سوال_از_رئیس‌جمهور #براندازم #Iran</t>
  </si>
  <si>
    <t>Roohollah Zam</t>
  </si>
  <si>
    <t>News</t>
  </si>
  <si>
    <t>#مجلس يه جورى قبل از رفتن به مجلس حرف ميزدن كه انگار قراربود رفراندوم بشه همه چى درست بشه فقط ميخواستن موضوع تازه اى درست كنن تا وضعوبدتركنن اجازه نميدين مردم حرف بزنن حداقل خودتونم حرف نزنين مردمو بيچاره كردين با اين سياست هاى احمقانه و بى حساب كتابتون</t>
  </si>
  <si>
    <t>saeed arefi</t>
  </si>
  <si>
    <t>شیاطین غلیظ‌تر شده و چهره‌ی پر التهاب خود را بیش از پیش نمایان ساخته‌اند! چه جنگی مقدس‌تر از تقابل با لیبرالیسم که از منجلاب فکرساخته‌های شیطانی زاده شده است!</t>
  </si>
  <si>
    <t>عمو جون ساقیت کیه؟ امروز #روحانی هر چی خواسته تو مجلس گفته و همه رو به مسخره گرفته و با آمارهای قشنگش مرزهای فریب و تقلب رو جابجا کرده بعد تو با وقاحت میگی چرا حقایق رو نگفتی؟! بالای 70 درصد اقتصاد کشور دست دولته بعد توی مفنگی میایی میگی همش تقصیر دولت پنهانه؟! یا للعجب! RT @mostafatajzade: #روحانی می‌توانست با تبیین علل و عوامل اصلی مشکلات کشور گام بلندی در جهت رشد آگاهی‌های عمومی بردارد و مشارکت ملت را برای حل معضلات، خنثی‌کردن کارشکنی‌های دولت پنهان و طمع‌ورزی‌ ترامپ جلب کند. رای منفی مجلس نشان داد نگفتن حقایق رقیب را جری و مردم را ناامید می‌کند.</t>
  </si>
  <si>
    <t>لیبرال‌ستیز</t>
  </si>
  <si>
    <t>یه خردادی دورو! یه دانشجو! یه برادر! ورود همه هم آزاد.ارث بابام که نیست!</t>
  </si>
  <si>
    <t>یعنی یه نفر نبود به پشتوانه ما ملت بزنه تو دهن روحانی؟ #خمینی کجا رفت؟ هل عطا کجا رفت؟ #سوال_از_رئیس‌جمهور</t>
  </si>
  <si>
    <t>ششلول بند بی ششلول</t>
  </si>
  <si>
    <t>‏‏‏‏‏مهندس، بی اعتقاد به چتر، مودّب(فقط بیرون توییتر)</t>
  </si>
  <si>
    <t>قیمتها کماکان رکود میزنن و #مجلس #سوال_از_رییس‌جمهور را به نمایش میگذارد ،استیضاح میکند و نتیجه هیچ شواف تاکی ؟تا کجا؟</t>
  </si>
  <si>
    <t>EHSSAN</t>
  </si>
  <si>
    <t>این روزها اخبار ونزوئلا رو دقیق تر دنبال میکنم. چرا که به نظرم بیش از هر کشوری در حال نزدیک تر شدن به اون مملکت هستیم! تورم سرسام آور، بیکاری! نه اعتراضی، نه انقلابی، نه اصلاحی و نه هیچ! همه در حال گذران زندگانی مفلوکانه و گدایی کردن خرده جرعه های لذت! #مجلس #پراید_چهل_میلیونی</t>
  </si>
  <si>
    <t>مینــــــــا خانوم</t>
  </si>
  <si>
    <t>http://www.nikru.ir/</t>
  </si>
  <si>
    <t>پایگاه خبری نیک رو ، رسانه مستقل و پويايی است برای انعکاس رخدادهای ايران و جهان در حوزه های مختلف فرهنگ ، اجتماعی و فناوری .</t>
  </si>
  <si>
    <t>https://pbs.twimg.com/media/DlrV-THVAAEY_wG.jpg</t>
  </si>
  <si>
    <t>http://www.nikru.ir/16955-/4.html</t>
  </si>
  <si>
    <t>روحانی :مشکل #اشتغال ، #بیکاری و #قیمت_ارز و ... را قبول دارم | #نماینده_طرقبه خطاب به #رئیس‌جمهور : مگر ارزیابی از ذخایر طلای خود نداشتید؟! +فیلم #ذخایر_طلا #مجلس #روحانی_مجلس #رئیس‌جمهور_مجلس #نیک_رو</t>
  </si>
  <si>
    <t>پایگاه خبری نیک رو</t>
  </si>
  <si>
    <t>‏اهل ایرانم روزگارم بد نیست دل من آرام است رهبری دارم رهرو راه علی(ع) و در این طوفانها چشم در چشم دل او بستم و دلم چون یک کوه تکیه دارد به دل دریایش!</t>
  </si>
  <si>
    <t>ایلام_آبدانان_سرابباغ</t>
  </si>
  <si>
    <t>هموطنان عزیز نگران نباشید طبق گفته رئیس جمهور اوضاع اقتصادی عالی است و ما در مملکت گل و بلبل زندگی میکنیم😎😎 #سوال_از_رییس‌جمهور</t>
  </si>
  <si>
    <t>خدایا مرا پاکیزه بپذیر</t>
  </si>
  <si>
    <t>https://www.manoto.news</t>
  </si>
  <si>
    <t>اتاق خبر هر روز از ساعت ۲۱:۰۰ در تلویزیون من و تو . #منوتوخبر‌‌‌‌‌‌‌‌‌‌- ایمیل گزارشگر: Gozaresh@manoto.news تلگرام: 00447590899999</t>
  </si>
  <si>
    <t>pic.twitter.com/C6EOBiFycF</t>
  </si>
  <si>
    <t>حسن #روحانی می‌گوید در دو دوره ریاست جمهوری‌اش تلاش بسیار کرده و مشکلات #بیکاری و معیشتی مردم را حل کرده شما عملکرد دولت یازدهم و دوازدهم را چطور ارزیابی می‌کنید؟</t>
  </si>
  <si>
    <t>ManotoNews</t>
  </si>
  <si>
    <t>‏‏‏‏خنک آن قماربازی، که بباخت هرچه بودش بنماند هیچش الا: هوس قمار دیگر</t>
  </si>
  <si>
    <t>wherever I may roam</t>
  </si>
  <si>
    <t>قوه تحت‌الامر علی لاریجانی از پاسخ رئیس جمهور اعتدالی که با ائتلاف ایشان تایید صلاحیت شده بود و با مشورت ایشان کابینه تعیین کرده بود، قانع نشد!!! لذا ماجرا به قوه تحت‌الامر صادق‌ لاریجانی ارجاع شد!! یه کلاف نخ دارم بگیر داداش #روحانی #سوال_از_رئیس‌جمهور</t>
  </si>
  <si>
    <t>mori</t>
  </si>
  <si>
    <t>متولد دهه هفتاد ولی زندانی تاریخ/تاریخ تکرار میشه/دعا کنین قشر ضعیف رو فراموش نکنیم/دانشجو اونم از نوع معمولیش</t>
  </si>
  <si>
    <t>روحانی: ایران گل و بلبله شما حواستون نیس نماینده ها: احسنت ، به به ملت ایران : :/ #سوال_از_رئیس‌جمهور</t>
  </si>
  <si>
    <t>عطا الله</t>
  </si>
  <si>
    <t>عضو انجمن دانشجويان مستقل ،تحلیلگر سیاسی،حقوق خوان</t>
  </si>
  <si>
    <t>Isfahan</t>
  </si>
  <si>
    <t>طبق ماده ۲۱۳قانون، چنانچه نمایندگان از پاسخهای رئیس‌جمهور قانع نشوند، موضوع موردسوال، نقض یا استنکاف از قانون محسوب و سوالات به #قوه_قضاییه ارسال میشود بیچاره مردم که این پرونده هم افتاد زیر دست قوه‌ی عاری از #شفافیت و مملو از تعلل در رسیدگی به پرونده‌ها! #سوال_از_رییس‌جمهور</t>
  </si>
  <si>
    <t>Sadegh Karami</t>
  </si>
  <si>
    <t>https://t.me/Nashenastel_bot?start=u570047539</t>
  </si>
  <si>
    <t>“گاه در‌ اندیشه فردای ناپیدا هراسان،گه به حسرت عمر ماضی را به دندان لب گزیدن‌” 🌱امیدوار، عدالت‌طلب، آزادی‌خواه، دانشجوی طب...[ پذیرای هر تفکری بشرط احترام]</t>
  </si>
  <si>
    <t xml:space="preserve">در جستجوی همسر  ((: </t>
  </si>
  <si>
    <t>#روحانی اگر بخوام میتونم به رییس بانک مرکزی بگم جوری عمل کنه ظرف دوهفته قیمت ارز بشه مثل پارسال!! خب مگه مرض داری نمیگی؟! #سوال_از_رئیس_جمهور</t>
  </si>
  <si>
    <t>Arman🎗</t>
  </si>
  <si>
    <t>‏‏‏‏گاهی بخند نگذار یادم بره دوستم داری... خیلی دوست دارم یه روز دوباره نگاهم به نگاه بعضی ها بیفته</t>
  </si>
  <si>
    <t>https://pbs.twimg.com/media/DlrWMm8XsAEe4wa.jpg</t>
  </si>
  <si>
    <t>روحانی در پاسخ به دعوت آیت الله خاتمی جهت پاسخگویی سران قوا در #مجلس_خبرگان (به خبرگان نمیروم ) #سوال_از_رئیس‌جمهور</t>
  </si>
  <si>
    <t>Shiva</t>
  </si>
  <si>
    <t>‏‏‏‏‏‏‏‏‏‏‏‏‏‏‏‏‏‏‏‏‏‏‏‏‏‏‏‏‏‏‏‏‏‏‏‏‏‏‏‏‏‏‏‏‏‏‏‏‏‏‏‏‏‏‏‏‏</t>
  </si>
  <si>
    <t>خارج</t>
  </si>
  <si>
    <t>https://pbs.twimg.com/media/DlrWO1zWwAAVqC2.jpg</t>
  </si>
  <si>
    <t>وقتی می شنوی رییس جمهور، تو مجلس گفته برجام تقصیر مردم بود! #سوال_از_رییس‌جمهور</t>
  </si>
  <si>
    <t>خانم ایرانی (۳روز تا غدیر)</t>
  </si>
  <si>
    <t>کار اصلی راننده تاکسی ها از فردا شروع میشه #روحانی_خفه_شو #سوال_از_رئیس‌جمهور #سوال_از_رئیس_جمهور</t>
  </si>
  <si>
    <t>‏‏‏اَللّهُمَّ عَجِّل لِوَلیِّکَ الفَرَج...</t>
  </si>
  <si>
    <t>امروز |۶ شهریور ۹۷| برای همه روشن شد که حسن روحانی سرباز وفادار اُلیگارشی است و بجای دفاع از حقوق اساسی ملت مظلوم و بزرگ ایران، تمام تقصیرها را بر گردن مردم انداخت! محمود #احمدی‌نژاد اما در ۱۵ بهمن ۹۱ اثبات کرد که تا آخرین نفس، حامی منافع مردم است! #سوال_از_رئیس‌جمهور</t>
  </si>
  <si>
    <t>Babak Daryabak</t>
  </si>
  <si>
    <t>اصلا ارز ما کاهش پیدا نکرده که کی گفته ارز ما کاهش یافته؟ احتیاط دولته که ارز رو کاهش داده من اگه بخوام ... قیمت ارز میرسه به قیمت پارسال :/ پ.ن: فکر کنم ارز رو با عرض اشتباه گرفته! #سوال_از_رییس‌جمهور</t>
  </si>
  <si>
    <t>چقدر این دولت و موتور گازی شبیه همدیگه اند... بدون قدرت ولی پر سرو صدا #سوال_از_رئیس‌جمهور</t>
  </si>
  <si>
    <t>چون رستی از زندان بگو / تا ما درین حبس آن کنیم</t>
  </si>
  <si>
    <t>کوچه اختر</t>
  </si>
  <si>
    <t>#سوال_از_رییس_جمهور را از رادیو می‌شنوم. صدای محیط #مجلس شبیه صدای محیط استخر هست =))</t>
  </si>
  <si>
    <t>ماهور</t>
  </si>
  <si>
    <t>https://pbs.twimg.com/media/DlrVsE_WsAUP49M.jpg</t>
  </si>
  <si>
    <t>چرا قانع نشدید؟مگه دفعه اولتون است که این همه دروغ میشنوید؟6 ساله گذاشتمتون سر کار!پول خوب هم که گرفتید!دیگه چه مرگتونه! ای خدا! #استیضاح #محاکمه</t>
  </si>
  <si>
    <t>saboor shakiba</t>
  </si>
  <si>
    <t>انسانگرا هستم و معتقد به خداوند یگانه.انسانها برابر و برادرند.دین خدا دین ابراهیم و جهان وطن من است.</t>
  </si>
  <si>
    <t>pic.twitter.com/EQzrOYSNuw</t>
  </si>
  <si>
    <t>https://twitter.com/paddolat/status/1034372971580809221</t>
  </si>
  <si>
    <t>وقایع ۸۸ و سفارت انگلیس توسط ایادی ملعون #هاشمی نقشی در تحریمهای ۹۱ نداشت ولی یک اعتراض کوچک نقش گسترده داشت. یکی این #روحانی رو جمع کنه محض رضای خدا. RT @PadDolat: 🎥 «اظهارات مهم روحانی در خصوص تاثیر ناآرامی های دی ماه بر اوضاع تصمیم ترامپ و شرایط فعلی»</t>
  </si>
  <si>
    <t>بهار نزدیک است🇮🇷</t>
  </si>
  <si>
    <t>پژوهشگر اقتصاد پول و بانك Researcher in Money and Banking System</t>
  </si>
  <si>
    <t>Malaysia</t>
  </si>
  <si>
    <t>١-٥ پاسخ قانع كننده نبود همانطوركه ١+٥ موفق نبود. #روحاني بايد استراتژي ٤-٥ (#تغيير_تيم_اقتصادي) را انتخاب كند تا در ١-٤ سال باقي مانده موفقتر عمل كند. #سوال_از_روحانی #سوال_از_رييس_جمهور</t>
  </si>
  <si>
    <t>Reza Gholami, Ph.d in Economics</t>
  </si>
  <si>
    <t>‏‏‏‏الهی هب لی کمال الانقطاع الیک. اگه تو از تبار مرحبی ما از تبار حیدریم</t>
  </si>
  <si>
    <t>احتمالا الان #روحانی به تلافی قانع نشدن نماینده ها، داره به تک تکشون زنگ میزنه، میگه سلام قطع میکنه #سوال_از_رئیس‌جمهور</t>
  </si>
  <si>
    <t>راه عمار</t>
  </si>
  <si>
    <t>https://twitter.com/famil_door/status/1034333456761868288</t>
  </si>
  <si>
    <t>یاد ترور ناموفق مغروق استخر افتادم... #سوال_از_رئیس‌جمهور RT @famil_door: حتی اگه روحانی رو هم ترور نافرجام کرده بودن بازم هیشکی از جواب‌هایی ‌که داد قانع نمیشد #سوال_از_رییس‌جمهور</t>
  </si>
  <si>
    <t>دانشجوی ارشد علوم سیاسی /خبرنگار و فعال رسانه ای /اگر هم نظر نیستیم ولی هموطن هستیم</t>
  </si>
  <si>
    <t>تعیین تکلیف ۴ سؤال نمایندگان از روحانی باید به دادگاه کارکنان دولت ارجاع شودتا دادگاه تعیین کند چه مواردی مطابق یا خلاف قانون بوده است،اما باز هیئت رئیسه مجلس با اعمال نفوذ خود جلوی ارسال به قوه قضاییه را گرفت و آن را منوط به جمع‌بندی و نظر حقوقی مجلس کرده است #سوال_از_رئیس‌جمهور</t>
  </si>
  <si>
    <t>نازنین کمالی</t>
  </si>
  <si>
    <t>‏‏‏‏‏‏‏‏‏‏‏‏‏‏‏‏‏‏‏‏‏‏‏‏‏‏‏‏‏‏‏حمال کت و شلواری، مشاور امور بیخود اقتصادی، منطق ستیز در ضمن ی مقداری وقت کم صرف شده برا تربیتم 💙</t>
  </si>
  <si>
    <t>از کدوم طرف آدرس بدم؟</t>
  </si>
  <si>
    <t>https://pbs.twimg.com/media/DlrW-ldW4AAuC63.jpg</t>
  </si>
  <si>
    <t>ما امسال ی مقدار اشتغال خالص صادر کردیم نروژ از بس مازاد بود، بعد تو میای از من شکایت بیکاریو میکنی گولاخ؟؟ #روحانی_خفه #روحانی_خفه_شو #روحانی #این_انتخاب_من_نیست</t>
  </si>
  <si>
    <t>ی ایرانی عصبی</t>
  </si>
  <si>
    <t>۹ فصل متوالی دارای رشد اقتصادی بودیم! تازه از دو دولت قبلی هم بیشتر بوده😊 پ. ن: باشه اصلا تو خوبی! از اشتغال چه خبر؟ #سوال_از_رییس‌جمهور</t>
  </si>
  <si>
    <t>پاسکاری دوبرادر بهم!! روحانی هم که هیچ وقت اهل حساب پس ندادن نیست.... #سوال_از_رئیس_جمهور</t>
  </si>
  <si>
    <t>یسنا</t>
  </si>
  <si>
    <t>مثل اينكه روحانى و وزراش هنوز باور نكردند اين مملكت دست امام زمانه حالا هى حرف مفت و بي ارزش بزنن ، هى دروغ بگن ، هى شرايط زندگى رو براى مردم سخت تر كنند بالاخره كه يه روزى بايد جواب پس بدن 😏 #سوال_از_رییس‌جمهور #اللهم_عجل_لوليک_الفرج</t>
  </si>
  <si>
    <t>https://telegram.me/harfbemanbot?start=NzE0MzUxMTA</t>
  </si>
  <si>
    <t>‏‏‏‏‏‏‏‏‏‏‏‏‏‏‏‏‏‏‏‏‏‏‏‏/‏‏‏‏‏‏‏‏‏‏‏‏‏‏‏‏‏Archer Forever/ دوستدار ایدئولوژی اسلام وانقلاب /منتقد جدی عرزشی ها/روزمره نویس/هردوست یا آشنایی رو بلاک میکنم/#INTJ</t>
  </si>
  <si>
    <t>Islamic Republic of Iran/shrz</t>
  </si>
  <si>
    <t>میگه اگ به مسافر ارز نمیدادیم میرفت کوچه پس کوچه!!! خب شیخ کار صرافی ها رو قانونی میکردی نمیرفتن کوچه پس کوچه #روحانی</t>
  </si>
  <si>
    <t>Muhammad  🏴</t>
  </si>
  <si>
    <t>https://pbs.twimg.com/media/DlrXMLxX4AEdMt0.jpg</t>
  </si>
  <si>
    <t>وقتی سنتی و صنعتی را با هم بزنی نتیجه آن خواهد شد که شانتاژها، دروغ‌پردازی‌ها و آمارسازی‌های #روحانی را نمی‌بینی! وقتی از فرط خماری مجبور می‌شوی جنس خراب بزنی نتیجه‌ آن خواهد شد که آلزایمر گرفته و فراموش میکنی که بیش‌از 70 درصد اقتصاد کشور در دستان دولت کلید است نه دولت پنهان!</t>
  </si>
  <si>
    <t>http://www.instagram.com/ef_sadat</t>
  </si>
  <si>
    <t>‏‏‏‏‏‏‏‏ترکیب فلسفه، حقوق، ادبیات و جنون / می نویسم هم! (فا_سین_میم)</t>
  </si>
  <si>
    <t>تهران ، ساری و گهگاهی قم!</t>
  </si>
  <si>
    <t>ازش ۵تا سوال پرسیدن، از جواب ۴تاش قانع نشدن! میفهمی یعنی چی؟ :) #جمهوری_اسلامی_ایران #سوال_از_رییس‌جمهور</t>
  </si>
  <si>
    <t>Ef_sadat</t>
  </si>
  <si>
    <t>Poet &amp; Writer | Computer Engineer | Graphic Designer || I often write and comment on #comedy ‏‏‏‏‏‏‏‏‏‏‏‏‏‏‏‏‏‏‏‏‏‏‏‏in politics, culture, and society subjects.</t>
  </si>
  <si>
    <t>Shahr-e Kord “Roof of Iran”</t>
  </si>
  <si>
    <t>.. بارم هر سوال: ۴ نمره پاسخ قابل قبول: ۱ سوال (نمره از ۲۰) __________ با ارفاق چهار ۴ نتیجه: مردود #سوال_از_رییس‌جمهور</t>
  </si>
  <si>
    <t>https:))پروفسور گارودی📖🖊</t>
  </si>
  <si>
    <t>‏‏‏‏‏‏من سقیفه ای نیستم من غدیری ام لعن علی عدوک یا علی انا افتَخِر فی حِزبی ولایَت فقیه</t>
  </si>
  <si>
    <t>من #سوال_از_رییس‌جمهور دارم ؟؟ چند نخود واریاسیون نقره ای برای رنگ ساژ ریشتون استفاده میکنید اینقدر برق میزند .</t>
  </si>
  <si>
    <t>حمیدرضا عبدالمنافی(تا غدیر ۲ روزمانده)</t>
  </si>
  <si>
    <t>‏‏‏‏‏متولد بیست و چهارمین روز سومین ماه پاییز، آن روز دوشنبه بود...</t>
  </si>
  <si>
    <t>Isfahan, Iran</t>
  </si>
  <si>
    <t>اینکه بدانی تا چه زمانی باید در قدرت بمانی، و کی باید بروی، کی سکوت کنی، کجا حرف بزنی، و چه چیز را جواب بدهی و چه چیز را بی پاسخ بگذاری،... مهمترین مهارتهای مورد نیاز یک سیاستمدار است. #روحانی #سوال_از_رییس‌جمهور #توصیه_برادرانه</t>
  </si>
  <si>
    <t>مجتبی شاه مرادی</t>
  </si>
  <si>
    <t>https://ift.tt/2wmayR8</t>
  </si>
  <si>
    <t>New post in پاراگراف (صدای شما): واكنش بازار به صحبت هاى قانع كننده و تخصصى حسن #روحانى در #مجلس: دلار ١١هزار تومان، یورو ١٢هزار و ٥٠٠ تومان و پوند ١٣هزار و ٨٠٠تومان. سكه، حدود ٤ ميليون تومان. @PARAGRAPH1</t>
  </si>
  <si>
    <t>با قمه بریم بهارستان یا دیره؟ #سوال_از_رئیس‌جمهور</t>
  </si>
  <si>
    <t>اینجا بنا است خانه ای باشد برای افکار یک کوهنورد خسته .. #کرد_ایرانی</t>
  </si>
  <si>
    <t>واکنش ما بعد از صحبت های امروز #روحانی این می تونه باشه توپ تانک فشفه #روحانی دقت کن ..!</t>
  </si>
  <si>
    <t>داریا</t>
  </si>
  <si>
    <t>‏‏‏‏‏‏‏‏‏‏‏‏روانشناسی خوانده/ انیماتور دلی/نیمچه جهادی/خادم گنبد فیروزه ای/ پذیرای حرف حق با همه ی تلخی هاش 🌸دایرکت ممنوع</t>
  </si>
  <si>
    <t>به سلامتی دولت محرمانه ها تبدیل شد به دولت #احتیاط ها #سوال_از_رییس‌جمهور</t>
  </si>
  <si>
    <t>زهرا عابد</t>
  </si>
  <si>
    <t>#براندازم/عرزشي،استمرارطلب،مجاهد⛔️تضمين رفاه،آزادي و دموكراسي مردم كشورم رو با شاهزاده رضا پهلوي ميدونم/اگربه قصد فالو آنفالو، فالو ميكني، فالو نكن دوست عزيزم🙏</t>
  </si>
  <si>
    <t>آقاي #روحاني باشه حرفات قبول، تو راست ميگي، اما دستات چرا ميلرزه گُلم🤔😬</t>
  </si>
  <si>
    <t>من به شخصه وقتی ترامپ از برجام خارج شد یکم ترسیدم، ولی وقتی بعدش روحانی گفت "اصلا نگران نباشید" دارم می‌لرزم😐 #روحانی_خفه_شو #سوال_از_رئیس‌جمهور #سوال_از_رئیس_جمهور</t>
  </si>
  <si>
    <t>https://pbs.twimg.com/media/DlrXlFuU0AEBZe5.jpg</t>
  </si>
  <si>
    <t>http://www.nikru.ir/16956-/6.html</t>
  </si>
  <si>
    <t>واکنش #روحانی به ماجراهای #فیضیه : #رییس_جمهور رو #تهدید_به_مرگ می‌کنند +فیلم #تهدید_روحانی #تهدید_به_مرگ_روحانی #فیضیه_روحانی #نیک_رو</t>
  </si>
  <si>
    <t>Actor, Filmmaker, Filmeditor, PC developer</t>
  </si>
  <si>
    <t>IR IRAN</t>
  </si>
  <si>
    <t>https://pbs.twimg.com/media/DlrXnvsX4AE-FrR.jpg</t>
  </si>
  <si>
    <t>ایران از نظر #روحانی</t>
  </si>
  <si>
    <t>nik</t>
  </si>
  <si>
    <t>https://t.me/AliNasriTelegram</t>
  </si>
  <si>
    <t>عجیب که همه تحلیلگران٬ سیاستمداران و مردم موافقند که وضعیت اقتصادی امروز عوامل متعددی دارد - خروج آمریکا از برجام٬ جنگ‌ اقتصادی٬ جنگ‌روانی٬ جدالهای جناحی٬ حجم نقدینگی٬ اختلاس٬ احتکار٬ قاچاق..- اما همگی نیز توافق ضمنی کردند که به جای #هم‌افزایی تمام کاسه‌ها را بر سر #روحانی بشکنند</t>
  </si>
  <si>
    <t>Ali Nasri</t>
  </si>
  <si>
    <t>contributor to @Almonitor</t>
  </si>
  <si>
    <t>Helsinki, Finland</t>
  </si>
  <si>
    <t>زمانی که گفتم جلسه #سوال_از_رئیس‌جمهور تشریفاتی است به همین دلیل بود که #روحانی به خوبی می‌دانست حتی پاسخ هم ندهد و نمایندگان قانع هم نشوند این سوالات به قوه‌قضاییه نخواهد رفت، چون از چند روز قبل با رهبر ایران #خامنه‌ای معامله کرد که سکوت کند و جلسه‌ای تشریفاتی برگزار شود.</t>
  </si>
  <si>
    <t>Saeed Aganji</t>
  </si>
  <si>
    <t>من به شما قول میدم که هیچکاری بدون مشورت و خرد جمعی انجام نمیدم! پ. ن: خردجمعی تون اینه خودسری و تک روی تون چیه آقای فریدون؟ #سوال_از_رییس‌جمهور</t>
  </si>
  <si>
    <t>برادران وخواهران بدانید تخریب خرابی می‌آورد. رئیس جمهوری گفت. #روحانی</t>
  </si>
  <si>
    <t>جان آنلاک</t>
  </si>
  <si>
    <t>‏نیمه ی زمستونِ ۶۹ به دنیا اومدمُ دیپلمه ی آرایشگری ام عشقِ سینما و تاریخ و غذا و پیدا کردن دوستایی از جان عزیزتر. ایمان دارم آخرش همه چی درست میشه...</t>
  </si>
  <si>
    <t>https://pbs.twimg.com/media/DlrXvoJX0AAT5gk.jpg</t>
  </si>
  <si>
    <t>تخریب ٫ خرابی می آورد ... این جمله تهدید به حساب میاد ؟ نمیاد ؟ #روحانی</t>
  </si>
  <si>
    <t>رحیمی.</t>
  </si>
  <si>
    <t>‏هرچه میکنید در این دوران... زنده بمانید فقط</t>
  </si>
  <si>
    <t>pic.twitter.com/k4jnRgP6PC</t>
  </si>
  <si>
    <t>تنها حرف درستی که #روحانی زد</t>
  </si>
  <si>
    <t>Makavelistik</t>
  </si>
  <si>
    <t>‏‏‏‏‏‏‏‏‏‏‏‏‏‏‏‏‏‏‏ حق کدوم وَره؟ من همون وَرم</t>
  </si>
  <si>
    <t>استخر فرح واقع در تل آویو</t>
  </si>
  <si>
    <t>https://pbs.twimg.com/media/DlrXyLWXgAAj4Nk.jpg</t>
  </si>
  <si>
    <t>روحانی : خب من شمارو رو چی گفتم؟ نمايندگان مجلس : چی گفتی... روحانی : از تسمشس 😅 نمایندگان مجلس :از تسمشس؟ این پاسخه تو داري ميدي😢 #سوال_از_رییس‌جمهور #روحانی</t>
  </si>
  <si>
    <t>رئیس جمهور بـ👁️ـاخ🇮🇷</t>
  </si>
  <si>
    <t>حالا آیا "امروز با پدیده ای روبرو هستیم که راست راست جلو مردم می ایستند و دروغ میگویند" ؟ یا نه؟! #قالیباف #روحانی</t>
  </si>
  <si>
    <t>http://Telegram.me/sabetitelegram</t>
  </si>
  <si>
    <t>وَ کَمْ مِنْ ثَنَاءٍ جَمِیلٍ لَسْتُ أَهْلاً لَهُ نَشَرْتَه...</t>
  </si>
  <si>
    <t>در بخشی از جلسه امروز مجلس #روحانی گفت: "هر وقت با وزرا کار داریم میگویند مجلس هستند"، #لاریجانی هم به شوخی گفت: "ولی ما که نمی بینیم! ببینید کجا هستند!؟" اما شوخی یا جدی علی جنتی، محمدعلی نجفی و برخی مسئولین سابق و فعلی بهتر میتوانند این سوال را پاسخ دهند...</t>
  </si>
  <si>
    <t>امیرحسین ثابتی</t>
  </si>
  <si>
    <t>آقای #روحانی دوست دارم فازت رو داشته باشم. چون این طوری فکر میکنم تو سوییس زندگی میکنم و مشکلی هم ندارم. #استیضاح_روحانی</t>
  </si>
  <si>
    <t>Mostafa Saeedi</t>
  </si>
  <si>
    <t>http://tlg.me/alireza_pir</t>
  </si>
  <si>
    <t>‏‏خدایا تو این دنیا به این کثیفی این دل پاک چی بود به من دادی؟؟؟</t>
  </si>
  <si>
    <t>منم از #رییس_جمهور سوال دارم؟؟ اخوی چی میزنی،که اینقد مملکت و گل و بلبل میبینی؟؟؟؟ #سوال_از_رئیس‌جمهور #سوال_از_رئیس_جمهور #روحانی_شارلاتان #روحانی_خفه #روحانی_خفه_شو #این_انتخاب_من_نیست #استخرِ_فرح</t>
  </si>
  <si>
    <t>be chokh rafte</t>
  </si>
  <si>
    <t>داریم تاوان یه چیزیو میدیم که نه مسبب‌ش بودیم، نه توش دخالتی داشتیم، نه اصن میدونیم چی هست #روحانی_خفه_شو #سوال_از_رئیس‌جمهور #سوال_از_رئیس_جمهور</t>
  </si>
  <si>
    <t>http://daarvh.blogfa.com</t>
  </si>
  <si>
    <t>Persian Language&amp;Literature/Be Kind/خبرگزاری فرنازنیوز/#قلم_روز @perspolisFcIran @FCBarcelona</t>
  </si>
  <si>
    <t xml:space="preserve">Tehran, Iran </t>
  </si>
  <si>
    <t>https://twitter.com/pouriazeraati/status/1034343134090743809</t>
  </si>
  <si>
    <t>#روحانی از مقام ریاست جمهوری می‌خواد یک شبه پرش کنه به مقام ...! عزیزم نمیشه که ممکنه فردا دیگه نه تو نباشی و نه شک هات ... RT @pouriazeraati: سراسر فرافكنى؛ #روحانی در #مجلس: 'رهبری نکاتی را درباره جلسه امروز به من فرمودند، امیدوارم رعایت کنم. چرا عده ای نسبت به عظمت نظام دچار شک شده اند؟ این شک را باید درمان کنیم. باید برای مردم توضیح دهیم که ازمشکلات با هدایت رهبری عبور خواهیم کرد. نمی گذاریم توطئه آمریکا عملی شود.'</t>
  </si>
  <si>
    <t>Farnaz🎗</t>
  </si>
  <si>
    <t>http://www.hajfathi.ir</t>
  </si>
  <si>
    <t>#طلبه. از نفس افتاد اما، #ولی_خدا را تنها نگذاشت! استراحت بعد از #شهادت.</t>
  </si>
  <si>
    <t>با افتخار ؛جمهوری اسلامی ایران</t>
  </si>
  <si>
    <t>طرح سوال از رئیس جمهور اگر از شبکه نسیم پخش می شد بهتر نبود؟! #سؤال_از_رئیس_جمهور</t>
  </si>
  <si>
    <t>حاج فتحی</t>
  </si>
  <si>
    <t>امروز چنان سخنرانی پرشوری از آقای روحانی توی مجلس دیدیم،که فقط قبل انتخابات دیده بودیم،اون موقع هم اینطوری پرشور و با وعده های عمل نکرده،۲۴ میلیون رای آوردن!!! ایکاش ازشون سوال میکردن،با ظرفیتهای ملی کشور چیکارا کردین؟ #سوال_از_رییس‌جمهور #اگربخواهید</t>
  </si>
  <si>
    <t>Maryam.arvand</t>
  </si>
  <si>
    <t>🔵 حزب‌الشّیطان (#حزب_الله) امید دارد پس از سقوط روحانی، یک دولتی بیاورد و "جمعش" کند. در سقوط #روحانی با شما همداستانیم امّا دولتتان را همچون دولت روحانی "لوله" کرده و حواله رهبرتان می‌کنیم. ⭕️ @PahlaviReza ⭕️ @ManookKhodabak1</t>
  </si>
  <si>
    <t>⚜️شاهرضا⚜️</t>
  </si>
  <si>
    <t>لولی وش مغموم،سنگ تیپا خورده،دشنام پست آفرینش</t>
  </si>
  <si>
    <t>بین زمین و آسمون</t>
  </si>
  <si>
    <t>سوالات از #روحانی برخلاف پیش بینی ها اکثرا منطقی و درست بودند اما جواب های روحانی هم برخلاف انتظار در اکثر موارد ناامید کننده بود. #سوال_از_رئیس‌جمهور #مجلس</t>
  </si>
  <si>
    <t>Bee_man</t>
  </si>
  <si>
    <t>‏‏‏‏‏تاوقتی حال ایران خوب نیست. حال هیچ ایرانی خوب نخواهد بود... مجاهد و عرزشی⚠️</t>
  </si>
  <si>
    <t>جناب روحانی جوری دروغ بگوید ک پیشوایتان گفت؛ نه به این رسوایی #روحانی #روحانی_خفه_شو</t>
  </si>
  <si>
    <t>zhooki</t>
  </si>
  <si>
    <t>مبارزه با قاچاق تنها کار دولت و دستگاه اجرایی نیست! همه با هم ... پ.ن: استاد بزرگِ فرافکنی هستی لامصب چرا دوره نمیذاری بیایم پای درسِت؟ #سوال_از_رییس‌جمهور</t>
  </si>
  <si>
    <t>‏‏‏در مکتب من انقلاب وایران بدون عدالت برای مستضعف بازهم لجنزار طاغوت است وتا آن روز من انقلابی خواهم بود</t>
  </si>
  <si>
    <t>آخرین مردم سالار رو به ناپاکی متهم کردند تا حاکم سالار مقدس بماند. #روحانی شارلاتانی معتدل از طبقه حاکم است.</t>
  </si>
  <si>
    <t>انقلاب ۱۳۵۷</t>
  </si>
  <si>
    <t>‏‏‏‏‏‎‎‎‎‎#عاشقی_درد_سری_بود_نمیدانستیم</t>
  </si>
  <si>
    <t>زیر آسمان کبود</t>
  </si>
  <si>
    <t>اینی که وقتی نماینده ها از سوال قانع نمیشوند و ارجاع میشه به قوه قضاییه یه چیزی مثل معرفی به استاد توی دانشگاه ه یا من اشتباه میکنم؟ 🤔 #سوال_از_رییس‌جمهور</t>
  </si>
  <si>
    <t>سعید قمری</t>
  </si>
  <si>
    <t>۱۴ مارس ۱۸۷۹ چشم به جهان گشودم کجاشو نمی دونم بقیه چیزارم تکذیب می کنم</t>
  </si>
  <si>
    <t xml:space="preserve">آلمان </t>
  </si>
  <si>
    <t>این قضیه شفافیت آرای نمایندگان رو جدی بگیرید و مطالبه کنید که اگه بشه استیضاح روحانی دیدن داره #شفافیت_آراء_نمایندگان #روحانی #استیضاح_روحانی</t>
  </si>
  <si>
    <t>حاج انیشتین</t>
  </si>
  <si>
    <t>‏‏‏‏‏‏‏‏‏‏‏‏‏‏‏‏‏‏‏گویند شیخ چرا کنج عزلت بنشسته ای،آخَر فقط اینجا آنتن می دهد. «فیلسوفِ طنزِ سیّاس»</t>
  </si>
  <si>
    <t>متفرق سیتی</t>
  </si>
  <si>
    <t>روحانی به همه ۵ سوال نمایندگان یک جواب غلط داد ولی به دلیل حاضر نشدن طرف مقابل مناظره (رئیس جمهور )،وی به دور بعد صعود کرد. #سوال_از_رییس‌جمهور #روحانی</t>
  </si>
  <si>
    <t>نیو شِیخ</t>
  </si>
  <si>
    <t>Foreign Affairs Correspondent</t>
  </si>
  <si>
    <t>Brussels, Belgium</t>
  </si>
  <si>
    <t>آیا #اروپا در ارتباط با #برجام از #آمریکا حمایت میکند؟ مکرون در پاسخ به تقاضای #روحانی برای تسریع کمکهای وعده داده شده به فروش نفت، گفته است باید مذاکرات بیشتری در مورد برنامه موشکی و نقش ایران در خاورمیانه انجام شود.</t>
  </si>
  <si>
    <t>Fariba Mavaddat</t>
  </si>
  <si>
    <t>ریتوئیت به معنای تایید فرد نیست,خودتون میدونین دیگه؟! https://telegram.me/HarfBeManBot?start=MTExMjcyMzUw</t>
  </si>
  <si>
    <t>به نظرم دیگه باید اعتراف کرد محمود از #روحانی بهتر بود :)))</t>
  </si>
  <si>
    <t>اینجانب</t>
  </si>
  <si>
    <t>‏‏‏‏آتئیست، نئولیبرال، جهان وطن، علمگرا، پزشک، تحریم می کنم پس هستم، پرسپولیسی و رئالی. ورود همه آزاد است حتی استمرارطلب عرزشی سلطنت طلب و مجاهد به جز نژادپرست</t>
  </si>
  <si>
    <t>Earth</t>
  </si>
  <si>
    <t>اگر رئیس جمهور نداشتیم چی میشد؟ تورم از اینی که هست پایینتر بود. میپرسید چجوری؟خیلی ساده: بعدازدفاع جانانه #روحانى در #مجلس: دلار ١١هزار تومان، یورو ١٢هزار و ٥٠٠ تومان و پوند ١٣هزار و ٨٠٠تومان، سكه، حدود ٤ ميليون تومان. بیاید این پست ریاست جمهوری ر حذف کنیم با تحریم انتخابات بعدی</t>
  </si>
  <si>
    <t>سم هریس ایرانی</t>
  </si>
  <si>
    <t>‏‏اللّهُمَّ اجْعَلْ عَواقِبَ امُورِنا خَیْراً (f . kh‎)</t>
  </si>
  <si>
    <t>روحانی: ماداریم احتیاط میکنیم. پ ن :احتیاطی که ظرف چند ماه ، عده ای رو میلیاردر کرد و بسیاری را به خاک سیاه نشاند. #سوال_از_رییس‌جمهور #احتیاط_نمایشی</t>
  </si>
  <si>
    <t>گلپر</t>
  </si>
  <si>
    <t>http://Instagram.com/mahdi.m_61</t>
  </si>
  <si>
    <t>🌹انَا شيعي و اَفتخر🌹 اشـتباهاٺ ما را بہ پاے خودمان بگذارید نہ دین و مذهبمـان 💚 أمیرالمُؤمِنین علـــے ع💚 گاهے نویسنده مهندس عمــران دانشجوي ارشد</t>
  </si>
  <si>
    <t>واقعا این حجم از بی صداقتی را فقط در دولت تدبیر میتوان دید ! ماندم که چجور یک #روحانی عمامه به سر ، چنین آمارهای دروغی را درباره اشتغال و ... زد، ولی سقف مجلس خراب نشد ... الله اکبر ازین همه تحمل خدا ... #سوال_از_رییس_جمهور</t>
  </si>
  <si>
    <t>محمد مهدي معنوي</t>
  </si>
  <si>
    <t>https://pbs.twimg.com/media/DlrYdtBW4AUTy5i.jpg</t>
  </si>
  <si>
    <t>نمایندگان از پاسخ رئیس جمهور درباره سوال سوم درباره نرخ #بیکاری #قانع نشدند. #سوال_از_رئیس‌جمهور</t>
  </si>
  <si>
    <t>مُشـــــــــاجِـــــــــرِہ</t>
  </si>
  <si>
    <t>"اشتغال بسیار مهم است، بیکاری درد بزرگی است." هم او گفت، رئیس جمهوری. #روحانی</t>
  </si>
  <si>
    <t>‏‏‏‏‏‏‏‏‏‏‏‏وی با شرکت در مجالس و بیان طنزآمیز و بهلول گونه حقایق و انتقادات زمان خود را بیان می‌نمود</t>
  </si>
  <si>
    <t>تا مبارزه هست ما هستیمـ</t>
  </si>
  <si>
    <t>اِگه #استخرِ_فرح تهدید حساب میشِد زودتِر بایِد گفته میشُد تا خودِدا جَمُ جور کنی! اِز صفایِ انقلاب آ زمانی جنگ دور شُدِی. اِی که کارتی زرد نَصیبِد اِستخری فرح در انتظارِد! #سوال_از_رییس‌جمهور</t>
  </si>
  <si>
    <t>🇵🇸 صَمْصٰام 🇮🇷</t>
  </si>
  <si>
    <t>جای سید محمد حسینی توی این شوی تلوزیونی خالی بود #مجلس #روحانی #سوال_از_رئیس‌جمهور</t>
  </si>
  <si>
    <t>Emad Helmi</t>
  </si>
  <si>
    <t>Family man, father of a little angel</t>
  </si>
  <si>
    <t>https://pbs.twimg.com/media/DlrYgbAXcAAH4pS.jpg</t>
  </si>
  <si>
    <t>دیروز ملاوردی #سوال_از_رییس‌جمهور رو تهدیدی خوند که ایشون به فرصت تبدیلش می‌کند، امروز آقای آشنا از "هزینه حفظ آرامش" نوشته! پلاکارد #استخرِ_فرح تهدید به قتل بود، اینها تهدید امنیت ملی نیست؟؟؟</t>
  </si>
  <si>
    <t>Mohammadali</t>
  </si>
  <si>
    <t>ما قاچاق رو در جامعه مهار و برای رفاه حال مردم در کابینه رشد دادیم 😊 میگید نه رجوع شود به اعضاء خانواده های کابینه #سوال_از_رییس‌جمهور</t>
  </si>
  <si>
    <t>یک خبرنگار آزاد که فقط می نویسد تا همه بدانند آنچه که می توانند</t>
  </si>
  <si>
    <t>kerman</t>
  </si>
  <si>
    <t>امروز هرکجا که میرفتم همه از طریق رادیو داشتند جلسه سوال از رییس جمهور را پیگیری میکردند. این نشان میدهد که چقدر سوال از #روحانی به جا و به موقع بود</t>
  </si>
  <si>
    <t>yekkhabarnegar</t>
  </si>
  <si>
    <t>‏‏‏‏‏‏‏آخر به چه گویم هست از خود خبرم چون نیست؟ ‌ اگه فالو میکنم دنبال توییتاتونم نه بک گرفتن ،شما هم لطفا واسه فالو بک فالو نکن</t>
  </si>
  <si>
    <t>Milky Way</t>
  </si>
  <si>
    <t>خانواده نشستن جلو تلویزیون سخنرانی #روحانی رو گوش میدن میخندن. تازه میگه برو تخمه هم بیار داره طنز نشون میده مرتیکه رکورد چرند بر ثانیه رو با اقتدار حفظ کرده</t>
  </si>
  <si>
    <t>مادموازل جیز</t>
  </si>
  <si>
    <t>physic teacher</t>
  </si>
  <si>
    <t>روحانی فقط یک سخنران است که اشتباهی رییس‌جمهور شد! #تو_از_اول_هم_اشتباهی_بودی ... #سوال_از_رییس_جمهور</t>
  </si>
  <si>
    <t>باران زعیمی</t>
  </si>
  <si>
    <t>تعداد ایرانیانی که نخونده توئیت های #ترامپ و لایک می کنند، از طرفداران #حسن_روحانی بیش‌تره !😔😂 درسته گفت اغا گفته: چیزی و لو نده... اما به راستی این #رئیس_جمهور #روحانی از #بی_مسئولیت ترین مسئول تاریخ معاصره.!😥 یعنی تا این اندازه آب بینی بُز لذت بخشه! قدرت ، از دیدگاه علی ع</t>
  </si>
  <si>
    <t>Kazem Memari</t>
  </si>
  <si>
    <t>يكي مثل تو ، پيچيده و جوينده!بسيار توليد كننده از نوع خوشمزه و خوشحال كننده ش🍦🍨 كه تازگيا داره شعبه ميزنه. لطفا به هيچكس توهين نكنيد كه بلاك نشيد.</t>
  </si>
  <si>
    <t>يه جورى ميگن بايد تو مجلس حقايق رو ميگفت كه انگار جناح اينا پاكدسته. اگر اينا به افشاگري بيشتري بيوفتن خيلي چيزها معلوم ميشه، از هر دو جناح. #روحاني</t>
  </si>
  <si>
    <t>🍨🍦كاپو 🍨🍦</t>
  </si>
  <si>
    <t>http://instagram.com/textgraphy2018</t>
  </si>
  <si>
    <t>‏‏‏‏ملت عشق از همه دین ها جداست/عاشقان را ملت و مذهب خداست☆☆☆استثنائاً در جستجوی مسیر،نه هدف...☆☆☆ای که مرا خوانده ای!راه نشانم بده</t>
  </si>
  <si>
    <t>🌏</t>
  </si>
  <si>
    <t>من نمیتونستم رای بدم ولی هیچ وقت طرفدار #روحانی نبودم اما امروز ، واقعا دلم براش سوخت ؛ خیلی ضایع شد 😅😅😅 #استیضاح #استیضاح_روحانی</t>
  </si>
  <si>
    <t>یک جستجوگرِ صلح طلب🔎🔎</t>
  </si>
  <si>
    <t>https://arad.co</t>
  </si>
  <si>
    <t>مدیر پروژه های نرم افزاری، برنامه نویس و توسعه دهنده، عاطفی، علاقمند به فیتنس و بدنسازی</t>
  </si>
  <si>
    <t>فکر کردید الان نماینده ها دغدغه آمار دروغ و جواب ندادن برجام و عدم کنترل بازار از ارز و طلا بگیر تا خودرو و لوازم بهداشتی دارن؟ نه همون آدمایی که معامله کردن ۲۰ دقیقه ای برجامو تصویب کردن الان معاملشون نشده. برنامه اینه تا وقتی #روحانی کم بیاره وزیر استیضاح کنن.</t>
  </si>
  <si>
    <t>Hamidreza Salehi</t>
  </si>
  <si>
    <t>http://shahnazhasaniblogfa.com</t>
  </si>
  <si>
    <t>journalist.irna</t>
  </si>
  <si>
    <t>iran</t>
  </si>
  <si>
    <t>واقعیتی به نام شرایط بد اقتصادی وجود دارد و به آن معنی است که #استیضاح_وزرا و #سوال_از_رئیس_جمهور نه تنها تاثیری در بهبود شرایط نخواهد گذاشت بلکه اوضاع پیچیده اقتصادی را پیچیده تر خواهد کرد. شاید از امروز بازی #دلار با اقتصاد ایران وارد فاز جدیدی شود.</t>
  </si>
  <si>
    <t>shahnaz hassani</t>
  </si>
  <si>
    <t>#رکود؟! #تحریم؟! دوشواری؟! مگه ما اصلا #دشواری داریم؟! دشواری چیه دیگه؟! همه چی داغونه، هیئت دولت خوشبختن :/// #سوال_از_رییس_جمهور</t>
  </si>
  <si>
    <t>خانـــومِ سین</t>
  </si>
  <si>
    <t>در جریان هستین که... ما را فقط به پای ولایت نوشته اند، ما سینه پای بیرق دیگر نمیزنیم. آره داداش...</t>
  </si>
  <si>
    <t>تنها راه علاج کشور #اقتصاد_مقاومتی با #مدیریت_انقلابی است. ان شاالله نتیجه سوال از رییس جمهور ختم به تغییر سبک مدیریتی دولت به مدیریت جهادی و انقلابی بشود... #سوال_از_رئیس_جمهور</t>
  </si>
  <si>
    <t>داش علی</t>
  </si>
  <si>
    <t>زندگی زیباست و میتوان خوشبخت بود اگر نا اهلان بگذارند</t>
  </si>
  <si>
    <t>عجب #حکومت و #سیاست قشنگی #ظریف میره منت اروپایی ها رو میکشه که حداقل شرکت های کوچیکش بیان داخل ایران سرمایه گذاری کنن #روحانی سرمایه های ایران رو میبره داخل بانک های خارجی #سرمایه_گذاری میکنه مردم از #بیکاری و #گرانی بمیرن #گزارشگر #از_ماست_که_بر_ماست #خودمان_انتخاب_کردیم</t>
  </si>
  <si>
    <t>mahsa</t>
  </si>
  <si>
    <t>esfahan</t>
  </si>
  <si>
    <t>#روحانی امروز سرنوشتی بهتر از #احمدی‌نژاد وقبلی‌ها نداره.ریزش بدنه اجتماعی طرفداران. از دست دادن اعتبار سیاسی وتبدیل شدن به مضحکه‌ای که تاسال‌هاباید باورهای ناقصشو #تکرار کنه وبه خورد مردم بده. سال‌هاست مردهای دوم سیاست این مملکت، لایه محافظ هزارتوی پنهان #قدرت شده‌ان.</t>
  </si>
  <si>
    <t>saeid</t>
  </si>
  <si>
    <t>باتفنگش نتوانسته شکارم بکند *** رفته با مطرب و اینترنت وسازآمده است بمب وموشک نتوانسته بترسانندم *** فیس بوک و توییتر شایعه ساز آمده است افسر جنگ نرم</t>
  </si>
  <si>
    <t>https://pbs.twimg.com/media/DlriKSSXoAE71Pr.jpg</t>
  </si>
  <si>
    <t>چیزی که جناب رئیس جمهور از کشور توضیح داد همه چی گل و بلبله #سوال_از_رییس‌جمهور</t>
  </si>
  <si>
    <t>افسر جنگ نرم</t>
  </si>
  <si>
    <t>https://www.facebook.com/amirrkalhor</t>
  </si>
  <si>
    <t>journalist</t>
  </si>
  <si>
    <t>قاسم میرزایی نکویی، نماینده #مجلس: ما وعده دادیم، اما هنگامی که پشت میز رسیدیم یادمان رفت و سکوت کردیم. آزادی اندیشه و همه‌پرسی حق مردم است. بگذاریم مردم انتخاب کنند. آقای رییس جمهور با مردم صادق باشید.</t>
  </si>
  <si>
    <t>Amir Abbas kalhor</t>
  </si>
  <si>
    <t>کشیده می‌بردت</t>
  </si>
  <si>
    <t>Zanjan, Iran</t>
  </si>
  <si>
    <t>خب #روحانی از انتخابات پارسال به بعد دیگه به رای و اعتماد مردم (ما) نیازی نداره ولی به حسن نظر، اعتماد و رای رهبری، خبرگان، مراجع و ... (اونا) سخت نیازمنده. اون زرنگ‌تر از #احمدي_نژاد ه.</t>
  </si>
  <si>
    <t>HamidReza Niyati</t>
  </si>
  <si>
    <t>http://www.lotmag.ir</t>
  </si>
  <si>
    <t>‏‏‏یه کوچولو ژورنالیست. ‏‏Never give up.اگر هم شدی صداش رو در نیار. معمولا از طرف خودم و با علم خودم حرف می زنم.</t>
  </si>
  <si>
    <t>آقای #رئیس_جمهور #روحانی از صبح چند بار صحبت های شما رو گوش دادم و تحلیل های زیادی رو هم خوندم. به این نتیجه رسیدم که یا بیش از 80 میلیون نفر ایرانی، نفهم و بی شعور هستن یا شما داری اشتباه می زنی. #اقتصاد #ارز #خودرو #بازار_کار #موبایل #اختلاس</t>
  </si>
  <si>
    <t>hossein Alian</t>
  </si>
  <si>
    <t>‏‏﷽ اویس فراتی - دلبسته ام مرا زسر خویش وا مکن ‎‎#دلبسته_ام</t>
  </si>
  <si>
    <t>https://pbs.twimg.com/media/DlridEaXcAEbyN2.jpg</t>
  </si>
  <si>
    <t>الان رییس جمهور که گفت احتیاط میکنه... احتیاط می کنه برا #مملکت و مردم؟! یا برای دور و اطرافیاش.. #فریدون اینا.. یا باز احتیاط می کنن که رای بیارن؟ #مجلس #سوال_از_رییس_جمهور #روحانی #برجام</t>
  </si>
  <si>
    <t>Forat.313</t>
  </si>
  <si>
    <t>بزن این هشتکو #IsraelWontSee2040</t>
  </si>
  <si>
    <t>https://pbs.twimg.com/media/DlriJPXV4AAhEjV.jpg</t>
  </si>
  <si>
    <t>این پست اینستاگرامی و 4 ماه و 20 روز پیش گذاشتم لازم به ذکره که اگر ماجرای پلاکارد خودزنی خاندان هاشمی باشه، ممکنه زمینه ای برای ترور واقعی از نوع خودزنی هم فراهم بشه #سوال_از_رئیس_جمهور #سوال_از_رئیس‌جمهور</t>
  </si>
  <si>
    <t>don_masimo 🇾🇪 🇮🇷</t>
  </si>
  <si>
    <t>وقتي نظامي در مرحله آسيب قرار داره رييس جمهورش ترند ميشه #روحاني #نكته</t>
  </si>
  <si>
    <t>http://Masaf.ir</t>
  </si>
  <si>
    <t>‏‏‏‏‏‏یک ‎‎‎‎‎‎#انقلابی بیزار از ‎‎‎‎‎‎#چپ و ‎‎‎‎‎‎#راست( تنها صفحه رسمی ) اهْدِنَا الصِّرَاطَ الْمُسْتَقِيمَ</t>
  </si>
  <si>
    <t>جناب آقای دکتر #روحانی اعتماد به نفستان شگفت انگیز بود دور زدن تحریم ها پیش کش٬ ای کاش بجای احمق فرض نمودن #نمایندگان_مجلس، قدری از وزیرتان جناب #آخوندی روشهای بِروز دور زدن #استیضاح را می آموختید این حربه ها قدیمی شده #اعتماد_به_سقف @Rouhani_ir</t>
  </si>
  <si>
    <t>علی‌اکبر رائفی‌پور</t>
  </si>
  <si>
    <t>‏‏‏‏‏‏‏‏‏یه پرسپولیسی بارسایی، دهه شصتی، فیلم باز، به خداوند معتقدم ورود مجاهد⛔⛔ اگه بک ندادم خبرم کن</t>
  </si>
  <si>
    <t>از حرفای #روحانی معلومه که رییس جمهور اینستاگرامیاست نه ما توییتری های بدبخت</t>
  </si>
  <si>
    <t>Mr Younes</t>
  </si>
  <si>
    <t>‏‏‏‏‏‏‏‏دایرکت مساویست با بلاک(یه چیزی شنیدم) بلاک شده توسط مهراب قاسمخانی و‌ مهمتر از همه ‎‎#براندازم،با هیچکس سر جنگ ندارم نه ارزشی نه مجاهد نه بقیه</t>
  </si>
  <si>
    <t>آقای #روحانی ما لیاقت تورو نداشتیم، ملت ایران رو ببخش که اینهمه بلا سرت آوردن :)</t>
  </si>
  <si>
    <t>عمو سیبیلو</t>
  </si>
  <si>
    <t>با جسارت وجود #خدا را به #پرسش بگير؛ چرا که اگر خدایی باشد، باید #خرد را بيش از ترس کورکورانه ارج نهد. #توماس_جفرسون</t>
  </si>
  <si>
    <t>میخونه</t>
  </si>
  <si>
    <t>#روحانی :حادثه دی‌ماه آقای ترامپ را به طمع انداخت ترامپ خرداد ۹۶ که توافق اوباما و کوبا رو لغو کرد گفت که توافق #برجام یک توافق کاملا بد بوده است. آن‌ها (دولت اوباما) با دولتی توافق کرده‌اند که باعث ایجاد خشونت و بی‌ثباتی در خاورمیانه است. #ShutUp_Rouhani</t>
  </si>
  <si>
    <t>لولی وش میخونه</t>
  </si>
  <si>
    <t>سلام زندگي</t>
  </si>
  <si>
    <t>اآقاي #روحاني #رييس_جمهور،چه اين اوضاع نابسامان اقتصادي محصول ماشين بي فكري دولت و نظام باشد و چه نباشد؛ به عنوان يك شهروند در صحبت هاي امروز شما در #مجلس ، فقط دنبال يك #عذرخواهي و واژه اي براي #همدلي با ملتي بودم كه واقعا عمر و سرنوشتش، #گروگان بي تدبيري شما و شماهاست.</t>
  </si>
  <si>
    <t>hamid hamedi</t>
  </si>
  <si>
    <t>‏‏‏‏Master of science ♢ Electrical Power Engineering♢Control &amp; Protection آنکه را صبح شهادت نیست شام مرگ هست ‎#من_انقلابی‌ام</t>
  </si>
  <si>
    <t>جزیره مجنون</t>
  </si>
  <si>
    <t>هشتگ #سوال_از_رییس‌جمهور جدید ببینم بلاک میکنم</t>
  </si>
  <si>
    <t>🇮🇷اورانیوم🇵🇸🇸🇾🇮🇶</t>
  </si>
  <si>
    <t>‏‏‏‏‏‏‏‏‏‏‏‏امام خمینی(ره): تکلیف ما را سید الشهدا(ع) مشخص کرده است.🤚 (دانش آموخته و مدرس مدیریت و اقتصاد) ✌</t>
  </si>
  <si>
    <t>یه گوشه از مِلک خدا</t>
  </si>
  <si>
    <t>رئیس جمهور: از سال ۸۴ تا ۹۱ تنها ۱۰ هزار شغل 😮 ایجاد شده. مرغ پخته در مطبخ ننه جون شیخ به خنده درآمد😂😂 #سوال_از_رییس‌جمهور</t>
  </si>
  <si>
    <t>اِبنِ فارسی 🇮🇷</t>
  </si>
  <si>
    <t>گفته نباید بزاریم #روحانی رو برکنار یا استعفا بده چون #رئیسی رو میارن و بدبخت میشیم یکنی به این یا بگه اخه احمق از این بدبخت تر</t>
  </si>
  <si>
    <t>si</t>
  </si>
  <si>
    <t>I’m an engineer and a photographer. I live with my heart and do with my mind! you can also find me on Instagram : @omidm27</t>
  </si>
  <si>
    <t>از صحبت‌ها و آمار امروز #رییس_جمهور محترم میشه یه فیلمنامه علمی تخیلی نوشت! #مجلس #روحانی #فشار_اقتصادی #دلار #اشتغال #صحن_علنی</t>
  </si>
  <si>
    <t>Omid Mirzaie</t>
  </si>
  <si>
    <t>Photographer 📷 Journalist ✒ ...</t>
  </si>
  <si>
    <t>ضعیف ترین رئیس جمهور تاریخ جمهوری اسلامی نتوانست ضعیف ترین مجلس تاریخ جمهوری اسلامی کشور را قانع کند... فاعتبروا یا اولی الابصار #رئیس_جمهور #مجلس_شورای_اسلامی</t>
  </si>
  <si>
    <t>mohammad.thinker</t>
  </si>
  <si>
    <t>https://pbs.twimg.com/media/DlrjA7wXcAASZ5h.jpg</t>
  </si>
  <si>
    <t>روحانی خطاب به نمایندگان: این قرارمون نبود که منو سوال جواب بکنین... #سوال_از_رئيس_جمهور</t>
  </si>
  <si>
    <t>https://pbs.twimg.com/media/DlrjCHSWwAAnlDu.jpg</t>
  </si>
  <si>
    <t>نمایندگان مجلس از پاسخ رئیس جمهور درباره سوال اول (قاچاق) قانع نشدند #سوال_از_رئیس‌جمهور #قاچاق #قانع #نشدند</t>
  </si>
  <si>
    <t>‏‏‏‏یه آدمِ خیلی خیلی معمولی ! آرزوم دیدن آزادی و سر بلندیه هموطنانم هست...</t>
  </si>
  <si>
    <t>https://pbs.twimg.com/media/DlrjGvWWwAAQlwJ.jpg</t>
  </si>
  <si>
    <t>مردم مظلوم #ایران ! #فلسطين #لبنان #سوریه #عراق #سپاه #روحانی #ظریف #رهبری #ريتوييت_لطفا</t>
  </si>
  <si>
    <t>رام دیس</t>
  </si>
  <si>
    <t>https://twitter.com/Entekhab_News/status/1034388108647784448</t>
  </si>
  <si>
    <t>#اشنا اول یاد بگیرید مخالفین را بلاک نکند بعد از مردم سالاری حرف بزند #مجلس RT @Entekhab_News: حسام الدین آشنا: جلسه امروزمجلس نماد قدرتمندی ازبلوغ مردمسالاری دینی درچهل سالگی جمهوری اسلامی بود معلوم شد می توان توهین نکرد،بگم بگم نکرد،فیلم مخفی نشان نداد،دیگران را متهم نکرد وپاسخ سوالات را با آرامش و متانت ارائه نمود معلوم شد مجلس درکمال اقتدار میتواند پاسخها را نپذیرد.</t>
  </si>
  <si>
    <t>‏‏‏‏‏‏‏‏‏‏‏‏پسر آریایی~بدون تعصباته دینی~ضد آخوندیسم~اندکی بی ادب~ بسیجی فعالی که اکنون با تمام وجود ‎#برانداز است</t>
  </si>
  <si>
    <t>.</t>
  </si>
  <si>
    <t>من به کمتر از تغییر رژیم راضی نیستم تامام #استیضاح</t>
  </si>
  <si>
    <t>SYLVERTER🔼🇵🇦</t>
  </si>
  <si>
    <t>http://seyedezatollahrashmi.wordpress.com</t>
  </si>
  <si>
    <t>یک فعال سیاسی فراری از ایران در سوئد زندگی میکنم و پرستار هستم</t>
  </si>
  <si>
    <t>Sverige</t>
  </si>
  <si>
    <t>من فقط یک کلمه می گویم #روحانی خفه شو #دلار_۱۲۰۰۰_تومانی</t>
  </si>
  <si>
    <t>Seyed Ezatollah Rashmi</t>
  </si>
  <si>
    <t>https://pbs.twimg.com/media/DlrjUqbXcAAHvdZ.jpg</t>
  </si>
  <si>
    <t>مگه فضای امروز مجلس چقدر سنگین و پُر حرارت بوده که روحانی پنکه ی خودش رو هم به مجلس برده! #سوال_از_رئیس_جمهور</t>
  </si>
  <si>
    <t>در خاکدان ما گوهر زندگی گم است این گوهری که گم شده، مائیم یا که اوست؟</t>
  </si>
  <si>
    <t>آقای #روحانی حداقل به نمایندگان میگفتی شما که می دونید اون که هیچ غلطی نمی تونه کنه آمریکا نیست رئیس جمهوره پس چرا سوال می پرسید؟ اون وقت شاید لااقل مردم قانع میشدند... #سوال_از_رئیس_جمهور</t>
  </si>
  <si>
    <t>shervin</t>
  </si>
  <si>
    <t>https://pbs.twimg.com/media/DlrbekSUYAApD3D.jpg</t>
  </si>
  <si>
    <t>https://twitter.com/JmonitorT/status/1034380626990788608</t>
  </si>
  <si>
    <t>دقیقا ۲ماه پیش آقای #روحانی به بانک مرکزی دستوردادند نام واردکنندگان ارز۴۲۰۰تومانی را دراختیار عموم بگذارد امروز درپاسخ به #سوال_از_رییس‌جمهور که چرا آن دستور اجرانشد، گفتند: وزارت صمت و بانک مرکزی موظفند پرونده متخلفان ارزی را به قوه قضائیه بدهند RT @JmonitorT: روحانی۶تیر: بانک مرکزی موظف است به مردم توضیح دهد که برای چه کارهایی ارز و به چه میزان پرداخت شده حق آنهاست که بدانند روحانی۶شهریور: آنهایی که ارز گرفتند کالا وارد کنند ونکردند، پرونده‌های آنها را وزارت صمت و بانک مرکزی ما موظف است به قوه قضائیه بدهد. با آنها برخورد خواهیم کرد.</t>
  </si>
  <si>
    <t>http://www.Yamahdiadrekni.ir</t>
  </si>
  <si>
    <t>‏‏‏‏‏اگر یک نفر را به او وصل کردی برای سپاهش تو سردار یاری . اللهم عجل لولیک الفرج</t>
  </si>
  <si>
    <t>در برابر منطق و ادبِ نمایندگان سوال کننده و بی جوابی دولت، روحانی دیگر چاره‌ای برایش نمانده جز همین به در و دیوار زدن‌ها و من عاشق شهادتم و تهدید به ترور شدم و این حرفها... که برای اگزجره کردن فضا فقط کوبیدن مشت به سینه را کم دارد :) #سوال_از_رییس‌جمهور #فرار_رو_به_جلو</t>
  </si>
  <si>
    <t>SAEED</t>
  </si>
  <si>
    <t>‏زندگی نکردیم عذاب نامه داریم ؛ تقدیم کنم ؟</t>
  </si>
  <si>
    <t xml:space="preserve">چوبه دار </t>
  </si>
  <si>
    <t>سیرک #استیضاح</t>
  </si>
  <si>
    <t>هیچکس</t>
  </si>
  <si>
    <t>دانشجو انقلابی افسر جنگ نرم سخن از صلح بگو اسلحه راهم بردار بچه هیئتی</t>
  </si>
  <si>
    <t>Azadshahr</t>
  </si>
  <si>
    <t>مجلسِ کی بودی تو؟؛) #سوال_از_رییس‌جمهور</t>
  </si>
  <si>
    <t>محمدجوادسدیدی</t>
  </si>
  <si>
    <t>‏‏‏دانشجوی زبان روسی، عاشق مایاکوفسکی، اشعارش وگلوله ای داغی که در سی وشش سالگی به سمت چپ سینه اش چکاند... حامی حقوق زنان وزایمان! حامی حقوق حشرات! Русский Язык</t>
  </si>
  <si>
    <t>-امروز #روحانی رفته بود مجلس! +عاره، نماینده ها از جواباش قانع نشدن. -الان چی میشه ینی؟ +نمیدونم! -منم نمیدونم #سوال_از_رئيس_جمهور #مجلس</t>
  </si>
  <si>
    <t>شاهینوفسکی</t>
  </si>
  <si>
    <t>https://pbs.twimg.com/media/DlrjsM7WsAENcYw.jpg</t>
  </si>
  <si>
    <t>ممکنه تو مجلس بخوان دماغ تورو سیبل کنن هر کی هر چی گفت، تو خودتو بزن ب خریت #روحانی_خفه_شو #روحانی #این_انتخاب_من_نیست</t>
  </si>
  <si>
    <t>‏‏«ملای مکتب‌ نرفته» یا «ملای از مکتب برگشته»</t>
  </si>
  <si>
    <t>https://pbs.twimg.com/media/DlqPkHRXgAAlx9T.jpg</t>
  </si>
  <si>
    <t>https://twitter.com/yaghma_fashkham/status/1034296926051684352</t>
  </si>
  <si>
    <t>وقتی به #روحانی می‌گی حرف نزن و به نماینده‌هات می‌گی حمله کنید! RT @yaghma_fashkham: روحانی ابتدای سخنانش گفت امیدوارم بتوانم نکاتی را که #رهبری نسبت به همین جلسه به بنده فرمودند #مراعات کنم</t>
  </si>
  <si>
    <t>ملا ممدجان</t>
  </si>
  <si>
    <t>‏هستیم بر آن عهد که بستیم...</t>
  </si>
  <si>
    <t>https://pbs.twimg.com/media/Dlrjtw4X4AEkvBm.jpg</t>
  </si>
  <si>
    <t>#اصل۵۹ قانون اساسی که بیل به کمرش خورده بود یادتونه؟ اینی که امروز تو مجلس دیدید اصل ۸۸شون بود که با بیل زد تو کمر روحانی. ۵۹شون رو بردیم عیادت روحانی بهش دلداری بده. #سوال_از_رییس‌جمهور</t>
  </si>
  <si>
    <t>🄴🄳🅅🄰🅁🄳🄾</t>
  </si>
  <si>
    <t>http://Instagram.com/farzad_seifi.ir</t>
  </si>
  <si>
    <t>‏‏‏‏‏‏‏‏‏‏‏‏‏فعال سیاسی اصلاح طلب</t>
  </si>
  <si>
    <t>tehran, Iran</t>
  </si>
  <si>
    <t>از دیدگاه #نمایندگان پاسخ های #رئیس_جمهور بیشتر توجیه بود تا توضیح! در کل فضای امروز #مجلس به بهبود و تقویت اعتماد مردم به مسئولان کمک نکرد. #سوال_از_رئیس_جمهور #حسن_روحانی #مجلس</t>
  </si>
  <si>
    <t>سید فرزاد سیفی</t>
  </si>
  <si>
    <t>‏‏‏‏‏‏سمپاتِ سابق اصلاحات</t>
  </si>
  <si>
    <t>اعتراض دارند که چرا #حسن_روحانی دوباره اونچه که باید می گفت رو نگفت. انتظاری غیر از این داشتید؟ توقع داشتید #رئیس_جمهور محبوب اشتباه های جلسه استیضاح وزیر کار رو تکرار کنه و بخشی از اونچه واقعا داره اتفاق می افته افشا بشه؟</t>
  </si>
  <si>
    <t>Arash Nemati</t>
  </si>
  <si>
    <t>چرا اینقد نمک نشناسین؟ #روحانی خودشو وقف مردم کرده. داره به آب و آتیش میزنه که #سرمایه_کشور رو در بانکهای خارجی سرمایه گذاری کنه آخه وقتی بیرونش کردن نمیتونه با اهل و عیال، بی پول بمونه. باید یه پس اندازی داشته باشه. گور پدر مردم #گزارشگر #تابستان_نارضایتی #خودمان_انتخاب_کردیم</t>
  </si>
  <si>
    <t>http://bit.ly/2spGvnO</t>
  </si>
  <si>
    <t>‏‏‏‏‏روزنامه نگار و خبرنگار مستقل Independent Journalist http://t.me/Elham_Yazdiha‎‎‎‎‎</t>
  </si>
  <si>
    <t>https://pbs.twimg.com/media/DlrfrA0X0AAyxS5.jpg</t>
  </si>
  <si>
    <t>https://twitter.com/ebtekarm_ir/status/1034385003671633921</t>
  </si>
  <si>
    <t>منظور این که بگم بگم داشتند اما لطف کردند و برای جلوگیری از اختلافات داخلی نگفتند؟ بس کنید این ادبیات منت گذاریتون رو... #روحانی RT @ebtekarm_ir: #رئیس_جمهور روحانی به ۵ دی ماه ۹۶ مجددا امروز اشاره و حملات ترامپ در خروج از برجام را هم مطرح کرد؛ ولی حاضر نشد به نفع خودش یا خوشنودی مجلس یا تفرقه داخلی بیشتر صحبت کند. #بصیرت #به_عقب_برنمیگردیم</t>
  </si>
  <si>
    <t>Elham Yazdiha</t>
  </si>
  <si>
    <t>شیعه تا ابد مدیون زهراست...</t>
  </si>
  <si>
    <t>شهر پر از گناه</t>
  </si>
  <si>
    <t>pic.twitter.com/OELFIWh49b</t>
  </si>
  <si>
    <t>این سطح خلاف واقع گویی از یک رجل سیاسی و مذهبی در کشور این سوال را به وجود می آورد که ما با چه پدیده ای در کشور روبرو هستیم!!؟ ایا شما باور میکنید!؟!؟ #سوال_از_رئیس_جمهور #سوال_از_رییس‌جمهور</t>
  </si>
  <si>
    <t>MOSTAFA</t>
  </si>
  <si>
    <t>https://pbs.twimg.com/media/Dlrj2YQXoAAJ9dJ.jpg</t>
  </si>
  <si>
    <t>رییس جمهور گفت #کاخ_سفید از جلسه امروز خوشحال نمیشه و نخواهد شد.. داشت اونا رو تهدید می کرد یا #نماینده ها رو..؟! #کد_خدا #مجلس #سوال_از_رییس_جمهور #روحانی #برجام</t>
  </si>
  <si>
    <t>‏‏‏هشدار که آرامش ما را نخراشی...</t>
  </si>
  <si>
    <t>وقتی روحانی گفت ما دچار بحران نیستیم و در مرحله‌ی آسیبیم، ناخودآگاه یاد اون جمله‌ی با نقض فاحش برجام فاصله داریم، افتادم.. #سوال_از_رییس‌جمهور #ساکتین_مجلس</t>
  </si>
  <si>
    <t>🇮🇷قلب یخی🇮🇷</t>
  </si>
  <si>
    <t>روحانی: والله ما دچار بحران نيستيم؛ ما در مرحله آسيب هستيم/ قیمت ارز در روزهای اخیر متعادل شده! +خدا بهمون رحم کنه، تازه این مرحله ‌ی آسیبه اینطوریه، مرحله‌ی بحرانش چطوریه؟ #سوال_از_رییس‌جمهور #ساکتین_مجلس</t>
  </si>
  <si>
    <t>No one</t>
  </si>
  <si>
    <t>#روحاني تمام سعیش این است که با قدرت مخالفش در نیفتد و هرجا که لازم باشد همسو با آنها گام برمیدارد تمام تلاش روحانی براین که قدرتش را حفظ کند کاری که تا الان به خوبی انجام داده و مردم در هیج جای دغدغه های روحانی جای ندارند #سئوال_از_رییس_جمهور</t>
  </si>
  <si>
    <t>Bahoz</t>
  </si>
  <si>
    <t xml:space="preserve">اَللّهُمَّ اِنّا نَرْغَبُ اِلَیْکَ فى دَوْلَةٍ کَریمَةٍ #آتش_به_اختیار </t>
  </si>
  <si>
    <t>https://pbs.twimg.com/media/Dlrj-rUWwAA21hJ.jpg</t>
  </si>
  <si>
    <t>#حمایت_از_تافته_جدابافته سال #اقتصاد_مقاومتی #روحانی پنکه خارجی</t>
  </si>
  <si>
    <t>یاسین حیدری زاده</t>
  </si>
  <si>
    <t>‏خداوند حزبی ندارد جناحی ندارد دارو دسته ای ندارد خداوند خدای همه است فارغ ازنام و نشان و مرام و این انسان است که خدای خودرا در قالب نام ها و نشان ها محدود میکن</t>
  </si>
  <si>
    <t>چرا نمايندگان مجلس امروز به طرح علني بودن راي سوال از روحاني راي ندادند تا مشخص شودموافقين و مخالفين وضعيت کنوني مردم چه کساني اند نماينده اي که شجاعت ابراز راي خود را آشکارا ندارد ومخفيانه راي ميدهدچرا بر مسند نمايندگي مردم تکيه زده است #سوال_از_رييس_جمهور</t>
  </si>
  <si>
    <t>davood bagherzadeh🇮🇷</t>
  </si>
  <si>
    <t>‏‏یک انسان آزاد از دیار سیستان و بلوچستان</t>
  </si>
  <si>
    <t>#روحاني امروز در صحن علنی #مجلس چند گام دیگر از #مردم فاصله گرفت و دورتر ایستاد. #سوال_از_رئیس_جمهور #مجلس #حسن_روحانى</t>
  </si>
  <si>
    <t>صدیق حسین زاده</t>
  </si>
  <si>
    <t>میخواستم بگم قبل از ورود روحانی به مجلس، عینکشو ازش بگیریدا، یادم رفت.. لامصب همه چیو گل و بلبل میبینه.. #سوال_از_رییس‌جمهور #ساکتین_مجلس</t>
  </si>
  <si>
    <t>simple</t>
  </si>
  <si>
    <t xml:space="preserve">iran </t>
  </si>
  <si>
    <t>آقای #روحانی حقوق ها دو برابر نشده اگر دارید میدید هم به دست ما نمیرسه ببینید تو راه چه اتفاقی براش افتاده</t>
  </si>
  <si>
    <t>Ipharzan</t>
  </si>
  <si>
    <t>‏‏‏‏متاهل و پدر، ارشد مکانیک٬ فعال اقتصاد اسلامی٬ مبارز ربا، عاشق مبارزه با صهیونیست و فراماسونر ؛ 🇮🇷🇮🇷🇮🇷 انقلابی🇮🇷🇮🇷🇮🇷</t>
  </si>
  <si>
    <t>با افتخار تمام ایران</t>
  </si>
  <si>
    <t>https://pbs.twimg.com/media/DlrkETFWsAEgrnx.jpg</t>
  </si>
  <si>
    <t>مردم یادتان هست که چگونه در روز #سوال_از_رییس‌جمهور ما با دروغگویی و فرافکنی رهبری را مقصر اشتباهات خود دانستیم...</t>
  </si>
  <si>
    <t>حسین شهریاری</t>
  </si>
  <si>
    <t>http://amirhne.ir</t>
  </si>
  <si>
    <t>Network &amp; Linux Enthusiastic, Geek, Gamer and also a Marxist</t>
  </si>
  <si>
    <t>127.0.0.1, /dev/null</t>
  </si>
  <si>
    <t>در یک #بروکراسی بیمار و اقتصاد تا دندان #خصوصی_سازی شده، اگر علت اصلی تمام مشکلات اقتصادی را در کمال وقاحت و به صورت علنی به گردن اعتراضات طبقه مستضعف و آسیب پذیر به وضعیت معیشتی انداختند، نباید تعجب کنید!!! #سوال_از_رئیس‌جمهور</t>
  </si>
  <si>
    <t>AmirHosein Nematzadeh​</t>
  </si>
  <si>
    <t>اگر شخصیت پینوکیو رو روی روحانی پیاده میکردیم، امروز روحانی حین خارج شدن از مجلس دماغش از سه متر هم بیشتر بود.. #سوال_از_رییس‌جمهور #ساکتین_مجلس</t>
  </si>
  <si>
    <t>روحانی اومد و باز با وقاحت تمام سعی کرد همه چی رو خوب جلوه بده و اگر تقصیری هست بندازه گردن عوامل داخلی و خارجی.. تا اینجای کار نماینده ها خوب عمل کردن، مونده بقیه‌ی راه ک ببینیم چه تصمیمی گرفته میشه.. #سوال_از_رییس‌جمهور #ساکتین_مجلس</t>
  </si>
  <si>
    <t>http://trendMusic.ir</t>
  </si>
  <si>
    <t>Bachelor of Business Administration; Interested in Music, Newspaper and Politics; Website Designer, Graphicist, Programmer; I try to listen more to speak...</t>
  </si>
  <si>
    <t>صحبت های امروز #روحاني یه طوری بود که انگار غیرمستقیم می گفت؛ دولت هیچ برنامه ای برای آینده نداره و فقط داریم میریم جلو ببینیم تهش چی میشه مردم شما هم باید فشار رو تحمل کنید.</t>
  </si>
  <si>
    <t>Muhammad</t>
  </si>
  <si>
    <t>چه خبر از كجا؟</t>
  </si>
  <si>
    <t xml:space="preserve">Tehran </t>
  </si>
  <si>
    <t>الحمدالله با قَسَم #روحاني درمجلس خيالم راحت شد كه هيچ بحراني توي مملكت نداريم، اين چندتا مشكل كوچولو هم بزودي حل ميشه. البته هرچي فكرميكنم ميبينم اين به زودي حداقل بعداز سه ساله ديگست. يعني تا سه سال ديگه بسازيم با اين شرايط، راستي كسي توي دوروبرش بيكارسراغ نداره؟ #روحاني</t>
  </si>
  <si>
    <t>Amirr</t>
  </si>
  <si>
    <t>حوالی فرهنگ...هنر..رسانه..‌عشق.‌‌‌.سیاست!...روزمره از نقد استقبال میشه.. توهین:بلاک</t>
  </si>
  <si>
    <t>دو روز توییتر نبودم.به حدی داشت خوش میگذشت که قصد برگشت نداشتم فعلا.. یک نوشته قشنگ گذاشتم اینستا..حتی داشت یادم میرفت روحانی رييس جمهوره..!. (کلیپهای روحانی تو روز استیضاح رو دیده&gt;کلی فحش داده که مردک دیوانه فکر کرده ملت بیکارن اینو شهید کنن&amp;gt;برمیگرده توییتر) #سوال_از_رئیس‌جمهور</t>
  </si>
  <si>
    <t>ترنم بانو</t>
  </si>
  <si>
    <t>سوالات یک ذهن کنجکاو</t>
  </si>
  <si>
    <t>خداییش نشستین حرفهای #روحانی رو گوش کردین؟ اصلا این هم هیچی! دیگه چرا براش تحلیل مینویسین؟؟؟</t>
  </si>
  <si>
    <t>پرسشگر</t>
  </si>
  <si>
    <t>The human (persist to) live with contradiction,...</t>
  </si>
  <si>
    <t>shoushtar</t>
  </si>
  <si>
    <t>یارو گفته مشکلات ناشی از تصور بد مردمه همه چی خوبه،ما هم خوشبختیم گاوها پرواز میکنن،خرها هم حکم میدن دیگه چی؟ #سوال_از_رئیس_جمهور</t>
  </si>
  <si>
    <t>Farzad🎗</t>
  </si>
  <si>
    <t>‏‏‏گشاد | آتئیست | بی خاصیت | ‎#برنداز</t>
  </si>
  <si>
    <t>Paradise City</t>
  </si>
  <si>
    <t>ایکاش یه سایتی بود که میتونستیم بریم توش شرط ببندیم که #روحانی چند ماه دیگه رئیس جمهور میمونه</t>
  </si>
  <si>
    <t>گارفیلدم من</t>
  </si>
  <si>
    <t>http://www.ghanoondaily.ir</t>
  </si>
  <si>
    <t>Iranian Journalist - Deputy Editor of Ghanoon Daily میرا قربانی فر , روزنامه نگار</t>
  </si>
  <si>
    <t>می گوینداین مطالبه که از #روحانی خواسته شد حرف بزند،انتظارات از رییس جمهور را بیهوده افزایش داد. راستش بزرگوار،نمی شد دوهفته منتهی به انتخابات را وعده و وعید داد و از رای بالابرای تحقق خواسته هاگفت و بعدیهو گوشه نشین شد. توقعات را آن ادبیات و وعده ها بالابرد نه مطالبه شفافیت.</t>
  </si>
  <si>
    <t>Mira Ghorbanifar</t>
  </si>
  <si>
    <t>به حریم رضوی تا به ابد ره نبرد آنکه سر گشته چو آهوی خراسان نشود</t>
  </si>
  <si>
    <t>#بحران برای مردمه که توی این کشور دارن زندگی میکنن و با سیلی صورت خودشون رو سرخ نگه می دارن نه رئیس جمهور #سوال_از_رییس‌جمهور</t>
  </si>
  <si>
    <t>omid taheri</t>
  </si>
  <si>
    <t>‏‏‏‏‏حق را بشناس و تاییدکن، باطل را بشناس وتحقیر کن و دراین راه خود را پاسوز رفاقتها وکدورتها مکن🌟 اگه جهت بک گرفتن فالو میکنی،اشتباه اومدی بنگاه نیست</t>
  </si>
  <si>
    <t>رهبری صراحتا فرمودن : (آنهاکه می‌گوینددولت باید برکنار شود درنقشه دشمن نقش آفرین هستنددولت بایدسرکاربماند وبا قدرت،وظایف خودرا درحل مشکلات انجام دهد) نمایندگان اصلاحطلب که هیچ ولی نمایندگانی که داعیه انقلابی بودن دارند بایدپاسخگوی بازیشون درزمین دشمن باشند #سوال_از_رئیس_جمهور</t>
  </si>
  <si>
    <t>برگ پاییز🍁</t>
  </si>
  <si>
    <t>https://pbs.twimg.com/media/DlriFzpX0AA8qFZ.jpg</t>
  </si>
  <si>
    <t>هر بار که #روحانی به سوالات نمایندگان جواب میداد جا داشت صدا و سیما میمیک آذری جهرمی رو پخش کنه و بعد دوباره سوال بعدی پرسیده بشه... 😂😂 #سوال_از_رئیس_جمهور</t>
  </si>
  <si>
    <t>‏ᴇᴀʀᴛʜ ɪs ᴍᴏʀᴇ ʀᴏᴜɴᴅ ᴛʜᴀɴ ʏᴏᴜ ᴛʜɪɴᴋ عسلم، عسل❤️</t>
  </si>
  <si>
    <t>Tabriz</t>
  </si>
  <si>
    <t>این #حسن_روحانى کیه داشت تو مجلس جواب پس میداد؟ مگه طرح سوال از #رییس_جمهور نبود؟</t>
  </si>
  <si>
    <t>Honey 💃</t>
  </si>
  <si>
    <t>‏‏‏‏‏‏سامورایی انقلابی</t>
  </si>
  <si>
    <t>iran,teh</t>
  </si>
  <si>
    <t>https://pbs.twimg.com/media/Dlrk5oGW0AIgO88.jpg</t>
  </si>
  <si>
    <t>جا داره #هفته_دولت رو به آقای روحانی نما و کابینه فلج دولت تبریک بگیم و یادی کنیم از افتتاح های پی در پی قبل از انتخابات سال۹۶ #سوال_از_رییس‌جمهور #روحانی</t>
  </si>
  <si>
    <t>کاتسو🇮🇷</t>
  </si>
  <si>
    <t>‏نویسنده/ فعال فضای مجازی/ محقق علوم حدیث</t>
  </si>
  <si>
    <t>هیچ چیز مشمئزکننده تراز این نیست #ریش_متالیکی و#تکرار #تکرار #تکرار #سوال_از_رییس_جمهور</t>
  </si>
  <si>
    <t>R.mohammadi</t>
  </si>
  <si>
    <t>https://instagram.com/cyber_802</t>
  </si>
  <si>
    <t>‏‏‏‏‏‏‏‏‏‏‏رسیده ام به خدایی که اقتباسی نیست/شریعتی که در آن حکم ها قیاسی نیست/دل از سیاست اهل ریا بکن خود باش/هوای مملکت عاشقان سیاسی نیست</t>
  </si>
  <si>
    <t>چه حسی دارید وقتی صبح برید سرکار و فرصت نکنید صبحونه بخورید ، #سوال_از_رییس‌جمهور رو هم زنده تماشا کنید :/ تو راه برگشت هم به غذای موردعلاقتون که پخته شده فکرکنید... اما وقتی میرسید خونه می بینید مهمون سرزده اومده و از ناهارتون فقط سالادش مونده :( منم الان اون حس رو دارم :'(</t>
  </si>
  <si>
    <t>چریک چادری</t>
  </si>
  <si>
    <t>_‏این عجز شما در درک اصول نظم باعث ذلت ایران شده است.» (رفیق و وزیر)</t>
  </si>
  <si>
    <t>https://pbs.twimg.com/media/DlrlCCxW4AAeEDx.jpg</t>
  </si>
  <si>
    <t>نگذاریم همه چیز و کس را از بین ببرند و ما را از لحاظ روانی تخریب کنند و تسلیم بیگانگان کنند. #کیانوش_رستمی قهرمان ماست نباید ناامید بشود و حتی به خداحافظی فکر کند.ما از کیانوش به عنوان یک قهرمان و یک ایرانی حمایت میکنیم. #ایران #روحاني #ایران_نمیبازه #ایران_را_پس_میگیریم</t>
  </si>
  <si>
    <t>شِلِم</t>
  </si>
  <si>
    <t>گله‌جه‌یه اومودسوز و آزادلیق حسرتینده یاشایان قوجا بیر جوان</t>
  </si>
  <si>
    <t>آقای روحانی، قبول داریم مردم زیادی هستند که مثل خر عاشق این حکومت و نظامند. شکایتی نداریم که چرا. ولی ما هم مردم هستیم، ما هم زیادیم و عاشق این سیستم حکومتی هم نیستیم. #سوال_از_رییس‌جمهور</t>
  </si>
  <si>
    <t>Erkin</t>
  </si>
  <si>
    <t>‏از پیروان مکتب خمینیسم</t>
  </si>
  <si>
    <t>امروز دلم برای چوپان دروغگو سوخت. بیچاره دو سه بار بیشتر دروغ نگفت، انگشت نما شد ! #سوال_از_رئیس_جمهور #روحانی</t>
  </si>
  <si>
    <t>صادق طلوعی</t>
  </si>
  <si>
    <t>‏‏‏‏‏‏‏اصول طلبِ اصلاح گرا/ارتش یک نفره!! مرگ تو ؛ درست از لحظه ای آغاز می شود که در برابر آنچه مهم است سکوت می کنی....</t>
  </si>
  <si>
    <t xml:space="preserve">در همین نزدیکی </t>
  </si>
  <si>
    <t>میگن :ﺻــــﺎﺩﻗـــﺎﻧــﻩ ﺑـــﺪ ﺑــــﺎﺵ !!! . """ ﺍﻣــــــــﺎ """ ﻟــﺎﺷــــﻳــﺎﻧـــﻪ ﺍﺩﺍﻯ ﺧــــﻮﺑــــﺎ ﺭﻭ ﺩﺭ ﻧـــــﻴﺎﺭ .. خیلی در مورد دولت صدق می کنه #روحاني #سوال_از_رئیس‌جمهور</t>
  </si>
  <si>
    <t>vendetta لیمیت شدگانیم</t>
  </si>
  <si>
    <t>نه چپ نه راست فقط مستقیم !!!!!</t>
  </si>
  <si>
    <t>دکتر #روحانی امروز تنها کاری که نکرد این بود که پاسخ سوالات و اصلا نداد و فقط وقت مجلس و با گذراندن سخنانی همچون :ما رفیق هستیم،آبروریزی نکن رفیق،بیاید اتحادمون و بهم نزنیم ... گذروند اصلا پاسخی نداد و #آشنا و #تاجزاده از دولت پنهان صحبت میکنند!! این طنز نیست؟! #رئیس_جمهور #مجلس</t>
  </si>
  <si>
    <t>moh3en</t>
  </si>
  <si>
    <t>روحانی در جلسه #سوال_از_رییس‌جمهور گفت:"به نظرم سوال نمایندگان محترم، سوالات ملت ایران هم هست"!!!! این نشون میده یا واقعا هیچی نمی فهمه یا ملت رو نفهم حساب کرده!</t>
  </si>
  <si>
    <t>درآخرهم عرض کنم که تعدادی از دوستان نگران شدت گرفتن آشوبهای قبل ازبهمن در پی استیضاح روحانی هستن؛ همونطور که مطلعید اثرروانی این استیضاح و عزل،امیدی روبه بدنه مردم وجریان انقلابی واردمیکنه که قطعاآشوبهارو خنثی میکنه! به علاوه اثر روانی اقدامات اخیر قوه قضائیه! #سوال_از_رئیس_جمهور</t>
  </si>
  <si>
    <t>http://www.iribnews.ir</t>
  </si>
  <si>
    <t>TV Reporter</t>
  </si>
  <si>
    <t>محمدحسین فرهنگی نماینده مردم تبریز در جلسه #طرح_سوال از #رئیس‌_جمهور در مجلس شورای اسلامی: تورم‌های نقطه به نقطه ماهانه نوید تورم 60 درصدی در سال جاری را می‌دهد که بالاترین میزان #تورم در تاریخ معاصر است. #تاریخ_معاصر #تورم</t>
  </si>
  <si>
    <t>amir.n</t>
  </si>
  <si>
    <t>اقای روحانی واسه چی خواست دور دوم رییس جمهور شه؟ #سوال_از_روحانی #روحانی</t>
  </si>
  <si>
    <t>Ned_Ned</t>
  </si>
  <si>
    <t>http://tejaratnews.com</t>
  </si>
  <si>
    <t>روزنامه‌نگار اقتصادی - سردبیر تجارت‌نیوز</t>
  </si>
  <si>
    <t>https://pbs.twimg.com/media/DlrllkhXcAAHkOd.jpg</t>
  </si>
  <si>
    <t>وسط دعوای #دولت و #مجلس آمار جدید از کوچکتر شدن جیب مردم رو ببینید. #تورم نقطه به نقطه مرداد ماه در مرز 25 درصد قرار گرفت. #بانک_مرکزی</t>
  </si>
  <si>
    <t>ebrahim alizade</t>
  </si>
  <si>
    <t>#روحاني یامارباش یاماهی منافقی جه کنی یا این باش یا آن</t>
  </si>
  <si>
    <t>abbey.heaven</t>
  </si>
  <si>
    <t>http://Instagram.com/sadeqi_ir</t>
  </si>
  <si>
    <t>‏‏‏پیش به سوی ثریا☄ به امید حق ❤ #فردا_ازآن_ماست✌</t>
  </si>
  <si>
    <t>اصل #سوال_از_رییس_جمهور یعنی مردمی بودن مجلس.</t>
  </si>
  <si>
    <t>والعاقبت للمتقین🇮🇷</t>
  </si>
  <si>
    <t>‏‏‏‏‏‏‏اگرمغزهای خالی هم مثل شکم های خالی سروصدا میکرد. انسان خیلی عاقل تر از این هابود. موریس مترلینگ</t>
  </si>
  <si>
    <t>طبقه اول کتابخونه</t>
  </si>
  <si>
    <t>روحانی باشعار من سرهنگ نیستم،حقوقدان هستم رای آورد ولی امروز تو مجلس با خوی نظامی ها ظاهر شد و با فنون جنگ روانی از پاسخگویی فرار کرد نشون داد که هرجا به نفعش باشه سرهنگه و هرجا نه حقوقدان! #سوال_از_رییس‌جمهور</t>
  </si>
  <si>
    <t>بانو کتابچی</t>
  </si>
  <si>
    <t>مرید پیر مغانم دانشجویی از اهالی رسانه و خبر</t>
  </si>
  <si>
    <t>اراک</t>
  </si>
  <si>
    <t>دیگر فرا فکنی و بگم بگم ها ره به جایی نمی برد !! ملت شما را در حرف و عمل شنیده و دیده اند !! یوم الحساب نزدیک است! #استیضاح #فرجام_برجام</t>
  </si>
  <si>
    <t>زنگ حساب</t>
  </si>
  <si>
    <t>http://qalampress.ir</t>
  </si>
  <si>
    <t>https://www.instagram.com/p/BnBQySKlb43/?utm_source=ig_twitter_share&amp;igshid=pc0u5oimguew</t>
  </si>
  <si>
    <t>محمد علی ابطحی در واکنش به سخنرانی رییس جمهور در مجلس نوشت: آقای #روحانی امروز بدجوری توی سیاست رو دست خورد. به جای هر توضیح جدی یک منبر - واقعا منبر- در فضیلت #وحدت رفت. ناصح امین شده…</t>
  </si>
  <si>
    <t>پایگاه خبری و تحلیلی قلم پرس</t>
  </si>
  <si>
    <t>مي خوايد بدونيد جريان امروز #مجلس و #روحاني چي بود؟ مجلسيا: جسن ريدي بوش داره ما رو هم تو #مجلس خفه مي كنه حسن: صداشو در نيارين سيفونو ميكشن همه با هم ميريم پايين #روحانی_خفه #ایران #ايران_را_پس_ميگيريم #چالش_به_دعوت_تظاهرات #چالش_دعوت_به_عملیات #براندازم #مشهد_تایلندتشیع</t>
  </si>
  <si>
    <t>#روحانی برای چندمین بار از اعتراضات دیماه به عنوان عامل اصلی بهانه ی جدید ترامپ یاد کرد همین #روحانی می داند که #فنته_88 بهانه ی اصلی اجماع سازی علیه ایران بود ولی تا کنون سکوت کرده بنابراین اگر بخواهد #حقایق را هم بگوید باید این را بگوید</t>
  </si>
  <si>
    <t>مجتبی صادقی</t>
  </si>
  <si>
    <t>ما، بدریا حکم طوفان میدهیم...</t>
  </si>
  <si>
    <t>یکی به #حسین_نقوی_حسینی نماینده #ورامین بگه که ریدین آب هم قطع هست! کمتر شعار تو خالی بده فعلا که مردم رو زدین له و نابود کردین با هضیان گفتن #روحانى</t>
  </si>
  <si>
    <t>Garfield</t>
  </si>
  <si>
    <t>‏سيدي اخرج حب الدنيا من قلبي</t>
  </si>
  <si>
    <t>اگر کسی حرف های امروز #ذوالنور رو گوش کرد و در مورد عملکرد بد دولت قانع نشد بگید ساقیش رو عوض کنه. #سوال_از_رئیس_جمهور</t>
  </si>
  <si>
    <t>عزیزم ببخشید</t>
  </si>
  <si>
    <t>‏گفتا خموش حافظ کاین غصه هم سر آید</t>
  </si>
  <si>
    <t>این جماعت زالو صفتی که خون مردم را می‌مکند و از تریبون هایشان رییس جمهور را مقصر شرایط فعلی معرفی می‌کنند در صورتی که دستشان رو بشود نه تنها خجالت زده نمیشوند؛ بلکه اندک آرامش باقی مانده را نیز از جامعه صلب میکنند #روحاني این ها را امروز خوب میدانست و حقا خوب عمل کرد</t>
  </si>
  <si>
    <t>sajjadsaeedipour</t>
  </si>
  <si>
    <t>‏كبكا يه ضرب المثل دارن كه ميگه : ‏شما سرت تو برف خودت باشه!</t>
  </si>
  <si>
    <t>https://twitter.com/dw_persian/status/1034155623708024832
https://p.dw.com/p/33rI4</t>
  </si>
  <si>
    <t>#روحانی هیچ غلطی نمی تواند... RT @dw_persian: شهیندخت مولاوردی، دستیار حسن روحانی، می‌گوید رئیس جمهوری با حضور در مجلس "رازهای پشت پرده و سناریوسازی‌های" مشکلات اقتصادی کشور را افشا خواهد کرد. این جلسه برای افزایش فشار بر روحانی است یا او از آن بهره خواهد برد؟</t>
  </si>
  <si>
    <t>#شیخ_حسن_ناجوری</t>
  </si>
  <si>
    <t>‏‏‏‏تظاهربه دانایی دانایی راجبران نمیکند شهیدآوینی اهل نقدکردن و نقدشنیدنم اهلش نیستی فالو نکن</t>
  </si>
  <si>
    <t>رییس جمهور فرمودند سوالات مجلس همان سوالات ملت است ولله ساکنان مریخ هم سوالشون همیناس چه فایده شما جواب نمیدی #سوال_از_رییس‌جمهور</t>
  </si>
  <si>
    <t>🇮🇷Niloomatin🇮🇷</t>
  </si>
  <si>
    <t>دوران محافظه کاری 23 سال است تمام شده. به رای مردم برگردید. 24 میلیون رای قدرت کمی نیست #سوال_از_رئیس_جمهور @hesamodin1 @HassanRouhani</t>
  </si>
  <si>
    <t>mohammad ali alaei</t>
  </si>
  <si>
    <t>برای زیستن بایدتغیرکرد . دردکشید.... از انچه دوست داشت گذشت . عادات و خاطرات بد را از یاد برد و دوباره متولد شد . یا باید مرد... { انتخاب با خودتوست}</t>
  </si>
  <si>
    <t>Berlin, Germany</t>
  </si>
  <si>
    <t>https://pbs.twimg.com/media/Dlrl8bvXgAA6gpW.jpg</t>
  </si>
  <si>
    <t>روزنامه وطن امروز با کنایه به #روحانی در تیتر خود نوشت: پاسپورت پیشکش اعتبار گذرنامه سبز هم رفت. اشاره وی به بازداشت دیپلمات تروریست ایران در آلمان است که مصونیت دیپلماتیکش لغو شد</t>
  </si>
  <si>
    <t>AmirAli</t>
  </si>
  <si>
    <t>#روحانی قطعا دغدغه هایش را در جایکه تصمیمات مهم و اصلی گرفته میشود بیان کرده است این #مجلس دیگردر راس امور نیست.همانطورکه درتصویب لوایح چهارگانه از قدرت تصمیم گیری عاجزماند همانطورکه #برجام درمجلس قبل باوجود اکثریت مخالفان تصویب شد #تامام</t>
  </si>
  <si>
    <t>در عشق دو رکعت است که وضوی آن درست نیاید الّا به «خون»...</t>
  </si>
  <si>
    <t>صحبت های امروز #روحانی در جلسه سوال رو باید تلوزیون از #شبکه_نسیم پخش می کرد و البته با بازپخش مجدد فراوان به نظرم ایشان یک کاراکتر قابل رقابت هستند با #جناب_خان. #سوال_از_رئیس‌جمهور</t>
  </si>
  <si>
    <t>saeid zarei 🇮🇷 سعید زارعی</t>
  </si>
  <si>
    <t>برای تامین معاش، قابیل شغل کشاورزی را انتخاب کرد، و«هابیل» به دامداری مشغول شد.</t>
  </si>
  <si>
    <t>#روحاني میگه:از شمایه سوال می کنم! برجام برای چی بود؟ روحانی:برای این که به دنیا ثابت کنیم انرژی هسته ای ما صلح آمیزه! مردم ایران:مگه برجام واسه برداشتن تحریم هانبود؟اونوقت کدوم انرژی هسته ای صلح آمیزه؟ همونی که تعطیلش کردین؟؟ صدای ایران میگه:اظهارات مردم تائید شد روحانی مردود</t>
  </si>
  <si>
    <t>هابیل و قابیل</t>
  </si>
  <si>
    <t>#روحانی امروز در #مجلس یک پیام واضح داد دیگر به #امید امیدی نداشته باشید</t>
  </si>
  <si>
    <t>Kiumars Kiabi</t>
  </si>
  <si>
    <t>https://www.instagram.com/erfan__sayadi/</t>
  </si>
  <si>
    <t>‏❤انقلابی ام❤</t>
  </si>
  <si>
    <t>ابر بدهکار ملت،طلبکار شد #روحانی #دولت_تزویر_و_دروغ</t>
  </si>
  <si>
    <t>عرفان صیادی</t>
  </si>
  <si>
    <t>‏همین که اتفاق بدی نیوفته خودش ی اتفاق خوبه</t>
  </si>
  <si>
    <t>اين #اعتماد_به_سقف #رئیس_جمهور اگر قاطر داشت حتما و بي شك نازايش بر طرف ميشد، #علی_برکت_الله منفورترين ايراني ، نه ببخشيد اسكاتلندي 😁</t>
  </si>
  <si>
    <t>nima_sabahi</t>
  </si>
  <si>
    <t>http://iranrenter.com</t>
  </si>
  <si>
    <t>CTO At Iranrenter Co</t>
  </si>
  <si>
    <t>منی که الان می بینید دارم وانمود می کنم که همه چیز بده وگرنه ایران گل و بلبله عالی ارزونی بدون مشکل کلا انقدر رفاه دارم نمیدونم چکار کتم #روحاني @HassanRouhani</t>
  </si>
  <si>
    <t>farhad zand</t>
  </si>
  <si>
    <t>http://www.didehbansistan.ir</t>
  </si>
  <si>
    <t>يحيى خواجه حزب الهى ها را دوست ميدارم فعال اجتماعى سردبير وبسايت خبرى توتن خبر و مدیر مسول وبسایت دیده بان سیستان</t>
  </si>
  <si>
    <t>ايران/سيستان</t>
  </si>
  <si>
    <t>🔴 ادعای عجیب و غریب روحانی در خصوص آمار اشتغال: از۸۴ تا ۹۲ اشتغال خالص ۱۰هزار نفر بود اما در پنج سال گذشته دو میلیون و هفتصد هزار شغل ایجاد کردیم!!! شما قبول می‌کنید؟ #سوال_از_رئیس_جمهور</t>
  </si>
  <si>
    <t>yahya_khajeh</t>
  </si>
  <si>
    <t>Public Relations Manager @sheypoor . Media Consultant . Sometimes #Fimmaker</t>
  </si>
  <si>
    <t>جایی در این دنیای فانی!</t>
  </si>
  <si>
    <t>https://twitter.com/mah_sadeghi/status/1034077464966950912</t>
  </si>
  <si>
    <t>#روحانی، می توانست فرصت را تبدیل به ظرفیتی ارزشمند کند، که متاسفانه این زمان نیز از دست رفت! RT @mah_sadeghi: وضعیت نابسامان اقتصاد ناشی از عوامل مختلفی است؛ ساختار متمرکز رانتی تک‌محصولی غیررقابتی، فعالیت نهادهای موازی، توزیع نامتوازن منابع، فساد و عدم شفافیت، انحراف در خصوصی‌سازی، تعامل ضعیف با اقتصاد جهانی و... روحانی باید توضیح دهد که دولت او چه سهمی در هریک از این عوامل دارد؟</t>
  </si>
  <si>
    <t>Navid Iran‌Bahar</t>
  </si>
  <si>
    <t>‏‏‏‏Doctor💊💉🏃♀🔬🍭☕🍦📚🍰🍋🏥 /اگر این درنده خویی زطبیعتت بمیرد -همه عمر زنده باشی به روان آدمیت/t.me/xHarfBot?start…‎</t>
  </si>
  <si>
    <t>parthua</t>
  </si>
  <si>
    <t>https://pbs.twimg.com/media/DlrueG-XsAEeS5I.jpg</t>
  </si>
  <si>
    <t>#زندگی خیلی زیباست ولی #عادلانه نیست تو این روزهای پیش رو بیایید هوای همدیگه رو بیشتر داشته باشیم کشور داره به سمت سقوط میره #مسئولین که بفکر #مردم نیستند حداقل خودمون کمک کنیم بهم👸💕 #این_انتخاب_من_نیست #تحريم #سوال_از_رئیس‌جمهور #روحانی_خفه_شو #استیضاح_روحانی</t>
  </si>
  <si>
    <t>آنیسا👸💉💊</t>
  </si>
  <si>
    <t>http://www.iranntv.com</t>
  </si>
  <si>
    <t>https://pbs.twimg.com/media/Dlruq2-W0AARNWG.jpg</t>
  </si>
  <si>
    <t>اظهارات #روحاني در #مجلس مبين تعميق بن بست و بحران و تشديد جنگ قدرت است که هيچ برون رفتي در مقابل خشم و نفرت عموم مردم و قيام سراسري آنان ندارد دبيرخانه شوراي ملي مقاومت ايران ۶شهريور۱۳۹۷(۲۸ اوت۲۰۱۸) متن اطلاعیه ضمیمه است</t>
  </si>
  <si>
    <t>Simay Azadi</t>
  </si>
  <si>
    <t>‏‏تفکر بسیج رو دوست دارم، و عاشق رهبر و کشورم هستم &amp;کارشناس ارشد و مدرس ریاضی &amp;کمی تا قسمتی شاعر&amp; از دیار میرضاکوچک جنگلی، فالوبچه مذهبی و ارزشی صددرصد=بک</t>
  </si>
  <si>
    <t>ایران،گیلان</t>
  </si>
  <si>
    <t>https://pbs.twimg.com/media/DlruvC2WsAAQVhi.jpg</t>
  </si>
  <si>
    <t>باید برای قانع نشدن نمایندهها، پرونده ای مبنی بر عدم اجرای قانون توسط دولت به قوه قضاییه ارجاع شود ولی بهروز نعمتی خبر از ارجاع پرونده روحانی به کمسیون حقوقی مجلس داد نمایندههای کمسیون حقوقی منتظر شام نوبخت، فالو جهرمی یا تهدیدات دارو دسته جهانگیری باشند. #سوال_از_رییس‌جمهور</t>
  </si>
  <si>
    <t>اجاق زاده</t>
  </si>
  <si>
    <t>Journalist...FarsNewsAgency خبرگزاري فارس، دبیر سرویس پارلمان</t>
  </si>
  <si>
    <t>tehran- iran</t>
  </si>
  <si>
    <t>برخی نمایندگان مجلس خواستار علنی شدن رای به #سوال_از_رئیس_جمهور شدند که نهایتا این درخواست با رای منفی نمایندگان مواجه شد در زمان رای گیری برخی نمایندگان دستهای خود را به نشانه عدد ۲ یعنی مخالفت با طرح بالا گرفته بودند؛ مازنی، سیده فاطمه حسینی، فاطمه سعیدی، تاج‌الدین و... #شفافیت</t>
  </si>
  <si>
    <t>mohamadamin mirzaee</t>
  </si>
  <si>
    <t>https://www.facebook.com/iraneazadi</t>
  </si>
  <si>
    <t>چون دلارام میزند شمشیر، سرببازیم و رخ نگردانیم</t>
  </si>
  <si>
    <t>United States</t>
  </si>
  <si>
    <t>https://news.mojahedin.org/id/a0f520e8-2c27-4138-aba4-726672ffd237</t>
  </si>
  <si>
    <t>طرح سؤال از روحانی در جلسه #مجلس ارتجاع / نمایندگان از پاسخ به ۴سؤال از ۵سؤال قانع نشدند #براندازم #تظاهرات_سراسرى #اعتراضات_سراسری #ایران</t>
  </si>
  <si>
    <t>ایران آزاد - FreeIran</t>
  </si>
  <si>
    <t>بر سر تخت شما توی سر هم بزنید/ ما ته چاه عزیزیم برای خودمان</t>
  </si>
  <si>
    <t>رهبر انقلاب: «آقای #خاتمی بارها از من خواستند که از #اختیارات_فرا_قانونی #رهبری استفاده کنم و من گفتم که #مکتوب کن.در بین رئیس جمهورها شخصی که بیشترین درخواست رو برای حل #بحران‌ ها از من داشت، ایشون بود.» ممکنه در روزهای آتی این اتفاق به نام #روحانی #تکرار بشه. #من_مدیر_جلسه_ام</t>
  </si>
  <si>
    <t>مهرجو</t>
  </si>
  <si>
    <t>‏‏‏‏‏‏‏صرفا رویدادهای اجتماعی،فرهنگی،هنری،سیاسی و ...دنبال میکنم و نه چیز دیگری</t>
  </si>
  <si>
    <t>خیلی رو میخواد عده ای از رسانه های حامی دولت و اصلاح طلبان بعد از صحبت های تَکراری #روحانی هنوز دارند از توجیهات ایشون حمایت میکنند و به به و چه چه راه انداختند.</t>
  </si>
  <si>
    <t>پسر ایران</t>
  </si>
  <si>
    <t>http://Boursenews.ir</t>
  </si>
  <si>
    <t>بزرگترین پایگاه اطلاع رسانی بورس و بازار سرمایه ایران</t>
  </si>
  <si>
    <t>رضایت عضو جبهه پایداری از دولت و مجلس 👤 علیرضا زاکانی: 🔹باید به #دولت و #مجلس تبریک گفت. 🔹سئوالات مجلس شفاف و محترمانه بود و پاسخ ها گرچه اقناع کننده نبود اما بویی از لجاجت نداشت. 🔹بلوغ مسئولان کشور مهمترین دستاورد امروز مجلس بود</t>
  </si>
  <si>
    <t>بورس نیوز</t>
  </si>
  <si>
    <t>‏‏تا نیایی گره از کار بشر باز نشود اللهم عجل الولیک الفرج</t>
  </si>
  <si>
    <t>https://pbs.twimg.com/media/DlrvCiwXoAIoyR8.jpg</t>
  </si>
  <si>
    <t>از این جماعت سگ باز بی بند و بار کی میخواد سئوال کنه که چرا جوونها و مردم عوام رو انداختین تو چاه حسن روحانی؟ #سوال_از_رییس‌جمهور #سلبریتی_بیسواد</t>
  </si>
  <si>
    <t>علی شاعری</t>
  </si>
  <si>
    <t>‏اینجایی که من هستم آخر دنیاست، باید دنیا رو بشناسی تا بفهمی آخرش یعنی چی| | علاقه‌مند به ‎‎‎#مسائل_زنان | دختر کُرد | در یکی از شب‌های ۲۱ سالگی مسلمان شدم</t>
  </si>
  <si>
    <t>روحانی #سوال_از_رییس‌جمهور رو بااین آیه شروع کرد:وقُل لِّعِبَادِي يَقُولُوا الَّتِي هِيَ أَحْسَنُ إِنَّ الشَّيْطَانَ يَنزَغُ بینهم این آیه وقتی نازل شد ک مشرکان مکه پیامبر ص آزارمیدادن اصحاب خاستن باهاشون بجنگن پیامبرنگذاشتن . [حق داره خب! شما پراید۴۰تومنی ببینی مشرک نمیشی؟]</t>
  </si>
  <si>
    <t>پریچهر</t>
  </si>
  <si>
    <t>الف لامپ میز❁ای کسانی که ایمان آورده اید❁سر جدتون جان مادرتون کاری به کار کسانی که ایمان نیاورده اند نداشته باشید.❁والظالين❁</t>
  </si>
  <si>
    <t>زنجیره تکرار: #روحانی که امروز در مرز #استیضاح قرار داره، خودش از بانیان استیضاح و توطئه علیه بنی صدر بود! تمام حرفهایی که علیه احمقی نژاد زد تو دولت خودش هم اتفاق افتاد! کسی که خود در توطئه قتل احمد خمینی و بسیاری دیگه دست داشته امروز خودش هم به قتل تهدید میشه! #استیضاح_روحانی</t>
  </si>
  <si>
    <t>چه ناگوارا</t>
  </si>
  <si>
    <t>آقای #روحانی اگر قرار باشد هر رئیس جمهور به منصب رسیده؛تمام مشکلات مملکت و ناتوانی اش را؛درد مزمن از عصر حجر تا الان بداند پس کدام رئیس جمهور این درد مزمن را درمان خواهد کرد؟ ر.جمهور قبل شما هم؛درد مزمن را میگفت شما هم میگوئید ر.جمهور بعد شما هم خواهد گفت #سوال_از_رئیس‌جمهور</t>
  </si>
  <si>
    <t>https://article.mojahedin.org/id/7c47f3a7-8c56-4c3f-8fc2-26fd050154a0</t>
  </si>
  <si>
    <t>پیامدهای استیضاح و برکناری دومین وزیر #روحانی #براندازم #تظاهرات_سراسرى #اعتراضات_سراسری #ایران</t>
  </si>
  <si>
    <t>به امید آن روز</t>
  </si>
  <si>
    <t>#روحانی همه سوالات مجلس درباره وضعیت وخیم کشورُ با #برجام داریم جواب داد. #رئیس_جمهور_سوئیس</t>
  </si>
  <si>
    <t>هانتر</t>
  </si>
  <si>
    <t>http://paper.li/MelissaCremon/1483087707#/</t>
  </si>
  <si>
    <t>من يك خبرنگار درمقاومت ايران و خواهان سرنگوني رژيم آخوندي كه عامل تمامي بلاياي مردم ايران هست ميباشم -کانال شراره های آتش قیام https://t.me/shararehayeatash</t>
  </si>
  <si>
    <t>pic.twitter.com/ZHgQFU8VrX</t>
  </si>
  <si>
    <t>این قدر جنگ جناحها شدت گرفته که، #روحانی در مجلس میگه : چطور یک عده جرات کردند رئیس جمهور را تهدید به ترور کنند؟! اشاره به پلاکارد فیضیه که روی آن خطاب به روحانی نوشته بود: استخر فرح در انتظارت! (اشاره به مرگ رفسنجانی) #ایران #سرنگونی #IranRegimeChange</t>
  </si>
  <si>
    <t>ستاره پيروزي-قيام</t>
  </si>
  <si>
    <t>خطر در آب زیر کاه بیش از بحر میباشد من از همواری این خلق ناهموار میترسم</t>
  </si>
  <si>
    <t>https://pbs.twimg.com/media/DlrvgpPXgAEAoe8.jpg</t>
  </si>
  <si>
    <t>به نهادهای انتصابی امیدی برای شفافیت نیست اما نهادهای انتخابی با رد شفافیت بی آبروتر از همیشه هستند. #مجلس #روحانی</t>
  </si>
  <si>
    <t>marzimir</t>
  </si>
  <si>
    <t>طلبه | کارشناسی‌ارشد جامعه‌شناسی شیعیان | Social Media Specialist</t>
  </si>
  <si>
    <t>ایران، قم</t>
  </si>
  <si>
    <t>نتیجه جلسه #سوال_از_رییس_جمهور: #روحانی هیچ تقصیری نداره! مردمی که بهش رای دادن مقصر اصلی هستن! تامام!</t>
  </si>
  <si>
    <t>سعید کریمی 🇮🇷</t>
  </si>
  <si>
    <t>‏‏ی روز خوب میاد اینومیدونم ی فروردینی عاشق حیوانات عاشق فیلم وسینما طبیعت گردی و پیکنیک ورزش شنا و رزمی به دنبال نیمه گمشده 🙌</t>
  </si>
  <si>
    <t>جمهوری اسلامی ایران.تهران</t>
  </si>
  <si>
    <t>#روحانی جناب اقای روحانی امروز هم ک صحبتهای شما منبری بود مردم دلسردتر شدن و مخالفانت جریح تر مشخص شد ک دستهای پشت پرده ایی نیست ک میگفتی چون اگربودهرکسی برای ابروش سکوت نمیکرد وربطی هم به وحدت نداره چون مخالفانت نابودت کردن</t>
  </si>
  <si>
    <t>R</t>
  </si>
  <si>
    <t>‏‏ﺍﻣﺎﻡ ﺯﻣﺎﻧﯽ ﺍﻡ ﺍﻧﻘﻼﺑﯽ ﺍﻡ ﺯﻧﺪﮔﯽ ﺯﯾﺒﺎﺳﺖ،ﺍﻣﺎ ﺷﻬﺎﺩﺕ ﺯﯾﺒﺎﺗﺮ ﺍﺳﺖ ﻣﻦ ﺍﯾﺮﺍﻧﯿـﻢ ﺁﺭﻣﺎﻧﻢ ﺷﻬﺎﺩﺕ ﻣــــﻮﻻﯾـــــﻢ ﻋﻠــﯿــﺴـﺖ ﺟـﺎﻧﻢ ﻓــﺪﺍﯼ ﺳـﯿﺪﻋﻠﯿـﺴﺖ</t>
  </si>
  <si>
    <t>https://pbs.twimg.com/media/DlrvmMKX4AAtTve.jpg</t>
  </si>
  <si>
    <t>طبق قانون در صورتی که #نمایندگان از پاسخ های #رئیس_جمهور قانع نشوند، #سوالات به #قوه_قضاییه ارسال خواهد شد. #Iran</t>
  </si>
  <si>
    <t>علیتنها</t>
  </si>
  <si>
    <t>‏می‌رود قصه‌ی ما سوی سرانجام آرام , دفتر قصه ورق می‌خورد آرام آرام</t>
  </si>
  <si>
    <t>شما فک کن #روحانی #استیضاح شه بره یه درصد فک کن چقدر میزان مشارکت توی انتخابات میاد پایین برادر من ما کسایی و داشتیم رای نمیداده اومد رای داد بعد انتظار داری دوباره بیاد رای بده ؟ البته کلا دوره‌ی بعدی انتخابات ریزش داریم چه ریزشی ... !</t>
  </si>
  <si>
    <t>Mohsen</t>
  </si>
  <si>
    <t>https://pbs.twimg.com/media/DlrvsiEX4AEQ4c2.jpg</t>
  </si>
  <si>
    <t>👤 توییت استاد #رائفی_پور در مورد #استیضاح آقای دکتر #روحانی</t>
  </si>
  <si>
    <t>Yamahdi</t>
  </si>
  <si>
    <t>Retweet≠Endorsement</t>
  </si>
  <si>
    <t xml:space="preserve"> Iran</t>
  </si>
  <si>
    <t>https://pbs.twimg.com/media/Dlrl4P_WsAICsrO.jpg</t>
  </si>
  <si>
    <t>https://twitter.com/dw_persian/status/1034392018527678465
https://bit.ly/2Lv6geN</t>
  </si>
  <si>
    <t>زاکانی حامی #روحانی ؟! #همه_باهم_هستند RT @dw_persian: واکنش علیرضا زاکانی به سوال از روحانی  به اعتقاد علیرضا زاکانی، نماینده پیشین مجلس شورای اسلامی از طیف موسوم به "اصولگرا"، پرسش‌های نمایندگان در جلسه سوال از روحانی "شفاف و محترمانه" بود و پاسخ‌های روحانی "گرچه اقناع کننده نبود اما بویی از لجاجت نداشت"</t>
  </si>
  <si>
    <t>Yasin Ramin</t>
  </si>
  <si>
    <t>‏‏‏‏‏‏‏‏‏‏‏‏‏‏‏‏‏‏‏‏‏‏برمانظری کن که دراین شهرغریبیم برماکرمی کن که دراین شهر گداییم حلاج وشانیم که ازدار نترسیم مجنون صفتانیم که درعشق خداییم</t>
  </si>
  <si>
    <t xml:space="preserve">  باافتخارجمهوری اسلامی ایران</t>
  </si>
  <si>
    <t>خب من الان اومدم شنیدم تومجلس داشتن طرح #سوال_از_رییس‌جمهور رو انجام میدادن که انگار مجلس قانع نشده!!!! فقط خداکنه ادامه داشته باشه و برای پاسخگو بودن دولت ورییس جمهور ،فشار بیشتر بشه، ببینم دقیقا تواین ۶ سال چه خاکی توسرشون میریختن که وضع مملکت اینگونه است....</t>
  </si>
  <si>
    <t>☫کَفشَنده☫اخراجی۱🇮🇷لیمیتف</t>
  </si>
  <si>
    <t>البرز</t>
  </si>
  <si>
    <t>با یه حساب سر انگشتی.. دزدی فساد دروغ اختلاس .. ... همه از جیب مردم و حق الناس هستش... بعید میدونم با این همه طلبی که ما داریم از اقایون...کسی از ما به جهنم بره...مگر اینکه خودمون یکی از اینا باشیم... . #روحانی #هاشمی #خاتمی #سوال_از_رئیس‌جمهور</t>
  </si>
  <si>
    <t>🇵🇸مهدیانه🇮🇷</t>
  </si>
  <si>
    <t>Aria A.K.A James Moriarty</t>
  </si>
  <si>
    <t>Moon</t>
  </si>
  <si>
    <t>https://twitter.com/danialbehzadi/status/1034318001598816256</t>
  </si>
  <si>
    <t>کاریکاتور ملت #مجلس RT @danialbehzadi: عصارهٔ فضولات ملّت! #مجلس</t>
  </si>
  <si>
    <t>آریا موریارتی</t>
  </si>
  <si>
    <t>What's trending on Twitter-Farsi?</t>
  </si>
  <si>
    <t>هشتگ‌های پر‌طرفدار: - #روحانی - #مجلس - #روحانی:</t>
  </si>
  <si>
    <t>TrendFa</t>
  </si>
  <si>
    <t>https://pbs.twimg.com/media/DlrmVZEXcAAUyin.jpg</t>
  </si>
  <si>
    <t>ارائه طرح #استیضاح وزیر صنعت به هیئت رئیسه مجلس با ۵۰ امضا بهروز نعمتی، سخنگوی هیئت رئیسه مجلس: استیضاح #وزیر_صنعت، معدن و تجارت عمدتا در محورهایی همچون «نابسامانی در توزیع #ارز برای واردکنندگان، تخلفات در حوزه واردات خودرو و تداوم مشکلات واحدهای تولیدی و صنعتی» تهیه شده است.</t>
  </si>
  <si>
    <t>http://madarshahian.com</t>
  </si>
  <si>
    <t>Structural engineering and Statistics researcher. Post-doctorate fellow at University of California at San Diego @UCSanDiego ASCE member @ASCETweets</t>
  </si>
  <si>
    <t>San Diego, CA</t>
  </si>
  <si>
    <t>درست است که در کمال تاسف #نظارت_استصوابی دست ملت رو بسته است؛ با این وجود شما #مجلس کنونی را بیشتر انتخاب خود می دانید، یا این #دولت را؟ اگر مجبور بودید فقط یکی از این دو را انتخاب کنید. کدامیک به انتخاب واقعی شما نزدیکتر است؟ #ريتوييت_لطفا #نظرسنجي #RETWEEET</t>
  </si>
  <si>
    <t>Ramin Madarshahian</t>
  </si>
  <si>
    <t>معلم ریاضی و مشاور آموزشی سابق، مدیر هماهنگ کننده و بازاریابی فعلی، تا چه خواهد برایم دوست...</t>
  </si>
  <si>
    <t>با #باخت ۴ بر یک #روحانی، شکست فجیع ۳-۱ #استقلال یادمون رفت. #روحانی_مچکریم</t>
  </si>
  <si>
    <t>میثم دانش</t>
  </si>
  <si>
    <t>‏‏‏‏‏‏‏‏ من از سرودن شعر ظهور می‌ترسم / دوباره بیعت و بعدش عبور می‌ترسم ، مجهز به آنفالو یاب 😉</t>
  </si>
  <si>
    <t>این قضیه #استیضاح_روحانی دروغ آوریل بود دیگه؟ بینی و بین الله بگید انتظار دارید #مجلس لابیجانی #روحاني رو استیضاح کنه؟ #سوال_از_رییس‌جمهور</t>
  </si>
  <si>
    <t>ظهور را نزدیک میکنم</t>
  </si>
  <si>
    <t>http://instagram.com/khansari_ali</t>
  </si>
  <si>
    <t>‏‏‏علوم سیاسی دانشگاه مفید</t>
  </si>
  <si>
    <t>میگن حتی خود #رئیس_جمهور هم از جوابایی که داده قانع نشده ....</t>
  </si>
  <si>
    <t>Alikhansari</t>
  </si>
  <si>
    <t>اگر #روحانی کوچکترین دلیل محکمی برای پاسخ دادن به مجلس داشت سراغ #تهدید_ترور و #سپاه نمی رفت اقای رئیس جمهور یکم هم از #احمدی_نژاد می گفتی تا قافیه جور شود ایا برجام را برای این هایی که گفتی می خواستیم یا #رفع_تحریم ها</t>
  </si>
  <si>
    <t>با رويه و منش #ذوالنور همسو نيستم اما جناب پرديدنت #روحاني شما هم واقعا رييس جمهور سوييس نيستي. ما هم متاسفانه الاغ نيستيم.</t>
  </si>
  <si>
    <t>Reza Rostami</t>
  </si>
  <si>
    <t>‏‏پژوهشگرِ تا ابدِ حقیقت! دانشجوی فلسفه دین! مهندس سابق!</t>
  </si>
  <si>
    <t>جناب #روحانی اندکی بینش و آزادگی سیاسی،لازمست که بدانی وضعیت امروز کشور،در بهترین حالت، هم اندازه شما،بر عهده مسىٔولین غیرانتخابی غیرپاسخگو هم هست.اما وقتی شما جسارت و شهامت تبیین سهم موثر و نقش ناپاسخگوی آنها را ندارید،هم حقتان است که خناسان،شما را تنها مسىٔول جلوه دهند.</t>
  </si>
  <si>
    <t>ali soltani</t>
  </si>
  <si>
    <t>واکنش احتمالی روحانی به قانع نشدن مجلس:: برید به جهنم بزدل های سیاسی ترسوهای عصر حجری برید یه جای گرم پبدا کنید که نلرزید قانع نشدین به درک... واین ماجرا تا ۱۴۰۰ ادامه دارد #سوال_از_رییس‌جمهور</t>
  </si>
  <si>
    <t>pic.twitter.com/pPZ3hOncMP</t>
  </si>
  <si>
    <t>حاج آقا روحانی امروز آیه قشنگی خوندی ولی آیا یادتان هست.....؟؟ #سوال_از_رئیس_جمهور #عالم_بی_عمل</t>
  </si>
  <si>
    <t>هد هد hodhod</t>
  </si>
  <si>
    <t>عاشق ایران</t>
  </si>
  <si>
    <t>https://twitter.com/MBabaei4/status/1034311468999737344</t>
  </si>
  <si>
    <t>یاد اون ضرب المثل افتادم کسی که خوابه میشه بیدار کرد ولی خودشو به خواب زده باشه ... 🙃 #روحانی RT @MBabaei4: یکی‌تون #روحانی رو ‌بیدار کنه. میگه تازه در مرحله آسیبیم! #سوال_از_رئیس‌جمهور</t>
  </si>
  <si>
    <t>Hossein coder</t>
  </si>
  <si>
    <t>https://t.me/iNashenas_Bot?start=39028947</t>
  </si>
  <si>
    <t>#Journalist #IFJ</t>
  </si>
  <si>
    <t>#روحانی امروز در #مجلس اگر نپذیریم بزدلانه سخن گفت، باید بپذیریم معامله‌گری‌ کرد! نفس معامله چیز بدی نیست؛ به‌شرطی‌که معامله درجهت دستیابی به #خیر_عمومی باشد. ولو نتیجه شرّ باشد. در #ایران کمتر دیده شده، انگیزه معامله‌‌گر، در زدوبندهای سیاسی شخصی وجناحی نباشد. صبوری می‌کنیم تا...</t>
  </si>
  <si>
    <t>kamal hoseini</t>
  </si>
  <si>
    <t>‏‏‏‏‏‏‏‏‏‏‏‏‏‏‏‏الهی و ربی من لی غیرک... (: حالِ کسی که توی باتلاق گیر کرده و برای بیرون اومدن ازش هی دست و پا میزنه اما بیشتر و بدتر توش غرق میشه.</t>
  </si>
  <si>
    <t>از اینکه صحبت های چرت اون مردک کذاب رو گوش ندادم و بیشتر ازین حرص نخوردم، بسی بسی شادمانم‌! ^_^ #سوال_از_رئیس_جمهور</t>
  </si>
  <si>
    <t>و الوتر الموتور... 🍃</t>
  </si>
  <si>
    <t>http://T.me/pastonews</t>
  </si>
  <si>
    <t>‏‏‏‏‏‏‏💪✌🌞RESTART🌞✌💪 هر کس از در آید نانش دهید از ایمانش مپرسید، چرا که هرکس به جان ارزد به نان ارزد... opposition milioni restart پیروزی نزدیک است http://T.me/sem</t>
  </si>
  <si>
    <t>. صحبت های #روحاني دو نکته داشت: 1_پارسال #ري_استارت کمر نظام رو شکوند و باعث تظاهرات بزرگ دی ماه شد. 2_نظام توان مقابله با #آمریکا رو نداره چه من رییس جمهور باشم چه کس دیگه... #استیضاح #ری_استارت_تنها_راه_نجات #interview_Restartleader #Seyed_Mohammad_Hosseini #Restart</t>
  </si>
  <si>
    <t>Restart_0hosseini0</t>
  </si>
  <si>
    <t>خوشتیپیم</t>
  </si>
  <si>
    <t>توییت استاد رائفی پور جناب آقای دکتر #روحانی اعتماد به نفستان شگفت انگیز بود دور زدن تحریم ها پیش کش٬ ای کاش بجای احمق فرض نمودن #نمایندگان_مجلس، قدری از وزیرتان جناب #آخوندی روشهای بِروز دور زدن #استیضاح را می آموختید این حربه ها قدیمی شده #اعتماد_به_سقف</t>
  </si>
  <si>
    <t>morteza mardane</t>
  </si>
  <si>
    <t>این تَقیهَ است که عَسلام را زَندهَ نَگه داشتهَ . ورود همه آزاد حتی شما نژادپرست عزیز</t>
  </si>
  <si>
    <t>بين الحرمين</t>
  </si>
  <si>
    <t>https://pbs.twimg.com/media/Dlrw5ZZX0AAMgX9.jpg</t>
  </si>
  <si>
    <t>#روحانی با سخنرانی امروز تیر خلاصی به #اصلاحات زد. اما در این کوران اتفاقات، سر مار و عامل اصلی این شرایط رو فراموش نکنیم. #رهبر #رهبر_معظم_انقلاب #براندازیم</t>
  </si>
  <si>
    <t>بسيجي تَقیه پناه 🏳</t>
  </si>
  <si>
    <t>Iran,tehran</t>
  </si>
  <si>
    <t>(مجلس در رأس امور است) يعنى: ميتونه حتى اگه #رئيس_جمهور مملكتم كوچكترين #اشتباهى (حالا ما مثلا ميگيم ناآگاهانه شمام همينو بگيد) كرد جيگرشو دربياره چه برسه به بقيه آقايون. اما #مجلسى كه دولتى باشه و غير #شفاف از اين بهتر نميشه و نخواهد شد. پس اولين قدم #شفافیت_آراء_نمایندگان</t>
  </si>
  <si>
    <t>saeidbarati</t>
  </si>
  <si>
    <t>دانش ‌آموخته حقوق باگرایش بین‌ الملل واصلاح ‌طلب جنوبی، عضوحزب اتحاد ملت ایران اسلامی،همین. #آغازیک‌پایان</t>
  </si>
  <si>
    <t>https://pbs.twimg.com/media/DlrxMYPX0AA_YHx.jpg</t>
  </si>
  <si>
    <t>وقتی که این تصاویر امروز #روحانی در مجلس را دیدم و اینکه حتی یک برگ از پیش نوشته شده جهت سخنرانی، در پیش روی خود ندارد فهمیدم که روحانی امروز #بازنده است؛ البته بازنده مدیریت یله و رهای خود است و بود، یک #بازنده_تمام_عیار... #سوال_از_رئیس‌جمهور #آغازیک‌پایان</t>
  </si>
  <si>
    <t>🕊🇮🇷Mehdi Heydari</t>
  </si>
  <si>
    <t>با رمز گشايي جناب #روحاني علت همه مشكلات اخير كشور مشخص شد { #تظاهرات سال 96🙂🙂} الكي مثلا ما يادمون رفته،شروع تظاهرات #نه_به_گراني بود. يا اينكه از سال 92 به اينطرف،همه چي گل و بلبل بود😙 @Rouhani_ir</t>
  </si>
  <si>
    <t>J_Rahimi</t>
  </si>
  <si>
    <t>#روحاني ميگه ٧١٥ هزارتا كار ميخواستيم ٧٥٠ هزارتا فرصت شغلي ايجاد كرديم. يعني الان ٣٥ هزارتا فرصت شغلي براي من وجود دارم. تو كه راست ميگي. من كورم نميبينم. #نه_به_دروغ</t>
  </si>
  <si>
    <t>‏چنان چه آغاز کرده ای بر همان خواهی بود!!!</t>
  </si>
  <si>
    <t>#روحانی امروز دستاش نلرزید اما پرپر شد! یعنی استاد فرافکنی و جملات شعاری و مظلوم نمایی هستش!!!</t>
  </si>
  <si>
    <t>Alireza Jaafari</t>
  </si>
  <si>
    <t>اقای #روحانی برای عده ای گاو و گوسفند از وحدت و همدلی نمیشه حرف زد اینها دنبال قدرت طلبی خودشون هستن کاری به این حرفهای قشنگ ندارن وقتی آشکارا تهدید به قتلت میکنن چه امیدی به اصلاح و از قدرت خارج شدنشون داری ریشه این حرفها را از امثال #ذوالنور و #قدوسی میشه یافت. @Rouhani_ir</t>
  </si>
  <si>
    <t>#روحانی جناب اقای رئیس جمهور قیمت دلار دست امریکا و دستهای پشت پرده هستش ایا قیمت مسکن و اجاره ک امروز کمر مردم رو شکسته هم دست #امریکا_اسرائیل هستش؟؟اینجاهم نمیتونی ی کاری کنی ک قیمت مسکن و اجاره قانونی شه ونتونن به هر تلنگری گرون کنن</t>
  </si>
  <si>
    <t>‏‏‏‏‏‏‏‏‏‏‏‏‏‏‏متولد امرداد طنز نویس و شاعر کلمات بی پرچم(پرسپولیس )</t>
  </si>
  <si>
    <t>رد پای انسان، معمولا زخم است رد پای سیاستمدار معمولا سکوت طولانی یک ملت #روحاني #این_انتخاب_من_نیست</t>
  </si>
  <si>
    <t>nouka77</t>
  </si>
  <si>
    <t>امام جمعه لواسان / عضو هیات علمی دانشگاه گرایش تفسیر عرفان حکمت متعالیه</t>
  </si>
  <si>
    <t>اگر کار دولت با خطابه‌های آتشین می‌گشت، روحانی رئیس‌جمهور خوبی بود. اما خطابه مشکلی را حل نمی‌کند. مردم‌سالاری را قبول دارند؟ مردم از حرف‌های کلی خسته‌اند؛ بپذیرند تاکنون اشتباه کردند، فرصت برای جبران است. آقای #روحانی! ما خیرخواه شما هستیم. #سوال_از_رئیس_جمهور</t>
  </si>
  <si>
    <t>سید سعید لواسانی</t>
  </si>
  <si>
    <t>‏‏‏‏دکتریِ کارشناس ارشدِ کارشناسیِ دیپِلمِ سیکلِ بیسوادِ آسِ آسِ پاس</t>
  </si>
  <si>
    <t>خاکستر نشینم، یادیار، خواب خوش</t>
  </si>
  <si>
    <t>https://pbs.twimg.com/media/DlrxgrqXsAEOpbz.jpg</t>
  </si>
  <si>
    <t>اون یه سوال رو کی بهت تقلب رسوند؟ #سوال_از_رئیس_جمهور #روحانی</t>
  </si>
  <si>
    <t>ویکتور 🇮🇷🇵🇸🌐</t>
  </si>
  <si>
    <t>آب و هوای ما پیچیده به هم، یکم! از شما چه خبر؟</t>
  </si>
  <si>
    <t>https://pbs.twimg.com/media/DlrxtegWsAAwlln.jpg</t>
  </si>
  <si>
    <t>امروز در مجلس #روحانی بدتر از این نمیتونست صحبت کنه. همونطور که در تلویزیون بدتر از اون نمیتونست صحبت کنه. بر خلاف صاایران #رئیس‌جمهور هر روز بدتر از دیروز!</t>
  </si>
  <si>
    <t>Mohammad Shivapour</t>
  </si>
  <si>
    <t>http://www.bahar-narenj.blogspot.com</t>
  </si>
  <si>
    <t>‏یوزپلنگی که با کسی ندوید متخصص امور #گربه</t>
  </si>
  <si>
    <t>Istanbul</t>
  </si>
  <si>
    <t>احمدی‌نژاد مملکت رو شخم زد و تا لبه‌ی فروپاشی برد و آقا به خاطرش خطبه‌ی خون رو منبر خوند و با ده‌ها پرونده‌ی فساد علنی کسی هنوز تخم نکرده به دولت کثافت نزدیک نظر دست بزنه. حالا #روحانی شد گوشت قربونی؟</t>
  </si>
  <si>
    <t>باهارنارنج</t>
  </si>
  <si>
    <t>‏‏‏‏‏‏‏نوشیدنی مورد علاقه من، لیبرترین، پرسپولیسی، بایرنی</t>
  </si>
  <si>
    <t>#روحانی باید به جای مصلحت اندیشی میومد واقعیت دولت در سایه رو میگفت. عزیز طرف مقابل کوتاه نمیاد تو هم کوتاه نیا.</t>
  </si>
  <si>
    <t>جین و تونیک 🍸</t>
  </si>
  <si>
    <t>‏‏‏‏‏‏‏‏‏‏...‏‏اللهم انا نشکوا الیک فقد نبینا و غیبت ولینا و کثرت عدونا و قلت عددنا این صاحبنا؟ این بقیه الله؟ این الطالب بدم المقتول بکربلاء؟</t>
  </si>
  <si>
    <t xml:space="preserve">ایران قم </t>
  </si>
  <si>
    <t>خب الحمدلله داریم می بینیم یه بخاری از این مجلس داره بلند میشه #سوال_از_رییس‌جمهور</t>
  </si>
  <si>
    <t>ام سیدشهاب</t>
  </si>
  <si>
    <t>https://t.me/Ashkanrezaei93</t>
  </si>
  <si>
    <t>Astrological Physics/ عَلِف</t>
  </si>
  <si>
    <t>یادم نمیره اون روزایی رو که به احمدی‌نژاد فحش می‌دادم ولی فکر نمی‌کردم یه روزی به این #روحانی ِ جاکش هم فحش بدم #روحانی_خفه_نشو !! #بمیر</t>
  </si>
  <si>
    <t>فیزیسیستِ گیلموریست</t>
  </si>
  <si>
    <t>http://www.MehdiGhadamyari.com</t>
  </si>
  <si>
    <t>هرگونه توهین و ناسزا = ریپورت و بلاک . اجازه نمیدهم تعدادی کاربر فیک و مجهول الحال هرگونه توهین و ناسزایی بگویند . مهدی قدمیاری @MAIpersian</t>
  </si>
  <si>
    <t>امروز اقای روحانی مثل یک رئیس جمهور که اومده مجلس جوابگوی نماینده ها باشه جواب نداد ،فراتر از رئیس جمهوری مثل رهبری صحبت میکرد . حرف از اتحاد و تشکر از نهادها و همبستگی و ... #حسن_روحانی #ایران #رئیس_جمهور #مجلس_شورای_اسلامی #نماینده_مجلس #هاجرچنارانی #نیشابور #حمیدگرمابی #رهبری</t>
  </si>
  <si>
    <t>mehdi ghadamyari</t>
  </si>
  <si>
    <t>اینقدر حرف های #روحانی تکراری بود که هیچ نکته ی جدیدی نداشت حرف به حرف جمله هایش در باره ی قاچاق یا اشتغال یا تحریم را قبلا هم به کار برده بود ما منتظر #ناگفته_ها بودیم از جزئیات اما نا امید شدیم</t>
  </si>
  <si>
    <t>نقشه مسیر ما اینست اگر برای رسیدن به آزادی، باید از هفت خوان سرکوب و زندان و شکنجه و تیرباران گذشت، ما در نبرد آزادی، برای صدها هفت خوان دیگر حاضر و آماده‌ایم!</t>
  </si>
  <si>
    <t>https://pbs.twimg.com/media/DlrtIhSVsAAJj5A.jpg</t>
  </si>
  <si>
    <t>#روحانی در مجلس امروز: تمامی مشکلات ما از تاریخ ۵دیماه ۹۶ آغاز شد. آن روزی که عده‌ای به خیابانها آمدند.و شعارهایی دادند و کم کم شعارها تبدیل به شعارهای هنجارشکنانه شد. #براندازم #ايران #Iran #IranRegimeChange #سوال_از_رئیس‌جمهور</t>
  </si>
  <si>
    <t>مهین خیابانی</t>
  </si>
  <si>
    <t>Re-tweet:Is not endorsement</t>
  </si>
  <si>
    <t>khuzestan</t>
  </si>
  <si>
    <t>۴۱ یا ۴۲ سال پیش شاه یک مصاحبه کرد تا همین امروز داریم گوه آمریکای میخوریم دو دستی لعنت بر تو که ریدی و رفتی لعنت بر تو که آمدی وظلم کردی #اعتراضات #اعتراضات_سراسری #اعتصابات_سراسری #ایران #دلار۱۱۰۰۰تومنی #دلار #استیضاح #روحانی</t>
  </si>
  <si>
    <t>What to Do What Not to Do</t>
  </si>
  <si>
    <t>https://twitter.com/rezannnnnnnn/status/1034404704007204865</t>
  </si>
  <si>
    <t>قیمت ها رو درست کنن خودشون چجوری کسب درامد کنن عایا ...🙃 #روحانی #رئیس_جمهور RT @rezannnnnnnn: #روحانی جناب اقای رئیس جمهور قیمت دلار دست امریکا و دستهای پشت پرده هستش ایا قیمت مسکن و اجاره ک امروز کمر مردم رو شکسته هم دست #امریکا_اسرائیل هستش؟؟اینجاهم نمیتونی ی کاری کنی ک قیمت مسکن و اجاره قانونی شه ونتونن به هر تلنگری گرون کنن</t>
  </si>
  <si>
    <t>کانون فرهنگیان و بازنشستگان برای احقاق مطالبات و انعكاس صداي آنها ميباشد. کانال تلگرام: @farhangian97</t>
  </si>
  <si>
    <t>pic.twitter.com/LJGxN2McIo</t>
  </si>
  <si>
    <t>اگر مردم به جای #روحانی به مجلس می‌رفتند چه می‌گفتند؟ حقیقت را باید از مردم شنید #اعتراض @farhangian :Telegram</t>
  </si>
  <si>
    <t>کانون فرهنگیان و بازنشستگان</t>
  </si>
  <si>
    <t>روزنامه های اصلاح طلب فردا: چون علت اصلی مشکلات کشور و خواسته اصلی مردم #رفع_حصر بود... و آقای #روحانی نتوانست به این وعده مهم انتخاباتی خود عمل کند... با تلاش شبانه روزی فراکسیون امید در مجلس از نمایندگان ملت کارت قرمز گرفت...!😐 #سوال_از_رئیس‌جمهور</t>
  </si>
  <si>
    <t>استخر فرح هم به داد #روحانی در میان #سوال_از_رییس‌جمهور توسط نمایندگان مجلس نرسید .</t>
  </si>
  <si>
    <t>https://pbs.twimg.com/media/DlryjhGXsAErH4D.jpg</t>
  </si>
  <si>
    <t>. همه اپوزوسیون ها و سیاستمداران وابسته هستند و اپوزوسیون مستقل مردمی نداریم جز اپوزوسیون #ري_استارت که به هیچ جناح و تفکر و کشوری وابسته نیست. "قدرت یعنی مردم" #روحاني #استیضاح #ری_استارت_تنها_راه_نجات #interview_Restartleader #Seyed_Mohammad_Hosseini #Restart_opposition</t>
  </si>
  <si>
    <t>کارشناس ارشد امور اجتماعی، اقتصادی و سیاسی</t>
  </si>
  <si>
    <t>#مجلس از توضیحات رئیس جمهور قانع نشد. حالا که چی؟ میگن ارجا میشه قوه قضاییه. خوب بعدش چی؟ میخوان روحانی رو دستگیر کنن؟ #نمایش_مضحک #سوال_از_رییس_جمهور</t>
  </si>
  <si>
    <t>PitpitaK</t>
  </si>
  <si>
    <t>دکترای دامپزشکی | فعال دانشجویی دانشگاه شهید چمران اهواز</t>
  </si>
  <si>
    <t>بعد از پاسخهای امروز #روحانی در مجلس، مردم به یقین رسیدن که اوضاع امروز مملکت، تقصیر دولته نه تحریم‌های آمریکا ‌ #سوال_از_رییس‌جمهور</t>
  </si>
  <si>
    <t>Ali Aغababaei</t>
  </si>
  <si>
    <t>‏‏‏‏‏‏‏‏‏‏یک عدد ‏چشم و مو مشکی با نمره انشاء ۲۰</t>
  </si>
  <si>
    <t>اونجا</t>
  </si>
  <si>
    <t>فکر کنم از قصد گذاشتن احمدی نژاد رئیس جمهور شه تا سال ها بعد هرچی شد بگن دولت نهم و دهم خراب کرد مثلا سال ۱۴۰۸ مملکت شده ونزوئلا رئیس جمهور میاد میگه: بخاطر دولت نهم و دهم الان اینجوریه ۱۴۱۲: دولت نهم و دهم ۱۴۲۰: دولت نهم و دهم ۱۴۹۶: دولت نهم و دهم #سوال_از_رئیس_جمهور</t>
  </si>
  <si>
    <t>NegaR</t>
  </si>
  <si>
    <t>#احمدي_نژاد در جواب استیضاح وزیرش فیلمی از مافیای فساد و رانت پخش کرد و پیروزمندانه از مجلس بیرون رفت . این بابا با نشخوار کردن فرامین رهبرش گوساله رفت گاو پرواری اماده ذبح بیرون امد . #روحانی #ما_خودمان_انتخاب_کردیم</t>
  </si>
  <si>
    <t>ام آی سیکس</t>
  </si>
  <si>
    <t>‏‏Journalist ‏‏‏(یغما فشخامی)</t>
  </si>
  <si>
    <t>غلامعلی جعفرزاده: : رئیس جمهور #معذوراتی داشتند به همین منظور نتوانستند شفاف سازی و یا در برخی موارد ابهام زدایی کنند/ اگر شاهد تغییر رویه و عملکرد از سوی وزرا و به طور کلی دولت نباشیم، روند #استیضاح ها کماکان ادامه خواهد داشت/دیده بان ایران</t>
  </si>
  <si>
    <t>yaghmafashkhami II</t>
  </si>
  <si>
    <t>https://t.me/ZarandiehCity</t>
  </si>
  <si>
    <t>‏‏‏‏‏‏معلم، بسیجی، مهندس، مدیر مسئول و سردبیر نشریه رایحه وحی (شهرستان زرندیه)</t>
  </si>
  <si>
    <t>https://pbs.twimg.com/media/DlrzBQ6WwAID8D8.jpg</t>
  </si>
  <si>
    <t>منصوری، نماینده مردم ساوه و زرندیه به جمع حامیان طرح #شفافیت_آرا_نمایندگان پیوست. #منصوری #ساوه #زرندیه #شفافیت_آراء_نمایندگان #شفافیت #مطالبه_گری #سوال_از_رئیس_جمهور</t>
  </si>
  <si>
    <t>محسن فرهمند</t>
  </si>
  <si>
    <t>‏‏اللهم عجل لولیک الفرج</t>
  </si>
  <si>
    <t>صحبت های آقای #روحانی راجب ایران بود؟ 1-مردمی که چهار سال #رونق دیدند. 2-در زمینه #اشتغال موفقیت بزرگی داشتیم. 3_به #بانک_مرکزی بگویم مثل قبل عمل کند، قیمت #ارز دوهفته‌ای به قیمت پارسال می‌رسد. اصلا فکر کردم داره در مورد یه کره ی دیگه صحبت میکنه. #استیضاح #سوال_از_رئیس‌جمهور</t>
  </si>
  <si>
    <t>عباس اسماعیلی</t>
  </si>
  <si>
    <t>نمی دانم چرا امروز گیر دادم به جنابت آقای #روحانی ولی حال کردم با #اعتماد_به_سقف ش</t>
  </si>
  <si>
    <t>Mohammad Sobout Kar</t>
  </si>
  <si>
    <t>تصمیم ارزی #روحانی شاه بیت پاسخ گویی او بود اگر چه همه ی اقتصاد دان ها قبل از بحران و در حین بحران بر ضرورت دستوری نبودن نرخ ارز تاکید می کردند اما #روحانی با اشاره به برخی توصیه ها به لزوم تک نرخی بودن ارز گفت که تصمیم اقتصاد دانان بر ارز 4200 بوده</t>
  </si>
  <si>
    <t>هرچی قصه‌ی چوپان دروغگو رو تو بچگیامون خوندیم و شنیدیم، الان چندبعدی و با رزولوشن بالا تو تلویزیون می‌بینیم! #سوال_از_رییس‌جمهور</t>
  </si>
  <si>
    <t>آبان‌‌دخت سیفی🇮🇷</t>
  </si>
  <si>
    <t>من یک شهروند عادی هستم که از اوضاع حال حاضر کشورم اصلا خرسند نیستم من همه را دوست دارم فقط مودب بیا وبرو فحاشی ＝بلاک</t>
  </si>
  <si>
    <t xml:space="preserve">درترددبین ایران وژاپن </t>
  </si>
  <si>
    <t>گویا برق #مجلس وصل شد ادامه بدید اقای #روحانی کجا بودیم؟</t>
  </si>
  <si>
    <t>MEHMET</t>
  </si>
  <si>
    <t>http://novincinema.com</t>
  </si>
  <si>
    <t>مدیر تامین محتوا در شرکت نوین سینما | فعال در حوزه جریان رسانه‌ای</t>
  </si>
  <si>
    <t>https://pbs.twimg.com/media/DlrzT06WwAECf0q.jpg</t>
  </si>
  <si>
    <t>این قیمت‌های بوفه اداره‌مون هست اون‌وقت #روحانی از تورم ۱۱ درصدی حرف می‌زنه</t>
  </si>
  <si>
    <t>مهرداد خوشبختی</t>
  </si>
  <si>
    <t>‏‏‏امام على عليه السلام : سخن چون داروست، اندكش سود مى بخشد و بسيارش كشنده است الكلامُ كالدَّواءِ ؛ قَليلُهُ يَنفَعُ ، و كَثيرُهُ قاتِلٌ ميزان الحكمه ج10ص19</t>
  </si>
  <si>
    <t>دقیقا سوال من اینه آقای رئیس جمهور خودشم فهمید چی گفت میخواست نماینده هارو قانع کنه یا برای اونا قصه تعریف کنه #سوال_از_رئیس_جمهور</t>
  </si>
  <si>
    <t>Hossein.mrzd</t>
  </si>
  <si>
    <t>Chemist/ Oxygen + 2Hydrogen = The Life</t>
  </si>
  <si>
    <t>pic.twitter.com/srt3O6Fr2Z</t>
  </si>
  <si>
    <t>زمان رای گیری برای سوال چهارم وقتی نتیجه قانع نشدن نماینده ها بود، لاریجانی یجوری واکنش نشون داد که فکر کردم روحانی اصلی خودشه! شایدم من اشتباه میکنم. #سوال_از_رئيس_جمهور</t>
  </si>
  <si>
    <t>Amirmohammad</t>
  </si>
  <si>
    <t>Interested in Astrophysics &amp; cosmology ,Book lover http://t.me/Shyzvr</t>
  </si>
  <si>
    <t>Shiraz,Iran</t>
  </si>
  <si>
    <t>قیمت #ارز با دست به آب رفتن #ترامپ و #روحانی نیز افزایش میابد.چه خبرهههه آخخههه؟؟؟</t>
  </si>
  <si>
    <t>Shayanzvr</t>
  </si>
  <si>
    <t>یه عده میرن به یه اقای فحش میدن حلا دست تو تابه این اقا یه کاری هست تو مملکت این اقا هم کج میکنه با اون عده چی میشه بعدش اها چی شده الان یه عده ای هم که مثل ما اعتدال گرا هستن این وسط گیر میفتن یه لگد به این بزن تو تا مشت به اون مهد کودکی #مجلس پیش دبستانی #ایران</t>
  </si>
  <si>
    <t>Morcus23</t>
  </si>
  <si>
    <t>روحانی میگه رهبری نکاتی رو در جلسه امروز فرمود. یعنی تذکر گرفته نسبت به نهاد های منصوب افشاگری نکنه؟ #سوال_از_رئیس_جمهور #مجلس</t>
  </si>
  <si>
    <t>اعتماد به سقف #روحانی رو اگه من داشتم کل دنیا رو فتح میکردم 😂 #رئیس_جمهور_سوئیس #رئیس_جمهور</t>
  </si>
  <si>
    <t>سوال از رئیس جمهور هنوز به قوه قضاییه نمی رود. خب بچه ها دوربینا خاموش شد بگین ببینم کیا قانع نشدن؟ رییس هممون قانع شدیم یا شدیده بودیم. فقط خواستیم جلو مردم یکم یابو برمون داره. وگرنه ما همان خاکی هستیم که بودیم رو سر مردم. #سوال_از_رییس‌جمهور #لابیجانی</t>
  </si>
  <si>
    <t>‏‏‏‏به جهان خرم ازانم که جهان خرم اوست عاشقم برهمه عالم که همه عالم ازوست به غنیمت شمرای دوست دم عیسی صبح تادل مرده مگرزنده کنی کاین دم ازوست 📚⚖Law</t>
  </si>
  <si>
    <t>درپی شو اخیرمجلس وسخنرانی #روحانی به زودی شاهدموج عظیمی از #اعتراضات_سراسری و #اعتصاب_سراسری (به مراتب عظیم تروتاثیرگذارتر از دیماه) خواهیم بود.✌✌ #IranRegimeChange</t>
  </si>
  <si>
    <t>آزاده</t>
  </si>
  <si>
    <t>‏شبکه استانی گیلان شبکه باران</t>
  </si>
  <si>
    <t>چقدر قشنگ تیم عملیات روانی آقای مورد نظر گذاشت تا شایعه ی دوتابعیتی بودنش بالا بگیره بعد با انتشار مستندات، شایعه رو تکذیب کنه و فرد مورد نظر بعنوان قهرمان ملی سوار بر بلدوزر از روی مخالفان رد کنه #سوال_از_رییس‌جمهور</t>
  </si>
  <si>
    <t>شبکه باران</t>
  </si>
  <si>
    <t>‏العبد</t>
  </si>
  <si>
    <t>یکی از بیانات شگرف آقای روحانی این بود که ادعا کردن هدف از برجام به رسمیت شناختن فعالیت های هسته ای ما در دنیا بوده . بعید میدونم کسی در دنیا با سیمان ریختن در صنعت هسته ای خود قصد چنین کاری را داشته باشد . #سوال_از_رئیس‌جمهور</t>
  </si>
  <si>
    <t>theVahed</t>
  </si>
  <si>
    <t>http://t.me/joinchat/AAAAAEGgat6mmiJXlKYnLQ</t>
  </si>
  <si>
    <t>‏‏‏‏‏#‏‏‏‏‏خبرنگار // سردبیر مجموعه آخرین خبر در استان گیلان</t>
  </si>
  <si>
    <t>pic.twitter.com/MYydUvyW5g</t>
  </si>
  <si>
    <t>رفتار #احمدي_نژاد ی #روحانی در #مجلس #سوال_از_رئیس_جمهور #لاریجانی #ایران</t>
  </si>
  <si>
    <t>معین مهدوی‌نیا | Moein Mahdavinia</t>
  </si>
  <si>
    <t>جلسه امروز یک چیز را روشن کرد؛نه تنها #مردم بلکه #نمایندگان_مجلس هم دیگر به #روحانی اعتماد ندارند. مقصر این وضع کیست آقای رئیس جمهور(@Rouhani_ir) ؟ چه کسی باعث شد #امید مردم نا امید شود؟ شما قطعا بی گناه نیستید جناب آقای دکتر روحانی! #سوال_از_رئیس‌جمهور</t>
  </si>
  <si>
    <t>کِر کِرِه هآ پآیینِ وَلی تَعطیل نیستَم</t>
  </si>
  <si>
    <t>هوای شوهرا و باباهاتونو داشته باشین. خدایی کاسبی نیس، درآمد کمه... با توقعات زیاد شرمنده شون نکنید #ایران #روحانی #اقتصاد_ایران #پول #دلار #کار_نیست</t>
  </si>
  <si>
    <t>🤓🎈</t>
  </si>
  <si>
    <t>‏‏هر کسی نام کسی گفت سرش بالا رفت ما که از لطف تو داریم سری در سرها</t>
  </si>
  <si>
    <t>چرا هر وقت #روحانی میاد حرف میزنه هزار تومان می‌ره رو قیمت دلار بنظرم حرف نزنه بهتر باشه حداقل این کار رو می‌تونه که انجام بده</t>
  </si>
  <si>
    <t>صادق فردوسیان</t>
  </si>
  <si>
    <t>‏‏‏‏‏‏‏‏‏‏برای ایران / زندگی جاری است / شادی هایمان را با هم زیاد کنیم / استاد و معلم دانشگاه و غیرفعال رسانه ای😆</t>
  </si>
  <si>
    <t>آقای #رییس_جمهور جناب دکتر #روحانی جناب #حقوقدان چرا باید دراین جایگاه بغضت در گلویت بالا نیاید چرا باید دستهایت بلرزد #سوال_از_رئیس_جمهور</t>
  </si>
  <si>
    <t>ASh</t>
  </si>
  <si>
    <t>چقدر #سوال از #رییس_جمهور برام خنده دار بود. هی سوالات رو میخوندم و یاد نامه های سفارشی میفتادم که واسه این شرکت اون شرکت به دستمون میرسیده و میرسه. #قانون برای همه است.</t>
  </si>
  <si>
    <t>Fatemeh mirsharifi</t>
  </si>
  <si>
    <t>خسته...میفهمی خسته...</t>
  </si>
  <si>
    <t>من به #روحانی رای دادم چون به #اصلاحات امید داشتم ...چون اصلاحات رو کم‌هزینه‌ ترین راه برای آبادی کشورم میدونستم... بهش رای دادم و تا این لحظه بشدت از عملکردش ناراضی هستم...اما اگه فردا بخوام بین #روحانی و #خاتمی یکی رو انتخاب کنم بی شک روحانی رو انتخاب میکنم چون بشدت سیاس هستش.</t>
  </si>
  <si>
    <t>گوریل</t>
  </si>
  <si>
    <t>http://payamnoor1391.blogfa.com</t>
  </si>
  <si>
    <t>دانشجوی دکتری کامپیوتر گرایش نرم افزار علاقه خاص به برنامه نویسی، فعال سیاسی اصلاح طلب ، 💜</t>
  </si>
  <si>
    <t>#روحاني روش #تدافعی همیشه جواب نمیدهد نمیدانم امروز صبح قبل از اومدن در صحن چه اتفاقی افتاد ، اما ‌فرصت مهم یا نهایی را از دست دادی....</t>
  </si>
  <si>
    <t>مسعود سبزعلی</t>
  </si>
  <si>
    <t>- ‏‏یک مسلمان سکولار فمینیست پرسپولیسی - ❤ -</t>
  </si>
  <si>
    <t>Shiraz, Iran</t>
  </si>
  <si>
    <t>با #این_انتخاب_من_نیست زخمی شدید یا ادامه بدم؟ والا #دولت_کذابان هر کدومش هر دروغی میخواد میگه امروز #روحانی در کمال بی شرمی میگه مستمریها سه برابر شده دروغگو، پدر من بازنشسته هست داریم میبینیم حقوقا رو! @jzarif @azarijahromi استعفا بدید و در دروغ #شیخ_کذاب شریک نباشید</t>
  </si>
  <si>
    <t>Behshad Javidsharifi</t>
  </si>
  <si>
    <t>https://t.me/Rashidgermi</t>
  </si>
  <si>
    <t>Ir-Iran🌟</t>
  </si>
  <si>
    <t>Tehran, iran</t>
  </si>
  <si>
    <t>جناب آقای دکتر #روحانی اعتماد به نفستان شگفت انگیز بود دور زدن تحریم ها پیش کش، ای کاش بجای احمق فرض نمودن #نمايندگان_مجلس ، قدری از وزیرتان جناب #آخوندی روشهای بروز دور زدن #استيضاح را می آموختید این حربه ها قدیمي شده #اعماد_به_سقف @Rouhani_ir</t>
  </si>
  <si>
    <t>Mohsen rashidgermi</t>
  </si>
  <si>
    <t>‏‏‏Bio</t>
  </si>
  <si>
    <t>earth dimension C-137 🇮🇸</t>
  </si>
  <si>
    <t>#روحاني: «داخل بحران نیستیم.» این جمله جای اینکه آرامش دهنده باشه، آدمو میترسونه!! بحران بیمه و بدهی و بورس، بحران مسکن و ارز، کسری بودجه و... فقط قسمتی از بحران‌هایی که داریم باهاشون سر و کله میزنیم!! این اگه مرحله آسیبه، مرحله بحران چی می‌تونه باشه؟!! :|||</t>
  </si>
  <si>
    <t>مورتی</t>
  </si>
  <si>
    <t>#روحاني درجواب کسانی که میگن روحانی فلان باید گفت تازه این خوبشونه به خدا اگر اصولگرا های تندرو رای میاوردن این وضعیت به مراتب فجیع تر از اونی بود که الان است</t>
  </si>
  <si>
    <t>ابوالفضل صمدیه</t>
  </si>
  <si>
    <t>https://t.me/biosarchive</t>
  </si>
  <si>
    <t>persian gulf</t>
  </si>
  <si>
    <t>https://pbs.twimg.com/media/Dlr7H53XsAE0VLU.jpg</t>
  </si>
  <si>
    <t>اشتباه ما #روحانی نبود اشتباه ما #عارف بود اشتباه #فراکسیون_امید بود #با_روحانی_میمانیم</t>
  </si>
  <si>
    <t>M.javan</t>
  </si>
  <si>
    <t>‏وكيل دادگستري</t>
  </si>
  <si>
    <t>بیشتر نصیحت بود تا پاسخگویی . #روحانی</t>
  </si>
  <si>
    <t>رضا تراب نژاد</t>
  </si>
  <si>
    <t>http://www.goftogoonews.com</t>
  </si>
  <si>
    <t>سردبیر سایت گفت وگو/کار آفرین و فعال اجتماعی</t>
  </si>
  <si>
    <t>یادمون نره #رییس_جمهور فقط تدارکاتچیه ، زیاد ازش موتوقع شده بودیمزج</t>
  </si>
  <si>
    <t>ابراهیم گراوند</t>
  </si>
  <si>
    <t>آقای #رئیس_جمهور شما و دولتتان خیلی وقت است که برای این ملت مرده اید تهدید به ترور شما تحصیل حاصل است! خودتان را جدی نگیرید. #سوال_از_رئیس_جمهور</t>
  </si>
  <si>
    <t>http://www.irvds.net</t>
  </si>
  <si>
    <t>‏لیسانس مهندسی ژنتیک گیاهی برنامه نویسی علاقه دارم یادداشت نویس و علاقه به جنجال یعنی سرم واسه جنجال بازی درد میکنه😂</t>
  </si>
  <si>
    <t>طبق سخنان رییس جمهور ، میتوانند در عرض دو هفته ارز رو به حالت اولیه برگردونن، پس چرا این کارو نمیکنن؟!! نکنه کاسه ای زیر نیم کاسه هست به نظرم بعد از طرح سوال باید استیضاحش کنند تا جوابگوی مردم باشد 😏 ولی نزارید مثل بنی صدر با قیافه زن فرار کنه ها مواظبش باشید.#روحاني</t>
  </si>
  <si>
    <t>فرشته مرگ عزراییل</t>
  </si>
  <si>
    <t>#روحانی چهارمین رییس جمهور است که در پای ولایت فقیه قربانی برای بقای نظام میشود #ما_خودمان_انتخاب_کردیم</t>
  </si>
  <si>
    <t>‏‏‏فارغ التحصیل دانشگاه شهید بهشتی، فوق لیسانس، نه چپی نه راستی فقط انقلابی ناسیونالیستم، منتظر ظهور، عاشق تولید و صنعت، فوتبالی ام.</t>
  </si>
  <si>
    <t>https://pbs.twimg.com/media/Dlr7mLnWwAA7W0S.jpg</t>
  </si>
  <si>
    <t>قیافه اصلاح طلبای مجلس وقتیکه روحانی تو مجلس داشت از شرایط عالی مملکت حرف میزد !!! #سوال_از_رییس‌جمهور</t>
  </si>
  <si>
    <t>Ahmad Dehghandar</t>
  </si>
  <si>
    <t>https://pbs.twimg.com/media/Dlr7q8oW0AAASy9.jpg</t>
  </si>
  <si>
    <t>تمام مشکلات مدیریتی کشور، از رفاه و گرانی و بدبختی این مردم به خاطر اعتراضات دی و مهم‌تر از اون،‌ نتیجه اون پلاکاردیه که توی تجمع طلاب فیضیه بود. #سوال_از_رئیس_جمهور #حسن_روحانی</t>
  </si>
  <si>
    <t>mahdi karbasibaf</t>
  </si>
  <si>
    <t>‏‏‏‏‏یک طلبه انقلابی اجتماعی عاشق خدمت به دین و مردم</t>
  </si>
  <si>
    <t>https://twitter.com/KarimiGhodousi/status/1034160503877185541</t>
  </si>
  <si>
    <t>حالا که از پاسخ چهارتا از پنج سوال قانع نشدن منتظر ارسال به #قوه_قضائیه هستیم اگر به هر بهانه‌ای ارسال نشد معنیش چی میشه؟! #سوال_از_رییس‌جمهور RT @KarimiGhodousi: در جلسه فردای #مجلس اگر نمایندگان از پاسخهای #رئیس_جمهور قانع نشوند و رأی دهند که ایشان از اختیارات قانونی خود برای حل مشکلات جامعه استفاده نکرده و یا در برخی موارد از قانون عبور کرده، پرونده برای بررسی به #قوه_قضائیه رفته و بررسی میکنند چرا رئیس جمهور ازقانون عبور کرده است.</t>
  </si>
  <si>
    <t>محمد صدارت</t>
  </si>
  <si>
    <t>‏ای سیب بهشتی که صمیمانه به صد شوق/ زین باغ تو را چید خداوند دو عالم/ بیچاره منِ مانده به سرشاخه‌ی تردید/ ناچیده و آفت‌زده و مانده و کالم...</t>
  </si>
  <si>
    <t>https://twitter.com/A_Raefipour/status/1034388202772148225</t>
  </si>
  <si>
    <t>من اینجا از همین تریبون استفاده میکنم و تمام تقصیرات و کمبودها و کم کاریهای این چند سال اخیر رو به گردن میگیرم. من مقصرم، #روحانی هیچ گناهی نداره... RT @A_Raefipour: جناب آقای دکتر #روحانی اعتماد به نفستان شگفت انگیز بود دور زدن تحریم ها پیش کش٬ ای کاش بجای احمق فرض نمودن #نمایندگان_مجلس، قدری از وزیرتان جناب #آخوندی روشهای بِروز دور زدن #استیضاح را می آموختید این حربه ها قدیمی شده #اعتماد_به_سقف @Rouhani_ir</t>
  </si>
  <si>
    <t>ShayanFar</t>
  </si>
  <si>
    <t>امروز فهمیدم که مجلس حکم چوپان هم نیست چه برسه تره خورد کردن رییس جمهور به سخنانشون، یعنی تو عمرم چنین مجلس بی غیرتی ندیدم خدا خودش همشونو ..... بگذریم ، هوا چطوره امروز؟!! #سوال_از_رییس‌جمهور #ظرفیت_بسیج #اگر_بخواهید</t>
  </si>
  <si>
    <t>کاش قلم ها به کندی فکر باشند تا تیزی زبان INSTA: @arefane_110 #غدیری_ام</t>
  </si>
  <si>
    <t>yazd</t>
  </si>
  <si>
    <t>خب دیگه رئیس جمهوری که با یک شعار و به قول خودش تهدید از کار بیفته بدرد چی میخوره؟؟؟ #سوال_از_رئیس‌جمهور #سوال_از_روحانی</t>
  </si>
  <si>
    <t>Aref Amiri</t>
  </si>
  <si>
    <t>‏خبرنگار - Journalist</t>
  </si>
  <si>
    <t>من امروز موقع صحبت‌های #روحانی یک لحظه خیال کردم که انگار یک نماینده منتقد داره از رییس‌جمهور سوال می‌کنه! #سوال_از_رییس‌جمهور</t>
  </si>
  <si>
    <t>سید جواد</t>
  </si>
  <si>
    <t>‏‏📸‏‏عــکــــاس بـــاشــے📷 اکانت اول: ‎‎‎‎@chehhh315</t>
  </si>
  <si>
    <t>دوست دارم تو اون کشوری که #روحانی ازش تعریف میکنه زندگی کنم! ولی متاسفانه تو کشوری زندگی میکنم که روحانی توش رییس جمهوره</t>
  </si>
  <si>
    <t>ڧِ ږ ے</t>
  </si>
  <si>
    <t>Leaving far from home. Missing those nights,missing that sky, missing home ¯\_(ツ)_/¯ فوتبال امريكايي🏈🇺🇸🇨🇦🇲🇽(2026)⚽️🏸(☞ ͡ ͡° ͜ ʖ ͡ ͡°)☞</t>
  </si>
  <si>
    <t>تو باغ رو تاب تو آب .FL,U.S.A</t>
  </si>
  <si>
    <t>#كارت زرده نمايشي🤨 به #روحاني همتون كارت 🔴قرمز بگيرين اميدوارم و از خاك ايران اخراج بشين😠</t>
  </si>
  <si>
    <t>🏆KeyNoosh🇫🇷</t>
  </si>
  <si>
    <t>ضمن تشکر از وجود قانونی به عنوان #پاسخگویی_مسولان؛ خواهشمندم قانون دیگری تحت عنوان بررسی #راستگویی مسولان مصوب فرمایید. #سوال_از_رییس‌جمهور #سوال_از_رئیس_جمهور</t>
  </si>
  <si>
    <t>#روحانی در پاسخ به انتقادات نمایندگان مجلس: ما که معصوم نیستیم... خود همین بزرگوار چند ماه پیش: معصوم هم قابل انتقاده... #سوال_از_رییس‌جمهور</t>
  </si>
  <si>
    <t>ای کاش #روحانی امروز در #مجلس ، #جسارت به خرج می‌داد و #موانع پیش روی کارش را برمی‌شمرد . اگر بازهم #مجلس قانع نمی شد ولی ما #مردم قانع می شدیم. آن‌وقت #تفاوت خیلی مشهود بود.</t>
  </si>
  <si>
    <t>@MmehdiTajik</t>
  </si>
  <si>
    <t>Life is amazing have fun with it</t>
  </si>
  <si>
    <t>Under the blue sky</t>
  </si>
  <si>
    <t>همه ي اين ادا اطواراي مجلس و رئيس جمهور فقط بازي با افكار عموميه كه مردم رو سرگرم كنن و حواسشون از گرونيا پرت شه ريلكسيه پرزيدنت هم نشانگر همين بازيا بود #سوال_از_رئيس_جمهور</t>
  </si>
  <si>
    <t>HodaMir</t>
  </si>
  <si>
    <t>من یک هوادار مجاهدین هستم مرا عهدی باجانان که تاجان دربدن دارم هواداران کویش را چوجان خویشتن دارم</t>
  </si>
  <si>
    <t>این هم جیغ بنفس روحانی سرکانونهای شورشی آسوشیتدپرس:‌ تظاهرات دیماه #ایران را به لرزه انداخت #روحانی در پاسخ به سوالات در مجلس صحبت كرد و در سخنانش تظاهرات سراسری ماه دسامبر تا ژانویه(ديماه۹۶) در ایران را با تصمیم دونالدترامپ برای خروج از توافق اتمی مرتبط دانست. #تظاهرات_سراسرى</t>
  </si>
  <si>
    <t>mohamad mohseni</t>
  </si>
  <si>
    <t>دبیر سابق انجمن اسلامی دانشجویان دانشگاه زنجان(دفترتحکیم وحدت) مهندس مکانیک خسته:)</t>
  </si>
  <si>
    <t>الان ینی ما دلخوش به قوه قضاییه باشیم؟ هرجورحساب میکنم میبینم نمیشه! 🙄🙄🙄🙄🙄🙄🙄🙄 #سوال_از_رئیس‌جمهور #استیضاح #مجلس</t>
  </si>
  <si>
    <t>سالار</t>
  </si>
  <si>
    <t>کارشناس ارشد الکترونیک، کارشناس شبکه و امنیت، اهل نقاشی و سیاسی وابسته به نظام! "تصمیم گرفتم تمام فالوئرهامو فالو کنم"</t>
  </si>
  <si>
    <t>یکی مثل #روزنامه_شرق کینه و بغضش از ولایت رو سر مشهد خالی میکنه یکی هم مثل #روحانی شش سال بی تدبیری و بی عرضگی دولتش رو میندازه گردن اعتراض دی ماه مشهد! وقاحت بی حد حصر و #اعتدال و #اصلاحات... #رسانه_کذاب_دادستان_خواب #سوال_از_رییس‌جمهور</t>
  </si>
  <si>
    <t>Plusboy ( سید امیر هستم )</t>
  </si>
  <si>
    <t>اين يعني چي كه #بنز_SlS ٢٠ ميليارد😳 #تيبا ٢. ٤٧ م #هايما اس ٥ - ١٧٣ #هايما اس ٧- ٢٠٠ #سمند -٦١ #پرايد ١١١- ٤١ #مملكت #صاحاب نداره!!!!؟ #روحاني #خودرو_نخريم #گرانی #ارز #دلار۱۱۰۰۰تومنی #تورم #تحريم #احتکار #مسئولين_بيكفايت</t>
  </si>
  <si>
    <t>Adb.mohsen</t>
  </si>
  <si>
    <t>http://www.magham.blogfa.com</t>
  </si>
  <si>
    <t>‏‏‏‏‏‏یک کارشناسِ موسیقیِ بیکار... علاقمندِ به هنر 🎼 🎬</t>
  </si>
  <si>
    <t>همین‌که مملکت تا الان منفجر نشده، به‌خاطر رفتار سَیاسانه‌ی #روحاني بوده. امیدوارم تمام نمایندگان ناگزیر شوند و طرح #استيضاح را امضاء کنند! RT @HamaaseDovvom: اگر امروز آقای رئیس جمهور پاسخ قابل قبولی برای پنج سوال اقتصادی ارائه ندهد، ناگزير از امضای طرح استيضاح وی خواهيم بود</t>
  </si>
  <si>
    <t>Mehdi M</t>
  </si>
  <si>
    <t>اين فلك زيباست اگر زيبا تو رفتار كني...</t>
  </si>
  <si>
    <t>دستور كار جبهه به اصطلاح انقلاب و ارزشي هاي دو ريالي توئيتر امروز از حمله به #مشایی تا چند روز به حمله به #روحاني تغيير كرده، براي حفظ آرامش و سلامت رواني در مقابل اينا چاي دارچين بنوشيد.</t>
  </si>
  <si>
    <t>Farbod Leyli</t>
  </si>
  <si>
    <t>Neoconservative - attorney of law - Writer - Researcher / نو محافظه كار - وكيل دادگستري - محقق و نويسنده</t>
  </si>
  <si>
    <t>اينجور كه امروز #روحانی جواب سوالات را داد ماندم چطوري تو دانشگاه هاي بريتانيا جواب سوال ميداده و درس پاس ميكرده! اين شواف امروز توهين و چهارپا پنداشتن ما بود. آقاي دولت و مجلس ما مي فهميم ما را به كيش خود نپنداريد. #ما_خودمان_انتخاب_کردیم #سوال_از_رئیس‌جمهور #جمهوري_اسلامي</t>
  </si>
  <si>
    <t>گرگ و ميش 🇮🇷</t>
  </si>
  <si>
    <t>http://newspaper.hamshahri.org</t>
  </si>
  <si>
    <t>The most-read daily newspaper in Iran Published by the municipality of Tehran توییتر رسمی روزنامه #همشهری پرتیراژترین روزنامه ایران</t>
  </si>
  <si>
    <t>http://bit.ly/2og7AZW</t>
  </si>
  <si>
    <t>احمد خاتمی: #رئیس_جمهور دعوت خبرگان را برای سخنرانی نپذیرفت. این بار نوبت خبرگان بود که نسبت به حوادث فیضیه #قم اعلام برائت کند و خود با همان دستورکار تجمع فیضیه تشکیل جلسه دهد؛ بررسی مشکلات اقتصادی و معیشت مردم.</t>
  </si>
  <si>
    <t>روزنامه همشهری</t>
  </si>
  <si>
    <t>https://t.me/joinchat/AAAAAD2yDejHtwReHo8mcg</t>
  </si>
  <si>
    <t>کانال #توییت_پلاس🔴فالو و ریتوییت به منزله تایید محتوا نمیباشد و صرفا جهت مشاهده و انتشار در کانال میباشد🌺</t>
  </si>
  <si>
    <t>pic.twitter.com/q1gab7fsx6</t>
  </si>
  <si>
    <t>http://aparat.com/twittnama
https://www.aparat.com/v/c9b05</t>
  </si>
  <si>
    <t>🎬 #توییت_نما | 🔻97/06/06🔺 ✅ مهمترین توییت های روز را در #توییت_نما دنبال کنید لینک صفحه ما در آپارات:  💢 موضوع امروز: #سوال_از_رئیس_جمهور با اجرای طاها مجیدی @tahamajidii 🔔فیلم کامل را این جا ببینید 👇👇👇  بخش اول👇</t>
  </si>
  <si>
    <t>Twtplus</t>
  </si>
  <si>
    <t>جناب #روحانی،#برجام برای اثبات صلح آمیز بودن برنامه هسته ای نبود،برای نشون دادن میزان حماقت و خریت شما کدخداپرستان بود #سوال_از_رئیس‌جمهور</t>
  </si>
  <si>
    <t>Farzane</t>
  </si>
  <si>
    <t>درویشی در فیس بوک - شاعری در اینستاگرام ،بیزنس منی در لینکدین و سیاستمداری در توئیتر...</t>
  </si>
  <si>
    <t>کره زمین - عاشق همه مردم  دنیا - امام زمانی</t>
  </si>
  <si>
    <t>https://pbs.twimg.com/media/Dlr9jYeUYAA_PFD.jpg</t>
  </si>
  <si>
    <t>40،000،000 تومن پول رایج مملکت ! #پراید #روحانی #جوردیگر</t>
  </si>
  <si>
    <t>شهاب کیان آرا</t>
  </si>
  <si>
    <t>‏‏‏‏‏ با صد هزار مردم تنهایی ؛ بی صد هزار مردم تنهایی http://telegram.me/HarfBeManBot?s…‎</t>
  </si>
  <si>
    <t>میگه #روحانی فقط تونست به یکی از 5 تا سوال نماینده ها جواب بده! حاجی مگه کوییز گرفته بودن ازش ؟ 😂😂😂</t>
  </si>
  <si>
    <t>Hosein</t>
  </si>
  <si>
    <t>https://www.instagram.com/masoudpirhadi/</t>
  </si>
  <si>
    <t>من همانم که شبی عشق، به تاراجش برد</t>
  </si>
  <si>
    <t>شاعر می فرماد: از جوابش خنده آمد خلق را #سوال_از_رییس‌جمهور #روحانی</t>
  </si>
  <si>
    <t>مسعود پیرهادی</t>
  </si>
  <si>
    <t>حتی ربات های از پیش پروگرام شده #فراکسیون_امید هم از پاسخ های #روحانی قانع نشدن! ببین دیگه چه افتضاحی بالا آورده! #سوال_از_رییس‌جمهور</t>
  </si>
  <si>
    <t>این نعمت بزرگ الهی ( انقلاب اسلامی ) را ارزان از دست ندهید . امام خمینی(ره)🙂</t>
  </si>
  <si>
    <t>قانع نمیشین مجلسیاااا قانع نمیشین نماینده هاااا به جهنم که قانع نمیشین برین یه گوشه بشینین بلرزین تا قانع بشین نماینده های بیسواد مجلس بجز لیست امیدمو میگم😂 #سوال_از_رئیس‌جمهور #سانسور_رهبری</t>
  </si>
  <si>
    <t>انقلاب اسلامی ایرانی</t>
  </si>
  <si>
    <t>‏اونی که بلاک شد همانا از فالو کنندگان نبود</t>
  </si>
  <si>
    <t>امروز صبح یه چند لحظه سوئد بودیم ولی انصافا خیلی حال داد #روحاني_مچکریم #استیضاح #نمایندگان_مجلس #اعتماد_به_سقف #روحانی</t>
  </si>
  <si>
    <t>موج سوار</t>
  </si>
  <si>
    <t>‏‏‏‏شب هجران چو شود صبح و برآید خورشید، داستان غم دوشینه فراموش کنیم...</t>
  </si>
  <si>
    <t>من هر لحظه امروز وسط سخنرانی منتظر بودم #رییس‌جمهور به خاطر #تخلفات_گسترده در دوره ریاست سابق بانک مرکزی و وزارت صنعت و معدن، عذرخواهی کنه و سهم دولت در این فجایع رو بپذیره و قول جبران و اصلاح بده. ولی فقط داشت تلاش میکرد دل پایداری‌ها و اعضای فراکسیون ولایی رو به دست بیاره :)</t>
  </si>
  <si>
    <t>Ehsan Salari</t>
  </si>
  <si>
    <t>وَمَا رَمَيْتَ إِذْ رَمَيْتَ وَلَٰكِنَّ اللَّهَ رَمَى غرق دنیا شده را جام شهادت ندهند...</t>
  </si>
  <si>
    <t>IRI-TEH</t>
  </si>
  <si>
    <t>https://twitter.com/Modarresi5/status/1034416544510627841
https://twitter.com/ahmadamirabadi1/status/1033968714964783105</t>
  </si>
  <si>
    <t>باز هم نام #لابیجانی می درخشد. #مردم #مجلس #دولت_بی_خاصیت #لابیجانی RT @Modarresi5: ظاهرا با لابی گری جناب لاریجانی قرار هست نرود به ق ق بلکه در یک اطاق منورالفکرها جمع بندی مجدد شود خوب است این نوع گزارش ها را بدهید. آنچه که شما گفته آید مردم بهتر از شما میدانستن</t>
  </si>
  <si>
    <t>ساندیس‌خور</t>
  </si>
  <si>
    <t>https://t.me/nameisehsan</t>
  </si>
  <si>
    <t>روزنامه نگار آزاد...مسئولیتی در قبال ریپلای، ریتوییت ندارم| اگه راه داشت مسئولیتی در قبال توییت هایم هم نداشتم|ریت≠تایید</t>
  </si>
  <si>
    <t>اگر #مجلس سوالات خود از #رئیس_جمهور را به قوه‌قضائیه ارجاع دهد؛ #روحانی باید برود و به #دادستان #دادگاه ویژه روحانیت یعنی آقای رئیسی پاسخ دهد:)</t>
  </si>
  <si>
    <t>Ehsan Golmohammadi</t>
  </si>
  <si>
    <t>تو مجلس که نمایندگان قانع نشدند بیرون مجلس دارن از ملت انتقام میگیرن هم دلار گرون شدهم سکه #سوال_از_رئیس_جمهور</t>
  </si>
  <si>
    <t>مثل روز برای همه روشن است که روحانی برای عبور از بحران هیچ راه حلی ندارد... #سوال_از_رئیس_جمهور</t>
  </si>
  <si>
    <t>Eye illusion</t>
  </si>
  <si>
    <t>‏‏‏‏‏‏‏‏‏بر لبان ما نام حیدر است وعده گاه ما فتح خیبر است</t>
  </si>
  <si>
    <t>با افتخار جمهوری اسلامی ایران</t>
  </si>
  <si>
    <t>روحانی امروز در مجلس بازم از دستاورد های #برجام گفت یعنی رو که نیست سنگ‌پا قزوین جلوش هیچِ #سوال_از_رییس‌جمهور</t>
  </si>
  <si>
    <t>🇮🇷🇵🇸 erfan🇮🇷</t>
  </si>
  <si>
    <t>کارشناس حقوق.دوستدار ایجاد جامعه مهدوی.تلاش در ایجاد زمینه ظهور اقا امام زمان عج</t>
  </si>
  <si>
    <t>جمهوری اسلامی ایران.استارا</t>
  </si>
  <si>
    <t>اقای رئیس جمهور این 2 میلیون خورده ای که عرض کردید امار اشتغال زایی کجا بوده و واسه کی شغل ایجاد کردید؟واسه اختلاس کننده ها یا اقازاده ها یا جوانان بیکار خارج کشور با واردات کالاهای خارجی؟؟!من هر چقدر دورخودمو نگاه میکنم فقط جوون بیکار شد از تعدیل نیرو و... #سوال_از_رییس‌جمهور</t>
  </si>
  <si>
    <t>منتظر</t>
  </si>
  <si>
    <t>‏او خواهد آمد برای تغییر همیشگی به نفع مردم</t>
  </si>
  <si>
    <t>#پراید رکورد ۴۱ میلیون تومانی را زد!!! به نظرم اینجاست که رئیسی باید به روحانی بگه، یه پراید رو بزارید برای مردم بمونه. #روحانی #خودرو #دولت_امید</t>
  </si>
  <si>
    <t>f.fartout</t>
  </si>
  <si>
    <t>http://www.pogity.com</t>
  </si>
  <si>
    <t>Chemical engineer Toxicologist Amirkabir university Of Technology</t>
  </si>
  <si>
    <t>Tehran iran</t>
  </si>
  <si>
    <t>تا ١٤٠٠ كه خوبه تا ١٤٠٠٠ هم با روحاني باشيد يك چيز در اين كشور بزرگ مي شه، گوش ملت و نيش حسن #سوال_از_رئیس_جمهور</t>
  </si>
  <si>
    <t>mohammad esmaeil tavakoli</t>
  </si>
  <si>
    <t>استراحت بماند بعد از شهادت...</t>
  </si>
  <si>
    <t>#روحانی که حرفاش قانع کننده بود ما #بیسوادیم حرفاشو نفهمیدیم!!! #سوال_از_رییس‌جمهور #سوال_از_رئیس_جمهور</t>
  </si>
  <si>
    <t>Z.nazarzadeh</t>
  </si>
  <si>
    <t>‏فل واقع اسلام را با ارنج جدید بخوردتان میدهیم.</t>
  </si>
  <si>
    <t>منزل دامادمان</t>
  </si>
  <si>
    <t>https://pbs.twimg.com/media/Dlr_HNBUYAIBbKj.jpg</t>
  </si>
  <si>
    <t>برین کنار دارم میرم مجلس. #روحاني #این_انتخاب_من_نیست #مشهد_تايلندتشيع #مشهدالفحشا #تدبیرامید #استیضاح_روحانی #ایران #دیکتاتوری #علمهدی</t>
  </si>
  <si>
    <t>AlamAlhoda</t>
  </si>
  <si>
    <t>عضو جبهه‌ی منحله‌ی مشارکت. فعال مایشاء سیاسی. روزماله نگار بی روزی. فتنه‌گر</t>
  </si>
  <si>
    <t>https://pbs.twimg.com/media/Dlr_Jm6XoAAom8z.jpg</t>
  </si>
  <si>
    <t>امروز مشخص شد #روحانی توانسته‌ با بزرگنمائی خطر #ترامپ، رهبر را از خطر فروپاشی بترساند تا او همه را به #مراعات فرا بخواند اما وقتی روحانی روضه‌ی ترور در #استخر_فرح را برای مظلوم نمائی خواند،باخت! گرچه بازنده‌ی بزرگ این نمایش‌ها #امید_مردم است که با بی تدبیری روحانی از بین میرود.</t>
  </si>
  <si>
    <t>حسین رزاق</t>
  </si>
  <si>
    <t>‏‏‏ما را رها کنید در این رنج بی حساب. PhD candidate at Shahid Beheshti University</t>
  </si>
  <si>
    <t>Iran, Tehran</t>
  </si>
  <si>
    <t>فقط این حرف #روحانی: والله ما دچار بحران نیستیم... #سوال_از_رییس‌جمهور #من_انتخاب_نکردم #مجلس</t>
  </si>
  <si>
    <t>سید محمد حسینی</t>
  </si>
  <si>
    <t>This Panda Spirit who is thousends year old , is walking on the earth's inner core. studing whatever they called CE in iut.</t>
  </si>
  <si>
    <t>The Earth's outer core</t>
  </si>
  <si>
    <t>https://pbs.twimg.com/media/Dlr_ZP8VAAA3lB6.jpg</t>
  </si>
  <si>
    <t>و #مجلس #سقوط کرد!</t>
  </si>
  <si>
    <t>Panda Spirit</t>
  </si>
  <si>
    <t>‏نه ‎#اصلاح_طلب وراثتی هستم نه وابسته به ‎#اصولگرایی ،با ‎#براندازی مخالفم اما قائل به گفتگو برای فردای ‎#ایران!به شرط انصاف!</t>
  </si>
  <si>
    <t>در قضیه #سوال_از_رییس‌جمهور عده ای کف و سوت زدن که هورا الان سوال میره به #قوه_قضاییه! برفرض چنین امری باید #دیوان_عالی تصمیم بگیره و درنهایت #مقام_رهبری باید حکم دیوان را تنفیذ کنه! به نظر شما مقام رهبری مسوولیت چنین امری را برعهده خواهند گرفت؟ پس خوشحال نباشید</t>
  </si>
  <si>
    <t>Sushians Hiva</t>
  </si>
  <si>
    <t>ضد رژیم آخوندهای حاکم بر ایران,صدای بیصدایان و فریاد زندانیان سیاسی</t>
  </si>
  <si>
    <t>pic.twitter.com/64NjFsitC5
pic.twitter.com/xB5rrz4tkD</t>
  </si>
  <si>
    <t>https://twitter.com/simayazaditv/status/1034316761292853248</t>
  </si>
  <si>
    <t>#روحانی: اما در این هفت، هشت ماهه اخیر چرا ناگهان شرایط نویی آغاز شد؟ چرا مردم نسبت به آینده دچار تردید شدند، حتی عده یی نسبت به قدرت نظام دچار شک شدند #استیضاح  RT @simayazaditv: #روحانی: اما در این هفت، هشت ماهه اخیر چرا ناگهان شرایط نویی آغاز شد؟ چرا مردم نسبت به آینده دچار تردید شدند، حتی عده یی نسبت به قدرت نظام دچار شک شدند #استیضاح</t>
  </si>
  <si>
    <t>sanaznikan</t>
  </si>
  <si>
    <t>‏‏‏کوچک ولی موثر Small but effective</t>
  </si>
  <si>
    <t>Galaxy</t>
  </si>
  <si>
    <t>پیشنهاد میشود اسم حسن #روحانی به حسن #بحرانی تغییر داده شود. بحران و تشنج از کلمه به کلمه او کاملا حس میشد و در عین حال سعی میکرد مجلس را قانع کند که وضعیت بحرانی نیست. #براندازم</t>
  </si>
  <si>
    <t>کوروش</t>
  </si>
  <si>
    <t>https://pbs.twimg.com/media/Dlr_lW3X0AAOJZl.jpg</t>
  </si>
  <si>
    <t>https://article.mojahedin.org/i/%D8%A8%D8%B3%D8%AA%D9%87-%D8%A7%D8%B1%D9%88%D9%BE%D8%A7-%D8%AA%D9%88%D9%87%DB%8C%D9%86-%D9%85%D8%B3%DA%A9%D9%86-%D8%AC%D8%B1%D8%B9%D9%87-%D8%AD%DB%8C%D8%A7%D8%AA</t>
  </si>
  <si>
    <t>بسته #اروپا، توهین، مسکن یا جرعه حیات؟ هنگامی که چند روز پیش اروپا اعطای یک کمک ۱۸میلیون یورویی را به‌عنوان بسته اروپایی اعلام کرد و موارد هزینه آن را هم مشخص نمود، قضاوت‌ها حتی در درون باند #روحانی هم تغییر کرده است بیشتر</t>
  </si>
  <si>
    <t>امروز دیگه همه فهمیدن و با چشماشون دیدن که نه #رئیس_جمهور کاره ایه نه #مجلس. فقط دارن بازی در میارن و اما #مردم دیگه گول این بازی ها رو نمیخورن. #روحانی #سوال_از_رئیس‌جمهور</t>
  </si>
  <si>
    <t>Motavaled Bahman</t>
  </si>
  <si>
    <t>جناب آقای #روحانی امروز فرمودند ترامپ وقتی اعتراضات مردمی در دی ۹۶ دید استارت خروج از برجام و زد. اون زمان یادمه توی تمام رسانه ها و جنابعالی میگفتین اینایی که توی خیابونن مردم نیست و فقط چند نفر ارازل و اوباش هستن.</t>
  </si>
  <si>
    <t>چخوف</t>
  </si>
  <si>
    <t>http://www.iranintl.com</t>
  </si>
  <si>
    <t>شبكه خبرى ايران اينترنشنال</t>
  </si>
  <si>
    <t>London, England</t>
  </si>
  <si>
    <t>http://fal.cn/Vxu1</t>
  </si>
  <si>
    <t>حسین‌علی حاجی‌دلیگانی،‌ از نمایندگان مجلس، به فارس گفت طرح #استیضاح #محمد_شریعتمداری وزیر صنعت‌، معدن و تجارت «در ۱۵ محور ازجمله عدم مدیریت بازار خودرو و افزایش قیمت در این بخش» تنظیم شده است. بیشتر بخوانید:</t>
  </si>
  <si>
    <t>ايران اينترنشنال</t>
  </si>
  <si>
    <t>‏‏یکی مثل همه و شاید هم بدتر</t>
  </si>
  <si>
    <t>سوال چرا هر وقت حال شیخ حسن خوب نیست حال سکه و ارز هم بد میشه؟!! #سوال_از_رئیس‌جمهور</t>
  </si>
  <si>
    <t>سجادخادم</t>
  </si>
  <si>
    <t>http://www.ahmadpour.net</t>
  </si>
  <si>
    <t>Business Coach</t>
  </si>
  <si>
    <t>ولى اگه به‌جای پاسخ حضوری، روحانى توى استورى اينستا جواب سئوالات نماينده‌ها رو می‌داد الان دلار روی ۱۱ تومن نبود. #سئوال_از_رییس_جمهور #روحانى</t>
  </si>
  <si>
    <t>Morteza Seyedahmadpour</t>
  </si>
  <si>
    <t>اصلا کم نیاور تمام کاستی ها را در نقابی از وقاحت میتوان پنهان کرد! #بیشعوری #روحاني</t>
  </si>
  <si>
    <t>fateme zahrA</t>
  </si>
  <si>
    <t>‏‏ارشد حقوق خصوصی</t>
  </si>
  <si>
    <t>https://twitter.com/SecPompeo/status/1034205204520955905</t>
  </si>
  <si>
    <t>انگار بستن تنگه هرمز خیلی جدی شده. پمپئو به دست وپای بقیه شریکهای متعدد تجاری آمریکا افتاده (بن سلمان+بن زائد و صفر شریک دیگر) برای باز نگاه داشتن تنگه. #روحانی را کوبیدند وخاکشیر کردند٬اما تنها کاپیتان سالم وعاقل اجرائی در ایران اوست که میداندچه چیزی را کجا بگوید RT @SecPompeo: The Islamic Republic of Iran does not control the Strait of Hormuz. The Strait is an international waterway. The United States will continue to work with our partners to ensure freedom of navigation and free flow of commerce in international waterways.</t>
  </si>
  <si>
    <t>alireza key I R</t>
  </si>
  <si>
    <t>‏‏متاهل, متعهد, مادر،</t>
  </si>
  <si>
    <t>https://pbs.twimg.com/media/Dlr_2ryXcAAzA0Q.jpg</t>
  </si>
  <si>
    <t>#آیت_الله_خاتمی :اجلاسیه پیش روی مجلس به بررسی مشکلات معیشتی مردم اختصاص یافته از روئسای سه قوه دعوت کرده ایم تا دراین اجلاسیه حضور پیدا کنند اما #رئیس_جمهور اعلام کرده دراین #اجلاسیه حضورنمی یابد</t>
  </si>
  <si>
    <t>شیرین😊 🇮🇷⁦🇮🇷⁩⁦⁦</t>
  </si>
  <si>
    <t>باید یک مجری باشم؛مهره ای در یک بازی پیچیده،چرخ کوچک یک سلسله وقایع مهم،آن قدر کوچک که دیده نشود،مقدر شده بدون دیده شدن از اینجا بگذرم!برعکس، همیشه دیده میشوم!</t>
  </si>
  <si>
    <t>روحانی امروز هیچ حرفی برای گفتن نداشت هیچ پاسخی,هیچ برنامه ای برای برون رفت از مشکلات کشور وجود ندارد. یعنی سه سال آینده بدون برنامه و عملاً بدون دولت! روحانی نشان داد کفایت لازم برای ریاست جمهوری را ندارد!#عدم_کفایت_سیاسی #سوال_از_رئیس_جمهور #استیضاح</t>
  </si>
  <si>
    <t>ایتالو</t>
  </si>
  <si>
    <t>So you can keep knocking but won't knock me down, No love lost, No love found.</t>
  </si>
  <si>
    <t>https://pbs.twimg.com/media/DlsAFlFX4AErJ2a.jpg</t>
  </si>
  <si>
    <t>نامه سرگشاده #زیباکلام به #روحانی</t>
  </si>
  <si>
    <t>گرگنما</t>
  </si>
  <si>
    <t>‏‏‏‏‏‏‏‏‏هرچه خواستیم نشد... لطفی کنید و بر سنگ قبرمان بنویسید: آرمیده در گور آرزوهایش!</t>
  </si>
  <si>
    <t>https://pbs.twimg.com/media/DlsAJjRXcAAYAxA.jpg</t>
  </si>
  <si>
    <t>#اعتراضات_دی_ماه چنان ضربه ای به این رژیم زد که رییس جمهورش اذعان کرد بحران بزرگی تو بدنه این رژیم به وجود امده قدرت مردم و صدا مردم لرزه انداخت به وجودشون #سوال_از_رییس‌جمهور #سوال_از_رئیس_جمهور #تظاهرات_سراسرى #چالش_دعوت_به_تظاهرات #نه_به_جمهوري_اسلامي #IranRegimeChange</t>
  </si>
  <si>
    <t>Mohammad🏳️</t>
  </si>
  <si>
    <t>ببینیم مجلس با این روند #استیضاح برای اولین بار می تواند کابینه را از حد نصاب بندازه؟ یک بار #احمدی_نژاد خواست اما نتونست</t>
  </si>
  <si>
    <t>https://pbs.twimg.com/media/DlsALBeXgAIQX6y.jpg</t>
  </si>
  <si>
    <t>همه چی تقصیر اون طلبه پلاکارد به دست فیضیه هست؛ حتی پراید۴۰میلیونی... #سوال_از_رئيس_جمهور »محمود قائدی🇮🇷«</t>
  </si>
  <si>
    <t>Suheyla.v</t>
  </si>
  <si>
    <t>سجاد فرهمند چهاردهم شهریور ماه 1368،دانشجوی دکترای زبان و ادبیات فارسی،شاعر،نویسنده،ترانه سرا،منتقد ادبی،مترجم ،مؤلف،نگارنده کتب ادبی و فعال فرهنگی</t>
  </si>
  <si>
    <t>استان فارس.ایران</t>
  </si>
  <si>
    <t>نمی دونستم اینقدر شغل ایجاد شده... خوب شد آقای رئیس جمهور از نادانی خارجم نمود وگرنه در جهل مرکب ابدالدهر می ماندم. #سوال_از_رییس‌جمهور</t>
  </si>
  <si>
    <t>سجاد فرهمند</t>
  </si>
  <si>
    <t>فعال فرهنگی رسانه ای</t>
  </si>
  <si>
    <t>امروز #انتخابات_98 از #رئیس_جمهور زهر چشم استیضاح گرفت. سال آینده یک #زهر_چشم گیر را انتخاب کنیم. #انتخابات_مجلس #انتخابات_سال98</t>
  </si>
  <si>
    <t>abolfazl.ramazani.db</t>
  </si>
  <si>
    <t>‏‏‏programmer,interested in SocialMedia 🤓 ریتوییت به معنی تایید محتوا یا نویسنده آن نیست.</t>
  </si>
  <si>
    <t>دارم کتاب ایران بین دو انقلاب رو میخونم،بخشی که مربوط به مجلس شورای ملی 10 تا 15ـه در کنار اتفاقات امروز #مجلس می فهمم واقعا در 60-70 سال اخیر خیلی پیشرفت کردیم #سوال_از_رییس‌جمهور</t>
  </si>
  <si>
    <t>🇮🇷میم.میم</t>
  </si>
  <si>
    <t>http://www.didbaniran.ir</t>
  </si>
  <si>
    <t>‏حساب رسمی ‏‏پایگاه خبری دیده بان ایران http://www.didbaniran.ir</t>
  </si>
  <si>
    <t>https://pbs.twimg.com/media/DlsAfCoW0AEE9hn.jpg</t>
  </si>
  <si>
    <t>🖋محمد علی #پور_مختار عضو کمیسیون حقوقی مجلس در گفت و گو با #دیده_بان_ایران خبر داد : 🔴طرح تحقیق و تفحص #مجلس از نحوه تخصیص ارز 4200 تومانی 🔴استیضاح #وزیر_صنعت_معدن_و_تجارت با ۵۵ امضاء به هیئت رئیسه تقدیم شده است</t>
  </si>
  <si>
    <t>پایگاه خبری و تحلیلی دیده بان ایران</t>
  </si>
  <si>
    <t>🔝🇮🇷ian</t>
  </si>
  <si>
    <t>milkywaygalaxy</t>
  </si>
  <si>
    <t>#جمهوری_اسلامی رژیمی ساخته پرداخته دست دشمنان مخصوصا #جهودها که مملو از #فراماسون های چون روحانی و #جهود های #آنوسی چون #لاریجانی ها #علم_الهدی #شریعتمداری ها و چپی هایی چون #زیباکلام و تجزیه طلبان پان گودوخ #مجلس کشور دست دشمن است، امبدم به #سپاه که آخرین سنگر فتح نشده غرب است</t>
  </si>
  <si>
    <t>8.5 out of 10</t>
  </si>
  <si>
    <t>منتقد سرسخت روشنفكرنماها، طرفدار دوآتيشه حرف حساب، متنفر از تئورى توطئه</t>
  </si>
  <si>
    <t>به گفته #روحانى دليل خروج آمريكا از #برجام ، #تظاهرات_ديماه بوده !!!! ميگم ما كه كار ديگه اى نميكنيم ! يوقت اين #هشتگ زدنامون موجب تشديد #تحريمها نشه ....!!!!!!!!!!!!!!!!!!!!!!!!!!!!!!! #روحانی_خفه_شو #روحانی_شارلاتان</t>
  </si>
  <si>
    <t>استاسيس</t>
  </si>
  <si>
    <t>با پیراهن مشکی و کشکول گدایی، ما خود به جهان آخر هر تیپ و کلاسیم...</t>
  </si>
  <si>
    <t>شیراز + کشور قم</t>
  </si>
  <si>
    <t>بهترین نطق رو ذوالنور داشت. دلیلشم واضحه: منطق و فلسفه و درسی که #روحانی تو حوزه خونده و ازش برای مغالطه استفاده میکنه، علیه خودش خیلی مفید استفاده کرد. #سوال_از_رییس‌جمهور</t>
  </si>
  <si>
    <t>محمد یارمحمودی</t>
  </si>
  <si>
    <t>‏‏‏‏‏‏‏دانشجوی دکتری مدیریت/ مدیر و تحلیل گر بازارهای مالی/ نویسنده و پژوهشگر فرهنگی</t>
  </si>
  <si>
    <t>#رییس_جمهور یا به آن هوشمندی و زیرکی که فکر میکردیم نیست و یا یک جا به عنصر قوی تری متحد شده که میتواند نردبان را زیر پای لاریجانی ها بکشد. همانکس که گفته بودبر مبنای اعتدال سخن بگو و گفت. اگر اولی باشد که ببیندیم دریچه ی دموکراسی را و برویم و اگر دومی باشد هم به گونه ای دیگر...</t>
  </si>
  <si>
    <t>Koorosh Torabi</t>
  </si>
  <si>
    <t>pic.twitter.com/hjEec0gjMv</t>
  </si>
  <si>
    <t>تنها حرف راستی که روحانی امروز در مجلس گفت :) #راستگو #سوال_از_رییس‌جمهور #روحانی دروغگوی کی بودی تو</t>
  </si>
  <si>
    <t>http://www.shokrinia.ir</t>
  </si>
  <si>
    <t>آنان که خاک را به نظر کیمیا کنند... آیا بود که گوشه ی چشمی به ما کنند...</t>
  </si>
  <si>
    <t>موضوعات مطرح شده و روند حاکم بر جلسه سئوال از #رئیس_جمهور نشان داد نمایندگان مجلس هم مانند مردم از عملکرد دولت در عادی‌ترین مسائل ناراضی هستند. جلسه امروز علاوه برتمرین دمکراسی، نقد جدی وعده های 6 ساله دولت روحانی بود. حواشی هم نتوانست برمتن غلبه کند. #حل_مشکل_مردم #پایان_وعده_ها</t>
  </si>
  <si>
    <t>rasoolshokrinia</t>
  </si>
  <si>
    <t>https://www.tir.ir</t>
  </si>
  <si>
    <t>‏‏‎‎#خبرفوری_نیوز365 🔸‎به هدف بزنيد ... تلگرام: http://t.me/News365‎ تام تام : http://tt.me/N365‎ اينستاگرام : http://Instagram.com/news365.days #سايت_خبری #تیر : http://www.TIR.ir</t>
  </si>
  <si>
    <t>https://pbs.twimg.com/media/DlsA58bX0AAZ1QZ.jpg</t>
  </si>
  <si>
    <t>یک #پنکه ۹۰دلاری جلوی #رییس_جمهور را عکس گرفتندکه بگویند او اشرافی است‼️ 🔹چرا اینقدر سطحی شدیم؛ خودمان دوست داریم افرادی با ظاهر مثلاً انقلابی و #ساده_پوش بیایند و #اختلاس کنند و بروند!! خودمان دوست داریم کسانی مثل دارو دسته #احمدي_نژاد بیان و سرمون کلاه بزارن و برن:/ علیرضا</t>
  </si>
  <si>
    <t>نیوز365</t>
  </si>
  <si>
    <t>‏‏‏‏‏‏‏‏‏‏‏ تا ابد مدیون و دوستدار ‎‎‎‎‎‎‎‎‎‎‎‎‎‎‎‎‎#شهیدان م... ضد امپریالیسم،طرفداروسرباز ‎‎‎‎‎#انقلاب_اسلامی نه ‎‎ج.ا</t>
  </si>
  <si>
    <t>#کوردم ولی بوشهرم :)</t>
  </si>
  <si>
    <t>روحانی جدای از ظلم و کم لطفی که به کل مردم وکشور کرد، بیشترین ظلم و اجحاف رو در حق قشر پیمانکار و فعال دربخش عمرانی کشورکرد؛ یه کلام: بدبخت وبیکار شدیم! و بیشترین خدمت و رانت رو به پزشکان با طرح تحول سلامت کرد! #سوال_از_رییس‌جمهور</t>
  </si>
  <si>
    <t>محسن یاس</t>
  </si>
  <si>
    <t>هشتگ داغ 6 ساعت گذشته: #روحانی: 4925 توییت #سوال_از_رئیس_جمهور: 3687 توییت #سوال_از_رییس‌جمهور: 2310 توییت #مشهد_تايلندتشيع: 2299 توییت #ظرفیت_بسیج: 2133 توییت #اگر_بخواهید: 1941 توییت #براندازم: 1925 توییت #ایران: 1899 توییت</t>
  </si>
  <si>
    <t>#روحانی خب رئیس‌جمهور روحانى، ريشه‌ی تمام مشكلات ارز و قاچاق و بيكارى رو بالاخره بيان فرمودن: "تصور مردم" !!!! ای مردم همه بيايید كنار هم تصورمونو عوض كنيم.</t>
  </si>
  <si>
    <t>omiiid t</t>
  </si>
  <si>
    <t>https://www.Iranwtc.org</t>
  </si>
  <si>
    <t>Official Twitter account of Mohammad Reza Sabzalipour President of IRAN World Trade Center رئیس مرکز تجارت جهانی ایران http://Instagram.com/m.r.sabzalipour</t>
  </si>
  <si>
    <t>آقاى⁧ #روحانى ⁩ انصاف هم چيز خوبى است!! روحانى از 1ماه پيش⁧ #بگم_بگم مؤدبانه اى راه انداخته و همه را منتظر گذاشته بود تا امروز پشت پرده ها و موانع كارشان را از تريبون #مجلس باطلاع مردم برساند. اما باز هم با ⁧ #آمار_سازى ⁩و تعريف از خود، مردم را مات و مبهوت و نااميدتر كرد!!</t>
  </si>
  <si>
    <t>Mohammad Sabzalipour</t>
  </si>
  <si>
    <t>وقتی به دنیا اومدیم گمونم قرار بود کارای مهم تری انجام بدیم... //دانشجوی ترم دومی مهندسی مکانیک//</t>
  </si>
  <si>
    <t>اهواز</t>
  </si>
  <si>
    <t>#ذوالنور: جناب آقای روحانی من نمیدونم جناب عالی رئیس جمهور سوئیسید یا جمهوری اسلامی؟! #روحانی: هیچکدام ، اسکاتلند😂✌🏼</t>
  </si>
  <si>
    <t>ح‌سـ‌ی‌ـن کاهوکار 🇮🇷</t>
  </si>
  <si>
    <t>مثل خندوانه که چشمارو میبندن و یکی با حرفاش میبردشون یه جای خوب،وقتی #روحانی داشت از عملکردش میگفت فقط باید چشامونو رو حقیقت می بستیم😑#دروغ</t>
  </si>
  <si>
    <t>Farzaneh</t>
  </si>
  <si>
    <t>Facts don't give a damn about your feelings......</t>
  </si>
  <si>
    <t>Murica</t>
  </si>
  <si>
    <t>https://pbs.twimg.com/media/DlsBWUXW4AAJ_54.jpg</t>
  </si>
  <si>
    <t>در یه نظام دیکتاتوری اگر رای دادن چیزی رو تغییر میداد به هیج وجه اجازه ی رای دادن به شما نمیدادن؛ایران حتی در صورت نبود این نظام تیوتراتیک دهه ها با یک دموکراسیِ کامل فاصله داره. هرگز متوجه نشدم چرا حتی ایرانیای خارج و خصوصا ایرانیان آمریکا و کانادا با شوق به #روحانی رای دادن!</t>
  </si>
  <si>
    <t>The Republican Ron Swanson :) 🇺🇸</t>
  </si>
  <si>
    <t>آقای رییس جمهور امروز نمایندگان مردم از پاسخ جنابعالی به سؤالاتشان قانع نشدند حالا خودمونیم آیا خود شما از پاسخ به سوالاتشان قانع شده اید؟؟؟ #سوال_از_رئیس‌جمهور</t>
  </si>
  <si>
    <t>‏‏‏‏جوانی اول: بسکتبالیست... جوانی دوم: فعال مدنی،علم اجتماع خونده،اصلاح طلب... میان سالی(سن عقل): فعال اقتصادی،بیمه های اتکائی...</t>
  </si>
  <si>
    <t>جناب آقای #روحاني این دست فرمون ختم بخیری ندارد! ابتدا شمارا از بدنه اجتماعی تان جدا کردند، سپس هرچه خواستند تحمیل کردند و امروز دنبال براندازی تان هستند. آقای #روحاني شما هیچ راهی جز بازگشت به بدنه اجتماعی تان ندارید،چه بسا شما را پس بزند اما به ریسک ش میارزد. @Rouhani_ir</t>
  </si>
  <si>
    <t>قیس قریشی</t>
  </si>
  <si>
    <t>یکم توقعمونم از #روحاني باید کم کنیم. امروز چیزی که واضح بود این بود که جرئت نداشت بیاد مستقیمن از دخالت گسترده #سپاه تو اقتصاد و خودخواهی و سیاست های غلط #علی_خامنه_ای صحبت کنه. هر کس دیگه ای هم بود میومد ماله کشی می‌کرد. اول کارم که گفت رهبری توصیه کردن چیا بگم چیا نگم!!!!￼</t>
  </si>
  <si>
    <t>SherVn</t>
  </si>
  <si>
    <t>#عرزشي كسيه كه از اسيد پاش ضد بدحجابي هم دفاع مي كنه! از #جاكشي #علم_الهدي هم دفاع مي كنه #خايه_مال شاخ و دم نداره كه! همينه ديگه! #مشهد_تایلندتشیع #مشهد_تایلند_تشیع #مشهد_تایلند_اسلام #رسانه_کذاب_دادستان_خواب #كسخل #عرزشي #ظرفیت_بسیج #روحاني</t>
  </si>
  <si>
    <t>‏شبه روزنامه نگار مایوس شده از تغییر</t>
  </si>
  <si>
    <t>آخر آخر #سوال_از_رئیس‌جمهور به استیضاح ختم میشه و آخر استیضاحم ممکنه به حذف روحانی برسه هرچند دیگه اهمیتی برام نداره کی رئیس جمهور باشه ولی روحانی حداقل تمام تلاشش اینه یه نقاب خوشگل از ایران به دنیا نشون بده برای همین هم نمی تونه هرکار که دلش بخواد بکنه اما ...</t>
  </si>
  <si>
    <t>Tina</t>
  </si>
  <si>
    <t>novice in reading tarot</t>
  </si>
  <si>
    <t>اگه رییس جمهور استیضاح بشه و برکنار بشه ، چی میشه؟ دوباره انتخابات میشه؟؟ کی رییس دولت میشه ؟؟#رئیس‌جمهور #استیضاح #دولت</t>
  </si>
  <si>
    <t>خورشیدخانووووم</t>
  </si>
  <si>
    <t>http://fanoosedu.ir</t>
  </si>
  <si>
    <t>‏‏‏‏‏‏‏‏دانش آموخته ‎‎‎‎‎‎‎#جامعه_شناسی مدیر مسئول پایگاه خبری فانوس</t>
  </si>
  <si>
    <t>https://pbs.twimg.com/media/DlsB0FWWwAMN7s0.jpg</t>
  </si>
  <si>
    <t>#روحانی خیلی حرفهای دیگری هم میتواند بزند و نمی زند، البته نمیخواهد این حرفها را بزند</t>
  </si>
  <si>
    <t>محمد روزبهانی</t>
  </si>
  <si>
    <t>https://www.sazinco.ir</t>
  </si>
  <si>
    <t>‏‏‏‏‏‏‏‏کارشناس IT / مشاور تولیدمحتوا تازه در فضای مجازی/ مشاور چندین پایگاه خبری معتبر 🔶 ‎‎@sazin24 🔶 ‏‏‏اینستگرام: http://instagram.com/ardavan_sijani‎‎‎‎‎‎‎‎‎‎‎</t>
  </si>
  <si>
    <t>جای خوب‌شم</t>
  </si>
  <si>
    <t>https://pbs.twimg.com/media/DlsB3fnW0AATCeS.jpg</t>
  </si>
  <si>
    <t>چقدر بعضی خبرنگارامون سطحی شدند!! از کل جلسه #سوال_از_رئیس‌جمهور عکس یک #پنکه ۱۰۰دلاری و گرفتند که بگند #روحانی اشرافی است:) یعنی خودمان دوست داریم یکی گونی بپوشه و بگه من انقلابی ام و بعد #اختلاس کنه بره :)) بدبختیم بخدا چقدرام اصولگراهای دلشوره‌ای از #پنکه استقبال کردند:))</t>
  </si>
  <si>
    <t>اردوان سیجانی</t>
  </si>
  <si>
    <t>طلبه</t>
  </si>
  <si>
    <t>قم المقدسه</t>
  </si>
  <si>
    <t>ولی اگه #روحانی تو #خنداننده_شو شرکت میکرد ، با اختلاف اول می‌شد!</t>
  </si>
  <si>
    <t>طلبه ی کرمانی</t>
  </si>
  <si>
    <t>‏‏‏گمشده در محاکمه،با دوسیه ای از فلسفه و اقتصاد سیاسی</t>
  </si>
  <si>
    <t>سیاست قبل از آنکه فن مجادله باشد فن مصالحه است؛و حل معضل نه با هشتگ بازی و طوفان های توییتری بلکه در مذاکرات انجام می شود؛در سیاست موفقیت نه در فیو و ریتوییت؛بلکه در حداکثری کردن منافع در راستای مصالح ملی با کمترین هزینه است؛در واقع #روحانی رییس جمهور است نه یک اکانت توییتری</t>
  </si>
  <si>
    <t>مرحوم یوزف ک</t>
  </si>
  <si>
    <t>Fc bayern ❤❤</t>
  </si>
  <si>
    <t>https://pbs.twimg.com/media/DlsJa2tW4AACZpy.jpg</t>
  </si>
  <si>
    <t>امروز رییس جمهورمون آقای #روحانی فرمودن ما داریم آینده کشورمون رو می سازیم. من که به شخصه با دیدن این عکس گل از گلم شکفت. اقتصادمون ترکونده چند سال قبل پرادو ۴۰ تومن بود الان پراید، یعنی کیفیت پراید رو رسوندن به پرادو. مرسی از مسئولین کشورمون ایران. #پراید_چهل_میلیونی</t>
  </si>
  <si>
    <t>soorennn</t>
  </si>
  <si>
    <t>ضعیف ترین مجلس جمهوری اسلامی ایران دو وزیر را استیضاح کرد و از پاسخ های رییس جمهور قانع نشد ! به عمق فاجعه پی بردید! #سوال_از_رییس‌جمهور</t>
  </si>
  <si>
    <t>https://pbs.twimg.com/media/DlsJfgSXoAAX1ek.jpg</t>
  </si>
  <si>
    <t>http://tn.ai/1814581</t>
  </si>
  <si>
    <t>تحلیل وزیر دولت اصلاحات از نطق امروز #روحانی در #مجلس؛ "برای مردم قانع‌کننده نبود" /صوفی در گفت‌‌وگو با #تسنیم: اذهان عمومی از پاسخ‌های رئیس‌جمهور قانع نشده است</t>
  </si>
  <si>
    <t>https://dalghakirani.blogspot.co.uk/</t>
  </si>
  <si>
    <t>ماسکم فلسفی و ده ساله برند است و نه برای پنهان شدن. شناسنامۀ نظامیم در وبلاگم و عکس بدون ماسکم در فیسبوکم موجود است.</t>
  </si>
  <si>
    <t>تاجزاده رادیکالترین اصلاحطلب ممکن و موجود از نگفتن حقایق توسط #روحانی شکایت دارد. اما آیا حقایقی غیر از این وجود دارد که همه میدانیم: 1- حکومت مذهبی ناکارآمد است 2- اصولگرایان داراییهای کشور را بیشتر"حیف" میکنند. 3- اصلاحطلبان همان دارایی ها را بیشتر"میل" میکنند! 4- ملت سرِ کار</t>
  </si>
  <si>
    <t>Dalghak.Irani</t>
  </si>
  <si>
    <t>‏امیری حسین و نعم الامیر</t>
  </si>
  <si>
    <t>مستر پریزیدنت #روحانی امروز گفتند اگر به رئیس بانک مرکزی دستور بدم دلارهای ذخیر شده روانه بازار کنه قیمت #دلار به قیمت سال گذشته برمیگرده ، این حرف آقای شیخ تدبیر امید یعنی #احتکار_دلار یعنی بازی با زندگی ٨۰ میلیون ایرانی یعنی #دولت_محتکر</t>
  </si>
  <si>
    <t>Mostafa Moteshareei</t>
  </si>
  <si>
    <t>Mechanical Engineer, EFL Teacher, Used to be a Journalist</t>
  </si>
  <si>
    <t>#روحانی اول حرف‌هاش گفت امیدوارم بتونم ملاحظاتی که رهبری در مورد این جلسه به من گفتند را رعایت کنم. خواستم بگم آقای روحانی اتفاقاً مشکل اون ۲۴ میلیون که بهت رأی دادن همینه که یک سال و نیمه داری ملاحظات ایشون رو رعایت می‌کنی و همه‌ش روزه‌ی سکوتی. ملاحظات ما به هیچ‌جات نیست.</t>
  </si>
  <si>
    <t>SinBaSid</t>
  </si>
  <si>
    <t>آخ بگردم #مجلس از پاسخهای #روحانی قانع نشد</t>
  </si>
  <si>
    <t>@k46</t>
  </si>
  <si>
    <t>‏‏یک جوان باحال، خنده‌رو، دلسوز، بی‌ادب، سیاست‌ورز، نتیجه‌گرا و تحلیلگر که فوق لیسانس بیوشیمی دارد و فعلا شغلی ندارد.</t>
  </si>
  <si>
    <t>حضرت #حافظ میگه: تکیه بر عهد تو و باد صبا نتوان کرد دامن دوست به صد خون دل افتاد به دست نسبت دوست به هر بی سر و پا نتوان کرد! حال امروز #روحانی!</t>
  </si>
  <si>
    <t>⁦⁦سعید زمانی ⁦</t>
  </si>
  <si>
    <t>ایستاده مردن بهتر از روی دو زانو زندگی کردن است روزمره های کسی که دغدغه براندازی داره لایک وریتویت الزاما به معنی تایید مواضع سیاسی هر فرد نیست</t>
  </si>
  <si>
    <t>زمین خاکی</t>
  </si>
  <si>
    <t>مجلس تنها از پاسخ روحانی درباره استمرار تحریم های بانکی قانع شد! مجلس از پاسخ #روحانی درباره قاچاق گسترده قانع نشد! مجلس از پاسخ روحانی درباره عدم کاهش بیکاری قانع نشد! مجلس از پاسخ روحانی درباره رکود اقتصادی قانع نشد! مجلس از پاسخ روحانی درباره افزایش نرخ ارز قانع نشد! 🤔</t>
  </si>
  <si>
    <t>زاپاتا</t>
  </si>
  <si>
    <t>‏‏عمران می خونم * دنبال دوست مجازی</t>
  </si>
  <si>
    <t>شهر اونور دریاها</t>
  </si>
  <si>
    <t>#روحانی امروز بد باخت ، بدم باخته کمر همت بستن عزیزان از #ان_دیگری گرفته تا نمایندگان مجلسش</t>
  </si>
  <si>
    <t>احمدعلی</t>
  </si>
  <si>
    <t>#روحانی_خفه_شو #روحانی_خفه #روحانی #دیگه_تمومه_ماجرا از جلسه امروز مجلس نه ترامپ که نظام ناامید و به بن بست رسیده بیرون آمد</t>
  </si>
  <si>
    <t>آن که گفت نه</t>
  </si>
  <si>
    <t>صلح طلب - منتقد جامعه و خویشتن *** طراحی، راه اندازی و توسعه فروشگاه های اینترنتی</t>
  </si>
  <si>
    <t>#روحانی: چرا مردم نسبت به آینده #ایران دچار تردید شدن، و بالاترررر، حتی عده ای نسبت به عظمت نظام دچار شک شدن. پ.ن. آقای روحانی هیچ نظامی بالاتر از کشورش نیست.</t>
  </si>
  <si>
    <t>Aidin Fateh 🎗</t>
  </si>
  <si>
    <t>‏‏‏دنیا باگ نداره! مدلش همینطوریه! نه خوشیش دائمیه نه غمش! ابدیت رو عشقه☺</t>
  </si>
  <si>
    <t>IRAN 🇮🇷</t>
  </si>
  <si>
    <t>اوووون چچچچنان زندگی خوب و سرشششاری و مرفهی براتون درست کنم برید حالشو ببرید #روحانی #مثل_شرق_دروغ_میگی</t>
  </si>
  <si>
    <t>گالُنی</t>
  </si>
  <si>
    <t>مجتبی #ذوالنور نماینده مجلس شورای اسلامی ایران گفت احتمالا وضعیت ارجاع سوال از حسن #روحانی به قوه‌قضاییه ۱۱ شهریور مشخص می‌شود. #سوال_از_رئیس_جمهور</t>
  </si>
  <si>
    <t>روحانی امروز در برابر نمایندگان مردم گفت: اگر برجام هیچ بود پس چه غصه ای داریم؟ آقای دکتر دقیقا غصه ی ما از هیچ بودن برجام است... #برجام_نافرجام #وعده_تو_خالی #سوال_از_رئیس‌جمهور</t>
  </si>
  <si>
    <t>‏‏نماینده مردم شریف و زحمتکش کینگزلندینگ -کارشناس رسانه - لنیسترگرا و استارک طلب - دبیر کل جمعیت رهپویان ضد واکرها - در حسرت فوکینگ Castle</t>
  </si>
  <si>
    <t>https://pbs.twimg.com/media/DlsJxD7XgAAe6ai.jpg</t>
  </si>
  <si>
    <t>اونی که اون زیره در مرحله آسیب هست در مرحله بحران نیستا!! #سوال_از_رئیس‌جمهور</t>
  </si>
  <si>
    <t>سر بران آو د بلکواتر</t>
  </si>
  <si>
    <t>ما از رکککوووود عبووووور کردیم #روحانی #مثل_شرق_دروغ_میگی</t>
  </si>
  <si>
    <t>#روحاني امروز گفت كافي دستور بدم به رئيس بانك مركزى تا توى دو هفته قيمت دلار برسه به پارسال. داداش با همين تصميم گند زدي به زندگى من و خيلي هاى ديگه. كلا از صحبتاش اين برميومد كه بيشتر سوال داره تا اينكه جواب داشته باشه #پايان_روحاني ؟ #مجلس_شورای_اسلامی</t>
  </si>
  <si>
    <t>amir mo</t>
  </si>
  <si>
    <t>http://cineport.ir</t>
  </si>
  <si>
    <t>@cineportmedia جانورشناس، فیلمساز و نویسنده مستقل Zoologist, Novelist and filmmaker Director of Cineport media</t>
  </si>
  <si>
    <t>این استیضاح ها نتیجه ی سهم ندادن به گروه های سیاسی و شفافیت مالی که دولت روحانی شروع کرد. یادمون نره دعواها از وقتی بالا گرفت که روحانی نحوه توزیع بودجه رو شفاف کرد. #استیضاح</t>
  </si>
  <si>
    <t>دکتر سیّد بِل میگه</t>
  </si>
  <si>
    <t>‏#الهی_عظم_البلاء قسم به حضرت زینب کبری س فالو = فالو</t>
  </si>
  <si>
    <t>IRAN_Shahid_Avini_♡</t>
  </si>
  <si>
    <t>دوستان آشنایان همدردان پروژه عبور از روحانی و فداکردن روحانی برای بی تقصیر جلوه دادن حزب پشتیبانِ ایشان را فراموش نکنیم #سوال_از_رئیس‌جمهور</t>
  </si>
  <si>
    <t>#FarhAd_iR_♡</t>
  </si>
  <si>
    <t>عمری که در راه مبارزه با باطل صرف نشود به هیچ نمی ارزد. سید مرتضی آوینی</t>
  </si>
  <si>
    <t>صبح کار داشتم.. جلسه #سوال_از_رئیس‌جمهور رو پیگیری نکردم ولی فکر میکردم مثل همیشه چیز زیادی از دست ندادم بعد که خبرها رو شنیدم خیلی تاسف خوردم . . استند آپی بوده برا خودش...</t>
  </si>
  <si>
    <t>Taha</t>
  </si>
  <si>
    <t>study political science iranian journalist</t>
  </si>
  <si>
    <t xml:space="preserve"> ایران </t>
  </si>
  <si>
    <t>در دنیای تو ساعت چند است؟ @Rouhani_ir #روحانی #سوال_از_رئيس_جمهور</t>
  </si>
  <si>
    <t>Navidkalahroudi</t>
  </si>
  <si>
    <t>http://www.mehrnews.com</t>
  </si>
  <si>
    <t>توئیتر رسمی خبرگزاری مهر به‌زبان فارسی</t>
  </si>
  <si>
    <t>https://twitter.com/mehrnews_fa/status/1034374032144171012</t>
  </si>
  <si>
    <t>سخنگوی کمیسیون آموزش و تحقیقات #مجلس:‌ نمایندگان #استیضاح کننده از توضیحات #بطحایی قانع نشدند / استیضاح به هیئت رئیسه می‌رود RT @mehrnews_fa: ظهر امروز دومین جلسه بررسی استیضاح وزیر آموزش و پرورش در کمیسیون آموزش مجلس برگزار خواهد شد.</t>
  </si>
  <si>
    <t>خبرگزاری مهر</t>
  </si>
  <si>
    <t>‏‏‏‏جهان سوم مکان نیست یک تفکر است</t>
  </si>
  <si>
    <t>ام القرای جهان اسلام</t>
  </si>
  <si>
    <t>https://pbs.twimg.com/media/DlsKkYZXcAASOpw.jpg</t>
  </si>
  <si>
    <t>بنظرتون واکنش روحانی به اینکه نماینده ها از پاسخش قانع نشدن چیه؟ #به_درک #برید_به_جهنم #بی_سوادای_بی_شناسنامه (وی بسیار معتقد و پایبند به حقوق شهروندیست) #سوال_از_رئیس_جمهور #روحاني</t>
  </si>
  <si>
    <t>amin ardeshiri</t>
  </si>
  <si>
    <t>#فوری / رویترز: 🔹دولت فرانسه از دیپلمات های خود خواست به دلایل امنیتی، سفرهای غیرضروری به ایران را به زمان دیگری موکول کنند /عصرایران #برجام #سایه_جنگ #سوال_از_رییس‌جمهور</t>
  </si>
  <si>
    <t>https://t.me/vahidi4</t>
  </si>
  <si>
    <t>در سرزمینی که آزادی نیست هیچ چیز مهم تر از نبرد برای آزادی نیست، هیچ چیز</t>
  </si>
  <si>
    <t>رشت انزلی اروپا</t>
  </si>
  <si>
    <t>حرفهای امروز شیخ شیاد #روحانی نشاندهنده بن بستی است که نظام گرفتار اون شده! نه میتواند با مدل احمدی نژادی بی دنده و ترمز بره! ونه میتواند با همین منوال ادامه بده! در کشوری که بالاییها نمی توانند و پایینیها نمیخواهند بهار انقلاب فراخواهدرسید. #براندازم</t>
  </si>
  <si>
    <t>وحید</t>
  </si>
  <si>
    <t>http://tebeslami.net</t>
  </si>
  <si>
    <t>‏‏‏‏‏‏‏طبیب ‏‎‎‎‎#طب_اسلامی، فعال اجتماعی و سیاسی | ‎‎#من_انقلابی_ام اصول گرا نیستم! | کانال ما را دنبال کنید http://t.me/tebeslami_net‎‎‎‎‎‎ | http://sapp.ir/tebeslami_net</t>
  </si>
  <si>
    <t>یه چیزی هم اومده رو بورس معلوم نیست درسته یا شایعه است اما خوب تونسته #سوال_از_رئیس_جمهور رو تحت الشعاع قرار بده #صیغه</t>
  </si>
  <si>
    <t>حجت الاسلام محسن رضایی</t>
  </si>
  <si>
    <t>#روحانى اون موقع كه با #ظريف داشتن #خزر رو به روس ها و #خليج_فارس رو به چينيها ميدادن ياد اصل ٤٠ قانون اساسى نبود.</t>
  </si>
  <si>
    <t>maryam imani</t>
  </si>
  <si>
    <t>‏‏‏داد و بیداد ڪہ در محفل ما،رندے نیست ڪہ برش شڪوه برم،داد ز بیداد ڪشم</t>
  </si>
  <si>
    <t>خودم اینجا،دلم اونجا...</t>
  </si>
  <si>
    <t>میدونی چیه آقای #روحانی ؟ جونم برات بگه که مشکلات دولت دوازدهم درست از روزی شروع شد که جنابعالی تن دادی به کابینه ی تحمیلی و پشت کردی به آرای مردم. از روزی که به جای دولت با تفنگ گفتنت به خاطر خان داداشت مردم رو عاشق سپاه خطاب کردی عاره عزیز من،اینجوریاست... #سوال_از_رئیس_جمهور</t>
  </si>
  <si>
    <t>rasputin</t>
  </si>
  <si>
    <t>امروز ، فوتبال به تمام معنا در قوا : #مجلس داوری کرد ، #دولت #کارت_زرد گرفت ، و تماشاچیان منتظر نتیجه var از #قوه_قضاییه</t>
  </si>
  <si>
    <t>رضا پورحسن</t>
  </si>
  <si>
    <t>#روحاني #روحانی_خفه_شو #قیام_تا_سرنگونی #دیگه_تمومه_ماجرا سعی نکن مشکلات رو تقلیل به چند ماه اخیر،به قول خودتون سیستم ایراد داره.کف خیابون</t>
  </si>
  <si>
    <t>آقای #روحانی بهتر بود بجای بیان صحبت ‌هایی که مردم را دلسرد کرد و باعث شد تا نمایندگان احساس کنند به آنها بی حرمتی شده،تنها بخاطر این هم شرایط فاجعه ‌بار جامعه از ملت شریف ایران در صحن علنی مجلس #عذرخواهی می‌کردید... به یزدان که گر ما خرد داشتیم.. کجا این سرانجام بد داشتیم...؟</t>
  </si>
  <si>
    <t>Mehdi Mardani</t>
  </si>
  <si>
    <t>بر سر تربت ما چون گذری همت خواه / که زیارتگه رندان جهان خواهد بود (حافظ)</t>
  </si>
  <si>
    <t>من در تلویزیون نمی توانم حرفهایم را خوب برای مردم بیان کنم، اما در #مجلس می توانم... آتش نشانی بله بله، آتش گرفتم آخ وای...... @Rouhani_ir</t>
  </si>
  <si>
    <t>Kaveh Mir</t>
  </si>
  <si>
    <t>https://pbs.twimg.com/media/DlsK_q3VsAAMLu3.jpg</t>
  </si>
  <si>
    <t>مگه تو #مجلس امن نیست که این آقا این‌طور چسبیده به @HassanRouhani؟</t>
  </si>
  <si>
    <t>Mohammad_Massom</t>
  </si>
  <si>
    <t>حقیقت افسانه ای عجیب و باورنکردنی،شده است.</t>
  </si>
  <si>
    <t>https://pbs.twimg.com/media/DlsKZSPU0AEJU8b.jpg</t>
  </si>
  <si>
    <t>همه #سوال_از_رئیس_جمهور یه طرف تیکه ذالنور به آمارهای روحانی یه طرف ذوالنور: آقای روحانی طوری حرف می زند که انگار رئیس جمهور کشور سوئیس است نه ایران.......... #چطوری_رئیس_جمهور_سوئیس</t>
  </si>
  <si>
    <t>آه کلاه دار</t>
  </si>
  <si>
    <t>‏‏همه چیز دان هیچ ندان😊 ملغمه‌ای از [فرهنگ، سیاست، اقتصاد، فناوری اطلاعات]</t>
  </si>
  <si>
    <t>ولی انصافا دم نماینده‌ها گرم. من که اگه یه بار شام @MB_Nobakht رو خورده بودم مطمئنا قانع میشدم، مگه اینکه با قانع نشدنم یه شام دیگه دعوت می‌شدم. #سوال_از_رئیس‌جمهور</t>
  </si>
  <si>
    <t>من امیدوارم</t>
  </si>
  <si>
    <t>فالو نکنید منو من دوس دارم (فالو کنید پیجم عوض شده همانا برای عاقبتتان خوب است اگر بیاندیشید)</t>
  </si>
  <si>
    <t>#رسانه_کذاب_دادستان_خواب خوب حواستونو پرت کردن؟؟؟ هیشکی هم نفهمید امروز #روحاني تو جلسه #سوال_از_رئیس_جمهور چی گذشت:))</t>
  </si>
  <si>
    <t>بهزاد قبادی</t>
  </si>
  <si>
    <t>رويا بلوري ، كارشناس شيمي ، دانشجوي دكتراي جامعه شناسي ،دبير سابق ،شاگردامروز ،معتقد به اصلاحات وبا افتخاراز موسسین و عضو شورای مرکزی حزب اتحادملت ايران اسلامي</t>
  </si>
  <si>
    <t>ای کاش #آقای_رئیس_جمهور با حضور در #خانه_مردم به جای اقناع نمایندگان #مجلس ، که تصمیم خودشون رو از قبل گرفته بودند ، به دنبال #اقناع #مردم می بود!</t>
  </si>
  <si>
    <t>royabolouri</t>
  </si>
  <si>
    <t>https://sabamedia.info</t>
  </si>
  <si>
    <t>صبارسانه مرجع پایش و آنالیز شبکه‌های اجتماعی https://t.me/sabamedia</t>
  </si>
  <si>
    <t>https://pbs.twimg.com/media/DlsLbZHXcAA82nw.jpg</t>
  </si>
  <si>
    <t>هشتگ‌های #داغ ۸ ساعت گذشته ۱. #روحانی ۲. #ایران ۳. #EXO ۴. #براندازم ۵. #مجلس</t>
  </si>
  <si>
    <t>صبارسانه</t>
  </si>
  <si>
    <t>‏‏‏‏‏‏‏‏‏‏‏اصلاح‌طلب - عضو حزب اتحاد ملت ایران اسلامی - ایران برای همه ایرانیان</t>
  </si>
  <si>
    <t>دومین فرصتِ رئیس‌جمهور پس از اولین فرصتش در گفتگوی تلویزیونی، امروز در #مجلس از دست رفت. آقای #روحانی می‌بایست از جایگاهِ رئیسِ "دولت" پایین بیاید و در جایگاهِ رئیس "جمهور" بایستد! @Rouhani_ir</t>
  </si>
  <si>
    <t>Meysam Mashayekh 🇮🇷</t>
  </si>
  <si>
    <t>https://pbs.twimg.com/media/DlsLuDhW0AAp9tF.jpg</t>
  </si>
  <si>
    <t>✍ روحانی کارت زرد از مجلس دریافت کرد! اماباید بماند و بازی راتمام‌کند تاحجت برهمگان تمام شود. #سوال_از_رییس‌جمهور</t>
  </si>
  <si>
    <t>Nezamolmolk</t>
  </si>
  <si>
    <t>pic.twitter.com/XnCnHlD7eQ</t>
  </si>
  <si>
    <t>وقتی #روحانی میگه نگران نباشین ما #بحران نداریم و با اتحاد و صبر #ملت از این اوضاع عبور خواهیم کرد......</t>
  </si>
  <si>
    <t>You want it Darker?!🌑 We kill the Flame...🔥🔪</t>
  </si>
  <si>
    <t>نمره روحانی در مجلس چند شد؟ . ۰/۲۵ بخاطر #حضور_در_جلسه ! . #سوال_از_رییس‌جمهور . #روحانی #مجلس #استیضاح #نمایندگان_مجلس</t>
  </si>
  <si>
    <t>🌜MeduNamuN🌛</t>
  </si>
  <si>
    <t>‏‏‏‏‏‏‏‏‏حالم این روزا حال خوبی نیست... مخالف ج.ا براندازم! درحال یادگیری و ساخت انیمیشن سریالی!</t>
  </si>
  <si>
    <t>tarbareston</t>
  </si>
  <si>
    <t>-یعنی واقعا نظام رو بالا تر از ایران میدونن؟ +مگ نمیبینی ایرانو میدن دست اینو اون تا نظام چیزیش نشه؟! -اره البته #روحانی ک خودش مستقیم گفته اینو #روحانی_خفه_شو</t>
  </si>
  <si>
    <t>MOSTAFA!</t>
  </si>
  <si>
    <t>https://twitter.com/reuters/status/1034429695033593857
https://reut.rs/2PaafzR</t>
  </si>
  <si>
    <t>#فوری رویترز:دولت فرانسه از دیپلمات های خود خواست به دلایل امنیتی، سفرهای غیرضروری به ایران را به زمان دیگری موکول کنند #بین_المللی #Iran #سوال_از_رئیس_جمهور RT @Reuters: Exclusive: France restricts travel by diplomats to Iran</t>
  </si>
  <si>
    <t>leo</t>
  </si>
  <si>
    <t>🏳</t>
  </si>
  <si>
    <t>آقای روحانی راس میگه؛ ما بحران نداریم. اونا که بحران ندارن. ما مردم بدبختیم که فقط زنده‌ایم و زندگی کردن واسمون رویا شده. آقای روحانی شما و دوستانتون که بحران ندارین،ما مردمی که به هیچ مقامی وصل نیستیم بحران داریم یا بهتر بگم تو بحران زندگی میکنیم #روحاني #روحانی_خفه_شو</t>
  </si>
  <si>
    <t>Sogol.Pn</t>
  </si>
  <si>
    <t>‏‏‏‏‏‏‏‏‏اول ضمیر مفردغائب کجائی/ ای پاسخ آدینه های پر معنا/ حتمی بی چون و چرا برگرد شاید/ راحت شویم از دست اما و اگرها/</t>
  </si>
  <si>
    <t xml:space="preserve"> اللهم عجل لولیک الفرج</t>
  </si>
  <si>
    <t>pic.twitter.com/UmuXXYkXz7</t>
  </si>
  <si>
    <t>https://twitter.com/mrsarshar/status/1033773789396574211</t>
  </si>
  <si>
    <t>یا ابوالفضل به حق، از این ویدئو ترسیدم. نکنه خداوند نقش شیعیان ایران در آخرالزمان را با هنر پیشه های پاکستانی قرارداد بسته باشد. حالا ببینیم کسانی که مدعی اند خود اولین بار امام خمینی گفته اند چی میگن. #امام_خمینی #عمران_خان #روحانی #هاشمی_رفسنجانی RT @mrsarshar: #عمران_خان نخست وزیر جدید #پاکستان.. عاشق #امام_خمینی است و شعارش را #ساده_زیستی مثل امام خمینی اعلام کرده و پیروز شده است.</t>
  </si>
  <si>
    <t>منتظِرِ منتظَر</t>
  </si>
  <si>
    <t>‏‏‏‏‏‏‏‏‏‏سربازِ پادگانِ حسینیم...#لبیک_یا_رسول_الله</t>
  </si>
  <si>
    <t>https://pbs.twimg.com/media/DlsMVLsXsAEyKkd.jpg</t>
  </si>
  <si>
    <t>روحانی:کاخ سفید پایان جلسه امروز اندوهناک خواهد شد! +آمریکا #آمریکا میکنی؟آمریکا با این کارا چیکار داره؟ #سوال_از_رییس‌جمهور</t>
  </si>
  <si>
    <t>حامد پایدار</t>
  </si>
  <si>
    <t>#روحانی: به نظر بنده حقیر، اشکال از تصور مردم از آینده است. جناب رییس جمهور ازت نظر نمیخوایم شما دلایل این وضع و باید تشریح کنید نه که نظر بدین خیلی بیشتر نا امید شدیم و پشیمون</t>
  </si>
  <si>
    <t>Mostafa Zeinali</t>
  </si>
  <si>
    <t>http://Instagram.com/masoud.kheirkhah</t>
  </si>
  <si>
    <t>CEO at Sarv International Foundation/ Content Strategist/ Writer,Translator and Editor/ Journalist/ TV Producer and Presenter(IRIB)/ Film-maker(director)</t>
  </si>
  <si>
    <t>https://pbs.twimg.com/media/DlsMVaRWwAE2AI3.jpg</t>
  </si>
  <si>
    <t>سخنان منفعلانه #روحاني در #مجلس، چنانچه اذعان کرد می‌کوشد «توصیه‌های #رهبری را دقبقا مراعات کند» نه تنها گرهی از کار فروبسته #دولت و #مردم باز نکرد، بلکه بار دیگر ثابت کرد عامل اصلی #کورگره ایران، #مخاطب_بایدها و #آن_دیگری است. ادامه این بازی #باخت_باخت است. @Rouhani_ir</t>
  </si>
  <si>
    <t>masoudkheirkhah</t>
  </si>
  <si>
    <t>http://t.me/knaf_shoresh</t>
  </si>
  <si>
    <t>‏‏‏‏‏‏‏‏‏‏‏‏‏‏‏‏‏‏‏‏‏‏#مهرماهی ده شصتی که در همان کودکی خیلی زود بزرگ شدم، در نوجوانی همسر و پدر شدم ،در جوانی هم پیر شدم .منتظرم تموم بشه و برم</t>
  </si>
  <si>
    <t>شهر اصالت و فرهنگ (سنندج)🇮🇷</t>
  </si>
  <si>
    <t>تنها چیزی که زندگی مردم رو به سیاهی برد وجود خود شماست #روحانی اوووونچنان رونقی ایجاد کردی داریم زیر رونق له میشیم</t>
  </si>
  <si>
    <t>شورش®</t>
  </si>
  <si>
    <t>http://khabarfoori.com/detail/555212</t>
  </si>
  <si>
    <t>🔺قانع نشدن #نمایندگان از اظهارات #روحانی به معنای ارسال پرونده به دستگاه قضایی نیست شرح گفتگوی خبرفوری با #محمود_صادقی</t>
  </si>
  <si>
    <t>‏‏عشق فیلم، خوره سابق کتاب، معتاد فعلی فضای مجازی، علاقمند به سیاست- تاریخ- ادبیات, خاصه رمان مقهور موسیقی- وابسته میتولوژی-هنر و تکنولوژی-ورزش .هیچکاره کنجکاو</t>
  </si>
  <si>
    <t xml:space="preserve">درک </t>
  </si>
  <si>
    <t>#مردم ،گوشت قربانی میان #دروغها و #وعده ها. #مجلس #روحانی</t>
  </si>
  <si>
    <t>Samiboaliii</t>
  </si>
  <si>
    <t>یک انقلابی بیزار از چپ و راست</t>
  </si>
  <si>
    <t>من جاي رئيس #قوه_قضائيه بودم براي مبارزه صحيح با رانت و فساد ابتدا از خود شروع كرده و با كنار رفتن جاي خود را به يك متخصص ميدادم تا بتواند صحيح و دقيق با اين ژن هاي خوب برخورد كند #سوال_از_رئيس_جمهور #اعتماد_به_سقف #حجامت_نظام</t>
  </si>
  <si>
    <t>Revolutionary</t>
  </si>
  <si>
    <t>team member of @farabiacc and @mahtabad</t>
  </si>
  <si>
    <t>هي ميام يه چي توييت كنم هي دوباره جلوي خودمو ميگيرم ،يه #بگم بگم خاصي تو وجودم هست ، از رؤساي جمهورمون ياد گرفتيم ديگه. #روحانی #احمدي_نژاد</t>
  </si>
  <si>
    <t>Ali mashayekh</t>
  </si>
  <si>
    <t>یک عدد ایکبیری هستم</t>
  </si>
  <si>
    <t>جهنم فی الارض</t>
  </si>
  <si>
    <t>ایندفه دیگه چقد پول گرفتی؟ #روحاني #روحانی_خفه_شو</t>
  </si>
  <si>
    <t>بوجَک</t>
  </si>
  <si>
    <t>سوال #المپیاد علوم سیاسی آمریکا؛ بعد ترور پرزیدنت #روحانی، چه کسی #رییس‌جمهور ایران میشود؟ ۱.معاون اول #جهانگیری ۲.وزیر امور خارجه #ظریف ۳.سخنگو دولت #نوبخت ۴.با اختلاف رای بالا نسبت به #احمدی‌نژاد، مهندس #موسوی . . یادی کنیم از قدیم😂 #حصر_سران_فتنه #استخرِ_فرح #هاشمی #رفسنجانی</t>
  </si>
  <si>
    <t>http://instagram.com/mohammadqomi</t>
  </si>
  <si>
    <t>‏‏‏‏‏‏‏‏‏‏‏‏‏‏‏‏‏‏‏‏‏‏‏برای دغدغه هایم می نویسم | http://t.me/qomi_ch‎‎‎ | سطح ۳ حوزه، ارشد های علوم سیاسی و ارتباطات، لیسانس مدیریت فرهنگی | ریتوییت ≠ لزوما تأیید</t>
  </si>
  <si>
    <t>❤</t>
  </si>
  <si>
    <t>https://pbs.twimg.com/media/DlsNJDyX0AEvZ5P.jpg</t>
  </si>
  <si>
    <t>طبق قانون، باید مسئله ی #سوال_از_رییس‌جمهور به قوه ی قضاییه فرستاده شود...</t>
  </si>
  <si>
    <t>Mohammad🇮🇷Qomi</t>
  </si>
  <si>
    <t>‏وتواصوا بالحق وتواصوا بالصبر</t>
  </si>
  <si>
    <t>https://pbs.twimg.com/media/DlsNNdHXoAAd62h.jpg</t>
  </si>
  <si>
    <t>قانع شدگان اگه انقدر عقل داشتید از جوابام قانع نمیشدید #سوال_از_رییس‌جمهور</t>
  </si>
  <si>
    <t>🌿</t>
  </si>
  <si>
    <t>عدالت برای همه زنان و مردان ... آزادی و پیشرفت سیال ... فعال حقوق زنان</t>
  </si>
  <si>
    <t>#روحاني : #بحران نيست اما #آسيب است. #كار در ارديبهشت بيشتر از #بيكار است. #دلار ارزان هست اما در بازار اجازه ش نيست. توصيه هاي #رهبري هست اما پاسخگويي نيست. اعتراض هاي #دي_ماه دليل #گراني ها است. * #استيضاح در راه #است !</t>
  </si>
  <si>
    <t>(معجزه هزاره سوم ایران(مهسا</t>
  </si>
  <si>
    <t>veterinarian, Peritoneal Dialysis, Football lover, born in July/Mordad</t>
  </si>
  <si>
    <t>یه دوستی داشتم،میگفت:#آخوند نجسه.به هیچ کدومشون اعتماد نکن،نجس تر از خودشون،خودشونن. اما با شناخت #خاتمی و #روحانی،فهمیدم اون ۱۰ سال از من جلوتره...</t>
  </si>
  <si>
    <t>メへ ﾁﾞｲ</t>
  </si>
  <si>
    <t>دوست دارم زندگی رو....</t>
  </si>
  <si>
    <t>https://pbs.twimg.com/media/DlsNMNuX0AA_4aj.jpg</t>
  </si>
  <si>
    <t>نکته جالب! امروز زمان صحبت #رییس_جمهور در صحن #مجلس این موجود یه دفعه ای جلوم ظاهر شد من دیگه صحبتی ندارم! @Rouhani_ir @mohammad_damadi</t>
  </si>
  <si>
    <t>MehrAsa</t>
  </si>
  <si>
    <t>http://t.me/tribune_hezboollah</t>
  </si>
  <si>
    <t>#اصلاحات_مایه_ننگ_ایران #برجام لکه ننگی برای همیشه در طول تاریخ بر پیشانی #افساد_طلبان خواهد ماند بر دهان کسانی که بتون در رآکتور آراک ریختن سرب خواهیم ریخت</t>
  </si>
  <si>
    <t>آقای #روحانی با تیم #اشنا امروز هر آسمان ریسمانی کرد که از واقعیات و پلشتی های خود ساخته فرار کند ولی هیچ راه فراری ندارد #اصلاح_طلبان باید جوابگوی خیانت در حق ملت باشند تازه شروع ماجراست خیانت کاران در هر جایی باشن به سزای اعمالشان خواهند رسید #سوال_از_رئیس_جمهور</t>
  </si>
  <si>
    <t>عباس زاده</t>
  </si>
  <si>
    <t>‏‏‏‏‎‎‎#خبرنگار ‎‎‎#مجری ‎‎‎#روزنامه_نگار #اخبار #تلوزیون #‎‎‎#روابط_عمومی</t>
  </si>
  <si>
    <t>https://pbs.twimg.com/media/DlsNVrFXsAUFJZ-.jpg</t>
  </si>
  <si>
    <t>اقای #روحانی من یک #جوان #دهه_شصت با ارائه یک برنامه منسجم و اجرایی کردن ان وضعیت #اشتغال و #تولید را می توانم در مدت یک سال ساماندهی کنم بطوریکه در سال حدود #دو_ میلیون #شغل ثابت ایجاد خواهد شد. به ما #جوانان #اعتماد کنید تا #کشور عزیزمان #ایران را از بحران رها کنیم</t>
  </si>
  <si>
    <t>Amirhosein azizimanesh</t>
  </si>
  <si>
    <t>‏‏</t>
  </si>
  <si>
    <t>#قشنگ_کلام گفته که #روحانی آب پاکی رو ریخت رو #ملت. نمیدونم چرا دیر به حرفمون میریسی قشنگ جون.</t>
  </si>
  <si>
    <t>BigBang</t>
  </si>
  <si>
    <t>pic.twitter.com/FIpBrwZVtv</t>
  </si>
  <si>
    <t>میگن #تاریخ #تکرار میشه رفتاری #احمدی_نژادی #روحانی</t>
  </si>
  <si>
    <t>منتقد آزاد</t>
  </si>
  <si>
    <t>ممنون می‌شم دایرکت ندید!</t>
  </si>
  <si>
    <t>سر گرگ باید هم اول بُرید نه چون گوسفندان مردم دَرید! #سوال_از_رئیس‌جمهور #رسانه_کذاب_دادستان_خواب</t>
  </si>
  <si>
    <t>نگران...</t>
  </si>
  <si>
    <t>pic.twitter.com/97yMJF9rN4</t>
  </si>
  <si>
    <t>کاملیا انتخابی‌فرد، تحلیل‌گر مسائل سیاسی: #روحانی بيشتر به فكر جلوگيري از استيضاح بود. @CameliaFard</t>
  </si>
  <si>
    <t>‏داوطلب جمعیت امام علی</t>
  </si>
  <si>
    <t>چندتا امار شد جواب اینهمه سوال در مورد سقوط اقتصادی ایران به ملت! جناب #روحانی به استیصال رسیدن یا اینم جزئی از استراتژی آقایونه؟!</t>
  </si>
  <si>
    <t>mahya vahedi</t>
  </si>
  <si>
    <t>Graduated of IUST| University Lecturer| Mech PhD| Journal Referee| Entrepreneur| Analyst| IR &amp; N. America| Pseudoscience</t>
  </si>
  <si>
    <t>Boston, NY</t>
  </si>
  <si>
    <t>https://pbs.twimg.com/media/DlXjdhtW0AA5BRf.jpg</t>
  </si>
  <si>
    <t>https://twitter.com/Luxelinii/status/1032981925361868800</t>
  </si>
  <si>
    <t>از بعد از #استیضاح_کرباسیان ومشخصا #سوال_از_رئیس_جمهور قیمت #دلار هرروز بالاتررفته و #بورس شدیدترین سقوط رادید.تاییددیگری بردستکاری بازارتوسط اهرمهای خود #دولت،همان #گروکشی_سیاسی.فرقی بین #ترامپ یکه تهدیدرابزبان میاوردو #روحانی ایکه اجرا میکندفقط لباس وزبان است،نه اجرای مرامنامه RT @Luxelinii: از فردی که برای حفظ قدرت خودش بعد از قطعی شدن رسوایی جنسیش، اقتصاد کشورش (مردمش) را به فروپاشی تهدید میکند، شنیدن تهدید دیگر کشورها به فروپاشی اقتصادی چیز خاصی نیست. #ترامپ فقط در 24 ساعت گذشته 15بار توئیت و ریت کرده است! #Trumpgate</t>
  </si>
  <si>
    <t>Sadramid Amouzegar</t>
  </si>
  <si>
    <t>#روحانی_خفه_شو #روحاني #قیام_تا_سرنگونی #دیگه_تمومه_ماجرا جواب دروغ های روحانی و ظریف رو کف خیابون میدیم تابدونن مردم چقدر از نظام ناامیدن</t>
  </si>
  <si>
    <t>#حسن_روحانی با هر بار سخنرانی های #منفعلانه خودش دلیل دیگری به مخالفان می دهد تا اثبات کنند خیال اصلاح مملکت از طریق #صندوق_رای_استصوابی آب در هاون کوبیدن است. #روحانی تجسم کامل #ناامیدی ما است.</t>
  </si>
  <si>
    <t>Nasersobhi</t>
  </si>
  <si>
    <t>Electronic Engineer, Geek. Interested In Digital Electronic,Programing,IOT,Art,Fun,Fitness, Media&amp;Music اگه لایق باشم یه #انقلابیم بیزار از #چپ و #راست</t>
  </si>
  <si>
    <t xml:space="preserve">IRAN, Tehran </t>
  </si>
  <si>
    <t>https://pbs.twimg.com/media/DlsNyc7XgAAt6EU.jpg</t>
  </si>
  <si>
    <t>استند آپ کمدی قبل تو سوتفاهم بود... طرح #سوال_از_رییس‌جمهور</t>
  </si>
  <si>
    <t>🇮🇷 ERFAN NIKBAKHT 🇮🇷</t>
  </si>
  <si>
    <t>I'm lawyer interested in art and politics</t>
  </si>
  <si>
    <t>دولت تدبیر و امید مثل خار در گلوی کشور گیر کرده نه میشود قورت داد یعنی تا آخر دوره تحملش کرد نه طرح عدم کفایت برای کشور کم هزینه خواهد بود #سوال_از_رییس‌جمهور هم مثل سرفه ای بی حاصل است که نه خار را فرو میبرد نه بیرون می آورد و جز سر و صدا چیزی ندارد فقط خدا کند خفه نشویم</t>
  </si>
  <si>
    <t>Aliabbdi</t>
  </si>
  <si>
    <t>‏یک انقلابی .. علاقه مند و پیگیر سیاست . /عربی٬ ایرانی الاصل ٬ احب و اتابع السیاسة</t>
  </si>
  <si>
    <t>کاری که #ذوالنور امروز تو ۶ دقیقه انجام داد کلی از آقایون پر ادعا با همه دم و دستگاه تشکیلاتی عرضه انجامش نداشتن... #سوال_از_رئیس_جمهور</t>
  </si>
  <si>
    <t>ali.h</t>
  </si>
  <si>
    <t>خدایا هر لحظه به کمک و هدایت تو نیازمندم، هر چند خودم ندانم</t>
  </si>
  <si>
    <t>ایران باید یک رئیس جمهور #روحاني داشته باشد تا بتواند فکر توسعه مدرن ناقص با تمام عوارض مدرنیته را از سر خود بیرون کند، علاوه براین بتواند در مورد تمدن اسلامی فکر کند و به نحوی اقدام کند و نیاز مردم را تامین کند که قدمی در راه تمدن اسلامی برداشته باشد</t>
  </si>
  <si>
    <t>ادواردوآنیلی</t>
  </si>
  <si>
    <t>طرح سؤال از #روحانی در جلسه #مجلس ارتجاع / نمایندگان از پاسخ به ۴سؤال از ۵سؤال قانع نشدند #مریم_رجوی #No2Rouhani #MEK #Rajavi #Iran #FreeIran #مجاهدین #PMOI #المعارضه_الایرانية #‌ایران</t>
  </si>
  <si>
    <t>ertebatm</t>
  </si>
  <si>
    <t>https://pbs.twimg.com/media/DlsOWTTUUAAkJAD.jpg</t>
  </si>
  <si>
    <t>درسکوت منفعلانه امثال #خاتمی با «تکرار» بی هویت انتخاباتی هرچهار سال یکبار،در گردش به راست ومنفعت طلبی امثال #روحانی برای دوام رانت خواری برادرانی چون حسین فریدون ومهدی جهانگیری،این #احمدی_نژاد است که پرچم اصلاحات سیاسی واقعی رابلند کرده باشرط مهم مشارکت دادن همه بخشهای جامعه.</t>
  </si>
  <si>
    <t>NAKHODA</t>
  </si>
  <si>
    <t>امیر کبیر میخواهد این مرز و بوم نه کُنتِ قجری غرب زده</t>
  </si>
  <si>
    <t>شکر خدای را که ز #قبیله_سلمانم</t>
  </si>
  <si>
    <t>#سوال_از_رئیس‌جمهور خیمه شب بازی بیش نیست آخرش این می شود که چند تن به سفارش برادران #لابیجانی به #وزارت میرسند و تمام</t>
  </si>
  <si>
    <t>امید ايراني</t>
  </si>
  <si>
    <t>https://twitter.com/d_papillonn/status/1031496326306037760</t>
  </si>
  <si>
    <t>#روحانی: با ذخایر ارزی می توانستم ظرف یکهفته بحران اقتصادی و قیمت دلار را کنترل کنم!! عرض کردم که اصلا قرار نیست،این #دولت که رئیس اش روی زانوی اون مرحوم بزرگ شده و رشد کرده،کاری برای فلاکت ملت بکند #رشتو که چاپ شذ،تحریممان کردند و اخم کردند که اینه چیه نوشتی RT @d_papillonn: ولی نظریه بحران و #ظهورسرمایه_داری_فاجعه و طرفدارانش چه غلطی می کنند؟ها؟ احمق ها دائما این سوال را می پرسند که #دولت پس کی می خواهد اوضاع را درست کند؟ یا من می پرسم چه غلطی می کند... مساله این است که اصلا قرار نیست که چنین کاری بکند دولت! نظریه بحران نگمی گوید برای پیوستن</t>
  </si>
  <si>
    <t>میگه برای شاد بودن لازمه که به دوتا نکته توجه کنید: نکته اول : نگران مسائل جزئی نباشید نکته دوم : همه مسائل جزئی اند اللهم اخرج منی ... خدایا بکش بیرون از من !</t>
  </si>
  <si>
    <t>iran. sirjan - ezmelli</t>
  </si>
  <si>
    <t>مهمترین بخش صحبت‌های امروز حسن #روحانی در #مجلس، این بود: "امیدوارم که بتوانم نقاط مورد نظر مقام معظم رهبری را که در توصیه‌هایی که نسبت به جلسه امروز به من فرمودند، دقیقا مراعات کنیم."/ به نظر می رسد برای "تحلیل" جنس صحبت آقای روحانی در مجلس، همین یک جمله کفایت می‌کند.</t>
  </si>
  <si>
    <t>َAmin Safari</t>
  </si>
  <si>
    <t>غریب.... منتظر ....وامیدوار</t>
  </si>
  <si>
    <t>امروز هم نگاه به غرب در چشمان روحانی پیدابود. #سوال_از_رییس‌جمهور</t>
  </si>
  <si>
    <t>هادی</t>
  </si>
  <si>
    <t>‏‏‏‏‏‏‏‏‏و نترسیم از مرگ،مرگ پایان کبوتر نیست مرگ در حنجره سرخ گلو می خواند مرگ گاهی ودکا می نوشد گاه در سایه است به ما می نگرد و همه میدانیم. سهراب سپهری</t>
  </si>
  <si>
    <t>Turkey</t>
  </si>
  <si>
    <t>#روحانی : همه چیز خوب بود تصور مردم نسبت به آینده ایران به یکباره تغییر کرد. آره ما هم میدونیم همه چیز خوب بود سفره ای بین خودتون و بچه هاتون پهن کرده بودین بخور بخور داشتین و الان هم دارید، این مردم فقط آگاه شدن و بساط شما را بهم ریختن و خواستار رهایی هستن #سوال_از_رییس‌جمهور</t>
  </si>
  <si>
    <t>معصوم</t>
  </si>
  <si>
    <t>http://Instagram.com/abdolrahim_ansari</t>
  </si>
  <si>
    <t>‏‏تحلیلگر مصائب سیاسی، اجتماعی، خاورمیانه و بین الملل! Journalist | Social media activist | Revolutionary | A man from the south</t>
  </si>
  <si>
    <t>فکر میکردند مملکت داری کار ساده ای است، آنگاه که بیرون گود نشسته بودند و میگفتند لنگش کن! احمدی نژاد با همه اشتباهاتش، سال آخر ریاست جمهوری به استانها سفر میکرد و میان مردم حاضر میشد. آیا روحانی سه سال مانده به پایان، میتواند بین مردم برود؟! #سوال_از_رئیس_جمهور</t>
  </si>
  <si>
    <t>عبدالرحیم انصاری</t>
  </si>
  <si>
    <t>✴️آزادی‌خواه، خداناباور، برابری‌جو✴️</t>
  </si>
  <si>
    <t>جهان</t>
  </si>
  <si>
    <t>از اثرات فوری سخنان #روحاني در مجلس فرمایشی اسلامی افزایش یورو به سیزده هزار تومان و سکه بالای چهار میلیون.</t>
  </si>
  <si>
    <t>✴آزادمنش✴</t>
  </si>
  <si>
    <t>‏‏‏چه قدر گریه كنم تا نبری از یادم!؟ در سراشیبی قبرم به شما محتاجم</t>
  </si>
  <si>
    <t>جمهوری اسلامی ایران،کرج</t>
  </si>
  <si>
    <t>https://pbs.twimg.com/media/DlsO9dgXoAAzPoZ.jpg</t>
  </si>
  <si>
    <t>روغن ریخته را خرج امامزاده نکنید #دلار 3700ماقبل #برجام به4750 دربهمن و سپس7هزار تومان رسید.این قبل از خروج #ترامپ بود. ماجرای دیماه برخلاف ادعای #روحانی،نتیجه این #سوء_مدیریت بود.تا انتخابات خرداد96 سرهم بندی و 6ماه بعدی را رها کردید.#بی_کفایتی را برای مردم و نظام فاکتور نکنید</t>
  </si>
  <si>
    <t>Ali Tavakkoli</t>
  </si>
  <si>
    <t>‏‏‏‏‏سیاس/شاعر/منتظر/گاهی رخنه های ذهنی مینویسد گاهی دردها را/ لامخاطب/علوی 🇮🇷</t>
  </si>
  <si>
    <t>https://pbs.twimg.com/media/DlsO_lvX0AAqLAf.jpg</t>
  </si>
  <si>
    <t>یاد اون غلامی افتادم که دائم دنبال پادشاه راه می افتاد و باد میزد تا پادشاه یه لحظه ام احساس ناخوشی نکنه #تجمل #سوال_از_رییس‌جمهور</t>
  </si>
  <si>
    <t>مریم ناصرپناه|MaryamNasserpanah</t>
  </si>
  <si>
    <t>‏‏نام اصلی وی مالکوم لیتل است که بعداز پیوستن به گروه امة الاسلام، نام,مالکوم ایکس, را برگزیدو در طی سفر حج، نام اسلامی,الحاج مالک الشباز, را برخود نهاد.</t>
  </si>
  <si>
    <t>#فرانسه در راستای تعهدات و پایبندی به #برجام تنها یک روز پس از تماس رئیس جمهور #روحانی با مکرون از دیپلمات‌هایش خواست سفرهای غیرضروری به #ایران را معوق کنند #علی_برکت_الله</t>
  </si>
  <si>
    <t>حاج مالک الشباز</t>
  </si>
  <si>
    <t>https://pbs.twimg.com/media/DlsPIHeWwAAHWND.jpg</t>
  </si>
  <si>
    <t>حضور #تیم_کهکشانی در نیمکت ذخیره‌های تیم #رییس‌جمهور نشان می‌دهد که اگه نماینده های #مجلس بخواهند به بازی خشن خود ادامه بدهند، ستاره‌های تیم وارد میدان خواهند شد و قطعا نتیجه برگشت در خانه حریف متفاوت از بازی رفت خواهد بود! . #سوال_از_رییس‌جمهور #روحانی #وزیران #کابینه #لابی</t>
  </si>
  <si>
    <t>💢کیهان لندن: روحانی در سخنانش باز هم مردم را مسئول وضعیت کنونی قلمداد کرد و در ادعایی عجیب گفت که تظاهرات دی‌ماه موجب خروج آمریکا از برجام شد! #روحانی</t>
  </si>
  <si>
    <t>آقا مهدی...</t>
  </si>
  <si>
    <t>#مسئولین و #نماینده های مجلس دیگه شعار بسه خواهش میکنیم یکم هم عمل کنید بازنشستگان رو دریابید⁦!! #بازنشستگان دارند زیر #فشار گرانی ذره ذره آب میشوند⁦!!</t>
  </si>
  <si>
    <t>Soltani</t>
  </si>
  <si>
    <t>این جابه‌جایی‌ها این سوال و جواب‌ها این استیضاح‌ها آدمو یاد آخرین روزهای حکومت پهلوی دوم میندازه همونقدر مستاصل همونقدر متزلزل همونقدر هیجانزده عمل کردن. هرچقدرم بگن دشواری نداریم. رنگ رخساره خبر میدهد از سر درون #روحانی #وزرا #مجلس #قوه_قضاییه #رضا_پهلوی #IranRegimeChange</t>
  </si>
  <si>
    <t>https://telegram.me/harfbemanbot?start=MTM3MDk0MjAy</t>
  </si>
  <si>
    <t>میهمانخانهِ مردم کش روزش تاریک</t>
  </si>
  <si>
    <t>چی تو مغز #روحانی میگذره</t>
  </si>
  <si>
    <t>hsn</t>
  </si>
  <si>
    <t>خلاصه صحبتهای امروز #روحانی در مورد علل بروز مشکلات در کشور ؛ مردم خودشان مقصر هستند ،اگر دی ماه ۹۶ نمیومدند تو خیابان این مشکلات براشون به وجود نمی اومد،دولت بی تقصیر است.</t>
  </si>
  <si>
    <t>#پشیمانم که دروغ های #روحانی رو باور کردم #پشیمانم که فکر میکردم میشه بهشون اعتماد کرد برای آینده ای بهتر نه فقط به خاطر وضعیت #دلار و #سکه احساس میکنم یک مشت #دیکتاتور همه ی امید ها و آرزوهای نسل مارو با دروغ و مکر و حیله آتش زدن</t>
  </si>
  <si>
    <t>گارفیلد</t>
  </si>
  <si>
    <t>http://sepandnews.com</t>
  </si>
  <si>
    <t>پایگاه خبری تحلیلی ســپند</t>
  </si>
  <si>
    <t>https://pbs.twimg.com/media/DlsPZnHVAAE3m1s.jpg</t>
  </si>
  <si>
    <t>۶ شهریور ۹٧ | روحانی در مجلس: ۲،۷۰۰،۰۰۰ اشتغال خالص ایجاد کردیم! #سوال_از_رئیس_جمهور</t>
  </si>
  <si>
    <t>سپند نیوز</t>
  </si>
  <si>
    <t>آقای آشنا گفتن #روحانی امروز دوباره هزینه آرامش و عدم تنش رو دادن. برادر من آخه واقعا هیچ آرامش دیگه‌ای توی این کشور باقی مونده و می‌بینی شما؟ آلان اقتصادمون آرامش داره یا فضای سیاسی و اجتماعی‌مون یا ... . شما هم همون مشاور #رئیس_جمهور_سوئیس هستی به والله!</t>
  </si>
  <si>
    <t>Shahrnaaz</t>
  </si>
  <si>
    <t>MENA Studies|Energy Analyst</t>
  </si>
  <si>
    <t>آقای #روحانی استعفا بده برادر، استعفا بده مرد، استعفا بده حضرت، تو مملکت داری بلد نیستی، سرویسمون کردی خب:/</t>
  </si>
  <si>
    <t>Xavier</t>
  </si>
  <si>
    <t>جناب #روحانی شما امروز در مجلس گفتید"والله بحران وجود ندارد "بفرمایید:نام و مفهوم حقوق زیر 2 میلیون #بازنشسته نسبت به تورم موجود و خط فقر 6میلیونی چیست!حقوق بازنشستگانی که کفاف 10 روز هزینه زندگی آنها را ندارد، و 20 روز بعد را باید با نابسامانی و بحرانی زندگی کنند! بحران نیست!</t>
  </si>
  <si>
    <t>#قَلَم_دارِ_قَلَم_به_دَست🖋📜/فعال دانشجويي/كمي تا قسمتي شاعر/دانشجوي فيزيك/رهرو استاد شهيدم دكتر مجيد شهرياري</t>
  </si>
  <si>
    <t>https://pbs.twimg.com/media/DlsVCPbXgAABdJD.jpg</t>
  </si>
  <si>
    <t>به من گفته بودن سوالا چهارگزينه ايه من اينا رو جواب نميدم اصلا من رفتم برگه مو سفيد تحويل بدم #سوال_از_رئيس_جمهور #روحانی</t>
  </si>
  <si>
    <t>Faaezeh Qorbani🇮🇷🇵🇸</t>
  </si>
  <si>
    <t>‏پژوهشگر مسائل ایران</t>
  </si>
  <si>
    <t>آهای نماینده ای که میگی #مجلس و #رئیس‌جمهور کاره ای نیستند، تو که همچین تصوری(توهمی) داشتی غلط کردی رفتی مجلس!</t>
  </si>
  <si>
    <t>وادی مقدس طوی</t>
  </si>
  <si>
    <t>http://www.khamenei.ir</t>
  </si>
  <si>
    <t>‏‏همسر--پدر(پسر+دختر)-- ماعاشق مبارزه با صهیونیسم هستیم.</t>
  </si>
  <si>
    <t>طرف انقدری به خودش اعتماد نداره که میگه "امیدوارم رعایت کنم" ؛ بعد ما توقع درست شدن وضعیت اقتصادی داریم ازش؟؟؟ #سوال_از_رییس‌جمهور</t>
  </si>
  <si>
    <t>ناصح مشفق</t>
  </si>
  <si>
    <t>محمد بن محمد</t>
  </si>
  <si>
    <t>الحمدلله #روحانی جدیدا معتقد به کار گروهی شده دیگه تقصیرا رو گردن یه نفر نمیندازه هر مشکلو میندازه گزدن یه عده طلاب فیضیه، شاکیان وضع معیشتی، جوانان... اینجوری تحملش برا مردم هم راحت تره</t>
  </si>
  <si>
    <t>Rahim</t>
  </si>
  <si>
    <t>شرکت ایرباس بعد از برجام قراردادش را معلق کرد شرکت توتال پیشنهاد جایگزینی شرکت چینی را داد و رفت. (دوشنبه6.5)روحانی اما هنوز:طرفهای برجام به برنامه های خود برای حفظ این توافق، سرعت و شفافیت بیشتری دهند توافق تهران–پاریس برای گسترش روابط دوجانبه #روحانی #سوال_استیضاح #ساکتین_مجلس</t>
  </si>
  <si>
    <t>مش سلام</t>
  </si>
  <si>
    <t>آتشم من گر ترا شک است و ظن آزمون کن دست را بر من بزن روزنامه نگار</t>
  </si>
  <si>
    <t>#روحاني فرموده كه مردم از اختلاف دولت و مجلس ترس دارند حاجي هركي اينا رو بهت ميگه دروغ گفته همديگه رو تيكه پاره كنيد ما آب تو دلمون تكون نميخوره ولي قيمت ها رو به سال پيش همين موقع برگردون از دلار هم شروع كن اگر راه دستته #گروني و #فقر ترسناكترينه بوس بوس</t>
  </si>
  <si>
    <t>samim</t>
  </si>
  <si>
    <t>Journalist an outcaster خبرنگار یا همان روزنامه‌نگار</t>
  </si>
  <si>
    <t>اظهارات امروز #روحاني در #مجلس بیشتر به #نماز_یومیه شباهت داشت. مردم انتظار #نماز_میت یا #نماز_آیات داشتند که البته توقع بی‌جایی بود.</t>
  </si>
  <si>
    <t>Hossein Amiri</t>
  </si>
  <si>
    <t>‏‏‏‏پس از 9 ماه جذب سپرده ‎‎‎‎#کاسپین به اعتبار ‎‎‎‎#مجوز ‎‎‎‎#بانک_مرکزی اعلام می دارد مجوز مشروط است و ‎‎‎‎#موسسه_مجاز_کاسپین شعبه ندارد مردم در موسسات فاقد</t>
  </si>
  <si>
    <t>اگر آمارهای #رئیس‌جمهور صحیح باشد، باید در چند جا نمود داشته باشد؛ تقاضای ارز کاهش پیدا کند. خودنمایی جنس خارجی باید کم شده باشد. باید تولیدات داخلی فعال شده باشد، اما چنین نشده است.</t>
  </si>
  <si>
    <t>ایران از_عدالت_عقب_مانده  IR retarded from justice</t>
  </si>
  <si>
    <t>دیدن دنیا، ‏‏نه سیاهِ سیاه و نه سفیدِ سفید</t>
  </si>
  <si>
    <t>https://twitter.com/tavakoli1367/status/1034322748401696768</t>
  </si>
  <si>
    <t>فشارها و شرایط بد قابل حدسه، ولی از قبل از #انتخابات پارسال تا یکماه بعدش لحن و کلام #روحانی این نبود، اگر می‌خواست این راهو بره همون موقع می‌گفت، اگرم رای میدادیم می‌دونستیم داریم به چی رای می‌دیم! RT @tavakoli1367: از جلسه‌ی سوال از رییس‌جمهور شوکه شده‌اید؟ دنبال اتفاق خارق‌العاده‌ای بودید؟ الان از او ناامید و به او معترضید؟ روحانی پاسخ می‌دهد: «راه من راه اعتدال است، با تندروی چه از چپ، چه از راست به جایی نمی‌رسیم» #طرفتوبشناس</t>
  </si>
  <si>
    <t>خاکستریست</t>
  </si>
  <si>
    <t>امروز رییس‌جمهور سوئیس اومد تو مجلس ما، یه تشر به مردمش زد و رفت! باشد که اهل سوئیس، نعمت برخورداری از وی را شکر گویند. #سوال_از_رییس‌جمهور</t>
  </si>
  <si>
    <t>🇮🇷🇮🇷یک ایرانی معتقد به جمهوری فقط اسلامی ایران🇮🇷🇮🇷</t>
  </si>
  <si>
    <t>#روحانی: والله ما دچار بحران نیستیم -اولاً قسم جلاله راستش کفاره داره چه برسه که دروغ باشه -دوما؛پس دلار۱۱۰۰۰ تومنی و سکه ۴میلیونی و پراید ۴۰میلیونی مال بازار نیویورکِ ایران اصلاًمشکل نداره چی فرض کرده مردمو!!!</t>
  </si>
  <si>
    <t>mahdi</t>
  </si>
  <si>
    <t>‏انسان همان چیزی است که باور دارد</t>
  </si>
  <si>
    <t>https://pbs.twimg.com/media/DlsV2C2XoAE_R10.jpg</t>
  </si>
  <si>
    <t>روزهای پر حادثه نزدیک است یا ما میمانیم و یک ایران بزرگ یا یک استبداد مزحک تاریخی که به شرق و غرب التماس میکند تا همچنان چپاول کند. #روحانی #ایران #سوال_از_رئیس_جمهور #مجلس #ایران_را_پس_میگیریم</t>
  </si>
  <si>
    <t>kamran.v</t>
  </si>
  <si>
    <t>Please wait, He will come soon ...⏳</t>
  </si>
  <si>
    <t>pic.twitter.com/LPGmZ11dgY</t>
  </si>
  <si>
    <t>حاجیت کارش رو بلده!!!😌😏 #روحاني #علی_برکت_الله @Rouhani_ir</t>
  </si>
  <si>
    <t>Warrior Secret</t>
  </si>
  <si>
    <t>دیپلماسیِ داخلی که دکتر #آشنا درمواجهه #روحانی باافکارعمومی دنبال می‌کند،درکنار عناصرمحافظه‌کارانه وهیجان‌گریزِآن، فاقدارزیابی دقیق ازوضعیت روانی وعاطفیِ جامعه است.سرکوبِ آن هیجانی که می‌تواند موجب بالانس عاطفی و روانیِ جامعه گردد،حاصلی جز ناامیدی و آنومی سیاسی ندارد! @hesamodin1</t>
  </si>
  <si>
    <t>‏هرکه دل آرام دید از دلش آرام رفت / چشم ندارد خلاص هر که در این دام رفت</t>
  </si>
  <si>
    <t>Tehran / Iran</t>
  </si>
  <si>
    <t>ولی به نظر من #روحانی نسبت به اجرای قبلیش #دیسیپلین بهتری داشت متنش هم حفظ بود خنده زیادی هم از حضار گرفت نمیدونم چرا رای نیاورد!</t>
  </si>
  <si>
    <t>🇮🇷 HANNANEH 🇮🇷</t>
  </si>
  <si>
    <t>https://twitter.com/hesamodin1/status/1034367573700300800</t>
  </si>
  <si>
    <t>به راستی چرا ماله کشی نا آشنای آشنا تمام شدنی نیست ؟ چرا باید تاوان بی مغزی مشاورانش را همه ملت بپردازند ؟ #روحاني RT @hesamodin1: 1.جلسه امروز مجلس نماد قدرتمندی از بلوغ مردمسالاری دینی در چهل سالگی جمهوری اسلامی بود. 2.معلوم شد می توان توهین نکرد، بگم بگم نکرد، فیلم مخفی نشان نداد، دیگران را متهم نکرد و پاسخ سوالات را با آرامش و متانت ارائه نمود. 3.معلوم شد مجلس در کمال اقتدار میتواند پاسخها را نپذیرد.</t>
  </si>
  <si>
    <t>چنتآ سوآل دآرم، بگم ؟  ¿</t>
  </si>
  <si>
    <t>‏‏‏منتقد / نظریه پرداز / برنده سیمرغ بلورین برای فیلم (و ناگهان خروس) / معتقد به نابود شدن ایران توسط ژن های خوب</t>
  </si>
  <si>
    <t>مهمترین بخشهای سخنرانی #روحانی در مجلس پیرو #سوال_از_رئيس_جمهور ، از نظر خودم رو براتون مینویسم. #رشتو</t>
  </si>
  <si>
    <t>اکسپورت اورینتد</t>
  </si>
  <si>
    <t>‏انقلابی منتظر</t>
  </si>
  <si>
    <t>از سخنان امروز روحانی معلوم شد هنوز هم دست از لجبازی و غرور برنداشته و همچنان دولت خود را بهترین دولت میداند و انعقاد برجام را یکی از بهترین معاهده های تاریخ میداند.لابد مردم این وضع را نمی بینند و حرف های شیخ حسن را باور میکنند.او در ماله کشی هم رکورد زد. #روحانی #</t>
  </si>
  <si>
    <t>رضا</t>
  </si>
  <si>
    <t>الدنیا مزرعة الاخره...</t>
  </si>
  <si>
    <t>آقای #روحانی باتمسخرگفتید ازسال ۸۴تا۹۲فقط ۱۰۰۰۰شغل خالص به وجود آمد درحالی که من۲۷۰۰۰۰۰شغل ایجادکردم فقط یک جمله کوتاه میگویم انالله وانا الیه راجعون...</t>
  </si>
  <si>
    <t>شیپورچی</t>
  </si>
  <si>
    <t>یادش بخیر یه زمانی مقصر همه چیز ریس جمهور بود و الان شده دولت پنهان. #سوال_از_رییس‌جمهور RT @mostafatajzade: #روحانی می‌توانست با تبیین علل و عوامل اصلی مشکلات کشور گام بلندی در جهت رشد آگاهی‌های عمومی بردارد و مشارکت ملت را برای حل معضلات، خنثی‌کردن کارشکنی‌های دولت پنهان و طمع‌ورزی‌ ترامپ جلب کند. رای منفی مجلس نشان داد نگفتن حقایق رقیب را جری و مردم را ناامید می‌کند.</t>
  </si>
  <si>
    <t>http://www.hosseinzafari.ir</t>
  </si>
  <si>
    <t>‏‏‏‏آینده از آن حزب الله است. قرآن کریم. /‏دکترای آینده پژوهی</t>
  </si>
  <si>
    <t>pic.twitter.com/bOiyBwxs6x</t>
  </si>
  <si>
    <t>واکنش جناب جهانگیری در ایام انتخابات ۹۶ به ایجاد شغل. امروز دکتر #روحاني اعلام کرد که ۲ میلیون و ۷۰۰ هزار شغل خالص ایجاد شده است! #سوال_از_رییس‌جمهور</t>
  </si>
  <si>
    <t>حسین ظفری</t>
  </si>
  <si>
    <t>‏‏منتظره یه اتفاقه بزرگ👀 نمیدونم دقیقاًاسمش چیه میگن از تخموُ تَرکه👈 ابوسفیانه تو هر سوراخی هستی از اربابت اذنه خروج بگیر که منتظرتم.💪💪👊 #👀👀👀</t>
  </si>
  <si>
    <t>ایران.طهران.پلاک1</t>
  </si>
  <si>
    <t>چه جور آبو صابون بیاریم روتونهِ بشورید؟#سوال_از_رییس‌جمهور ما از #نمایندگان_مجلس. میخواهیم استاد #آخوندی رو هم بفرستن.....</t>
  </si>
  <si>
    <t>s.mohamad</t>
  </si>
  <si>
    <t>گر مى نخورى طعنه مزن مستان را،بنياد مكن تو حيله و دستان را،تو غره بدان مشو كه مى مى نخورى،صد لقمه خورى كه مى غلام است آنرا ♥️حكيم خيام نيشابورى♥️</t>
  </si>
  <si>
    <t>رئيس جمهور كه صبح حرف زده،صد تومن رفته رو سكه... انگار جوكه #روحانى مچكريم😻</t>
  </si>
  <si>
    <t>scheherazade👽</t>
  </si>
  <si>
    <t>بر لب کوثرم ای دوست ولی تشنه لبم در کنار منی از هجر تو در تاب و تبم روزم با تو به شب آمد و شب با تو به روز در فراق رخ ماهت گذرد روز و شبم</t>
  </si>
  <si>
    <t>هیچ دل خوشی از روحانی و دولتش ندارم و پاسخ به سوالات را در هیچ موردی قانع کننده ندیدم. به نظر من اگر میخواست حاشیه سازی کندوجنجال بی مورد بیافریندوخوراک خبری برای لاشخورانی چون شرق فراهم کند می توانست.. همینقدر که انتقادات در مطرح شد به نظرم دستاورد خوبی بود. #سوال_از_رییس‌جمهور</t>
  </si>
  <si>
    <t>محمد دلاک</t>
  </si>
  <si>
    <t>سید عنی خایه منی اسبم! ولی امر مفسدین جهان!</t>
  </si>
  <si>
    <t>تو کون ملت</t>
  </si>
  <si>
    <t>کلاً بی حس شدم، دستم به هیچ کاری نمیره. همینطور دراز کشیدم و دارم به در و دیوار نگاه میکنم. مردم چطوری دارن تو این شرایط زندگی میکنن؟ واقعاً این زندگیه؟! #من_انتخاب_نکردم #ما_انتخاب_نکردیم #انتخاب_من_نیست #انتخاب_نکردیم #روحانی #ظریف</t>
  </si>
  <si>
    <t>سید عنی</t>
  </si>
  <si>
    <t>‏‏‏🔸️‏اباصالح🔸️ شنیدمت که نظر میکنی به حال ضعیفان / تبم گرفت و دلم خوشبه انتظار عیادت</t>
  </si>
  <si>
    <t>ولی به نظرم #روحاني نسبت به اجرای قبلیش دیسیپلین بهتری داشت! متنشم حفظ بود! خنده زیادی هم از حضار گرفت! نمیدونم چرا رای نیاورد؟!</t>
  </si>
  <si>
    <t>Hadi</t>
  </si>
  <si>
    <t>ما همه چيز را در مَبال خانه جا گذاشته ايم!</t>
  </si>
  <si>
    <t>غربِ وحشي</t>
  </si>
  <si>
    <t>#پرزیدنت‌روحانی قلبا راضیه که استیضاحش کنن و با یه لگد بندازنش بیرون. چون اساسا در اتمسفر سیاسی ایران رییس‌جمهورا بی‌بیضه‌ترین جاندارانِ دوپایِ در قید حیات هستن! #سوال_از_رئیس_جمهور</t>
  </si>
  <si>
    <t>EhSaN</t>
  </si>
  <si>
    <t>ولی به نظرم #روحاني نسبت به اجرای قبلیش، دیسیپلین بهتری داشت! متنشم حفظ بود! خنده زیادی هم از حضار گرفت! نمیدونم چرا رای نیاورد؟!</t>
  </si>
  <si>
    <t>‏‏‏‏‏‏‏‏‏‏‏‏من فقط میخوام صدایی که ازم گرفته شد رو پس بگیرم... به هر قیمتی! open mind for a different view👍 کاکتوس بمانید🌵 🦁🌞</t>
  </si>
  <si>
    <t>tehran, iran</t>
  </si>
  <si>
    <t>آقای #روحانی شما درست میگویید. اصلا اعدام شدن رامین حسین پناهی هم تقصیر ما مردم است.‌ ما مردم مقصر هستیم که هیچ نمیگوییم، سکوت کرده ایم، با اعتراض کردن بیگانه ایم.</t>
  </si>
  <si>
    <t>شکیلا منفرد</t>
  </si>
  <si>
    <t>‏‏‏‏‏‏‏‏‏‏و پرنده آواز جدید می‌سراید...</t>
  </si>
  <si>
    <t>من از طرف همه مردم ازت عذر میخوام آی روحانی😥 حق با تو بود😞 ما اشتباه کردیم😔 واقعیت ماجرا این بود که تو نه تنها اون 2/5 میلیون، که یه ایرانو گذاشتی سرکار! فلذا؛ ببخش که تواضعتو نفهمیدیم😞 ببخش که کمکای شبونت به دخترمظلوم وزیرو ندیدیم😞😞 ببخششششش😞😞😞 #سوال_از_رییس‌جمهور</t>
  </si>
  <si>
    <t>کوئستر</t>
  </si>
  <si>
    <t>عاشقم بر همه عالم جز عوضیا</t>
  </si>
  <si>
    <t>#روحانی بچه های عزیز بالاخره بعد از لت و پار شدن چند نسل ببینم میتونید به یک سوال ساده جواب بدین موضوع انشا بعدی :بالاخره پهن بهتر است یا پشکل</t>
  </si>
  <si>
    <t>divooneh</t>
  </si>
  <si>
    <t>ری استارت تنها راه نجات. RESTART: survival road for a nation. its began from IRAN.</t>
  </si>
  <si>
    <t>پاسخ #روحانی به مجلس: تقصیر آشوبهای دیماه ۹۶ بود که #برجام به فنا رفت. پاسخ نماینده رژیم در سازمان ملل: یه نفر تو کالیفرنیا گفته ۱۲۰تاتونو میکشیم. موضوع یکیه، دفاع برای داخل و خارج متفاوته چرا؟ #interview_Restartleader #restartleader</t>
  </si>
  <si>
    <t>bearking</t>
  </si>
  <si>
    <t>‏‏‏‏‏‏‏‏‏‏‏‏‏از دیو و دد ملولم و انسانم آرزوست...</t>
  </si>
  <si>
    <t>هنوز فضاحت سفره انقلابِ دختر صفدر حسینی و رشت الکتریکِ همسر کرباسچی و قاچاقِ دختر مظلوم وزیر رو هضم نکرده بودیم که تخفیف ۱۰۰ میلیونی و #وام_۴درصدی "سانتافه دختر مدیر وزارت اقتصاد" هم اضافه شد!!! دولت خاله خانباجیاس؟🙄 #سوال_از_رییس‌جمهور</t>
  </si>
  <si>
    <t>liea</t>
  </si>
  <si>
    <t>Full-stack Developer, UI Designer, CEH | Mechanical Engineer(Acoustic&amp;Vibration), MSc @ IUT univ | Startup believe | The Piano 🎹 &amp; Book 📚 interested.</t>
  </si>
  <si>
    <t>چکیده صحبت‌های #روحانی در جلسه #سوال_از_رئیس‌جمهور در این یه جمله خلاصه میشه: «تقصیر مردمه!» ما معذرت می‌خوایم آقای رئیس‌جمهور. یه کم دیگه تحملمون کنید با این اوضاع مملکت احتمالاً از گشنگی می‌میریم و زحمتو کم می‌کنیم.</t>
  </si>
  <si>
    <t>آقای میم</t>
  </si>
  <si>
    <t>‏‏‏‏‏‏‏‏‏‏‏‏زندانی سیاسی ، بهاری ، عدالتخواه ، مسئول سابق سیاسی بسیج دانشجویی علوم پزشکی لرستان، عکاس، کارشناس مهندسی بهداشت محیط و ...</t>
  </si>
  <si>
    <t>#روحانی سال 1397 را در مقام ریاست جمهوری به پایان نمی رساند</t>
  </si>
  <si>
    <t>امید دلفانی</t>
  </si>
  <si>
    <t>Urban planner !My interests include cities, ,social justice and human rights!Labour party!</t>
  </si>
  <si>
    <t>Mashhad.Iran</t>
  </si>
  <si>
    <t>حرف های امروز #روحانی دو حالت را برایم متصور کرد:1-یا او در میان مردم نیست و واقعا از درد مردم بی خبر است و یا آخوندوار عمل کرد و شروع به خطبه خوندن مجلس وصف کرد.در دو حالت کارنامه او به شدت مکدر است.</t>
  </si>
  <si>
    <t>Morteza</t>
  </si>
  <si>
    <t>https://t.me/HarfBeManBot?start=MzUxMzcwODA5</t>
  </si>
  <si>
    <t>سخت بالا بروی ، ساده بیایــــــی پایین قصه ی تلخ مرا سرسره ها می فهمند</t>
  </si>
  <si>
    <t>شهر امام رضا</t>
  </si>
  <si>
    <t>سخنگوی هیات رییسه مجلس: چهار سوال از رییس جمهوری که نمایندگان قانع نشدند، فعلا به قوه قضاییه ارجاع نمی شود و ارسال آن منوط به جمع‌بندی و نظر حقوقی مجلس است #مجلس_لاریجانی #سوال_از_رئیس_جمهور</t>
  </si>
  <si>
    <t>خزعبلات</t>
  </si>
  <si>
    <t>#رئیس‌جمهور،گفتندبا ۳۰۰ بانک دنیا ارتباط برقرارشد،این ارتباط بابانک‌های بزرگ دنیاست یابانک های کوچک؟اگرمشکل نرم افزاراست،بابانک‌های کوچک ودرپیتی مشکل نداریم وبابانکهای بزرگ داریم؟گفتیدساعت۹نمی‌دانیم ساعت۱۱قیمت ارزچه می‌شود.مشکل کجاست؟مشکل خودشیفتگی است،مشکل عدم مشورت با کارشناسان</t>
  </si>
  <si>
    <t>http://www.rajanews.com</t>
  </si>
  <si>
    <t>صداقت، صراحت، انصاف. صفحه رسمی پایگاه اطلاع‌رسانی رجانیوز در توئیتر.</t>
  </si>
  <si>
    <t>pic.twitter.com/ynnwSdOrFk</t>
  </si>
  <si>
    <t>🔻پاسخ جهانگیری به ادعای امروز #روحانی در جلسه #سوال_از_رئيس_جمهور : 🔹روحانی: از ۸۴تا۹۱ اشتغال خالص ما۱۰هزار نفر، اما در دولت تدبیروامید ۲میلیون و ۷۰۰ هزار نفر بوده است!!! 🔸جهانگیری در واکنش به آمارهای میلیونی #اشتغال: یا شغل ایجاد نکردی یا عدد و رقم سرت نمی‌شود! #بیکاری</t>
  </si>
  <si>
    <t>Rajanews | رجانیوز</t>
  </si>
  <si>
    <t>عشق به علی عشق به همه خوبی هاست</t>
  </si>
  <si>
    <t>pic.twitter.com/SbGvFciSnZ</t>
  </si>
  <si>
    <t>واکنش مشابه #روحانی و #احمدی نژاد و پاسخ ثابت لاریجانی</t>
  </si>
  <si>
    <t>Omidmansor</t>
  </si>
  <si>
    <t>پرسشی از نمایندگان مجلس، آیا تضمین میدهید که با این پرسشها و استیضاحها و نهایتا برکناری هیعت دولت تمامی مشکلات به پایان برسند و بهشت برین برایمان بسازید ؟ #مجلس</t>
  </si>
  <si>
    <t>mahsa ghavami</t>
  </si>
  <si>
    <t>‏خواهش میکنم در توییت (ریتویت) پیامای انگلیسی اسلامی،دفاع از ارزشهای انسانی و مظلومان مشارکت کنیم. فقط به خودی حمله نکنیم. غربیها را خوابانده اند و ما را درگیر</t>
  </si>
  <si>
    <t>برای من هم که چند سال است مقیم خارج از کشور هستم، #روحانی خواب و خیال نگذاشته... هر چی میخوام بخرم، یه حساب کتاب میکنم، سرم سوت میکشه... خدار رحم کند به جمعیت بیکار و کارمند #ایران که ریال در می آورند و ریال خرج میکنند.</t>
  </si>
  <si>
    <t>Amir</t>
  </si>
  <si>
    <t>دانشجو/#امام_حسنیم/دغدغه مند فرهنگ/از افتخاراتم اینه که #سیزده_آبان به دنیا اومدم</t>
  </si>
  <si>
    <t>#سوال_از_رئیس‌جمهور بود یا سوال رئیس جمهور از نمایندگان و مردم؟</t>
  </si>
  <si>
    <t>از تبار زُهّاد</t>
  </si>
  <si>
    <t>لطفا اگه تو باندای توییتری هستین فالو نکنین ممنون🙏🏻</t>
  </si>
  <si>
    <t>آواره همه جاي دنيا</t>
  </si>
  <si>
    <t>روحانی داره به ج.ا خدمت میکنه با ریدن به اصلاحات و خودش اما اما اما طرف مقابل انقد فرومایع و پسته که داره ازین خدمت استفاده میکنه من خوشحالم که رفتم به روحانی رای دادم نه اینکه خوب باشه کاندید دیگه خوده شیطان بود #سوال_از_رئیس‌جمهور</t>
  </si>
  <si>
    <t>بي نام و نشون</t>
  </si>
  <si>
    <t>https://pbs.twimg.com/media/DlsYyfAXsAAJbfH.jpg</t>
  </si>
  <si>
    <t>باید رید رو این تیتر !!! #روحانی #ظریف #مجلس #جهانگیری #دولت #ريتوييت_لطفا</t>
  </si>
  <si>
    <t>حسن #روحانی #رئیس‌جمهور در جلسه شورای عالی انقلاب فرهنگی:امروز که دشمنان انقلاب اسلامی همزمان جنگ روانی و اقتصادی علیه نظام و مردم سازماندهی کرده‌اند،قادر خواهیم بود با تأسی به همان فرهنگ انقلابی،با ارتقای آگاهی،امید و مشارکت مردم،سریع‌تر و کم‌هزینه‌تر از مقطع سخت فعلی عبور کنیم.</t>
  </si>
  <si>
    <t>آقا گوگل کنید راحته دم مار زنگی رو که میزنید دوباره سبز میشه خامنه ای میخواد توجه ها رو جلب کنه به روحانی ملت هم دقیقا منویات اونو پیاده میکنند چهل سال بازی با دم مار بس نیست دم مار که موشک نمیزنه دم مار که نیرو به سورینه و عراق و.. دم مار فقط دمه دم غووودددااا ملت #روحانی</t>
  </si>
  <si>
    <t>شخصا خوشحالم که بین ابراهیم رئیسی و روحانی به روحانی رای دادم بازم اینکارو میکنم پاش بیفته چون معنی واقعی کلمه حرومزاده تو ذات حزب ج.ا خلاصه شده #سوال_از_رئيس_جمهور</t>
  </si>
  <si>
    <t>‏دانش آموخته روابط بین‌الملل.. فعال سیاسی و اجتماعی.. یک ایرانی تنوع پذیر و معتقد به تساهل</t>
  </si>
  <si>
    <t>از امروز به بعد کسانی که از #روحانی حمایت کنند یادآور افراد بی منطق حامی #احمدی_نژاد و.. خواهند بود. آقای روحانی تمام همتش بجای بازگشت به مردم صرف عمل به یک توصیه شد ولی یک رکب تاریخی خورد که حقش بود. البته روحانی رئیس‌جمهور #واعظی و #نوبخت بود نه مردم #سوال_از_رئيس_جمهور</t>
  </si>
  <si>
    <t>s_h_salehi</t>
  </si>
  <si>
    <t>an infrastructure guy @digikalacom , ESTJ, /etc/*</t>
  </si>
  <si>
    <t>جزیره بی‌ثبات</t>
  </si>
  <si>
    <t>خوشبینانه‌ترین حالت اینه که روحانی رو عزل می‌کنند و با آمریکا وارد مذاکره میشن… که بهای برگشتن از موضعشون رو با ریدن به خواسته‌ی مردم و جمهوریت جبران کنند… و بگن «هرچی بلا سرتون اومد تقصیر دولته… یا ما هستیم که هر تصمیمی بخوایم میگیریم.» هرچند که #روحانی از چشم ما افتاده باشه.</t>
  </si>
  <si>
    <t>Mehdi Hamidi</t>
  </si>
  <si>
    <t>ای با من و پنهان چو دل</t>
  </si>
  <si>
    <t>#روحانی رو آوردن تا برینن به مفهوم #امید کمپلت</t>
  </si>
  <si>
    <t>hiddenheart</t>
  </si>
  <si>
    <t>https://t.me/joinchat/G25mDlGG35jt86XdV1By2g</t>
  </si>
  <si>
    <t>‏‏ اَلْحَمْدُ لِلّهِ بِجَمیعِ مَحامِدِهِ کُلِّهَا عَلی جَمیعِ نِعَمِهِ کُلِّها</t>
  </si>
  <si>
    <t>https://pbs.twimg.com/media/DlsZ-9iXsAA4iTd.jpg</t>
  </si>
  <si>
    <t>وای استخرررر!!!!! اوف عجب خواب بدی بود!!! #روحانی #سوال_از_رییس‌جمهور</t>
  </si>
  <si>
    <t>سید مصطفیٰ</t>
  </si>
  <si>
    <t>سعی میکنم که یک مسلمان انقلابی باشم.</t>
  </si>
  <si>
    <t>تاج ازده، آشنا و بقیه پادوهای دولت و حتی خود دولت همه مشکلات رو به #تحریم_ها ربط میدن و مجلس از پاسخ دولت به #برجام_بی_ضمانت که عامل تحریم هاست قانع شد و از پاسخ به بقیه سوالها خیر آقایان #نماینده این تناقض ها را چطور توجیح میکنید؟ #سوال_از_رئیس‌جمهور</t>
  </si>
  <si>
    <t>salmaan</t>
  </si>
  <si>
    <t>‏‏‏من از #پایین_شهر توئیت می زنم</t>
  </si>
  <si>
    <t>مزیت #عدم_شفافیت_آرا اینکه امروز نمایندگان امضاء پس گرفته در موضوع سوال از رئیس جمهور نیز ، بدون هراس از انتقام گزنه های دولت،رای عدم اقناع داده و پرزیدنت #روحاني چهار بر یک در مجلس بازنده شد.</t>
  </si>
  <si>
    <t>ابوعباس ایرانی 🇮🇷</t>
  </si>
  <si>
    <t>‏‏‏آزادیخواه و ‎‎‎#انقلابی هدف ظهور امام زمان است#فلسطین وسیله است جناح وحزبم :‎‎#انقلابی ؛ افراطی هاوتندروها ‎‎#ضد_انقلاب اند!!!! یاعلی مدد</t>
  </si>
  <si>
    <t>https://twitter.com/mohamadsalimi69/status/1034151047051337729</t>
  </si>
  <si>
    <t>اولین حمله ی زامبی هابه افشای تضادفکریشون روباادبیات خانوادگیشون روزیراین پست مشاهده کنید #رسانه_کذاب_دادستان_خواب #روحانی #مشهد_تايلندتشيع RT @mohamadsalimi69: نفاق یعنی #روزنامه_شرق ازطرفی ازامام جمعه ی کیش میخادکه درباره ی مسائل شرعی کوتاه بیاد؛ازطرفی دروغی به نام تایلندبودن مشهدوخانه های سرویس جنسی پخش میکنه وازاش انتقادمیکنه،خب این اگه دُرُست باشه که مطلدب شماس!! #رسانه_کذاب_دادستان_خواب</t>
  </si>
  <si>
    <t>🇮🇶🇱🇧محمدسلیمی🇵🇸🇸🇾🇾🇪</t>
  </si>
  <si>
    <t>http://www.kayhan.london</t>
  </si>
  <si>
    <t>Welcome to our official Twitter page. Follow for daily reports.</t>
  </si>
  <si>
    <t>https://pbs.twimg.com/media/DlsaIrKW4AIlpZu.jpg</t>
  </si>
  <si>
    <t>https://kayhan.london/fa/?p=128212</t>
  </si>
  <si>
    <t>سخنان #روحانی در مجلس شورای اسلامی بازار ارز و طلا و #بورس را به هم ریخت #دلار با افزایشی حدود 500 تومان روبرو و تا ظهر سه‌شنبه بیش از 11200 تومان معامله شد. تالار بورس #تهران نیز شاهد اُفت شدید سهام به ویژه در پتروشیمی‌ها و فلزات اساسی و نفتی‌ها بود...</t>
  </si>
  <si>
    <t>KayhanLondon</t>
  </si>
  <si>
    <t>‏نگران از دست دادن توییت های مهم و قشنگ نباشید بهترین توییت های خوب شما در همین صفحه منتشر می شود</t>
  </si>
  <si>
    <t>یه زمانی #آرزوی_شهادت داشتیم اما الان دیگه به لطف برجام و کم کاری #دولت امکانش هست بخوابی و دیگه بلند نشی به همین اتفاق هم راضی هستم تا سایر اتفاقات.... #سوال_از_رییس‌جمهور</t>
  </si>
  <si>
    <t>محمد آچاک</t>
  </si>
  <si>
    <t>http://t.me/aligholhaky</t>
  </si>
  <si>
    <t>‏‏به امید روزی که پرچمِ حق را بر قله‌های رفیع دنیا با دستان آخرین معصومِ حی و حاضر، بزنیم | ‏‏‏‏‏مخلوق |‏‏‏ انسان | روزنامه‌نگار</t>
  </si>
  <si>
    <t>زیر سایه‌اش</t>
  </si>
  <si>
    <t>دلار داره‌ میره بالا و احتمالا دوباره رکورد خواهد زد، تا "بازار و مردم" چوب بازخواست مجلس از دولت را بخورد #سوال_از_رییس‌جمهور</t>
  </si>
  <si>
    <t>علی قلهکی</t>
  </si>
  <si>
    <t>#تبريز بچه خوبي بود ميره #خارج! بتركه چشم حسود! بعدش #علم_الهدى هم كه با #مشهد_تایلندتشیع شهيدا رو تو حالت رقص بندري قرار داده از اين طرف #كودتا #سپاه نزديكه #روحاني هم دليل همه مشكلات رو توضيح داد: مردم #تبریز_مبارک_اردوغان #ایران_را_پس_میگیریم #چالش_دعوت_به_تظاهرات #براندازم</t>
  </si>
  <si>
    <t>http://persian.euronews.com/</t>
  </si>
  <si>
    <t>یورونیوز؛ پربیننده ترین شبکه خبری در اروپا</t>
  </si>
  <si>
    <t>Europe</t>
  </si>
  <si>
    <t>https://pbs.twimg.com/media/DlsaZEmW0AE_v94.jpg</t>
  </si>
  <si>
    <t>http://bit.ly/2PIPmwF</t>
  </si>
  <si>
    <t>پاسخ #روحانی به نمایندگان مجلس؛ احتمال ارجاع سوال به قوه قضائیه</t>
  </si>
  <si>
    <t>euronews فارسی</t>
  </si>
  <si>
    <t>semnan</t>
  </si>
  <si>
    <t>طرف تمام تلاششو کرده تا اون کسی که باهاش مخالفه رو راضی نگه داره تو صحبتاش. انگار نه انگار مردمی هم بودند که با هزار امید بهش رای دادند #روحاني #دروغ #سوال_از_رئیس‌جمهور</t>
  </si>
  <si>
    <t>ali</t>
  </si>
  <si>
    <t>‏‏‏‏کارشناس مسائل بی‌خودی و باخودی (سیاست/استراتژی/آب/کشاورزی/ساختمان/کسب‌وکار)</t>
  </si>
  <si>
    <t>pic.twitter.com/TRkkynX7R5</t>
  </si>
  <si>
    <t>نظر #جهانگیری درباره حرف‌های امروز #روحانی در خصوص #اشتغال</t>
  </si>
  <si>
    <t>مهدی مهدوی‌نژاد</t>
  </si>
  <si>
    <t>جناب #رئیس_جمهور لطفاً مردم و #نمایندگان_مجلس رو نادان فرض نکنید. امروز راجع به تنها چیزی که توضیح ندادند سوالات #نمایندگان بود. اگه #مجلس ما هم شفاف بود متوجه میشدیم که اون نمایندگان به اصطلاح مردمی که با توضیحات ایشون موافق بودند چه کسانی هستند. #شفافیت #اعتماد_به_سقف</t>
  </si>
  <si>
    <t>یک تحصیل کرده ی شاغل به دنبال فرار از وطن هستم. #براندازم</t>
  </si>
  <si>
    <t>#روحانی : من خوبم اذیتم نکنید وگرنه برخلاف میل آقا حرف میزنم #لاریجانی : قبلی هم همینو میگفت 😒</t>
  </si>
  <si>
    <t>فراری</t>
  </si>
  <si>
    <t>‏‏‏‏‏‏‎‎‎‎‎‎#برانداز ‎‎‎‎‎‎#خداناباور ‎‎‎‎‎#درونگرا</t>
  </si>
  <si>
    <t xml:space="preserve">خیلی دور ، خیلی نزدیک </t>
  </si>
  <si>
    <t>میگن دروغگو کم حافظه است تمام مشکلات مملکت به قبل عنقلاب برمیگشت حالا دوباره گرونی دلار و سکه و تورم افتاد گردن مردم و دی ماه و اعتصاب راننده ها و کارگر ها #بیشرف #روحانی #فرقه_تبهکار #براندازم #</t>
  </si>
  <si>
    <t>مغز 🇮🇱🏳‍🌈</t>
  </si>
  <si>
    <t>⭕️ سناریو تکراری "نگذاشتند" در حال اجراست! روحانی مشکلات ارزی و اغتشاشات دی ماه رو پاس داد به مشهد، این یعنی قصد پاسخگویی ندارم و فقط میخوام شانتاژ کنم و بگم یه عده تندرو مسئول رکود و فجایع اقتصادی هستن! #سوال_از_رئيس_جمهور</t>
  </si>
  <si>
    <t>https://sapp.ir/hamidbazmshahi</t>
  </si>
  <si>
    <t>‏‏‏نگاهی مکتبی به همه چیز</t>
  </si>
  <si>
    <t>جمهوری اسلامی ایران تهران</t>
  </si>
  <si>
    <t>#سوال_از_رئیس_جمهور امروز بیاد سوال از #احمدي_نژاد 90 افتادم. خودش بود، فقط بجای ادبیات عامیانه با ادبیات آخوندی تهدید و تحقیر میکرد!</t>
  </si>
  <si>
    <t>حمید بزمشاهی اصفهانی</t>
  </si>
  <si>
    <t>‏و به مَخلَص تو به مسلخ بکشانی مرا</t>
  </si>
  <si>
    <t>#روحانی کارت زرد گرفته؟؟ ایکاش امشب بازی کنه ی کارت زرد دیگه بگیره اخراج بشه:) #سوال_از_رئیس_جمهور #پرسپولیس</t>
  </si>
  <si>
    <t>behzad ghobadi🇮🇷</t>
  </si>
  <si>
    <t>بی تعارف اندک اندک دارم به این نتیجه میرسم #رییس_جمهور یعنی معاون اجرایی #مقام_رهبری! این #قانون_اساسی هستش که مشکل داره احتمالا با اون شرح وظایفی که برای رئیس جمهور تعریف کرده! چون اصلا با کارکرد ریاست جمهوری همخوانی نداره!</t>
  </si>
  <si>
    <t>‏‏‏‏‏‏‏‏‏‏‏‏‏‏‏‏‏‏‏‏‏‏ اونی که روی شونه بعضیا بود واسه ما تاجِ سره. عاشق کوسه‌های مدیترانه، جواهرساز</t>
  </si>
  <si>
    <t xml:space="preserve">تهران بهارستان </t>
  </si>
  <si>
    <t>دلار : 11200 تومان طلا هجده عیار هر گرم : 307000 تومان قشنگ معلومه وقتی داشته از بهارستان می‌رفته به #نهاوندیان_بسم_الله گفته بکش بالا پررو نشند . #سوال_از_رییس‌جمهور</t>
  </si>
  <si>
    <t>رُفته گرِ تاجدار</t>
  </si>
  <si>
    <t>https://favstar.fm/t/926953831224791040</t>
  </si>
  <si>
    <t>﮼ ⛔️عرزشي ,مجاهد,مذهبي , اصلاح طلب ⛔️</t>
  </si>
  <si>
    <t>T@][€ D•n¥@🌍</t>
  </si>
  <si>
    <t>اخه اينا چه گوهي ميخورن؟! اصن كدوم اعتماد؟! اعتماد ِ مردم واسه ما نون و آب ميشه ؟! يعني اينا كورن يا كرن كه متوجه اوضاع گوه مملكت نشدن #مجلس #روحانی_خفه_شو</t>
  </si>
  <si>
    <t>Şhคฯli🏳️ ﮼شایلی</t>
  </si>
  <si>
    <t>I am who I am.</t>
  </si>
  <si>
    <t>Somewhere over the rainbow</t>
  </si>
  <si>
    <t>نزدیک بودنِ نظر، با وجودِ تمامِ مشکلات و گرفتاری‌هایی که بعدها ممکنه واسه شخص ایجاد کنه، حداقل این خوبی رو داره که آدمو حینِ نزدیکی از #استیضاح در امان نگه می‌داره. #استیضاح_روحانی #رييس_جمهور #احمدي_نژاد #روحاني</t>
  </si>
  <si>
    <t>Arman</t>
  </si>
  <si>
    <t>منو نکُشیدِ من کلّی آرزو دارم. پاسپورتم چی میشه. #سوال_از_رییس‌جمهور #روحانی</t>
  </si>
  <si>
    <t>‏بر آنم که حدیث نفس نگویم</t>
  </si>
  <si>
    <t>یزد</t>
  </si>
  <si>
    <t>کسی که امروز گفت دولت قبل ده هزار شغل ایجاد کرده همان کسیست که می گفت اگر رقیبم رای بیاورد در خیابان دیوار می کشد. #روحانی #رييسي</t>
  </si>
  <si>
    <t>کمیل صادقی</t>
  </si>
  <si>
    <t>PhD student of Persian language and literature, scholar of Shiite mysticism ‏‏‏‏‏‏‏‏‏‏‏‏‏‏‏‏‏‏‏دانشجوی دکتری ادبیات پارسی،متاهل،پژوهشگر عرفان و ادبیات شیعی</t>
  </si>
  <si>
    <t>ایرانویچ</t>
  </si>
  <si>
    <t>#روحانی گفته: هر وقت #وزرا رو میخوام، میگن: رفتن مجلس. علی لاریجانی جواب داده: این جا هم نمیان، پیگیری کنید ببینید کجا میرن؟ امشب همه وزراء تو خونه شون استیضاح میشن میگن: وزیرها میزنن تو سر که "من چه بگویم به زنم"</t>
  </si>
  <si>
    <t>Anahid. Baxshizade</t>
  </si>
  <si>
    <t>همیشه توی ذهنم به اومدن یه روز خوب فکر میکردم روزی پُر از #آزادی روزای خوبی در راه است. طاقت بیار #رفیق</t>
  </si>
  <si>
    <t>#روحانی و #آزاده_نامداری خیلی به هم میان</t>
  </si>
  <si>
    <t>پوآرو</t>
  </si>
  <si>
    <t>http://google.com</t>
  </si>
  <si>
    <t>‏‏‏‏‏‏‏‏‏‏‏‏‏‏‏‏‏‏‏‏‏‏‏‏‏‏‏‏‏‏‏‏‏‏‏‏‏‏‏‏‏‏‏‏‏‏‏‏‏‏‏‏‏‏‏‏‏‏‏‏‏امید داشتن خود زندگی است ‎‎‎‎‎‎‎‎#جمهوریخواهم ‎‎‎‎‎‎‎‎#براندازم</t>
  </si>
  <si>
    <t>Lund, Sverige</t>
  </si>
  <si>
    <t>#روحانی نکته خوبی رو اشاره کرد که اعتراضات دی ماه ترامپ رو تشویق به خروج از برجام کرد نتیجه گیری من اینه که حکومت فهمیده که از هر زمان دیگری در تاریخ چهل ساله خود به سقوط نزدیک تره اعتراضات مردم قطعن تیر خلاص بر پیکر حکومته ولو مقطعی و پراکنده</t>
  </si>
  <si>
    <t>KIAIRAN</t>
  </si>
  <si>
    <t>ای نامه که میروی به سویش از جانب من ببوس رویش. وقتی صدای نبرد در "توییتر"نواخته شود (نامرد از مرد )شناخته میشود. عاشق کشورم هستم. با هر طیف سیاسی راه میام.ظریفم</t>
  </si>
  <si>
    <t>فعلا تهران.</t>
  </si>
  <si>
    <t>روحانی دیگه بسه بیخیال شو چرا مردم هجوم نمیبرن #روحانی رو تو ویلای لواسونش خفه کنن آخههههه چراااااا #سوال_از_رییس‌جمهور</t>
  </si>
  <si>
    <t>sara</t>
  </si>
  <si>
    <t>اصلاح جهان به دست فرزند علی(ع)ست...</t>
  </si>
  <si>
    <t>#روحانی امروز به واژه #توهم ، معنا و ابعاد تازه‌ای بخشید. #سوال_از_رئیس‌جمهور</t>
  </si>
  <si>
    <t>Noora</t>
  </si>
  <si>
    <t>http://instagram.com/mohsenjannesari7/</t>
  </si>
  <si>
    <t>life is this👎i like this👍</t>
  </si>
  <si>
    <t>روحانی ایرانه؟ یا رای دادن رییس جمهوره یه کشوره دیگه شده؟راجع به کجا صحبت میکنه؟میگه مردم با تحریم ها مشکلی ندارند!!!!!آره ما با تو مشکل داریم میشه مشکل مارو حل کنی؟#روحانی</t>
  </si>
  <si>
    <t>Alien</t>
  </si>
  <si>
    <t>O God, Lead Us To The Right Path, Android , Web, Windows Developer, The Programmers Can Control Your Life.😉</t>
  </si>
  <si>
    <t>جمهوری اسلامی ایران🇮🇷</t>
  </si>
  <si>
    <t>https://pbs.twimg.com/media/Dlsb8Q8X4AEuasr.jpg</t>
  </si>
  <si>
    <t>ما از [تورم،رکود،اقتصاد] عبور کردیم علی برکت الله #سوال_از_رییس‌جمهور #اقتصاد</t>
  </si>
  <si>
    <t>ببعی</t>
  </si>
  <si>
    <t>https://pbs.twimg.com/media/Dlsb_xqW0AEveqK.jpg</t>
  </si>
  <si>
    <t>حسین بکش بالا... اینا برا من شاخ شدن و قانع نمیشن... #دلار #سوال_از_رییس‌جمهور</t>
  </si>
  <si>
    <t>آقای #روحانی امروز در مجلس گفتند که سوالات طرح شده در مجلس همان سوالات ملتِ خب آقای رئیس حرفتون متین پس نتیجه میگیریم شما امروز هم به۸۰میلیون آدم خزعبلات تحویل دادی و بعضا دروغ محض گفتید و به ماله‌کشی پرداختید درست مثل روال قبل سعی عالی متعالی #سوال_از_رییس‌جمهور</t>
  </si>
  <si>
    <t>‏‏‏‏‏‏‏‏‏‏‏‏‏‏‏‏‏‏‏‏‏‏‏‏‏‏‏‏‏‏‏‏‏‏‏‏‏‏‏‏‏منتقد سیاسی و روایتگرِ تاریخ [ ‎‎‎#مستقل به معنای واقعیِ کلمه ]</t>
  </si>
  <si>
    <t>خیلی دور، کمی نزدیک</t>
  </si>
  <si>
    <t>واقعا برام عجیب بود که این‌مجلس از توضیحات جناب #رئیس‌جمهور قانع نشد...! _منکه در سال ۹۲ قانع شده بودم.</t>
  </si>
  <si>
    <t>﷽مسعود فدک</t>
  </si>
  <si>
    <t>https://pbs.twimg.com/media/DlscPADXsAEPNzT.jpg</t>
  </si>
  <si>
    <t>کولر مردم #زابل vs کولر روحانی در مجلس در #سوال_از_رییس‌جمهور</t>
  </si>
  <si>
    <t>https://pbs.twimg.com/media/DlscRc9W4AA8vbw.jpg</t>
  </si>
  <si>
    <t>http://bit.ly/2wkHZmX</t>
  </si>
  <si>
    <t>👤 توییت استاد #رائفی_پور در مورد #استیضاح آقای دکتر #روحانی 🌐</t>
  </si>
  <si>
    <t>khorram_tahmasbi</t>
  </si>
  <si>
    <t>‏‏علی اکبر در هنگام عزیمت به میدان فریاد میزد: جنگ است که گوهر مردان را آشکار کند</t>
  </si>
  <si>
    <t>پشت کامیون عام اسمال</t>
  </si>
  <si>
    <t>https://pbs.twimg.com/media/Dlscb1WXgAEdnz9.jpg</t>
  </si>
  <si>
    <t>#نماینده های شما چقدر بخار دارند؟ میزان حمایت نماینده های شما از طرح شفافیت آرا را در تصویر زیر ببینید</t>
  </si>
  <si>
    <t>دکتر مش کَرَم 🇮🇷🇵🇸</t>
  </si>
  <si>
    <t>‏‏منتظر ظهور ،عاشق ولایت ، جانم فدای رهبر،🇮🇷🇮🇷🇮🇷 پرسپولیسی ، آرسنالی</t>
  </si>
  <si>
    <t xml:space="preserve">Islamic republic of Iran </t>
  </si>
  <si>
    <t>#روحانی رفته مجلس بابت اینهمه مشکلات تو مملکت جواب پس بده و ريشه تمام مشكلات ارز و قاچاق و بيكارى رو بالاخره بيان فرمودن:(تصور مردم) اي مردم همه بياين كنار هم تصورمونو عوض كنيم. #سوال_از_رئیس_جمهور</t>
  </si>
  <si>
    <t>سیدرضا رضوی🇮🇷</t>
  </si>
  <si>
    <t>اگه ادامه #سوال_از_رییس‌جمهور وقانع نشدن مجلس از پاسخهای روحانی یه شوعاف سیاسی نباشه.... پس خیلی زود باید استیضاح بشه که اونم بعیده با این وضعیت</t>
  </si>
  <si>
    <t>http://mcaf.ee/o8ulm0?avinaar21</t>
  </si>
  <si>
    <t>می رود عمر و نمی پرسیم ز خویش ره کجا منزل کجا مقصود چیست</t>
  </si>
  <si>
    <t>هر چقدر به این ادعای #روحانی که ۸ سال #احمدینژاد اشتغال خالص ۱۰هزار نفر و ۵ سال خودش ۲میلیون و هفتصد هزار نفر فکر میکنم که این دروغ بزرگ منطقش چیست بجایی نمیرسم!؟؟؟؟ ملت را چه فرض کرده؟</t>
  </si>
  <si>
    <t>Abdollah malmir</t>
  </si>
  <si>
    <t>‏خیالت راحت آنفالو یاب ندارم</t>
  </si>
  <si>
    <t>همین دور و بر</t>
  </si>
  <si>
    <t>این روند #استیضاح وزرا به نظر همون فتح سنگر به سنگر اصلاح طلبا ست!</t>
  </si>
  <si>
    <t>مالکوم ایگرگ</t>
  </si>
  <si>
    <t>http://gaho-bi-gah.blogspot.com</t>
  </si>
  <si>
    <t>‏‏‏‏‏‏‏سابقا خبرنگار</t>
  </si>
  <si>
    <t>https://pbs.twimg.com/media/Dlscuj3XsAAYvsd.jpg</t>
  </si>
  <si>
    <t>اگر مسائل #اقتصادی مربوط به #دولت های #روحانی و دولت‌های قبل او نیست، پس مربوط به چه کسی و چه گروه‌هایی است؟ اگر مربوط نیست پس چرا هنگام #انتخابات وعده‌های اقتصادی می‌دهند؟ با پیشینه‌ی قبلی، #رئیس‌جمهور در #ایران هیچ‌کاره است و #انتصابات تنور خیال پزی سیستم</t>
  </si>
  <si>
    <t>HamidReza</t>
  </si>
  <si>
    <t>وقتی که موقع #سوال_از_رئیس_جمهور هیچ سوژه جذابی پیدا نمیکنی که افکار رو منحرف کنی باید یه حمله درست و حسابی طراحی کنی که هم #مشهد رو بزنی و مذهبی ها رو غیرتی کنی هم با #رئیسی یه تسویه حسابی کنی!!</t>
  </si>
  <si>
    <t>Media. Graphic/ But I feel I'm growing older</t>
  </si>
  <si>
    <t>آخوند ترین #روحانی چند سال اخیر، مجلس رو قانع نکرد.</t>
  </si>
  <si>
    <t>برنارد دوم</t>
  </si>
  <si>
    <t>‏‏چون دوست دشمن است شکایت کجا بریم...</t>
  </si>
  <si>
    <t>مشکلات اقتصادی ما سیاسی است و بخش بزرگ مشکلات سیاسی از فرهنگ و نگاه مسئولین می آید اما مردم ایران فقط تصویر اقتصاد را میبینند.اگر #احمدي_نژاد در دور دوم دچار #تحريم و مشکلات اقتصادی نمیشد با #پوپولیست آن مشکلی نداشتیم و کماکان در قدرت میماند حکایت #روحاني هم همین است.</t>
  </si>
  <si>
    <t>Omiiit 🇮🇷</t>
  </si>
  <si>
    <t>اگر فالو کردم لطفا در تعامل باشید/ ‏‏‏‏ریتوییت و لایک نوشتارها بیانگر حمایت از هیچ طیف و جریانی نیست و صرفا به دلیل نوع تفکر وجذابیت آن نوشتار است. ‏‏‏‏</t>
  </si>
  <si>
    <t>#روحانی در مجلس تاریخ آغاز مشکلات را ۵ دی ماه ۹۶ دانست. من از همین تریبون میخواهم یک تاریخ دقیقتری خدمت ایشان ارائه کنم. بدبختی ما ایرانی ها دقیقا از ۱۳ شوال سال ۱۴ قمری مصادف با ۶۳۵ میلادی با حمله تازیان به ایران شروع شد و موج دومش ک اوضاع را بدتر کرد ۱۲ بهمن ۵۷ اتفاق افتاد.</t>
  </si>
  <si>
    <t>کاتب اوهام</t>
  </si>
  <si>
    <t>یکی نیست به @Rouhani_ir بگه:ترحم بر پلنگ تیز دندان ستم کاری بود بر گوسپندان. یا شاید خودشم پلنگه😄😄 #روحاني</t>
  </si>
  <si>
    <t>ملوان تنبل</t>
  </si>
  <si>
    <t>توضیح خاصی ندارم.تو از خودت بگو</t>
  </si>
  <si>
    <t>چوپان دروغگو چیه؟ ما خودمون #حسن_روحانى مذگان داریم #سوال_از_رییس‌جمهور</t>
  </si>
  <si>
    <t>محمد حسنیوفسکی</t>
  </si>
  <si>
    <t>‏‏‏‏‏‏‏‏‏‏تمام مسؤولیت ‎‎‎‎‎‎‎‎‎‎‎‎‎#توییت های ارسالی (وحتی دریافتی) برعهده ‎‎‎‎‎‎‎‎‎‎‎‎‎#حسن_روحانی میباشد.</t>
  </si>
  <si>
    <t>نیم بلادمان که «تعامل» ننمودیم</t>
  </si>
  <si>
    <t>https://pbs.twimg.com/media/Dlsc-3dW0AAmNfr.jpg</t>
  </si>
  <si>
    <t>وقتی موقع انتخابات تا بناگوشت رو در حمایت از روحانی جِر دادی والان نمیگی غلط کردم #سوال_از_رییس‌جمهور #استیضاح_روحانی</t>
  </si>
  <si>
    <t>همایونی🇮🇷🇮🇶🇵🇸🇸🇾🇾🇪🇦🇫🇱🇧</t>
  </si>
  <si>
    <t>‏‏داستان‌یوفسکی!/ شِعریار!/ تدریس‌بازی!/ آوازیسم!/سه‌تارزان!/ دین‌جور!/ طِب‌کُشی!/ عاشق‌پیش‌پیش!</t>
  </si>
  <si>
    <t>ایرانِ اسلامی</t>
  </si>
  <si>
    <t>https://pbs.twimg.com/media/Dlsg7-nWsAEG7Zr.jpg</t>
  </si>
  <si>
    <t>باشه آقای #روحانی، تو راس میگی، همه چی آرومه! پس منم یه موز برمی‌دارم، عصرانه‌ای ساده می‌زنم و #شروود_اَندرسون می‌خونم.</t>
  </si>
  <si>
    <t>معصومه‌انواری‌اصل</t>
  </si>
  <si>
    <t>‏اشتباهاتی که بهایش تباهی بهترین لحظات زندگیم بوده را دوست دارم😘 آنها تجربیاتی اند که مرا از تکرار خطاء مصون می دارند.</t>
  </si>
  <si>
    <t>استان اصفهان</t>
  </si>
  <si>
    <t>pic.twitter.com/ToVHGW2YOa</t>
  </si>
  <si>
    <t>شباهت عجیب سخنان #روحانی و #احمدی‌نژاد در مجلس.... #سوال_از_رییس‌جمهور #اصلاح_اصلاحات #خاتمی_بیدار_شو</t>
  </si>
  <si>
    <t>علی یبلویی(آوای نصف جهان)</t>
  </si>
  <si>
    <t>‏ما را با خود چیزی در میان است؟</t>
  </si>
  <si>
    <t>سخنرانی #روحانی داخل #مجلس از پادگان داشتیم میدیم هم کادریا هم وظیفه‌ها تسمه تایم پاره کردن!</t>
  </si>
  <si>
    <t>آیوبامیانگ 😎</t>
  </si>
  <si>
    <t>بد نامِ عالمیم. ز ما احتراز کن ...</t>
  </si>
  <si>
    <t>داخل روبیکا رو گشتم جایی برای رای دادن به آقای روحانی پیدا نکردم شما میدنید کجا باید به استنداپ روحانی رای بدیم #سوال_از_رئیس_جمهور</t>
  </si>
  <si>
    <t>ميلاد</t>
  </si>
  <si>
    <t>http://a.cheshomi.profcms.um.ac.ir</t>
  </si>
  <si>
    <t>‏‏‏‏‏‏استادیار گروه اقتصاد دانشگاه فردوسی مشهد</t>
  </si>
  <si>
    <t>سیاستمداران #ایرانی چند ساله در این جمله موندن و #روحانی امروز در #مجلس #تکرار کرد: خوب شد این کارها را کردیم و گرنه از این بدتر میشد!</t>
  </si>
  <si>
    <t>علی چشمی</t>
  </si>
  <si>
    <t>‏دانشجویی کارشناسی ارشد روابط بین الملل دانشگاه علامه طباطبایی</t>
  </si>
  <si>
    <t>سلام دوستان بعد از مدت زیادی برگشتم☺☺☺☺ #روحانی #سوال_از_رئیس_جمهور #بازگشت #انقلابی_ام</t>
  </si>
  <si>
    <t>AMIN GANJI</t>
  </si>
  <si>
    <t>قدیما طفلی به نام شادی گم شده بود دنبالش می گشیم... حالا فقط دنبال آرامش هستم...آرامش... #روحاني #جمهوري_اسلامي #بحران</t>
  </si>
  <si>
    <t>aseman</t>
  </si>
  <si>
    <t>دوستی که هنوز مدافع سینه چاک #روحانی هستی، من هم به او رای دادم ولی مگر قرارمان مطالبه گری بدون #ماله کشیدن نبود؟ با شرایطی که از کشور میبینی هنوز هم قانع نشدی که او خود را رییس جمهوری اسلامی میداند نه رییس جمهور کشور و ملت</t>
  </si>
  <si>
    <t>‏‏‏‏‏‏‏‏‏‏‏‏‏‏‏حقوق خوان</t>
  </si>
  <si>
    <t>کی میشود علاوه بر #رئیس_جمهور سایر مقامات هم به سوالات مهم در مورد حوزه مسئولیتشان پاسخگو باشند؟</t>
  </si>
  <si>
    <t>🇮🇷Vahidazimi</t>
  </si>
  <si>
    <t>حالیا دست کریم تو برای دلِ ما سرپناهیست در این بی سر و سامانیها...</t>
  </si>
  <si>
    <t>https://pbs.twimg.com/media/DlshoEqW4AAD3Fz.jpg</t>
  </si>
  <si>
    <t>بذار تو حال خودم باشم، میخوام چند روزی تنهاشم #Rohani #سوال_از_رییس‌جمهور #</t>
  </si>
  <si>
    <t>Navid abbas abad</t>
  </si>
  <si>
    <t>آیا با استدلال #رئیس‌جمهور در خصوص رابطه قضایا 5 دی ماه با وضعیت اخیر ارز و سکه موافق هستید؟</t>
  </si>
  <si>
    <t>‏‏‏‏‏‏‏‏‏‏‏‏‏اینقد بدی زیاد شده که اگه کسی بهمون بدی نکنه فکر می کنیم در حقمون خوبی کرده! 🤝</t>
  </si>
  <si>
    <t>تصور مردم باعث همه مشکلات مردم توسط شخص #رئیس_جمهور تشخیص داده شده مردم تصور میکنن دلار گرونه مردم تصور میکن مرغ گرونه مردم تصور میکنن گوشت گرونه مردم تصور میکنن ...... گرونه کلا مردم توهم تصور میکنن وگرنه خیلی هم خوبه همه چیز</t>
  </si>
  <si>
    <t>🆂🅲🅷🆆🅰🆁🆉🅴 Stille</t>
  </si>
  <si>
    <t>پژوهشگر علم سیاست، تاریخ، دین، حقوق اساسی، اقتصاد، جامعه شناسی</t>
  </si>
  <si>
    <t>#روحانی در مجلس حرفی برای گفتن نداشت، چون بحران جمهوری اسلامی یک بحران ساختاری است و روحانی بیش از هرکس دیگر به آن واقف است،دیگر اینکه اساسا رئیس جمهور در حکومت ولایی کاره ای نیست،روحانی اگر ذره ای اخلاق سیاسی داشت صراحتا میگفت کاره ای نیست و کنار می رفت ولی نوکر است و می ماند</t>
  </si>
  <si>
    <t>Kourosh  Researcher</t>
  </si>
  <si>
    <t>Student of Communication and Journalism</t>
  </si>
  <si>
    <t>رفتم تو غذا خوری و دیدم همکارام همه منتظر و در کمینم نشستن.سریعا درباره #سوال_از_رئیس_جمهور و رای مجلس شروع کردن به حرف زدن.خودم رو زدم به نشنیدن ناهارم رو خوردم و اومدم بیرون.اصلا امروز حوصله دفاع از دولت روحانی و اینکه چه باید کرد تا اصلاحات ثمر بده رو نداشتم.</t>
  </si>
  <si>
    <t>Maryam Mohammadi</t>
  </si>
  <si>
    <t>‏...از جنس پر</t>
  </si>
  <si>
    <t>pic.twitter.com/z2AfSsRCrO</t>
  </si>
  <si>
    <t>❗️پشت #ماسک #رئیس_جمهور چه حرف هایی که زده نمیشه!</t>
  </si>
  <si>
    <t>M_Zargari</t>
  </si>
  <si>
    <t>http://farahan.blogsky.com</t>
  </si>
  <si>
    <t>ترکی هستم که فارسی درس می‌ده، عربی می‌فهمه، انگلیسی گوش می‌کنه، عاشق زبان‌های دیگر هم هست اگر این عمر دو روزه بگذاره!</t>
  </si>
  <si>
    <t>اخبار «استیضاح» وزیران؛ پشت سر هم داره می‌رسه! با این سرعت بره فکر کنم دیگه کابینه‌ای برای آقای #روحانی باقی نمونه! و این یعنی از رسمیت افتادن دولت دوازدهم... بطحایی، آخوندی، رحمانی، شریعتمداری و ...</t>
  </si>
  <si>
    <t>zinloohosein</t>
  </si>
  <si>
    <t>‏‏هیچ بن هیچ</t>
  </si>
  <si>
    <t>مردم واقعا که... آدم باشید رئیس جمهورتون و اذیت نکنید #روحانی #سوال_از_رییس‌جمهور</t>
  </si>
  <si>
    <t>ابوتراب</t>
  </si>
  <si>
    <t>Director,producer manager,screenwriter</t>
  </si>
  <si>
    <t>Najafabad</t>
  </si>
  <si>
    <t>شاید تو همه این یکسال و چندماه بعد از انتخابات هیچوقت به اندازه امروز و جوابهای #روحانی غمگین نبودم....احساس ناتوانی دارم....احساس وحشتناک ناامیدی نسبت به بهبود اوضاع...</t>
  </si>
  <si>
    <t>Husseinali Hamledari</t>
  </si>
  <si>
    <t>‏‏‏ حقوق انسان، حقوق شهروندی، حقوق ملی، حقوق طبیعت، حقوق ایران به عنوان عضوی از جامعه جهانی</t>
  </si>
  <si>
    <t>iran,khorasAn</t>
  </si>
  <si>
    <t>https://twitter.com/ArjNegar/status/1034455330355380224</t>
  </si>
  <si>
    <t>حسن کلید ساز رفته مجلس در و باز کنه! #روحانی RT @ArjNegar: روز روشن چرا اینقد صدای تکون خوردن کلید میاد تو خونه؟!؟😕😕</t>
  </si>
  <si>
    <t>آلیوشا🌈🏳️‍🌈</t>
  </si>
  <si>
    <t>«ایرانیان مانند محکوم به مرگی که دیگر هیچ امیدی نداشته باشددر انتظارضربه آخر بودند...در این هنگام بودکه مردی برای نجات ایران قیام کرد:پدرم.》 شاه؛ پاسخ_به_تاریخ</t>
  </si>
  <si>
    <t xml:space="preserve">همه ایران سرای من است. </t>
  </si>
  <si>
    <t>در حالیکه یکی از نکات مبارزه انتخاباتی #ترامپ پس گرفتن #برجام بود، #روحانی میگه بخاطر #خیزش_دیماه اشتهای ترامپ زیاد وخواهان خروج از برجام شد!!🤤😝! #روحانی_خفه_شو</t>
  </si>
  <si>
    <t>تئاتر شهر👑</t>
  </si>
  <si>
    <t>https://pbs.twimg.com/media/Dlsi0nVU8AEMDKQ.jpg</t>
  </si>
  <si>
    <t>معرفی میکنم جناب #حسین_فریدون از اساتید بنام تقلید صدا در حوزه #قاچاق کالا که امروز داداشش اقای #روحانی در پاسخ به سوال در همین حوزه (قاچاق) مردود شدن #سوال_از_رییس‌جمهور</t>
  </si>
  <si>
    <t>photojournalist</t>
  </si>
  <si>
    <t>https://pbs.twimg.com/media/Dlsi4KrWwAAjwVN.jpg</t>
  </si>
  <si>
    <t>اساسا نمایش متقلبانه #دموکراسی در #خانه_ملت اونهم وقتی #روحانی با اعتمادبنفس کامل و هزینه کردن از نام #رهبری فقط برای قدم و فک زدن به #مجلس میاد مردوده و واقعا شرم آور!</t>
  </si>
  <si>
    <t>Ali Alizadeh</t>
  </si>
  <si>
    <t>‏‏‏هویت ملی رمز وحدت ملی</t>
  </si>
  <si>
    <t>non</t>
  </si>
  <si>
    <t>#روحانی آینده‌نگر است! دیده‌است اسلافش یا #منحرف شده‌اند یا #ممنوع_من_جمیع_جهات یا #کوشکی شده‌اند و یا #اختری. اگر این هوش نیست پس چیست؟؟!!</t>
  </si>
  <si>
    <t>⁦🇮🇷⁩محمدرضا کاظمی⁦⁦🇮🇷⁩</t>
  </si>
  <si>
    <t>‏‏‏‏‏سر ارادت ما و آستان حضرت دوست/ که هر چه بر سر ما میرود ارادت اوست... دانشجوی دکتری فلسفه</t>
  </si>
  <si>
    <t>tehran- درمیان مردم</t>
  </si>
  <si>
    <t>امروز #روحانی منافع ملی رابر منافع فردی ومنافع دولت ترجیح دادوهمدلانه درمجلس بالای #منبر رفت.اومیتوانست باتشریح اوضاع،توپی راکه درزمین دولت است رابه زمین حریف شوت کندولی اینکار رانکرد،که احتمال یکسره شدن کار #دولت نیز قوت گرفت. #رای_مردم #قانع_نشدن #نه_به_استیضاح #عقلانیت_سیاسی</t>
  </si>
  <si>
    <t>دانش آموز فلسفه</t>
  </si>
  <si>
    <t>‏کپی کردن توییت ها آزاد است ...مهم انتشار آنهاست..</t>
  </si>
  <si>
    <t>Germany</t>
  </si>
  <si>
    <t>جناب #روحانی حتما ملاحظاتی داشتند که حرف های اساسی را نزدند ما مردم ایران با هشتک چرا_نگفتی حرف تلخ حق را میگوییم ،آقای روحانی #چرا_نگفتی وقتی در این کشور مداح رهبر ،رییس جمهور را تهدید به مرگ میکند دیگرچگونه میتوان کار ی انجام داد؟؟؟؟</t>
  </si>
  <si>
    <t>حمیدرضا شاهمیری</t>
  </si>
  <si>
    <t>دانشجوی رشته روانشناسی تربیتی atu فعال سیاسی و اجتماعی انَّ الْحَیاةَ عَقیدَةٌ وَ جِهادٌ... سرباز رهبریم</t>
  </si>
  <si>
    <t>نکته امیدوار کننده خانه ملت وجود امثال #ذوالنور هاست. وجود امثال ایشان غنیمتی بزرگ است آنهم در بین مجلسی که به #لابی و #سلفی_حقارت شهره است! #مشت_اول #سوال_از_رئیس‌جمهور #ذوالنور_مچکریم !</t>
  </si>
  <si>
    <t>احسان پرسان</t>
  </si>
  <si>
    <t>‏‏‏‏‏کسی که پی صلح است، به سمت جنگ می‌رود | حقوق‌خوانده‌ی اهل هنرِ غیرِ سیاسیِ غیرِ اصلاح‌طلبِ غیرِ اصول‌گرایِ انقلابی | داستان‌نویسِ عکاسِ آرزومند ِ سینما</t>
  </si>
  <si>
    <t>از جملات قصار او: چرا قاچاق زیاد است؟ به این خاطر که قیمت ارز در داخل پایین است!! #سوال_از_رئیس_جمهور</t>
  </si>
  <si>
    <t>محمدمهدی امجد</t>
  </si>
  <si>
    <t>http://khabarfoori.com/detail/555353</t>
  </si>
  <si>
    <t>🔹بر اساس حدسها بیشتر کسانی که پاسخ روحانی را در جلسه امروز قانع کننده ندانستند عضو فراکسیون امید نبودند 🔹کدامیک از نمایندگان علیه #روحانی رای دادند؟ ♦️اینجا بخوانید👇</t>
  </si>
  <si>
    <t>در انتظار ظهور مولا</t>
  </si>
  <si>
    <t>روحانی: بعد از #برجام تحریم هسته ای نداشتیم. +بعد از #برجام اصلا مگه #هسته_ای داشتیم؟؟؟ #سوال_از_رئیس_جمهور</t>
  </si>
  <si>
    <t>بهار نارنج</t>
  </si>
  <si>
    <t>http://mirzamohammadi.blogfa.com/</t>
  </si>
  <si>
    <t>دکترای جامعه شناسی( مسایل اجتماعی ایران)، مولف ، روزنامه نگار، پژوهشگر مسایل اجتماعی</t>
  </si>
  <si>
    <t>Iran,Tabriz</t>
  </si>
  <si>
    <t>یکی از عوامل تشدید کننده #بی_اعتمادی در میان #مردم ایران این بود که به خوبی برای همه ثابت شد که #رييس_جمهور و #رئیس_مجلس در معادلات تصمیم گیری کشور مهره های چندانی قدرتمندی نیستند. به این جهت انها دیگر امیدی به اعمال تغییرات از ناحیه این دو انتخاب ندارند. #سوال_از_رئیس_جمهور</t>
  </si>
  <si>
    <t>علی میرزامحمدی</t>
  </si>
  <si>
    <t>حاشیه های داغ می نویسم😎</t>
  </si>
  <si>
    <t>https://pbs.twimg.com/media/Dlsj25cU0AIlDD1.jpg</t>
  </si>
  <si>
    <t>روحانی: برایم مهم نیست که تهدید به ترور شوم! شاه غلام: سر پیری و معركه گیری!؟ #سوال_از_رئیس_جمهور</t>
  </si>
  <si>
    <t>حاشیه نویس</t>
  </si>
  <si>
    <t>#مسئولین و #نماینده های محترم مجلس دیگه شعار بسه خواهش میکنیم یکم هم عمل کنید بازنشستگان رو دریابید! #بازنشستگان دارندزیر#فشار گرانی ذره ذره آب میشوند!</t>
  </si>
  <si>
    <t>دکتر آریایی</t>
  </si>
  <si>
    <t>#سوال_از_رئیس‌جمهور سوال های #مجلس و پاسخ های آقای #روحانی (#رئیس_جمهور ) را که همه شنیدیم.توییت های هم وطنان را هم خواندم (البته همه را که نه). حالا نمیدانم کی درست میگوید:مجلس؟رییس جمهور؟مردم؟...اصلا کی میداند چه خبر هست؟</t>
  </si>
  <si>
    <t>Alireza Salarbehzadi</t>
  </si>
  <si>
    <t>#روحانى و #اردوغان و #نيكلاس_مادورو در ارائه راهكارهاى احمقانه براى مقابله با #بحران_ارز باهمديگه كل كل شديد دارن !!!!</t>
  </si>
  <si>
    <t>‏‏#‏‏‏‏‏‏بسیج؛تنها فرمول نجات بخش جهان معاصر</t>
  </si>
  <si>
    <t>روی اعصاب بعضی ها!!!</t>
  </si>
  <si>
    <t>مجلس از #رييس_جمهور سوال پرسید؛#گناه_مردم چیست که باید امروز #دلار و سکه و طلا را گران تر بخرند. آیا دولت از بازار و مردم انتقام گرفت؟</t>
  </si>
  <si>
    <t>محی الدین فارسی</t>
  </si>
  <si>
    <t>‏من کان لله،کان الله له شکرلله، حمدلله، عفوا عفوا</t>
  </si>
  <si>
    <t>زابل</t>
  </si>
  <si>
    <t>دولت نهم و دهم توانست فقط ده هزار شغل ایجاد کند و دولت یازدهم تا بدین روز ۲ میلیون و ۷۰۰ هزار شغل ... چیزی بنام #شفافیت در آمار دادن رو نداریم؟؟ #سوال_از_رییس‌جمهور</t>
  </si>
  <si>
    <t>از تبار حیدریم⁦</t>
  </si>
  <si>
    <t>صلاح کار کجا و من خراب کجا 🙈 ببین تفاوت ره کز کجاست تا به کجا</t>
  </si>
  <si>
    <t>ایستاده در گوه</t>
  </si>
  <si>
    <t>#روحانی رفت به #مجلس تا با توضیحاتی جو رو آروم‌تر کنه، اما جو ناآروم‌تر شد و قیمت #دلار از ۱۱ هزار تومن گذشت و هر گرم #طلا هم به ۳۰۸ هزار تومن رسید! واقعا #روحاني هر بار دهنت رو باز می‌کنی شرایط کشور بدتر می‌شه ببنددددد کصکش😐😐</t>
  </si>
  <si>
    <t>توییتام گاهی چیزدارن از ما گفتن</t>
  </si>
  <si>
    <t>کل حرف رییس جمهور محترم در پاسخ به ۵ سوال مجلس این بود ؛ دوشواریی !!!!! 😞 ما اصلا دوشواری نداریم . #سوال_از_رییس‌جمهور</t>
  </si>
  <si>
    <t>مملکت ما نیاز به #رییس‌جمهور نداره. یه کارگزار لازم داره که پولها روبصورت کاملا #عادلانه بین آقاها و آقازاده‌ها توزیع کنه [عزیزم]!</t>
  </si>
  <si>
    <t>‏بسیجی</t>
  </si>
  <si>
    <t>#روحانی در جلسه #سوال_از_رئیس‌جمهور: عملکرد دولت در #اشتغال درخشان است. به نظرتون ایشون و نماینده های مجلس که قانع شدند؛</t>
  </si>
  <si>
    <t>رضایی</t>
  </si>
  <si>
    <t>همین که من میگم مایی وجود نداره</t>
  </si>
  <si>
    <t xml:space="preserve"> کجا بهتر از ایران</t>
  </si>
  <si>
    <t>https://pbs.twimg.com/media/DlslD4uW0AESqWx.jpg</t>
  </si>
  <si>
    <t>-بسم اللّه الرحمن الرحیم +احسنت! -بزغاله بذار شروع کنم بعد بگو احسنت! #سوال_از_رییس‌جمهور</t>
  </si>
  <si>
    <t>ZorrO</t>
  </si>
  <si>
    <t>http://www.mahlooji.ir</t>
  </si>
  <si>
    <t>💻Programmer 🖥Web Developer &amp; Web Designer 🏢CEO of SARMAYEWEB 🏢Technical Manager of IRANDRILLING &amp; Iraniansonar Company</t>
  </si>
  <si>
    <t>مهمترین بخش صحبت‌های امروز حسن #روحانی در #مجلس، این بود: "امیدوارم که بتوانم نقاط مورد نظر #مقام_معظم_رهبری را که در توصیه‌هایی که نسبت به جلسه امروز به من فرمودند، دقیقا مراعات کنیم. به نظر می رسد برای "تحلیل" جنس صحبت آقای روحانی در مجلس، همین یک جمله کفایت می‌کند.</t>
  </si>
  <si>
    <t>saleh mahlouji</t>
  </si>
  <si>
    <t>جمهوری اسلامی ایران/IRI</t>
  </si>
  <si>
    <t>خب استیضاح وزیر آموزش و پرورش هم به صحن علنی مجلس ارسال شد. استیضاح وزیر کشور و وزیر صنعت، معدن، تجرات هم تو راهه. اینجور که مجلس گرفته روی دولت فک کنم از دولت فقط حسنی بمونه و حوضش... #روحانی</t>
  </si>
  <si>
    <t>علی رحیمی  🇮🇷🇵🇸</t>
  </si>
  <si>
    <t>‏‏‏اخبار استان قزوین را در شاخص بخوانید http://t.me/shakhes_news‎‎</t>
  </si>
  <si>
    <t>https://pbs.twimg.com/media/DlslL_oU4AItd-m.jpg</t>
  </si>
  <si>
    <t>http://shakhesnews.com/?p=171737</t>
  </si>
  <si>
    <t>دبیر کمیسیون اجتماعی مجلس: پاسخ‌های رئیس جمهور قانع کننده نبود/ دستگاه قضایی با محتکران کالا و متخلفان اقتصادی قاطعانه برخورد کند مشروح گفتگو  #سوال_از_رئیس‌جمهور</t>
  </si>
  <si>
    <t>شاخص نیوز</t>
  </si>
  <si>
    <t>مٓن👧🏻</t>
  </si>
  <si>
    <t>Iran🇮🇷 Bandar Deylam🌞</t>
  </si>
  <si>
    <t>#روحاني انگار از اول دوره رياست جمهوريش يه متن نوشته و حفظ كرده!!!ريئس جمهور عزيز حداقل آمار و آرقام رو بروز كن</t>
  </si>
  <si>
    <t>Fatemeh</t>
  </si>
  <si>
    <t>‏‏‏‏‏‏‏‏‏‏کلام شد گلوله باران به خون کشیده شد خیابان ولی کلام آخر این شد که جانِ من فدای ایران</t>
  </si>
  <si>
    <t xml:space="preserve"> </t>
  </si>
  <si>
    <t>روحانی با خنده از مشکلات مردم یاد کرد! سخنان #روحاني با مردم: تکرار یک «هیچ بزرگ»!</t>
  </si>
  <si>
    <t>اشرفُ المُلک</t>
  </si>
  <si>
    <t>http://aminkhosroshahi.com</t>
  </si>
  <si>
    <t>Photojournalist &amp; Documentary photographer. working as a staff for Iranian Student News Agency (ISNA) since 2007. Email:amin.khosroshahi1@Gmail.com</t>
  </si>
  <si>
    <t>از همه صحبت‌های امروز #روحانی در مجلس، چرا فقط اون قسمت که به #فیضیه زد مهجور مونده؟ یعنی اینم کار خودشونه؟؟</t>
  </si>
  <si>
    <t>Amin Khosroshahi 🇮🇷</t>
  </si>
  <si>
    <t>http://www.dn53.ir</t>
  </si>
  <si>
    <t>اینکه بشنوی یک پدر برای برآورده کردن آرزوی دو دختر خردسال خود(خریددوعددپیتزا)مجبوربشه فرش کهنه زیرپاشون روبفروشه،آیا باور کردنیست؟ #سوال_از_رییس‌جمهور</t>
  </si>
  <si>
    <t>داودنوری</t>
  </si>
  <si>
    <t>http://www.rouhanimeter.com</t>
  </si>
  <si>
    <t>ارزیابی مستقل و منصفانه‌ی وعده‌ها و عملکرد دولت حسن روحانی #روحانی‌سنج http://t.me/RouhaniMeter</t>
  </si>
  <si>
    <t>https://pbs.twimg.com/media/DlsllaiVsAAhBSZ.jpg</t>
  </si>
  <si>
    <t>https://rouhanimeter.com/2018/07/annual-report-2018/</t>
  </si>
  <si>
    <t>از ۳۴ وعده اقتصادی دولت #روحانی دست‌کم ۱۳ وعده در وضعیت قرمز «محقق نشده» قرار دارند. این کارنامه اقتصادی منجر به استیضاح و برکناری وزیر اقتصاد او شد👇</t>
  </si>
  <si>
    <t>روحانی‌سنج</t>
  </si>
  <si>
    <t>آقای #روحانی ۲۴ میلیون نفر بهت رأی ندادن که تو اینطور وقیحانه مرز های اراجیف رو جابجا کنی #روحانی_شارلاتان #روحانی_خفه_شو</t>
  </si>
  <si>
    <t>خان دایی</t>
  </si>
  <si>
    <t>‏‏‏‏‏‏‏‏‏‏‏‏‏‏‏‏‏‏‏‏‏‏❤؛جانُ تَنِ مَن هر دو فَدایِ وَطَنِ مَن؛❤ ارشد مکانیک_کارشناس فنی خودرو🚗_دانشجوی مهندسی پرواز_در مسیر خلبان شدن✈_اهل ری</t>
  </si>
  <si>
    <t>جمهوری #اسلامی ایران✌</t>
  </si>
  <si>
    <t>اون دوستانی که از #استیضاح_روحانی حرف میزنند به نظرم دو حالت دارن : یا صرفا برای زمین زدن دولت و دعواهای سیاسی خودشونه یا میخوان کشور رو به سمت تنشی جدید ببرن در هر دو حالتش نه کوتاه مدت نه میان مدت هیچ دردی از مردم دوا نمیشه و شرایط بهتر نخواهد شد. #سوال_از_رییس‌جمهور</t>
  </si>
  <si>
    <t>جِنابِ مُهَندِس🇮🇷</t>
  </si>
  <si>
    <t>‏‏‏ترک من خراب شبگرد مبتلا کن</t>
  </si>
  <si>
    <t>آره خب این ما نیستیم که دچار بحرانیم این بحرانه که دچار ماست:| #روحانی #سوال_از_رییس‌جمهور</t>
  </si>
  <si>
    <t>Fateme</t>
  </si>
  <si>
    <t>اصلا اقتصاد از توضیخات رئیس جمهور شگفت زده شده و سر به فلک زده #سوال_از_رییس‌جمهور RT @shafaeieisa: شما رو نمیدونم ولی من از توضیحات رئیس‌جمهور قانع شدم :-) #سوال_از_رییس‌جمهور</t>
  </si>
  <si>
    <t>#روحانی پراید شد 50 ملیون داروی بیماران گیر نمیاد، مردم اسکلت مرغ میخورن، شما میگید بحران نیست پس بحران چیست؟</t>
  </si>
  <si>
    <t>Ramses</t>
  </si>
  <si>
    <t>IT Man . Islamic Medical Student</t>
  </si>
  <si>
    <t>میگه زی تیر نظر کرد و پر خویش بِدو دید گفتا ز چه نالی ، از ماست که برماست چه میشه کرد ، مردم خودشون انتخاب کردن #روحاني رو... تُف سر بالا بهش میگن...</t>
  </si>
  <si>
    <t>Hoseynchi 🇮🇷 🇵🇸 🇮🇶 🇸🇾 🇾🇪</t>
  </si>
  <si>
    <t>#روحانی می‌گه حقوق کارمند دو برابر شده! چه جوری حساب می‌کنن اینا؟ من از پارسال تا امسال فقط ۶٠ تومن به حقوقم اضافه شده.</t>
  </si>
  <si>
    <t>R. Afzal</t>
  </si>
  <si>
    <t>ليبرال دموكرات و سبز مثل ندا</t>
  </si>
  <si>
    <t>Tehran- Iran</t>
  </si>
  <si>
    <t>آي #روحاني " تصور مردم" همان اشتباه بزرگي بود كه امنيتي ترين فرد جمهوري اسلامي را ٥ سال بر كرسي رياست جمهوري نشاند. #روحاني</t>
  </si>
  <si>
    <t>Abbas Mahmoodi</t>
  </si>
  <si>
    <t>آقای روحانی این اعتماد به نفس و آرامش خیال شما نگران کننده است ! اگر رئیس جمهور مسئولیت پذیری بودید باید نگرانی از عاقبت و آخرت را در چهره شما می دیدیم! اما ظاهرا ماموریت دارید با همین فرمان برانید #دلواپسیم #روحانی #سوال_از_رییس‌جمهور #نیروی_انقلابی_آرزوست</t>
  </si>
  <si>
    <t>saman rahimi</t>
  </si>
  <si>
    <t>https://twitter.com/tahamajidii/status/1034304854154534912</t>
  </si>
  <si>
    <t>خودش گوسفنده.براهمین از دیدگوسفند نظر میده.ماهم که گوسفند نستیم.باور نمی کنیم. #سوال_از_رییس‌جمهور RT @tahamajidii: طبق آخرین اعلام رئیس جمهور محترم، از سال ۸۴ تا ۹۱ تنها ۱۰ هزار شغل ایجاد شده است. و از سال ۹۲ تا ۹۷، ۲ میلیون و هفتصد هزار شغل. ما هم گوسفندیم #سوال_از_رییس‌جمهور</t>
  </si>
  <si>
    <t>‏‏‏‏فعال سیاسی اصلاح طلب...</t>
  </si>
  <si>
    <t>#اصولگرایان همان سوال های بیست سال اخیر را بازگو کردند و #روحاني نیز همان پاسخ های پنج سال گذشته را تکرار کرد و #مردم نیز فردا صبح همان مشکلات هرروزه را دارند. #سوال_از_رئیس_جمهور #رکود #تورم #دلار</t>
  </si>
  <si>
    <t>سیدرضاقنبری</t>
  </si>
  <si>
    <t>http://www.iranthisway.com</t>
  </si>
  <si>
    <t>Journalist, PR and social media advisor. Director of http://digitalidea.ir , http://iranthisway.com , @iranthisway24</t>
  </si>
  <si>
    <t>Tehran-IRAN</t>
  </si>
  <si>
    <t>از صحبت های #ذوالنور در جلسه #سوال_از_رییس‌جمهور متوجه شدم؛ علاوه بر موسسات مالی و بانک های متداول در جهان؛ نوع خاصی از بانک هم وجود دارد: #بانک_درپیتی!</t>
  </si>
  <si>
    <t>Sadeq Hosseini</t>
  </si>
  <si>
    <t>#مشایی #دادگاه_علنی دادگاه بیدادگاهیان امروز از رگ گردن به ایشان نزدیگتر است. #براندازم #استیضاح #فساد_سیستماتیک #کلک_علنی #راز_مشایی</t>
  </si>
  <si>
    <t>براندازم با افتخار</t>
  </si>
  <si>
    <t>‏انسان بودن را به هر چیزی ارجح میدانم، فارغ از رنگ و نژاد و مسلک و گرایشات شخصی. بزرگتر ازونیم که به نظر میام.</t>
  </si>
  <si>
    <t>یکی پرسید چرا #روحانی گفت میشد مثل پارسال به بانک مرکزی دستور داد کاری کنه که دلار بیاد پایین، اما دستور نداده؟ گفتم چون مجبور میشد به بازار دلار تزریق کنه, الان خودش میگه دارم #دلار و #ارز جمع میکنم برای روز مبادا.</t>
  </si>
  <si>
    <t>Behrang</t>
  </si>
  <si>
    <t>روحانی به دلایل زیر در حد انتظارم ظاهر شد: همه آنچه را که دوست داشتیم بگوید همه میدانند وی رئیس جمهور است نه اپوزيسيون نظام یا روزنامه نگار مخالف ا. ن. هم نبود که شؤونات جمهوري اسلامي را رعایت نکند از شعار دعوت به وحدت عدول نکرد برنده را نمیدانم اما #روحانی بازنده بازی امروز نبود</t>
  </si>
  <si>
    <t>🇮🇷HusseiN🇮🇷</t>
  </si>
  <si>
    <t>‏《‏‏‏‏مدهوش نقطه باءبسم الله》</t>
  </si>
  <si>
    <t>قبله تهران</t>
  </si>
  <si>
    <t>یکی از دلایل قانع نشدن نماینده ها اینه که روحانی سوالا رو داشته توجیهات حسام الدین آشنا @hesamodin1 #سوال_از_رییس‌جمهور</t>
  </si>
  <si>
    <t>سیاه دونه</t>
  </si>
  <si>
    <t>pic.twitter.com/VO3kQCA692</t>
  </si>
  <si>
    <t>🔺دابسمش جدید احمدی‌نژاد خطاب به روحانی و خس‌وخاشاک #خبرآنلاین یعنی دیگه ببین #روحانی چی هستی که احمدی نژاد هم داره بهت تیکه میندازه .😐😐😐</t>
  </si>
  <si>
    <t>غم کي خورد آن که شادمانیش تویی، يا کي مُرد او که زندگانيش تويي، در نسيه آن جهان کجا دل بندد، آن کَس که به نقد اين جهانش توي</t>
  </si>
  <si>
    <t>جناب #روحانی، واقعا حیف، کار خوب و مثبتی را که در اداره کشور شروع شد و با برجام به اوج رسید، دقیقا از همان تاریخ به بعد رو به زوال نهاد، شاید شما مسئول همه اتفاقات نباشید اما بهتر میتوانستید مدیریت کنید، نظیر تغییر تیم اقتصادی، مبارزه با فساد، پرهیز از مناقشه با منتقدان، شفافیت..</t>
  </si>
  <si>
    <t>aminsam</t>
  </si>
  <si>
    <t>http://cyberwarzone.com/</t>
  </si>
  <si>
    <t>Interested in cyber warfare,cyber security,Middle East,Ethical Hacking,SCADA ,Industrial ICT Security ,Science</t>
  </si>
  <si>
    <t>https://www.ilna.ir/fa/tiny/news-661320</t>
  </si>
  <si>
    <t>#ایران #تهران #مهم #فوری درادامه #اعتراضات #مردم لاکن با عنایات صاحب ⌚️جهاد #روحانی #دولت #اختلاس #آموزش_و_پرورش #فساد اهل بیت ال عبا #رهبر_انقلاب وشرکا لاکن ما امروز در بخش کتب کمک آموزشی با یک تجارت بزرگ سربازان گمنام #رجالالغیب #رهبرفرزانه مواجه‌ایم</t>
  </si>
  <si>
    <t>Siavash</t>
  </si>
  <si>
    <t>pic.twitter.com/qMVWAeCAP8</t>
  </si>
  <si>
    <t>کل کل بانکی #روحانی و ذوالنور</t>
  </si>
  <si>
    <t>https://t.me/soheilgoran1</t>
  </si>
  <si>
    <t>electrical engineer - writer - poet</t>
  </si>
  <si>
    <t>Karaj-iran</t>
  </si>
  <si>
    <t>باتوجه به امکان #استیضاح_روحانی آیا در دور بعدی انتخابات ریاست جمهوری شرکت می کنید؟ #ایران #روحانی #نظرسنجی</t>
  </si>
  <si>
    <t>Soheil Goran</t>
  </si>
  <si>
    <t>تنهایی ها لذت بخشند/ IT / کمی فوتبالی</t>
  </si>
  <si>
    <t>یکی از دوستان پرسید بلاخره #روحانی رو #استیضاح می کنند یا نه؟ گفتم بلاخره این کاسه کوزها باید رو سر یکی خراب بشه یا نه؟! آخرشم این مردمند که باید تاوان ماندن یا رفتن روحانی رو بدن #سوال_از_رئیس_جمهور</t>
  </si>
  <si>
    <t>roshana</t>
  </si>
  <si>
    <t>http://Telegram.me/Amirebtehaj1</t>
  </si>
  <si>
    <t>‏‏‏‏‏‏‏‏‏‏‏‏‏‏‏‏‏‏‏‏‏‏‏‏‏‏‏‏‏‏‏‏‏‏‏روزنامه نگار چپگرا در نشریه روب‌رو، نیلوفرآبی، ایران‌فردا ----------- هیچ مسئولیتی بابت اظهارنظر دیگران زیر پستهایم ندارم.</t>
  </si>
  <si>
    <t>طبق آمار بانک مرکزی در هفته اول شهریور نسبت به مدت مشابه سال قبل، لبنیات ۳۷.۸٪، تخم‌مرغ، ۴۶.۴٪، برنج ۱۰.۵٪، میوه‌های تازه ۸۳٪، سبزی‌های تازه ۲۹.۱٪، گوشت قرمز ۳۳.۶٪، گوشت مرغ ۳۲.۵٪ و چای ۲۲.۴٪ فزایش قیمت داشته! بله آقای #روحانی! ما مردم مقصریم، نه شما حضرات! تقصیرها گردن ماست!</t>
  </si>
  <si>
    <t>amir ebtehaj</t>
  </si>
  <si>
    <t>صمصام(شمشیر تیز و برنده)</t>
  </si>
  <si>
    <t>همون قدر که به ایرانی بودنم افتخار میکنم،از داشتن این رئیس جمهور خجالت میکشم #روحاني #سوال_از_رئیس‌جمهور</t>
  </si>
  <si>
    <t>صمصام</t>
  </si>
  <si>
    <t>https://www.instagram.com/zahra_zarfchi/</t>
  </si>
  <si>
    <t>‏‏‏‏‏‏‏‏‏‏‏‏‏دانشجوی جامعه شناسی دانشگاه تهران /نیمه معلم:)</t>
  </si>
  <si>
    <t>می فرمان‌که (مردمی که در دولت یازدهم و در دولت دوازدهم شاهد تحول مثبت در اقتصاد ،فرهنگ، امنیت اجتماعی، سیاست داخلی و سیاست خارجی بودند امروز این سوال برایشان مطرح شده است که چه شده است.) احساس میکنم تو ایران زندگی نمیکنه:/ مطمینین بهش ادرس درست دادین؟ #سوال_از_رییس‌جمهور</t>
  </si>
  <si>
    <t>زهرا ظرفچی</t>
  </si>
  <si>
    <t>‏‏‏‏‏‏‏‏‏</t>
  </si>
  <si>
    <t>خراسان بزرگ</t>
  </si>
  <si>
    <t>نه هشتگ #سوال_از_رییس‌جمهور برام مهمه نه هشتگ #رسانه_کذاب_دادستان_خواب و نه هشتگ #مشهد_تایلند_تشیع (صداش از گونی سیب‌زمینی میاد بیرون )</t>
  </si>
  <si>
    <t>نمیدونم چِمه!</t>
  </si>
  <si>
    <t>‏‏‏‏‏‏سیاس/شاعر/منتظر/گاهی رخنه های ذهنی مینویسد گاهی دردها را/ لامخاطب/علوی 🇮🇷</t>
  </si>
  <si>
    <t>اون دومیلیون و هفتصد هزار نفری که تو این دولت شاغل شدن دستا رو ببرن بالا ببینیم #سوال_از_رییس‌جمهور</t>
  </si>
  <si>
    <t>مریم ناصرپناه</t>
  </si>
  <si>
    <t>‏‏تحصیل کرده روانشناسی پر جنب و جوش دوستدار امام خامنه ای اهدنا الصراط المستقیم</t>
  </si>
  <si>
    <t>چقدر مردم‌ما ناشکرن بابت همچین رئیس جمهور خوبی🤔 ! آخه چقدر باید شغل ایجاد کنن مگه هر نفر چند تا شغل باید داشته باشه ! آخه زیاده خواهی تا چه اندازه😐 #سوال_از_رئیس_جمهور</t>
  </si>
  <si>
    <t>غریبه</t>
  </si>
  <si>
    <t>حقوق كدوم كارمندي دو برابر شده كه با اين صراحت اعلام مي كنند؟ما كارمند نيستيم مگه؟؟ تنها در حالتي كه حقوق يه نفر صفر باشه مي تونسته ٢ برابر بشه !! #سوال_از_رئيس_جمهور #حقوق_دو_برابر</t>
  </si>
  <si>
    <t>Math</t>
  </si>
  <si>
    <t>بزرگان وطن را از حماقه / نباشد بر وطن يكجو علاقه / يكى از انگلستان پند گيرد / يكى با روسها پيوند گيرد</t>
  </si>
  <si>
    <t>Persian Gulf خليج فارس</t>
  </si>
  <si>
    <t>#روحانی امروز در مجلس: برادران و خواهران عزیز ، ماست سفید است و کلنگ از آسمان افتاد و نشکست. والسلام علیکم</t>
  </si>
  <si>
    <t>کوروش میرزا</t>
  </si>
  <si>
    <t>Civil engineer🏗 We are love against israel✊️ Our leather ayatollah khamenei🇮🇷 مهندس عمران🏗 ما عاشق مبارزه با اسراييل هستيم✊️ رهبر فقط آية الله خامنه اى🇮🇷</t>
  </si>
  <si>
    <t>Tehran,islamic republic of Iran</t>
  </si>
  <si>
    <t>https://pbs.twimg.com/media/DlspJs5W4AIR1TN.jpg</t>
  </si>
  <si>
    <t>اين حاج آقا هم مثل اون حاج آقا ساده زيستند...باور نداريد؟؟؟باد بزن رو نميبينيد؟؟؟؟هى بايد باد بزن رو تكون بده..بنده خدا خب گرمشه #سوال_از_رئیس‌_جمهور #خنك_كننده_امريكايى</t>
  </si>
  <si>
    <t>آشِخ ممصادق خياط</t>
  </si>
  <si>
    <t>بابا : بد شکستی خورد #استقلال امشبم #پرسپولیس می خوره مامان : بد شکستی خورد #روحانی</t>
  </si>
  <si>
    <t>https://pbs.twimg.com/media/DlspMPLWsAEK2on.jpg</t>
  </si>
  <si>
    <t>آقای روحانی این امار افزایش اشتغال در دولت های خود را از کجا آورده اید؟ #سوال_از_رئیس‌جمهور</t>
  </si>
  <si>
    <t>http://www.sohrablou.com</t>
  </si>
  <si>
    <t>IT Manager, Photographer, Designer, Software and Web Developer. [ #IT account: @M_Sohrablou ]</t>
  </si>
  <si>
    <t>ای بابا، همش ۵ تا سوال بوده و ۴تا بی‌پاسخ؟! یعنی بارم بندی کنیم، میشید ۴ !!! حتی با ارفاق هم قبول نمی‌شدید، ولی کارت زرد گرفتید! #سوال_از_رئیس_جمهور #سوال_از_رییس‌جمهور</t>
  </si>
  <si>
    <t>Sohrablou 🇮🇷</t>
  </si>
  <si>
    <t>يه مهندسه حقوق خونده . اما نه مهندسه نه حقوقى خونده</t>
  </si>
  <si>
    <t>فحواى كلام #رئیس_جمهور اين بود كه ، اگه ما پشت هم باشيم ، مردم هيچ گوهى نميتونن بخورن</t>
  </si>
  <si>
    <t>Mohammad</t>
  </si>
  <si>
    <t>‏دفاع از حرم یعنی قرار جنگ اگر باشد... زمین کارزار ما تل‌آویو است، تهران نه 🥀</t>
  </si>
  <si>
    <t>هشتگ راه انداخته #من_و_سانسورچی مثلا هجمه ایجاد کنه علیه صداوسیما اینا همون ملیجکایی هستن که صداوسیما بزرگشون کرد حالا شدن ملیجک #روحانی که حواس مردم رو از ناکارامدی #دولت پرت کنن کلا کارشون همینه،یه #رقص_میله برن حواس مردم پرت بشه جیغ زدن فایده نداره،این دولت،قبرستون اصلاحاته 🙂</t>
  </si>
  <si>
    <t>بهرام همایون</t>
  </si>
  <si>
    <t>https://pbs.twimg.com/media/DlspT-JX4AArpbA.jpg</t>
  </si>
  <si>
    <t>لامصبا از ۱۰۰ دو گرفتم یه صفر بزارید جلوش بیست بشم 😁 #سوال_از_رییس‌جمهور</t>
  </si>
  <si>
    <t>عضو هيات علمي دانشگاه</t>
  </si>
  <si>
    <t>#روحاني در پاسخ به سؤالات #مجلس نشان داد كه #دلواپس_ايران است و هنوز هم #اميد دارد تا بين مطالبات #اصول_گرايان و #اصلاح_طلبان تعادل ايجاد كند ولي او بايد بداند كه متاسفانه #اعتماد_مردم به اصلاح امور آخرين نفس هاي خود را مي كشد.</t>
  </si>
  <si>
    <t>محمدرضا حاتمي</t>
  </si>
  <si>
    <t>ماورای باورهای ما , ماورای بودن و نبودن های ما , آنجا دشتی است فراتر از همه تصورات راست و چپ تورا آنجا خواهیم دید.🙏</t>
  </si>
  <si>
    <t>IR</t>
  </si>
  <si>
    <t>#تخریب #خرابی به بار می آورد. #روحانی یکی اینو بزنه تابلو اعلانات #هزارپا</t>
  </si>
  <si>
    <t>NeGaR</t>
  </si>
  <si>
    <t>‏‏چند روزیست سرم میل بریدن دارد</t>
  </si>
  <si>
    <t>بندگی مکان مکن</t>
  </si>
  <si>
    <t>دلتون خوشه، #سوال_از_رییس‌جمهور فقط قیمت هارو بالا میبره. #روحانی #دلار</t>
  </si>
  <si>
    <t>قاضی بُست</t>
  </si>
  <si>
    <t>http://pressroom.rferl.org/a/jan-palach-film/28340588.html</t>
  </si>
  <si>
    <t>Freelance TV documentary producer &amp; photographer</t>
  </si>
  <si>
    <t>Prague, Czech Republic &amp; D.C.</t>
  </si>
  <si>
    <t>همه از استيضاح #ترامپ حرف ميزنن، فعلا كه #روحاني دست به نقده انگار! وقتي نمايندگان از پاسخ هاي او قانع نشدند، الان مگر نبايد قدم بعد استيضاح باشه؟! ارجاع به قوه قضاييه ديگه چه ماجراييه...</t>
  </si>
  <si>
    <t>hasan sarbakhshian</t>
  </si>
  <si>
    <t>هفته ی دولتی که با سوال از رئیس جمهور و طرح استیضاح وزیر دولت شروع بشه خدا آخرشو بخیر کنه. #سوال_از_رئیس‌جمهور</t>
  </si>
  <si>
    <t>E.M</t>
  </si>
  <si>
    <t>‏‏‏‏يك ايراني، انقلابى، دانشجو ناشناس حرفتو بگو http://t.me/freeUnknownMsg…‎</t>
  </si>
  <si>
    <t>اگر تیم اقتصادی #دولت به اندازه تیم رسانه ایش قوی بود،الان اقتصاد اول آسیا بودیم. #دولت_شانتاژ #سوال_از_رییس‌جمهور</t>
  </si>
  <si>
    <t>🇵🇸🇮🇷🇮🇷 پــــــــادزهــــــر🇮🇷 🇮🇷🇵🇸</t>
  </si>
  <si>
    <t>Chicago, IL</t>
  </si>
  <si>
    <t>چه #روحانی برود یا فرد دیگه جایگزینش بشه هیچ فرقی نداره چون نوع سیستم بیمار و فاسده بعد از چهل سال به چی رسیدیم؟معلومه هیچی تازه عقبگرد هم داشتیم بله این انقلاب در همون ۱۲ بهمن ۵۷ توی بهشت زهرا دفن شد و شد یک مرده متحرک #مجلس #سوال_از_رئیس‌جمهور #من_انتخاب_نکردم</t>
  </si>
  <si>
    <t>سالواتوره مارونی</t>
  </si>
  <si>
    <t>https://telegram.me/HarfBeManBot?start=MjczNjIwMzU</t>
  </si>
  <si>
    <t>‏‏‏‏‏‏‏‏‏‏‏‏‏‏‏‏‏‏‏‏‏‏‏‏‏جستجوگری در مسیر نشدن ‏ ‏ مجنونِ متناقض‌نما، همه چیز را تکذیب می‌کنم الّا او...</t>
  </si>
  <si>
    <t>- والله ما دچار بحران نیستیم... + احسنت! - عه؟! + آرههههههه... #سوال_از_رییس‌جمهور</t>
  </si>
  <si>
    <t>پی‌یایِ لُر... دون‌وُلِكِئونِه🇮🇷</t>
  </si>
  <si>
    <t>ارشد صنایع(تحلیل سیستم‌های اقتصادی و اجتماعی)/ نویسنده/ کمی تحلیلگر سیاسی و اقتصادی</t>
  </si>
  <si>
    <t>#روحانی در پاسخ به سوالات نمایندگان، نه تنها پاسخ هیچ یک از سوالات را نداد بلکه با طرح انبوه سوالات فرعی و بعضا پاسخ های بی ربط، با جوسازی و عملیات روانی، بی تدبیری و عملکرد ضعیف خود را به گردن دیگران انداخت. اصلا همه مقصرند به غیر از روحانی!!!!</t>
  </si>
  <si>
    <t>چارلی چاپلین</t>
  </si>
  <si>
    <t>اونی که از حرف های #روحانی قانع شده منم بچه ها میگن جلو تلوزیون هی پشت هم با سر تایید میکردی اومدیم جلو دیدیم چُرت میزنی قانع ام من #قانع_خواب #سوال_از_رییس‌جمهور</t>
  </si>
  <si>
    <t>http://nazokbin.ir</t>
  </si>
  <si>
    <t>‏‏‏‏‏‏فعال فضای مجازی استان گیلان؛ مدیر سایت و کانال نازکبین؛ معتقد به اینکه هرجا توهین به میان آید، گفتگو را خاتمه می‌باید.</t>
  </si>
  <si>
    <t>گیلان</t>
  </si>
  <si>
    <t>آقای #روحانی امروز در جلسه #سوال_از_رییس‌جمهور گفت قیمت ارز در هفته اخیر متعادل شد و متعادلتر هم خواهد شد راست هم گفت، پس از جلسه "بالمره" نرخ دلار با شنیدن برنامه‌های روحانی، ۷۰۰ تومان به سمت بالا متعادلتر شد! و همزمان درک مردم از کلمات "اعتدال" و "تعادل" به بالاترین حدش رسید.</t>
  </si>
  <si>
    <t>سیاوش آقاجانی</t>
  </si>
  <si>
    <t>http://www.islamshia.org</t>
  </si>
  <si>
    <t>مترجم تخصصى زبان ايتاليايي/كارشناسى ارشد حقوق بين الملل</t>
  </si>
  <si>
    <t>رم</t>
  </si>
  <si>
    <t>صبح ندیده بودم کامل جلسه سوال از رییس جمهور رو، الان بیشتر دیدم. ببخشید... چقدر زرررر زد! 😑😑😑 #سوال_از_رئیس‌_جمهور</t>
  </si>
  <si>
    <t>Farzane 🇮🇷</t>
  </si>
  <si>
    <t>Business Analyst.interested in classic music,books, nature, hiking and language learning. 28years old</t>
  </si>
  <si>
    <t>#مجلس رگباری استیضاح میکنه مثلا بگه ما کارمون رو کردیم!؟ خوب کی قراره جاشون بیاد؟ #خودمان_انتخاب_کردیم این نمایندگان مجلس و این دولت و این حکومت رو!؟</t>
  </si>
  <si>
    <t>Samaneh</t>
  </si>
  <si>
    <t>#دختر_انقلاب</t>
  </si>
  <si>
    <t>باید در #شرق رو گل گرفت که خبرایی روشایعه کرده که مستقیم باغیرت وناموس زن ومردمسلمان ارتباط داره! #رسانه_کذاب_دادستان_خواب این از این منتها ما همچنان حواسمون به چیزایی که باید هم هست #محاکمه_مفسدان_اقتصادی #شفافیت_آراء_نمایندگان نتیجه #سوال_از_رییس‌جمهور #مجلس #قوه_قضاییه</t>
  </si>
  <si>
    <t>mrymhdvnd</t>
  </si>
  <si>
    <t>ما فقط در برابر تو سجده میکنیم ولاغیر...</t>
  </si>
  <si>
    <t>فکه</t>
  </si>
  <si>
    <t>امروز برای اولین بار تو #مترو دیدم که مردم تو بحث کردن فقط حرف همدیگرو تایید میکردند و خبری از مخالفت نبود. البته موضوع بحث هم در رسیدن به این اتحاد بی تاثیر نبود. موضوع چی بود؟؟ اینکه #یارو هیچ غلطی نکرده بعد رفته #مجلس حرف مُفت هم میزنه.</t>
  </si>
  <si>
    <t>Sir Ashpaz</t>
  </si>
  <si>
    <t>در پی آزادی از ترس و رهایی از نیاز</t>
  </si>
  <si>
    <t>راجع به جلسه امروز #مجلس حرف زیاده، بذارید یه چیزم من بگم کسی توجه نکرده بهش #روحانی گفت: حوادث دی ماه «آقای» ترامپ را به «طمع» انداخت. نسبت بین این آقا و طمع رو به منم بگید. به جان خودم این دیگه سقوط دیپماسیه حتی در اشل تیم روحانی، اون آقا یعنی ما ادب دیپلماتیک رو رعایت می‌کنیم.</t>
  </si>
  <si>
    <t>Okhtay Hosseini</t>
  </si>
  <si>
    <t>http://www.sarvnews.com</t>
  </si>
  <si>
    <t>دانش آموخته حقوق انگلستان، فعال مدني، عضو كارگزاران سازندگی ایران؛ امام صدر پژوه، law graduate, civil activist, living in lovely Iran،</t>
  </si>
  <si>
    <t>این جمله جواب اکثر قریب به اتفاق نقد ها و ایرادات وارده به سخنان @Rouhani_ir در #مجلس_شورای_اسلامی است : “امیدوارم که بتوانم نقاط مورد نظر مقام معظم رهبری را که در توصیه‌هایی که نسبت به جلسه امروز به من فرمودند، دقیقا مراعات کنم” #رئیس_جمهور #استیضاح</t>
  </si>
  <si>
    <t>Siavash Bastami</t>
  </si>
  <si>
    <t>‏‏تحلیلگر مسائل سیاسی بهاری</t>
  </si>
  <si>
    <t>👈نمایندگان محترم : 🔻بجای اینکه ۲۰ بار #وزرای یک رییس دولت رو #استیضاح کنید یکبار #رییس اون ۲۰ نفر رو #استیضاح کنید!</t>
  </si>
  <si>
    <t>محمد ظفر (ساقی نامه)</t>
  </si>
  <si>
    <t>‏‏‏‏‏‏عاشق طبیعت گردی و مسافرت👣 سپاهانی اصیل⚽ میر حسینی👳 حیوان دوست 🐾 و در آخر اینکه..تنها💔</t>
  </si>
  <si>
    <t>https://pbs.twimg.com/media/DlsusdKW4AEehYV.jpg</t>
  </si>
  <si>
    <t>مقایسه حقوق کارگر ایرانی با فرانسوی منبع #یورونیوز #روحانی #فساد_سیستماتیک #کارگران #کارت_زرد #روحانی</t>
  </si>
  <si>
    <t>جکسی🇮🇷</t>
  </si>
  <si>
    <t>امروز در #جلسه #سئوال از #رئیس_جمهور عملکرد #مجلس و #دولت مطابق #انتظار بود، تقریبا #هیچ. #مچکریم</t>
  </si>
  <si>
    <t>حسن #روحانی امروز تو مجلس گفته #کاخ‌سفید فکر نکنه در پایان جلسه امروز خوشحال خواهد بود، بداند غمگین خواهد بود. حاجی بهتره بدونی کاخ سفید جلسه امروز و کل جلسات و مجالس شما به چپش هم نیست. کجای کارید شما؟ #سوال_از_رییس‌جمهور #استیضاح_روحانی</t>
  </si>
  <si>
    <t>‏‏‏‏‏‏دانشجوی مهندسی هوافضا، فعال دانشجویی و سیاسی</t>
  </si>
  <si>
    <t>https://pbs.twimg.com/media/DlsvH9OW0AA8__3.jpg</t>
  </si>
  <si>
    <t>با سخنان رهبری درباره لزوم ادامه بکار این دولت و نهی عده ای که می گفتند این دولت باید استعفا بدهد، عملا استیضاح #رئیس_جمهور را منتفی میدانم. ولی اتفاق امروز مجلس را به معنای واقعی یک باخت سیاسی برای شخص آقای روحانی و برد نسبی برای مردم میدانم. #سوال_از_رئیس_جمهور</t>
  </si>
  <si>
    <t>میثم شهریاری</t>
  </si>
  <si>
    <t>https://twitter.com/pooriya_fazel68/status/1034441275238436864</t>
  </si>
  <si>
    <t>#رسانه_کذاب_دادستان_خواب و همچنان پیگیر #محاکمه_مفسدان_اقتصادی #شفافیت_آراء_نمایندگان نتیجه #سوال_از_رییس‌جمهور #مجلس #قوه_قضاییه RT @pooriya_fazel68: حرکت مشکوک و تهدید کننده منافع ملی و انتخاب تیتر معنادار جهت تبدیل شهر مشهد به سیبلی جهت حمله ضد انقلاب و معاندین توسط روزنامه #شرق در تاریخ حرکات ژورنالیستی ماندگار خواهد بود. اقای @k_maziar قابل توجه شما که فکر میکنید راه فرار دولت طهران نشین از بحران سازی در #مشهد میگذرد.</t>
  </si>
  <si>
    <t>طنزنویس مطبوعات</t>
  </si>
  <si>
    <t>هرکی حقوقش دو برابر شده... خودش زیر همین توییت اعتراف کنه! #روحانی #سوال_از_رئيس_جمهور</t>
  </si>
  <si>
    <t>فریور خراباتی</t>
  </si>
  <si>
    <t>حاجی دست چپ روحانی چه لرزشی داشت، از استرسه یا از پیری؟ #سوال_از_رییس‌جمهور #استیضاح_روحانی</t>
  </si>
  <si>
    <t>‏معلم.فعال رسانه وفضای مجازی.نویسنده.محقق وپژوهشگر مبانی اندیشه اسلامی و تربیت.مشاور.موسسه فرهنگی دارم.استادمرحوم تخلصم را سهیل گذاشت.</t>
  </si>
  <si>
    <t>کرمان</t>
  </si>
  <si>
    <t>امیدوارم #استیضاح #بطحایی منجربه بهبودوضع #معلمان شود فاصله #حقوق_معلم وبازار این روزها خیلیه. پای دویدنی نمانده. بطحایی #مدافع دولته تامعلم</t>
  </si>
  <si>
    <t>سلمان سنجری</t>
  </si>
  <si>
    <t>‏‏‏مرا زیبا به یاد بیاور.. این ها، آخرین سطرهای من است.. فرض کن که من، رویایی بودم.. که از زندگی تو گذر کردم</t>
  </si>
  <si>
    <t>اقا تو این سیستمای بادی لنگوئج و اینا میگن طرف وقتی دروغ میگه دماغشو میخارونه، دقیقا لحظه‌ای که #روحانی گفت دو میلیون و خورده‌ای اشتغال داشتیم و این افتخاره برا کشور دماغشو خاروند، ایا در این نشانه‌ای نیس برا فلان🤔</t>
  </si>
  <si>
    <t>عابر</t>
  </si>
  <si>
    <t>‏‏زمانه، زمانهٔ مبارزه نهایی با استکبار است. امام سرباز میخواهد. آماده باشید.</t>
  </si>
  <si>
    <t>معتقدم که برنده بازی امروز نه #مجلس بود،نه #اصولگراها بودند،نه #لاریجانی،نه #روحاني و نه #مردم. بلکه برنده نسبی بازی امروز #اصلاح‌طلبان بودند که با این نمایش مسخره از سیاهچال حمایتشون از روحانی راه فراری تدارک دیدند برای #انتخابات_۹۸ مجلس.</t>
  </si>
  <si>
    <t>عبدالله حقگو</t>
  </si>
  <si>
    <t>آینده در دستان ماست اگر آب و هوا یا محیط زیست سالم داشته باشیم !عمل ما مصداق این بیت است از دشمنان برند شکایت به دوستان چون دوست دشمن است شکایت کجا بریم</t>
  </si>
  <si>
    <t>من از رای دادن به #روحانی پشیمان نیستم؛ نمیدونم چرا #پریشانم!</t>
  </si>
  <si>
    <t>دایی حسن</t>
  </si>
  <si>
    <t>میگه من به مردم قول میدم هیچ کاری رو بدون مشورت انجام نمیدم. سوال اینه که با چه کسانی مشورت می‌کنی جناب #رئیس‌جمهور ؟ با بقیه‌ی بی‌کفایت‌ها و ورشکسته‌های سیاسی؟ با #جهانگیری و #نوبخت و #نهاوندیان؟ #سوال_از_رییس‌جمهور #استیضاح_روحانی</t>
  </si>
  <si>
    <t>‏تنها،سخت،وسیع،سر به زیر ✌جمهوریخواه✌ ورود عرازشه 🚫</t>
  </si>
  <si>
    <t>روحانی میگه من هیچگاه تصمیمی بدون مشورت و خرد جمعی نگرفتم. #سوال_از_رئیس_جمهور میخواد بگه هرچی خوردیم با هم خوردیم...فقط قاشق من عنی نیست. #روحانی_خفه_شو</t>
  </si>
  <si>
    <t>Alireza gh</t>
  </si>
  <si>
    <t>...</t>
  </si>
  <si>
    <t>صبح داشتم زنده حرفای #رئیس_جمهور رو می دیدم و الان توو اخبار هم دارم می بینم. صبح داغ بودم، الان که باز می بینم بیشتر به دروغ های ایشون میرسم. باید کی باشی که انقد راحت #قسم_دروغ بخوری؟؟؟ #دولت_خائن #دولت_دروغگو</t>
  </si>
  <si>
    <t>جا مانده ...</t>
  </si>
  <si>
    <t>‏‏مسلمان،ایرانی،ارشد رسانه،عدالتخواه،کتابخوار،پرسپولیسی</t>
  </si>
  <si>
    <t>https://pbs.twimg.com/media/DlswW3gX4AAouWJ.jpg</t>
  </si>
  <si>
    <t>وقتی تو بچگی داستان "لباس جدید پادشاه" هانس کریستین اندرسن رو میخوندیم با همون بچگیمون میدونستیم خیالیه اما قسمت درام داستان جایی شد که تو بزرگی داستان به واقعیت پیوست! امروز تو مجلس یک مرد که هیچ،یک کودکم پیدا نشد که لختی پادشاه رو فریاد بزنه! #سوال_از_رییس‌جمهور</t>
  </si>
  <si>
    <t>پسرٍ کفشگر!</t>
  </si>
  <si>
    <t>تا شرک و کفر هست، مبارزه هست و تا مبارزه هست، ما هستیم.</t>
  </si>
  <si>
    <t>#روحانی امروز گفت من هیچ کاری بدون خرد جمعی انجام ندادم، قبول آقای روحانی ولی همه خردی که شما آن ها را جمع کرده و تصمیم گرفته اید خرد #لیبرال های با تفکر خودباخته و وابسته به غرب است و شرایط امروز جامعه دقیقاً به علت همین خرد جمعی لیبرالی است که شما ۵ سال از آن استفاده کردید!</t>
  </si>
  <si>
    <t>فرزند روح‌الله</t>
  </si>
  <si>
    <t>https://pbs.twimg.com/media/DlswiHRX4AEFTq6.jpg</t>
  </si>
  <si>
    <t>این مراسم #سوال_از_رئیس_جمهور رو که دیدم، این فکر به ذهنم رسید که اگه ایرانی نبودم و این رو میدیدم، آرزو میکردم که ایکاش کشور ما هم یه همچین رئیس جمهور کاملی میداشت! واقعاً #اعتماد_به_سقف !</t>
  </si>
  <si>
    <t>Pouria</t>
  </si>
  <si>
    <t>💀هـَنوزْ کُــلـیـٖ اِشـتـبـٰاهـْ مـونــدهـِ کِ نَکَرْدَمـْ💀</t>
  </si>
  <si>
    <t>جناب آقای دکتر #روحانی اعتماد به نفستان شگفت انگیز بود دور زدن تحریم ها پیش کش٬ ای کاش بجای احمق فرض نمودن #نمایندگان_مجلس، قدری از وزیرتان جناب #آخوندی روشهای بِروز دور زدن #استیضاح را می آموختید این حربه ها قدیمی شده #اعتماد_به_سقف</t>
  </si>
  <si>
    <t>#ø3ein_k@?@l!</t>
  </si>
  <si>
    <t>‏‏‏‏‏یه گنهکارِ امیدوار به رحمت خدا،هشتگ مورد علاقه ‎‎‎‎‎#اللهم_عجل_لوليك_الفرج، انقلابی و ‎‎‎‎‎#منتظر انقلابِ مهدی(ع) و لطفاً اشتباه من رو به پای دینم ننویسید.</t>
  </si>
  <si>
    <t xml:space="preserve">همسایه امام رضا(ع) </t>
  </si>
  <si>
    <t>یکی از غمناک ترین جُکهای قرن... «من اقتصاد دان هستم» #سوال_از_رئیس‌جمهور #روحانی</t>
  </si>
  <si>
    <t>montazer...</t>
  </si>
  <si>
    <t>✌️يك مدافع حقوق مردم و در تلاش براي رهايي مردم ايران از شر ديكتاتوري</t>
  </si>
  <si>
    <t>https://pbs.twimg.com/media/Dlsw6i-XoAA2O1O.jpg</t>
  </si>
  <si>
    <t>شعله‌‌های سرکش بحران درونی در #مجلس نظام الیاس حضرتی ازباندروحانی درمورداستیضاح وزیر اقتصاد گفت:«ما فقط دستمان به استیضاح کرباسیان می‌رسد ولی امروز باید روحانی، نهاوندیان، نیلی، جهانگیری، نوبخت و سیف استیضاح می‌شدند»!اما دست مردم به همتون خواهد رسید #IranRegimeChange #براندازم</t>
  </si>
  <si>
    <t>عصيانگر</t>
  </si>
  <si>
    <t>آی #روحانی من به عنوان یکی از مردم ازت میخوام که بیای بگی چه گوهی خوردی با امار و ارقام واقعی، اتفاقا اینه میخوام</t>
  </si>
  <si>
    <t>No I can't forget tomorrow When I think of all my sorrow</t>
  </si>
  <si>
    <t>Norway</t>
  </si>
  <si>
    <t>https://pbs.twimg.com/media/DlsxLo4U4AAE9q8.jpg</t>
  </si>
  <si>
    <t>آقاي #روحاني چ كردي؟</t>
  </si>
  <si>
    <t>saeed_hoseini</t>
  </si>
  <si>
    <t>‏ابو جون, Jown's father, بابای جوُن</t>
  </si>
  <si>
    <t>آقا من صب رفتم بیرون سوار تاکسی هم شدم اما ندیدم! #سوال_از_رییس‌جمهور</t>
  </si>
  <si>
    <t>@MeythaM</t>
  </si>
  <si>
    <t>http://fb.com/majid.rezaei.942</t>
  </si>
  <si>
    <t>http://instagram.com/majidrezaei.83</t>
  </si>
  <si>
    <t>مردم این رو.نمیخوان که من بیام اینجا و به سوالات شما پاسخ بدن . #روحانی #مجلس</t>
  </si>
  <si>
    <t>rezaeimajid</t>
  </si>
  <si>
    <t>‏‏‏‏‏‏‏‏‏‏‏‏‏‏‏‏‏‏‏‏‏‏‏‏‏‏‏‏‏‏‏‏‏‏‏‏‏‏‏‏‏‏‏‏‏‏‏‏‏‏‏‏‏‏‏‏‏فعال دانشجویی، سرگرم به رسانه و سیاست، همسر، با افتخار شهروند ‎‎‎#جمهوری_اسلامی_ایران</t>
  </si>
  <si>
    <t>راننده تاکسی ذهنش درگیر بود، گفت #خودرو من شده ۷۰میلیون؛ اینقدر قطعات خودرو گران شده که اگه ماشینم خراب شه هیچ کاری نمیتونم بکنم... با روزی ۸۰هزارتومن درآمد چجور خانواده ۴نفری رو بچرخونم! #سوال_از_رییس‌جمهور</t>
  </si>
  <si>
    <t>محمود قائدی🇮🇷</t>
  </si>
  <si>
    <t>In dream of a desprated iran✌</t>
  </si>
  <si>
    <t>می گم اگه امروز #خلخالی بود تو #مجلس چند نفرو به رگبار می بست ؟</t>
  </si>
  <si>
    <t>Ava</t>
  </si>
  <si>
    <t>#مجلس از پاسخ های #روحانی مثلا قانع نشد. دو وزیر رو تا حالا انداختن طرح #استیضاح وزیر صنعت و اموزش و پرورش هم اعلام وصول شده و طرح استیضاح آخوندی و تعدادی دیگه از وزرا در جریان است. من کاری به عملکرد دولت ندارم ولی با پیشینه ای که از نمایندگان داریم این #کودتا #دولت_پنهان نیست؟</t>
  </si>
  <si>
    <t>#وزیر_صنعت در صف #استیضاح یکی بگه تو این کشور چه خبره #سوال_از_رئیس‌جمهور</t>
  </si>
  <si>
    <t>‏یه بچه طلبه ی نیمچه فیلسوفِ والیبالیستِ آزمایشگاهی😅 عاقل تر از آنیم که دیوانه نباشیم...</t>
  </si>
  <si>
    <t>جمهوری اسلامی ایران-نصف جهان</t>
  </si>
  <si>
    <t>همه نشستن جلسه سوال از رئیس جمهور رو با دقت میبینند. اونوقت من دارم فکر میکنم به دنیای بدون تو...کار کی درست تره؟ #سوال_از_رییس‌جمهور</t>
  </si>
  <si>
    <t>eli.jafari</t>
  </si>
  <si>
    <t>اهل سرزمین نخل و آفتاب| مستقل اما دلبسته انقلاب</t>
  </si>
  <si>
    <t>تنها فایده سوال نمایندگان از #رئیس_جمهور #روحانی این بود که همه فهمیدند که ایشون جواب قانع‌کننده‌ای حتی برای #مجلس وکیل‌الدوله هم ندارند.</t>
  </si>
  <si>
    <t>مرتضی خسروی</t>
  </si>
  <si>
    <t>عشق بی تو. چیز غریبی است درست عین مرگ</t>
  </si>
  <si>
    <t>امروز رئیس جمهور رفته مجلس گفته درد مردم این نیست من بیام مجلس به سوال نمایندگان جواب پس بدم درد مردم رو خودشون میدونن اینم از ریس جمهور کشوری هشتاد میلیونی که هیچی ارزشی واسه مردمش قائل نیست متاسفم... همین.... #دولت #رییس_جمهور #مجلس #نمایندگان</t>
  </si>
  <si>
    <t>Rasoul.rashidi</t>
  </si>
  <si>
    <t>آیا،قانع نشدن نمایندگان از پاسخهای رئیس دولت ،و بررسی ارجاع به #قوه_قضائیه به معنای ،تخطی #دولت از قانون است؟..چالشی که ادامه آن،معادله ثبات را #متزلزل و تاریخ را به تکرار واخواهد داشت #سوال_از_رئیس‌جمهور #استیضاح #عدم_کفایت_سیاسی</t>
  </si>
  <si>
    <t>آی #روحاني اون ۹ میلیارد دلار چیشد؟ #اینه_بگو</t>
  </si>
  <si>
    <t>‏فکر میکنم خودم هستم! / ♂️/ ‏‏‏‏‏‏‏‏‏‏‏قایقی خواهم ساخت ...،پشت دریاها شهری است ...، شهر من هیچستان ...</t>
  </si>
  <si>
    <t>همین #روحانی بود که تو انتخابات از رشد نقدینگی در دوره احمقی نژاد شکایت می کرد، حالا تو دوره خود کثافتش #نقدینگی سه برابر شده. البته آدرس غلط ندیم، کل سیستم نکبتشون #ناکارآمد و فاسده. #روحانی_خفه_شو #islamicregimemustgo</t>
  </si>
  <si>
    <t>نهیلیست امیدوار  #براندازم</t>
  </si>
  <si>
    <t>🚫تجزیه طلب و مجاهد</t>
  </si>
  <si>
    <t>گویا #روحانی امروز تو مجلس معترضین #دی۹۶ رو مسئول وضعیت مملکت دونسته، خیلی خوشحالم به این مرتیکه رای ندادم، بماند تو اون برهه می گفتن خامی. #روحانی_خفه_شو</t>
  </si>
  <si>
    <t>شورش</t>
  </si>
  <si>
    <t>‏سقراط: من خرمگسی هستم که خدا به مردم آتن ارزانی داشته</t>
  </si>
  <si>
    <t>مرغ باغ ملکوتم نیم از عالم خاک</t>
  </si>
  <si>
    <t>#روحانی داره میگه مردم گرانی رو میبینن، مشکلی نیست... مسئله ای نیست و بچه هفت ساله داره میبینه و با تعجب میگه مشکلی نیست؟! مسئله ای نیست؟! آره چون خودتون پولدارید!! اندازه یه بچه بفهمید لطفا رجال سیاسی!!</t>
  </si>
  <si>
    <t>http://telegram.me/rezanasrichannel</t>
  </si>
  <si>
    <t>International Lawyer. Foreign policy analyst. Tweets about Iran.</t>
  </si>
  <si>
    <t>آقای ترامپ برخوردِ مجلس با رئیس‌جمهور را اینگونه تعبیر خواهد کرد که سیاست «فشار حداکثری» نه تنها اقتصاد ایران را بهم ریخته بلکه صحنه سیاسی کشور را هم مختل کرده است. در نتیجه، در تشدید و ادامه این سیاست مصمم‌تر خواهد شد. #مجلس از خود سئوال کند کدام گره با این کار گشوده شد؟</t>
  </si>
  <si>
    <t>Reza Nasri</t>
  </si>
  <si>
    <t>https://pbs.twimg.com/media/DlsyyQVWwAAcYf6.jpg</t>
  </si>
  <si>
    <t>روحانی: "هر وقت با وزرا کار داریم میگویند مجلس هستند" لاریجانی: "ما که نمی بینیم! ببینید کجا هستند!؟" کجان؟! مَکان حسن" #سوال_از_رییس‌جمهور</t>
  </si>
  <si>
    <t>اینائی که به اصلاحاتبا رای میدین واقعا دلتون به چی اینا خوش کردید؟ امروزکی حرف دل ملتو به رئیس جمهور زد ؟ محمودصادقی یاعلی مطهری؟ برادوره بعد چشمتون روباز کنید به یکی رای بدین که جرات کنه حرف دل ملتو بزنه #سوال_از_رییس‌جمهور #ذوالنور</t>
  </si>
  <si>
    <t>🇮🇷❤Atre Yaas❤🇮🇷</t>
  </si>
  <si>
    <t>در #آینده_پژوهی ، آنچه سبب شکل‌گیری #آینده می‌شود اینه که چه تصویری از آینده در ذهن مردم ساخته شده جمله #روحانی در جلسه #سوال_از_رییس‌جمهور درسته:زمانی اوضاع به‌هم ریخت که ذهنیت مردم از آینده مبهم شد. رسانه‌ای که بر طبل ناامیدی می‌کوبد ستون پنجم دشمنه #رسانه_کذاب_دادستان_خواب</t>
  </si>
  <si>
    <t>They call us Yamani Arabs in Iraq and Syria, Aryan Kurd in Iran &amp; Mountainous Turk in Turkey! We are just #KURDISH from #KURDISTAN! #Kurdish_Nationalism</t>
  </si>
  <si>
    <t xml:space="preserve">Occupied Kurdistan </t>
  </si>
  <si>
    <t>روحانی در مجلس: «امیدوارم بتوانم نکات و توصیه‌هایی را که مقام معظم رهبری نسبت به همین جلسه به من فرمودند، دقیقا مراعات کنم.» #رای_ما_چشد؟ #روحاني</t>
  </si>
  <si>
    <t>One Kurdistan (Kurdia)</t>
  </si>
  <si>
    <t>تا چی بشه</t>
  </si>
  <si>
    <t>https://pbs.twimg.com/media/DlszKU1XsAAFjeC.jpg</t>
  </si>
  <si>
    <t>سیاستمدارهای شیاد فریب های بزرگشان را پشت لبخندهای همیشگی پنهان میکنند. #روحانی</t>
  </si>
  <si>
    <t>سپهر</t>
  </si>
  <si>
    <t>یدفعه مجلس بیاد بگه اقا هرچی و هرکی ما میگم بزارید تا حمایت کنیم . یه مشت عقده ای دور هم جمعن شاید از همه ۲۰ نفر فکر مردم باشن . بقیه فکر تصویه حساب سیاسی هستن #استیضاح</t>
  </si>
  <si>
    <t>Davoud</t>
  </si>
  <si>
    <t>‏‏ پی آواز قرون... AE Engineering @ SUT</t>
  </si>
  <si>
    <t>از نیستان مرا ببریده‌اند</t>
  </si>
  <si>
    <t>آقای #هاشمی تاوان مهندس #بازرگان رو پس داد. آقای #روحانی در مسیر تاوان دادن بنی‌صدر است. تا چه کند با تو دگر روزگار...</t>
  </si>
  <si>
    <t>Daghigh_A</t>
  </si>
  <si>
    <t>https://pbs.twimg.com/media/Dlsz2FlW4AA6Rq9.jpg</t>
  </si>
  <si>
    <t>یعنی دیگه بگااااااا رفتیم، روحانی گفته موشکل نداااااااریم. #روحانی</t>
  </si>
  <si>
    <t>Mehrdad13</t>
  </si>
  <si>
    <t>https://www.instagram.com/rahman_hosseini/</t>
  </si>
  <si>
    <t>Writer, Journalist, Political Commentator, Media Producer, Critique, PR consultant, Singer-songwriter/ RTs &amp; likes don’t mean approval / Conservative</t>
  </si>
  <si>
    <t>كارى كه #روحانى امروز كرد يه جورايى غيرممكن بود! هم زمان دوست داران و دشمنان شو به يه اندازه نااميد كرد! :))</t>
  </si>
  <si>
    <t>Rahman Hosseini</t>
  </si>
  <si>
    <t>کارنامه ده هزار نفر: آزاد راه های خرم آبادپل زال۱۱۵ تهران پردیس۳۰ قزوین رشت۲۰۰ قطعه۴تهران شمال۲۱ قم گرمسار۱۵۰ راه آهن تهران ملایر تهران شیراز چهارمیلیون مسکن مهر چند فاز پارس جنوبی کارنامه ۲.۷ میلیون اشتغال: دریغ از افتتاح۱کیلومتر آزاد راه و یک مسکن اجتماعی #سوال_از_رییس‌جمهور</t>
  </si>
  <si>
    <t>در فتنه ها دعای غریق را زیاد بخوانید‏«یَا اللَّهُ یَا رَحْمَانُ یَا رَحِیمُ یَا مُقَلِّبَ الْقُلُوبِ ثَبِّتْ قَلْبِی عَلَى دِینِکَ»</t>
  </si>
  <si>
    <t>https://twitter.com/hesamodin1/status/1034368948496740352</t>
  </si>
  <si>
    <t>وقتی مشاور به جای مشاوره دادن میشه مجیز گو و پاچه خوار این میشه اوضاع مملکت #سوال_از_رئیس‌جمهور RT @hesamodin1: روحانى يكبار دیگر هزينه حفظ آرامش و عدم ايجاد تنش در کشور را پرداخت. او می داند که باید سنگ زیرین آسیاب باشد. موفقیت دولت در گرو اصلاح مسیر و ارتقای تدبیر و تعامل فعال تر با مجلس و مردم است. سر خم مى سلامت شکند اگر سبوئی</t>
  </si>
  <si>
    <t>🇮🇷abdizade_mehdi🇮🇷</t>
  </si>
  <si>
    <t>امروز وقتی پرزیدنت روحانی مسببین مشکلات اقتصادی و بحران فعلی جامعه‌رو عاملین دی‌ماه ۹۶ و افراد مرتبط با فیضیه اعلام کرد مرزهای تحلیل چندصد کیلومتر جابجا شد! #سوال_از_رئیس_جمهور #فصل_عمل</t>
  </si>
  <si>
    <t>Hejab</t>
  </si>
  <si>
    <t>ترند در ۲۴ ساعت گذشته: - ایران - ۵% - مجلس - ۴% - روحانی - ۴% - مردم - ۳% - #روحانی - ۳%</t>
  </si>
  <si>
    <t>دارنده ى يك فِرِيدون,از كل دارِ دنيا</t>
  </si>
  <si>
    <t>قم،حوزه علميه امام جعفر كامبيز</t>
  </si>
  <si>
    <t>روحانی گفته تو پنج سال ۲ میلیون و ۵۰۰ هزار شغل ایجاد کرده. فکر کنم هر کی بهش فحش داده رو شاغل محسوب کرده #روحانى</t>
  </si>
  <si>
    <t>ملك الشعراى تابستون</t>
  </si>
  <si>
    <t>سه سیخ برات بزارن و جیکت هم درنیاد، حتی کشک هم خاصیتی دارد بمراتب😏 #روحانی #سوال_از_رئیس‌جمهور</t>
  </si>
  <si>
    <t>مهرشاد</t>
  </si>
  <si>
    <t>‏‏‏‏‏‏‏‏‏‏‏(تنها راه رهایی از کابوس ،بیدار شدن است) دانشجوی امور بانکی،مستقل، حرف های کلیشه ای جالب نیستند</t>
  </si>
  <si>
    <t>Tehran,iran</t>
  </si>
  <si>
    <t>https://twitter.com/majazestan/status/1034359224665600000</t>
  </si>
  <si>
    <t>به شکل کاملا باور کردنی #روحانی نفر اول موافقان #عزل رئیس جمهور است. برای هدفی آماد و برای هدفی می رود. RT @majazestan: حالا که اکثریت نمایندگان مجلس از بابت مهمترین معضلات اقتصادی قانع نشدند و پرونده ر.جمهور رفت به قوه قضاییه، چی می‌شه؟ یعنی مثل ما معمولیا بازجو و بازپرسی و پرونده و وثیقه و این‌ها؟ یا کلا همین‌جوری دورهمی؟</t>
  </si>
  <si>
    <t>پوریا رفاه کار</t>
  </si>
  <si>
    <t>زندگی زیباست. اما شهادت از آن زیباتر است...</t>
  </si>
  <si>
    <t>من از پاسخ های رئیس جمهور قانع شدم که ایشون صلاحیت اجرایی ندارند #سوال_از_رئیس‌_جمهور</t>
  </si>
  <si>
    <t>گلبافان</t>
  </si>
  <si>
    <t>روحانی در مجلس:همه چیز آرومه، من چقدر خوشبختم. #روحانی #روحانی_استیضاح</t>
  </si>
  <si>
    <t>منورالفکر</t>
  </si>
  <si>
    <t>‏‏نماینده مردم تهران در مجلس شورای اسلامی، نایب‌رییس کمیسیون اجتماعی، رییس فراکسیون کار، عضو شورای مرکزی حزب اسلامی کار</t>
  </si>
  <si>
    <t>انتظار ما این بود که #رئیس_جمهور @Rouhani_ir از فرصت پیش آمده برای توضیح علل شرایط فعلی اقتصاد کشور و خصوصا #بازار_ارز ، موانع، راه حل ها، فشارها و دست های ‌پنهانی که موجب #انفعال_دولت شده است، استفاده کند که این امر مطلقاً محقق نشد!! #روحانی</t>
  </si>
  <si>
    <t>محمدرضا بادامچی</t>
  </si>
  <si>
    <t>این ساز شکسته اش خوش آهنگ تر است! حزب اللهی (اگه خدا قبول کنه)</t>
  </si>
  <si>
    <t>Ertefaa</t>
  </si>
  <si>
    <t>آقایان نمایندگان (ملت!) دست به کار شید، #ما_اینجوری_اصلا_نمیتونیم . خیلی خوب میشد استیضاحشم میکردن تموم میشد موج تو خالی امید و تدبیر. #ح_ف #سوال_از_رئیس_جمهور</t>
  </si>
  <si>
    <t>Hawj Amir</t>
  </si>
  <si>
    <t>http://www.yjc.ir</t>
  </si>
  <si>
    <t>صفحه رسمی خبرگزاری باشگاه خبرنگاران جوان</t>
  </si>
  <si>
    <t>تهران - خيابان ولى عصر (عج)</t>
  </si>
  <si>
    <t>https://pbs.twimg.com/media/Dls1fknW0AAwBMH.jpg</t>
  </si>
  <si>
    <t>کدخدایی سخنگوی شورای نگهبان: در مورد تکلیف نهایی #سوال_از_رئیس_جمهور در قانون به صورت روشن موردی مطرح نشده و همچنین در مورد مصادیق استنکاف هیچ تعریفی بیان نشده است/ مشخص نیست باید تعریف استنکاف از سوی هیات رئیسه انجام شود یا کمیسیون حقوقی، که این موضوع ابهام دارد</t>
  </si>
  <si>
    <t>باشگاه خبرنگاران</t>
  </si>
  <si>
    <t>‏زمستان طاغوت ایران سال ۵۷ بهار شد . و اینک نوبت زمستان پر برف جهان است که بهارش نزدیک است</t>
  </si>
  <si>
    <t>https://pbs.twimg.com/media/Dls1h_9XsAAvDZn.jpg</t>
  </si>
  <si>
    <t>سیف گفته بود نهاوندیان دستور افزایش قیمت دلار و داده امروز پرزیدنت در جریان #سوال_از_رئیس‌جمهور فرمود ۱هفته‌ای میتونیم دلارو به قیمت پارسال برسونیم ولی ذخیره کردیم که بعد به مشکل نخوریم فقط یادش رفت بگه ۱۸میلیارد دلار دادیم برن تایلند وترکیه و آقازاده ها که مظلومانه واردات کنن:))</t>
  </si>
  <si>
    <t>is near 🇮🇷</t>
  </si>
  <si>
    <t>بدنی که به #دروغ گفتن عادت کرد دیگه سخته ترک دادنش. حتی اگه به تخت هم ببندیش ترک نمیکنه. #روحاني</t>
  </si>
  <si>
    <t>#مسئولین و #نماینده های مجلس دیگه شعار بسه خواهش میکنیم عمل کنید بازنشستگان رو دریابید! #بازنشستگان دارندزیر#فشار گرانی ذره ذره آب میشوند</t>
  </si>
  <si>
    <t>نیرومند</t>
  </si>
  <si>
    <t>‏‏‏‏‏‏‏‏‏‏‏‏‏‏‏‏‏‏‏‏‏یک بچه دهاتی.../ طلبه_دانشجوی ارشد فلسفه_تحلیل نویس_در مسیر فیلمنامه نویس شدن وشاعر ماندن کانال تلگرامم: http://telegram.me/Rezai_analyzer</t>
  </si>
  <si>
    <t>امروز #نمایندگان_منتقد دولت در مجلس نمایش کم نظیری خلق کردند از طرفی وقتی فهمیدند دشمنان خارجی میخواهند از این جلسه سوء استفاده کنند، به جای جنجال عالمانه نقد کردند و از طرفی دیگر به بهانه تضعیف دولت دچار محافظه کاری و سکوت نشدند و #درد_مردم را فریاد زدند #سوال_از_رئیس‌جمهور</t>
  </si>
  <si>
    <t>محمدامین رضایی</t>
  </si>
  <si>
    <t>لژیونر اعظم توییتر . ‏صاحب اکانت نه حزب اللهی است و نه انقلابی .</t>
  </si>
  <si>
    <t xml:space="preserve"> Irgendwo</t>
  </si>
  <si>
    <t>http://t.me/majid_makki</t>
  </si>
  <si>
    <t>آخرین پست های مجید مکی در تلگرام رو بخونید . #روحانی</t>
  </si>
  <si>
    <t>چلومپه</t>
  </si>
  <si>
    <t>دل از سياست اهل ريا بِكَن خود باش.............|علوم سياسي دانشگاه تهران|</t>
  </si>
  <si>
    <t>وقتي #روحاني اينچنين از عمللكرد دولت راضيست اميدي به بهبود اوضاع نيست، چرا كه همه كارها از نظرش درست بوده! كه به زعمش قصوري از طرفش نبوده و همه تقصير اعتراضات دي ماه است، اعتراضاتي كه اگر هم منحرف شد اما شروعش مطالبه #اقتصادي مردم بود،براي آب و نان سفره شان ، مطالبه اي كه گُم شد</t>
  </si>
  <si>
    <t>Nastaran Mhosseini</t>
  </si>
  <si>
    <t>http://www.kiosktheband.com</t>
  </si>
  <si>
    <t>http://facebook.com/pages/Arash-So… http://instagram.com/arashsobhani</t>
  </si>
  <si>
    <t>#</t>
  </si>
  <si>
    <t>یک ضرب‌المثل آمریکایی میگه اعداد هرگز دروغ نمی‌گویند. معادل فارسی آن میشه؛ اعداد هرگز دروغ نمی‌گویند مگر اینکه آقای #روحاني از آنها استفاده کند.</t>
  </si>
  <si>
    <t>arashsobhani</t>
  </si>
  <si>
    <t>#روحانی با رجزخوانی قبل از حضور در مجلس می‌خواست در صورت امکان مجلس را از طرح سوال منصرف کند. حکایت امروز یک بازی دوسر باخت برای رئیس‌جمهور بود. روحانی با گفتن جمله "امیدوارم توصیه‌هایی که مقام معظم رهبری نسبت به این جلسه فرمودند، مراعات کنم" در حقیقت اقدام به خودکشی سیاسی کرد.</t>
  </si>
  <si>
    <t>‏‏‏‏‏‏‏پدردوقلوها، یه همسر، علاوه بر کارای خبری علاقه‌مند به ریاضیات،شعر و موسیقی و محیط‌زیست</t>
  </si>
  <si>
    <t>قاعدتا مردم باید ناراحت می‌بودن که منتخب‌شون 4-1 باخته ولی کم مونده مردم بخاطر نتایج #سوال_از_رئیس‌جمهور شیرینی پخش کنن آقای روحانی تو با مردم چه‌کردی؟؟</t>
  </si>
  <si>
    <t>حسین ساجدی</t>
  </si>
  <si>
    <t>وزیر ها را دارن یکی یکی استیضاح می کنند فکر می کنند با این کار مردم خر میشن به این نتیجه میرسند که اصلاحات داره پیروز میشه اما هیچ اصلاحاتی در کار نیست هر دو با هم یک کاسه هستند #روحانی_خفه_شو #سوال_از_رئیس‌جمهور #سوال_از_رئیس_جمهور</t>
  </si>
  <si>
    <t>معتقد به #اصلاح_طلب_اصولگرای خط #ولایت ‏بیکار و منتقد وضعیت موجود که باید تغییر کند به نفع ‎‎‎#مردم</t>
  </si>
  <si>
    <t>چه حکمتیست میان #سوال_از_رئیس_جمهور و افزایش قیمت طلا ارز سکه و هرزگی #شرق_کثیف ها ؟! مگر به غیر از اینست که تمامش زیر سر دولت است که از پاسخگویی فرار کند.</t>
  </si>
  <si>
    <t>حیدری</t>
  </si>
  <si>
    <t>جلسه امروز #مجلس مثل بازی دیشب #استقلال بود اگر نماینده‌ها گلی هم خوردن خودشون به خودشون زدن نه #روحانی</t>
  </si>
  <si>
    <t>Karim Behboodi</t>
  </si>
  <si>
    <t>I think, that make a difference</t>
  </si>
  <si>
    <t>اخه کونکش من برم پوشک بخرم سی تایی 90 تومن بعد به پسرم بگم بابا بیا بشاش دهن بابا این پوشکا حیفه دونه ای سه تومن ناموسا راضیم ازت رهبر قرمساق #روحانی #IranRegimeChange</t>
  </si>
  <si>
    <t>هایزِنبرگ</t>
  </si>
  <si>
    <t>‏یه نِجبادی/ نِجبادی: اهل نجف آباد اصفهان به لهجه نجف آبادی</t>
  </si>
  <si>
    <t>#روحاني سه جا رو معرفی کرد برای فهمیدن اوضاع مردم: تاکسی اتوبوس مغازه الحمدلله مسئولین محترم در هیچ یک از این سه مکان رؤیت نمی شن. #سوال_از_رییس‌جمهور</t>
  </si>
  <si>
    <t>🇮🇷نجبادی🇮🇷</t>
  </si>
  <si>
    <t>جمع اضداد / رکورد دار اشتباهات</t>
  </si>
  <si>
    <t>کرماشان</t>
  </si>
  <si>
    <t>چند آخوند نکبت از یک آخوند نکبت چند سؤال پرسیدند. تمام. #استیضاح</t>
  </si>
  <si>
    <t>اردشیر</t>
  </si>
  <si>
    <t>#ایران #تهران #مهم #فوری درادامه #اعتراضات #مردم #روحانی لاکن #ارز ناشی از صادرات کالا توسط شرکت‌های شبه‌دولتی و خصولتی #دولت اهل بیت ال عبا #رهبر_انقلاب وشرکا هر سه ماه 10 میلیارد #دلار بوده است در این مدت 2 میلیارد دلار به #بازار عرضه شده است</t>
  </si>
  <si>
    <t>سوم شخص قصه ها</t>
  </si>
  <si>
    <t>https://pbs.twimg.com/media/Dls3G0uW0AA_Kc4.jpg</t>
  </si>
  <si>
    <t>یه "اصلا به من چه" خاصی تو نگاه @ir_aref #عارف #سوال_از_رییس‌جمهور</t>
  </si>
  <si>
    <t>hosein ameli</t>
  </si>
  <si>
    <t>http://behnamgolestani.blogspot.se</t>
  </si>
  <si>
    <t>working in magazine news week and writer in weblog, volunteer in red cross and svenska kyrka http://facebook.com/behnam.golesta…</t>
  </si>
  <si>
    <t>Sweden</t>
  </si>
  <si>
    <t>دقت كردين هيچ كدام از نمايندگان طويله جمهورى اسلامى آخوندى در مورد دزديها و اختلاسها و رانت و آقازاده ها هيچ سؤالى از #حسن_روحانى نپرسيدند! #مجلس_شورای_اسلامی #سوال_از_رئیس‌جمهور #عراقچى #خوزستان #ديكتاتور #خامنه‌ای</t>
  </si>
  <si>
    <t>behnam golestani</t>
  </si>
  <si>
    <t>‏‏‏‏‏‏‏‏‏‏‏‏‏‏عاشق طبیعت و فوتبال ‏‏‏‏‎‎‎‎‎‎‎‎‎‎‎‎‎‎‎‎‎‎#پرسپولیس _خُنُک آن قمار بازی که بباخت هرچه بودش/بنماند هیچش الا هوس قمار دیگر</t>
  </si>
  <si>
    <t>هر آماری که امروز #روحانی میداد میلیون ها #گوه_خوردی حوالش میشد</t>
  </si>
  <si>
    <t>جِی‌لند</t>
  </si>
  <si>
    <t>‏‏من حتی به خودم هم اعتراض دارم، من به هرچیزی که هست و نباید باشه اعتراض دارم</t>
  </si>
  <si>
    <t>خب دیگه بازم مشخص شد تمامی مشکلات کشور گردن مردمه اون بدبختا چیکارن #مشهد_تايلندتشيع #روحانی_خفه_شو #روحانی #ایران_را_پس_میگیریم #</t>
  </si>
  <si>
    <t>معترز!</t>
  </si>
  <si>
    <t>‏‏‏انجمن هواداران بازیابی ایرانشهری (شاخه درون کشور)</t>
  </si>
  <si>
    <t>https://pbs.twimg.com/media/Dls3TGhW0AAAFV2.jpg</t>
  </si>
  <si>
    <t>استند آپ كمدي #روحانی! اين مردك شياد كه #خامنه_ای و بي بي سي چون كوه پشت اش ايستاده اند و اصولگرايان نيز به عنوان نمايندگان راستگراي #صهيونيسم_شيعه جهت انحراف ذهن مردم اداي مخالفت با او در مياورند، طوري دروغ ميگويد كه عاليجناب هيملر را دچار عقده ي خودكمبيني ميكند.</t>
  </si>
  <si>
    <t>بغکام برزگر</t>
  </si>
  <si>
    <t>انقلابی ام...🇮🇷</t>
  </si>
  <si>
    <t>#پرايد شده ٤٠ مليون تومن. #روحانى ميگه نگوييد دچار #بحران شده ايم ما در مرحله آسيب هستيم. باشه باشه خاجى فقط يادت رفت #على_بركت_الله آخر جملت بگى.</t>
  </si>
  <si>
    <t>Rezaza</t>
  </si>
  <si>
    <t>#روحاني در کمال وقاحت اعتراف کرد سقوط ارزش ریال در یکسال گذشته کاملا تعمدی و به قصد جبران کسری بودجه بوده و تنها با یک دستور قادر به برگرداندن شرایط به شهریور ۹۶ است. جالب است که اعتراف به چنین خیانت وحشتناکی با هیچ واکنشی مواجه نشد.</t>
  </si>
  <si>
    <t>duality</t>
  </si>
  <si>
    <t>بشکاف این حجاب سیاهی را</t>
  </si>
  <si>
    <t>Atlantic 🧜🏼‍♀️🔱</t>
  </si>
  <si>
    <t>#روحانی یه جوری دروغ میگه که آدم از تورم خجالت میکشه ! باید بگیم ببخشید که ریدید به مملکت</t>
  </si>
  <si>
    <t>🦋پری به گل نشسته 👑</t>
  </si>
  <si>
    <t>ملتي اگر قيام كرد، با حفظ قدرت ايمان، هيچ قدرتي، در مقابل آن نمي تواند بايستد."امام خمینی(ره)"</t>
  </si>
  <si>
    <t>پاسخ جهانگیری به ادعای امروز #روحانی درجلسه #سوال_از_رئيس_جمهور : روحانی: از ۸۴تا۹۱ اشتغال خالص ما۱۰هزار نفر، اما در دولت تدبیروامید ۲میلیون و ۷۰۰ هزار نفر بوده است!!! جهانگیری در واکنش به آمارهای میلیونی #اشتغال: یا شغل ایجاد نکردی یا عدد و رقم سرت نمی‌شود! #بيكارى</t>
  </si>
  <si>
    <t>Mersad news</t>
  </si>
  <si>
    <t>"ما در حال تقویت ارز در بانک های خارجی هستیم: @Rouhani_ir " ممنونم‌، الان فهمیدم این #آقازاده ها و فرزندان مسئولین چرا همه پولهاشون رو از کشور خارج کردن، به ملت خدمت کردن. خدا قوت #سوال_از_رییس‌جمهور #دولت #مجلس #ایران #ریت #ریتوییت #فرزندت_کجاست</t>
  </si>
  <si>
    <t>دنیای فردا فقط دنیای خودم... امام همیشه میگفتند: مارا دنبال کنید و توییتهایمان را به اشتراک بگذارید/// دانشجوی لبسانس علوم سیاسی ***فالو بدید بک میزنم***</t>
  </si>
  <si>
    <t>Esfahan</t>
  </si>
  <si>
    <t>با تعداد و سرعت دروغهایی که #روحانی به مردم میگه میشه برق تولید کرد #مجلس_دولتی_هم_دیگرقانع_نشد #سوال_از_رییس‌جمهور</t>
  </si>
  <si>
    <t>بتمن سازندگی</t>
  </si>
  <si>
    <t>#روحانی گفته دولت #احمدی_نژاد کلن ده هزار شغل خالص و ما سه میلیون شغل خالص تولید کردیم. تف به صورت آدم دروغگو</t>
  </si>
  <si>
    <t>‏‏‏سفید زندگی کن تا سرخ بمیری بچه محله امام رضا</t>
  </si>
  <si>
    <t>#روحانی :چند ماه گذشته رشد اقتصادی ایران 12.5 درصد بوده که در دنیا بی سابقه بوده. من:😐 دنیا:😶</t>
  </si>
  <si>
    <t>Mohammad.gh</t>
  </si>
  <si>
    <t>جناب آقای ذوالنوری نماینده محترم قم حق مطلب وقتی که جهت #سوال_از_رییس‌جمهور در اختیار ایشان بود را ادا کرد و به نکات ارزشمند و مستدلی اشاره کرد بدون هیچ حاشیه روی .. نماینده مجلس یعنی #ذوالنور</t>
  </si>
  <si>
    <t>‏‏‏‏انقلابی و دلواپس انقلاب . دغدغه ام رهایی انقلاب از دست نااهلان و نامحرمان لیبرال است. ارشد حقوق جزا.</t>
  </si>
  <si>
    <t>https://pbs.twimg.com/media/Dls30d1WsAASEzv.jpg</t>
  </si>
  <si>
    <t>جناب #روحانی آنقدر قشنگ #دروغ میگه ، حیفم میاد باور نکنم</t>
  </si>
  <si>
    <t>محمدتقی تقی زاده</t>
  </si>
  <si>
    <t>هشتگ داغ 6 ساعت گذشته: #روحانی: 3662 توییت #یاامام_مکان: 2765 توییت #صیغه_یعنی_جندگی: 2738 توییت #تز_ایرانارشیسم: 2709 توییت #تبریز_مبارک_اردوغان: 2671 توییت #مشهد_تايلندتشيع: 2123 توییت #براندازم: 2075 توییت #ایران: 1850 توییت</t>
  </si>
  <si>
    <t>‏‏‏و اما من! هرگز برای امام خویش تکلیف معین نمی کنم، که تکلیف خود را از سیدعلی می پرسم.</t>
  </si>
  <si>
    <t>روحانی : هروقت با وزرا کار داریم میگویند مجلس هستند ! - بله دیگه هزار ماشالا انقدر با کفایت و کارآمد تشریف دارن که همش در حال استیضاح شدنن #سوال_از_رییس‌جمهور</t>
  </si>
  <si>
    <t>حسین ابراهیمی</t>
  </si>
  <si>
    <t>‏‏‏‏حکومتی که مردم فریاد بزنند:اینجا ایران است و زندگی آزادانه در آن جریان دارد برای همه انسانها.تنها شرط زندگی در جامعه ایران،انسان بودن است</t>
  </si>
  <si>
    <t>علم الهدی زنگ زده به ذالنور گفته بابا اون ۳ملیون و دیست هزار شغل را من ایجاد کردم ۶۰۰هزار خانه دار ۶۰۰هزار آخوند صیغه خوان ۳تا۶۰۰هزار خانم میشود ۱۸۰۰ جمعا ۳ ملیون اون دویست هزار هم راننده اتوبوس و و عرق فروش و مزه فروش هستند #سوال_از_رئیس_جمهور #روحانی #اشتغال #صیغه_سرا</t>
  </si>
  <si>
    <t>بهلول شیرازی</t>
  </si>
  <si>
    <t>....</t>
  </si>
  <si>
    <t>اقای #روحانی کس کش ما ننه بابات نیسیم با خنده و کسشعر جوابمونو میدیا ... #مجلس #استیضاح_روحانی</t>
  </si>
  <si>
    <t>مگه #اصلاح‌طلبها اکثریت #مجلس رو بدست نیاوردند؟ یعنی این نماینده ها نمیتونند جلو #استیضاح‌فله‌ای وزرا رو بگیرند؟</t>
  </si>
  <si>
    <t>Tweety Bird</t>
  </si>
  <si>
    <t>اقایون مجلسی، شما که از پاسخ های #رئیس‌جمهور بعد این همه توضیح قانع نشدید با چه استدلالی #برجام رو تو ۲۰ دقیقه تصویب کردید . #برجام_خسارت_میراثی_برای_ایندگان</t>
  </si>
  <si>
    <t>Mohsen Hoseinipour</t>
  </si>
  <si>
    <t>روحانی فقط دو میلیون و هشتصد هزار شغل ایجاد نکرده که، ۸۵میلیون آدمو سر کار گذاشته! ًآمار اشغال بیشتر از این؟! ‌ #سوال_از_رئیس‌جمهور</t>
  </si>
  <si>
    <t>نه به اون موقع که کلا وجود دشمنو انکار میکردند و نه به الان که همه خرابکاریهای خودشونو هم گردن دشمن میندازن!! #روحانی</t>
  </si>
  <si>
    <t>اخبار منوتو میگفت مردم که گوشت و مرغ نمیتونن بخرن دارن سویا و پای مرغ میخرن .خواستم بگم سوسک و ملخ هم پروتئین داره یعنی هنوزم راه هست واسه اینکه گرسنگی نکشی و صدات درنیاد . #روحانی #این_انتخاب_من_نیست #ایران</t>
  </si>
  <si>
    <t>عليه فاشيسم ديني حاكم بر ايران. و خواهان دموکراسی و آزادی های فردی و اجتماعي .</t>
  </si>
  <si>
    <t>https://pbs.twimg.com/media/Dls-93SWsAEtGyG.jpg</t>
  </si>
  <si>
    <t>http://abishiraz.blogspot.com/2018/08/blog-post_28.html?spref=tw</t>
  </si>
  <si>
    <t>ايران آزاد فردا : راز پشت پرده ام الفساد خامنه ای چیزی است که هیچکدا...  … #ایران #مجلس #استیضاح #روحانی #خامنه_ای</t>
  </si>
  <si>
    <t>hadi salar</t>
  </si>
  <si>
    <t>kish island</t>
  </si>
  <si>
    <t>اون روزی که مردم ایران تقی به توقی میخورد با یکی دو گزارش #صداوسیما میریختن توی خیابان تا مشت محکمی به دهان #استکبار_جهانی بزنن باید فکر این روز رو میکردن که تنها دهانی که مشت لازم داشت دهان مسئولین بی خاصیت ایران اسلامی بود #منوتوخبر‌‌‌‌‌‌‌‌‌‌ #ارز #دلار #سوال_از_رئیس‌جمهور</t>
  </si>
  <si>
    <t>Αλί</t>
  </si>
  <si>
    <t>‏‏امید، بذر هُویَّت ماست! مهندسی مواد و متالورژی دانشگاه تهران</t>
  </si>
  <si>
    <t>آقای #روحانی بنا نبود که به بهای راضی نگه داشتن یک شخص خاص، حمایت جبهه‌های مردمی خود را از دست بدهید.</t>
  </si>
  <si>
    <t>Ramin.Yazdaanpanah</t>
  </si>
  <si>
    <t>یه دوستی می گفت: تا حالا وام نگرفته بودم. واسه دوازده تومن دو تا ضامن و هيفده تا سفته و سه تا كليه و هفتصد تا امضا گرفتن.يكي از ضامنا هم شب ميمونه پيششون. تازه امروز زنگ زدن ضامنت يه جا يه ميليون بدهكاره!چطور با اين دقت مملكت رو ميليارد ميلياردبه فنا دادين؟ #سوال_از_رئیس_جمهور</t>
  </si>
  <si>
    <t>آقای رییس جمهور باز تمام حرفاشون: باید.... باید.... باید..... رییس جمهور عزیز،بقول فرمایش رهبرمون،مخاطب این باید ها چه کسی است؟... ما یا شما و هیات دولت مفتخرتون؟!!! تا کی گند کاریاتون رو نظام باید جوابگو باشه #سوال_از_رییس‌جمهور</t>
  </si>
  <si>
    <t>شل اندیش نگاری ادب و فرهنگ🎩</t>
  </si>
  <si>
    <t>dyar</t>
  </si>
  <si>
    <t>https://pbs.twimg.com/media/Dls-_5KXoAAPe5O.jpg</t>
  </si>
  <si>
    <t>کیرتو همتون ، هی میگم مردم میخوان متحد باشیم نمیذارین #دولت_امید #دولت #روحانی</t>
  </si>
  <si>
    <t>سوفوکل</t>
  </si>
  <si>
    <t>عضو هیات مدیره شرکت ملی مس ایران -فعال بازار سرمایه</t>
  </si>
  <si>
    <t>#روحانی در مجلس ، #منبر رفت به نظرم امروز #روحانی ، مجلس شورا را با مجلس وعظ و خطابه اشتباه گرفته و #منبر رفت . سوال کنندگان ، سوالات اقتصادی نموده بودند . اما روحانی از اسمان و زمین و همه چیز گفت و دریغ از یک پاسخ اقتصادی با اتکا به مبانی و تئوری های اقتصادی .</t>
  </si>
  <si>
    <t>Abolfazl matin</t>
  </si>
  <si>
    <t>‏يك نفر مانده از اين قوم، كه بر می گردد</t>
  </si>
  <si>
    <t>یه چکار کردم که اینقدر #خر به نظر می رسمه خاصی تو چهره های #مردم بعد از صحبت های امروز #روحانی بود. بسه دیگه حد اقل یه ذره از #آخوندي یاد بگیر #دور_زدنو #اعتماد_به_سقف #استیضاح</t>
  </si>
  <si>
    <t>Abbas.Jafarpour</t>
  </si>
  <si>
    <t>New account</t>
  </si>
  <si>
    <t>Lovely Iran</t>
  </si>
  <si>
    <t>دیدار #روحانی، #پوتین و #اردوغان در تبریز صحت داره؟ موضوع بحث چیه؟</t>
  </si>
  <si>
    <t>Maryam shariatmadari</t>
  </si>
  <si>
    <t>http://www.ahmadbatebi.com</t>
  </si>
  <si>
    <t>Iranian-American Journalist. Photo Journalist. Filmmaker. Human Rights Activist. Director of Tech. Communications at @Policy_Impact בה</t>
  </si>
  <si>
    <t>Washington, DC</t>
  </si>
  <si>
    <t>الان دیگه مشکل ایران نه خامنه‌ای و سپاه است و نه چین و روسیه. امثال #روحانى و #ظریف هستند و #اصلاح_طلبان حامی آنها که با هر ابزاری تلاش دارند که بنبست و فساد موجود را توجیه و تثبیت کنند. و در این راه روز به روز وقیح تر می شوند.</t>
  </si>
  <si>
    <t>Ahmad Batebi</t>
  </si>
  <si>
    <t>🎷</t>
  </si>
  <si>
    <t>اونجات</t>
  </si>
  <si>
    <t>ردیفی؟ #سوال_از_رئیس_جمهور</t>
  </si>
  <si>
    <t>ساکثیفون</t>
  </si>
  <si>
    <t>‏‏کمی تا قسمتی رسانه ای</t>
  </si>
  <si>
    <t>امروز وقتی #سوال_از_رییس‌جمهور شد که در مورد بیکاری و سکه و طلا و تحریم و قاچاق چیکار کردی یه جوابهایی داد که دلم میخواست اونجا بودم و بلند داد میزدم" #مثل_شرق_دروغ_میگی بلکه مردم رو بیشتر از این احمق فرض نکنه</t>
  </si>
  <si>
    <t>M.A</t>
  </si>
  <si>
    <t>دانش آموخته ی انيميشن، کمی طراح، کمی فیلمساز، کمی شاعر</t>
  </si>
  <si>
    <t>سوال هاتو رو پرسيديد تموم شد؟ چ فايده؟ سوال رو بايد اون موقعي مي پرسيديد كه ظريف توي روتون ايستاد و گفت جزئيات برجام محرمانه است و بهتون نمي گم #روحاني #مجلس_شورای_اسلامی</t>
  </si>
  <si>
    <t>مجید بزرگزاده</t>
  </si>
  <si>
    <t>https://www.instagram.com/m.sadegh.k.93/</t>
  </si>
  <si>
    <t>‏‏‏یک معمولیِ عجیب قریبِ همه چیز نویس😊</t>
  </si>
  <si>
    <t>اینجا اونجا هرجا</t>
  </si>
  <si>
    <t>با جلسه امروز از رای دادنتون به روحانی خجالت نکشیدید؟ پس بر اُف شما #سوال_از_رییس‌جمهور</t>
  </si>
  <si>
    <t>k محمدصادق</t>
  </si>
  <si>
    <t>بهلول دیوانه ای که هر چه بیند می گوید</t>
  </si>
  <si>
    <t>https://twitter.com/khabar_fouri/status/1034486569778987008</t>
  </si>
  <si>
    <t>این مردم اهل عشق و حال اند نه انقلاب تا از یکدیگر می دزدند انقلابی در کار نیست مگر اینکه قحطی شود و امکانی برای دزدی نباشد #ایران #روحانی RT @khabar_fouri: ترافیک سنگین در جاده های البرز معاون راهداری اداره کل راهداری و حمل و نقل جاده ای استان البرز اعلام کرد که تمام راه های این استان دارای بار ترافیکی سنگین است ترافیک درخط شمالی آزاد راه تهران - کرج - قزوین از محدوده گرمدره تا شهرستان ساوجبلاغ سنگین و پرحجم گزارش شده است. /ا…</t>
  </si>
  <si>
    <t>‏‏‏یک بسیجی یک همسر آماده و آرزومند برای نبرد با صهیونیست ها ‏‏آهای انقلابی ها همدیگه رو پشتیبانی کنیم</t>
  </si>
  <si>
    <t>در راه دمشق</t>
  </si>
  <si>
    <t>https://pbs.twimg.com/media/DltAPTUWsAAOYJm.jpg</t>
  </si>
  <si>
    <t>#سخنان_محکم مجلسیها و #دستان_لرزان پرزیدنت گواه بر حقانیت بود و چه خونهایی که با شنیدن توضیحات مزخرف به دل مردم شد #سوال_از_رییس‌جمهور</t>
  </si>
  <si>
    <t>قاصم الجبارین🇮🇷🇮🇶🇱🇧🇵🇸</t>
  </si>
  <si>
    <t>جناب آقای #روحانی و دوستان، بعد از عملیات انتحاری ملت در سال ۵۷ به این نتیجه رسیدند که با مردمی احمق و نفهم طرف هستند و با افاضات امروز در #مجلس نشان دادند که هنوز هم بر این باور هستند. #ایران_را_پس_میگیریم</t>
  </si>
  <si>
    <t>davzak</t>
  </si>
  <si>
    <t>‏‏‏‏‏‏‏‏‏ چریکِ جنگ نرم | ۲۲ بهمنی | مدیونِ استاد رائفی پور | جنبش مصاف | اللهم عجل لولیک الفرج</t>
  </si>
  <si>
    <t>سخنگوی شورای نگهبان: #مجلس در نهایت باید در مورد وضعیت پرسش از رئیس جمهوری تعیین تکلیف کند اکنون در این باره در قانون ابهام هایی وجود دارد. پ.ن: یعنی چی؟ یعنی فکرشو نمیکردن پاسخ ها قانع کننده نباشه؟ #سوال_از_رئیس_جمهور</t>
  </si>
  <si>
    <t>وحید چریکی</t>
  </si>
  <si>
    <t>‏‏‏‏‏از کوتهی ماست که دیوار بلند است!</t>
  </si>
  <si>
    <t>کویر!</t>
  </si>
  <si>
    <t>pic.twitter.com/lh20VfCtpT</t>
  </si>
  <si>
    <t>#روحانی در #مجلس: اشتغال خالص از سال۸۴تا۹۱ (در طی ۸سال دولت احمدی‌نژاد با مسکن مهر و...) کلا "۱۰،۰۰۰" بوده، اما ما درطول ۵سال گذشته "۲،۷۰۰،۰۰۰" اشتغال خالص ایجاد کردیم! یعنی ۲٧۰ برابر قبل #قهقهه_حضار #لعنت_به_قوای_دروغگو</t>
  </si>
  <si>
    <t>امیرعلی شریعت پناه 📚</t>
  </si>
  <si>
    <t>کارشناس ، مشاور و نماینده رسمی بیمه پاسارگاد</t>
  </si>
  <si>
    <t>https://pbs.twimg.com/media/DltAV7VUUAAvQuU.jpg</t>
  </si>
  <si>
    <t>#حسین #ایوبی #مشاور و #نماینده رسمی #بیمه_عمر_پاسارگاد جهت #مشاوره #رایگان درمورد #بیمه #عمر #پاسارگاد با ما تماس بگیرید ۰۹۳۰۴۲۸۲۳۲۴</t>
  </si>
  <si>
    <t>Ho3ein Ayoubi</t>
  </si>
  <si>
    <t>فعال رسانه ای</t>
  </si>
  <si>
    <t>در جامعه بشری وکشورما #درمان ارزان ورایگان وارایه خدمات تخصصی وفوق تخصصی پزشکی بسیارمهم است وبی تردید در تحقق این موضوع #دولت و #مجلس نقش مهم دارند. عدم پذیرش بیمه شدگان #بیمه_سلامت و #تامین_اجتماعی دربرخی مراکزدرمانی ازجمله #بیمارستان_شفا درساری نگران کنندست. تدبیرواقدام لازمست.</t>
  </si>
  <si>
    <t>محمد علی روشن</t>
  </si>
  <si>
    <t>http://instagram.com/hamzeh_akbaripoor</t>
  </si>
  <si>
    <t>‏‏‏‏‏‏‏‏‏‏‏‏‏‏‏‏‏‏‏‏‏‏‏‏‏‏‏‏انسانیت یعنی احترام به یکدیگر...🌻 ‏‏‏‏‏در حال گذر ...🍁نگاهی به شعر...📋 🎓دانشجوی ارشد روابط بین الملل ...</t>
  </si>
  <si>
    <t>تهران_IRAN</t>
  </si>
  <si>
    <t>pic.twitter.com/bJCwg05Ovr</t>
  </si>
  <si>
    <t>او رفت،این هم می رود،لاریجانی هنور رئیس مجلس است. رفتار او در مجلس،رفتار این در مجلس لاریجانی هنوز مشاهده می کند شباهت ها را !روزگاره دیگه! #سوال_از_رئیس_جمهور</t>
  </si>
  <si>
    <t>akbaripour  ...🌾 حمزه اکبری پور</t>
  </si>
  <si>
    <t>در همه چیز به غایت ناتمام ..</t>
  </si>
  <si>
    <t>امروز برای #روحانی یک آزمون موفق در پذیرش توصیه های رهبری بود. بی توجه به پاسخش. روحانیی که می شناختم می توانست با فرار رو به جلو، فرافنکی و جنجال در قامت اپوزسیون حجم زیادی از فشار رسانه ای روی خود را بردارد و حداقل طرفدارن خود را راضی کند. اما سکوت کرد. #سوال_از_رئیس_جمهور</t>
  </si>
  <si>
    <t>turbulence13</t>
  </si>
  <si>
    <t>‏‏‏‏هر که میخواهد ما را بشناسد برود و داستان کربلا را بخواند هر چند کربلا راخواندن فایده ندارد تا دل کربلایی نباشد (شهید آوینی)</t>
  </si>
  <si>
    <t>جلسه #سوال_از_رئیس_جمهور باید چند سال قبل اجرا میشد همان موقع که کشور را به غرب فروخت ! همان موقع که 470 هزار میلیارد نقدینگی را به 1600 هزار میلیارد رساند همان موقع که به لبخند دیپلماسی مدال افتخار داد همان موقع که خوشبین نیستم ها را نشنید....</t>
  </si>
  <si>
    <t>سید محمد رضا فیروزی</t>
  </si>
  <si>
    <t>حتی اگر اقلیتی یک نفره باشم، حقیقت همواره حقیقت است و من از آن دفاع خواهم کرد.</t>
  </si>
  <si>
    <t>#احمدي_نژاد ما رو ببخش که هشت سال بخاطر اینکه سوال رو با سوال جواب میدادی بهت خندیدیم، این #روحانی حتی زحمت تو رو هم نمیکشه، همون سوال شخص سوال کننده رو کپی پیست میکنه از خود طرف میپرسه!🤦‍♂️🤔 در ضمن تو دروغات و حرفات بامزه بودن و موجب شادی و خنده میشدن، این بابا حرفاش رو مخه!</t>
  </si>
  <si>
    <t>Truth Miner</t>
  </si>
  <si>
    <t>فعلا همه دوستان خود را جای #روحانی گذاشته و از جانب وی سخنرانی میکنند. اگر شرایط کشور به مثابه دومینویی باشد که با افتادن یک قسمت از آن هرچه که بود و نیست و خواهد بود، فرو خواهد ریخت شما به جای رییس جمهور قصد آرام کردن فضا را داشتید یا خیر؟ #واقع_گرایی</t>
  </si>
  <si>
    <t>https://t.me/nabztabriz</t>
  </si>
  <si>
    <t>امیر خیز</t>
  </si>
  <si>
    <t>In the hearts of the oppressed people</t>
  </si>
  <si>
    <t>https://pbs.twimg.com/media/DltA-N5XsAIJeRk.jpg</t>
  </si>
  <si>
    <t>🤣 ۱- طرح سؤال از #روحانی در جلسه مجلس نظام / نمایندگان از پاسخ به ۴سؤال از ۵سؤال قانع نشدند. بر اساس قانع نشدن نمایندگان نسبت به پاسخ‌های رییس‌جمهوری به ۴ سوال، سوالات مطرح شده به قوه‌قضاییه ارجاع خواهد شد ⬇️ #IranRegimeChange #براندازم</t>
  </si>
  <si>
    <t>نبض تبریز</t>
  </si>
  <si>
    <t>http://www.Khoshmard.ir</t>
  </si>
  <si>
    <t>اومدم توویتر ببین چه خبره! هر کی خبر دست اول داره منو بی خبر نگذاره!</t>
  </si>
  <si>
    <t>تا اطلاع ثانوی مجاور هستم</t>
  </si>
  <si>
    <t>جواب شلیته رو شلیته می‌تونه بده، جواب آخوند منبری رو آخوند منبری! #روحانی vs #ذوالنور</t>
  </si>
  <si>
    <t>عباس حاتمی خوشمردان</t>
  </si>
  <si>
    <t>روانشناس بالینی ، فعال اجتماعی ، ادوار #جاد</t>
  </si>
  <si>
    <t>اقای پرزیدنت توی مجلس گفتند که بحران نداریم و همه چی تحت کنترله سوالی که می مونه اینه اقای پرزیدنت ساعت شما هنوز‌به وقت اسکاتلند تنظیم‌ مونده ؟ ایران اوضاع اقتصادی به شدت بحرانی داریم #روحانی #فصل_عمل</t>
  </si>
  <si>
    <t>علیرضا 🇮🇷🇵🇸</t>
  </si>
  <si>
    <t>‏‏‏‏‏تنبل فرهنگی /کتابخوان خسته/در حد دو سه کلاس معلم/اندکی دوربین به دست/ مقداری مهندس کشاورزی /کمی تا قسمتی مشاور/</t>
  </si>
  <si>
    <t>یه اردوی دانش آموزی هستیم. اخبار روحانی رو نشون داد بچه ها اونقد داد زدن که صدای #روحانی رو نشنون خواستم بگم آقای #پرزیدنت،اینا دیگه به شما و امثال شما،که آینده شون رو نابود کردید، اعتماد نخواهند کرد</t>
  </si>
  <si>
    <t>Seyedabbas</t>
  </si>
  <si>
    <t>http://falahatifarhad.ir</t>
  </si>
  <si>
    <t>‏‏‏‏نماینده مردم شریف قائنات و زیرکوه در مجلس شورای اسلامی</t>
  </si>
  <si>
    <t>قائنات و زیرکوه</t>
  </si>
  <si>
    <t>امروز #رئیس_جمهور خروج آمریکا از برجام را به تجمع روز خاصی در کشور مربوط کرد! آیا ایشان حاضرند بپذیرند که #فتنه_88 عامل #تحریم های کشور بوده است؟</t>
  </si>
  <si>
    <t>فرهاد فلاحتی</t>
  </si>
  <si>
    <t>‏‏شهادت هنر مردان خداست.</t>
  </si>
  <si>
    <t>روحانی :ریشه ی مشکلات در تصور مردم است. جناب پرزیدنت کذاب دوست داری آرپی جی بگیری دستت ما رو بکشی تا مشکلاتت حل بشه. #سوال_از_رییس‌جمهور #روحانی #سوال_از_رئیس_جمهور</t>
  </si>
  <si>
    <t>سپه سالار</t>
  </si>
  <si>
    <t>لاکن از حشاشه آن نیمه حشاشه ای باقی ماندَه</t>
  </si>
  <si>
    <t>لطفا یکی به من توضیح بده چطور میشه یه کشور نتونه (نه که نخواد) چوب بستنی، پلاستیک آب معدنی و ظرف یه بار مصرف، بیل، سنگ پا، کفی کفش و هزار تا کوفت دیگه رو تولید بکنه، ولی هواپیما نسل چهار و موشک قاره پیمای تماما بومی رو بتونه تولید کنه #روحاني #ظريف #خامنه‌ای #سوال_از_رئیس‌جمهور</t>
  </si>
  <si>
    <t>روح اَمام</t>
  </si>
  <si>
    <t>‏تنها ‏‏‏‏‏‏‏‏‏‏‏‏حسابِ رسمیِ من بقیه فیکن😃</t>
  </si>
  <si>
    <t xml:space="preserve">دورود پایتخت طبیعت ایران </t>
  </si>
  <si>
    <t>لکن طوری نشود که این جماعت با مظلوم‌نمایی و این‌که مجلس اجازه نداد تلاشمان را کنیم دوباره مردم را بفریبد. #سوال_از_رییس‌جمهور</t>
  </si>
  <si>
    <t>آقای  سر به زیر</t>
  </si>
  <si>
    <t>😀🐱چون پرده بر افتد نه تو مانی و نه من(جمهوری خالی اما رای اکثریت مهمه)</t>
  </si>
  <si>
    <t>#روحانی با مجلسیا می خندن و دنبال شیرینیو، شوخی کردنن اونوقت یه سری یا از گشنگی و تشنگی مریض یا کشته میشن یا تو زندان خود کشی میشن. تف به این ذات خراب</t>
  </si>
  <si>
    <t>khoramshahr</t>
  </si>
  <si>
    <t>‏‏‏‏‏‏‏‏‏‏‏‏‏‏‏‏‏‏‏مِّنَ الْمُؤْمِنِينَ رِجَالٌ صَدَقُوا مَا عَاهَدُوا اللَّه عَلَيْهِ ۖ فَمِنْهُم مَّن قَضَى نَحْبَهُ وَمِنْهُم مَّن يَنتَظِر احزاب آیه ۲۳</t>
  </si>
  <si>
    <t>خراب آباد نفس</t>
  </si>
  <si>
    <t>وقتی میافتی تو جوب و برای اینکه ضایع نشی مجبوری صدای قوطی در بیاری :) #سوال_از_رئیس_جمهور RT @hesamodin1: روحانى يكبار دیگر هزينه حفظ آرامش و عدم ايجاد تنش در کشور را پرداخت. او می داند که باید سنگ زیرین آسیاب باشد. موفقیت دولت در گرو اصلاح مسیر و ارتقای تدبیر و تعامل فعال تر با مجلس و مردم است. سر خم مى سلامت شکند اگر سبوئی</t>
  </si>
  <si>
    <t>آ میرزا</t>
  </si>
  <si>
    <t>اقیانوسی به عمق نیم سانت غیر نفت که بقیه میگن بیشتره فکر کنم 1.5 متره</t>
  </si>
  <si>
    <t>london</t>
  </si>
  <si>
    <t>تازگی ها وقتی به این حکومت فکر میکنم تنها چیزی که یادم میاد اینه You can't teach an old dog, new tricks #نظام #استیضاح #تحريم</t>
  </si>
  <si>
    <t>🇮🇷Bahram</t>
  </si>
  <si>
    <t>PlainSpoken | Night Crawler | Software Engineer | Senior Developer</t>
  </si>
  <si>
    <t>عشق آباد</t>
  </si>
  <si>
    <t>کرایه یک ساعت الاغ در امامزاده داوود ۲۰ هزار تومان است! و یارانه یک ماه هر ایرانی ۴۵ هزارتومان! و حق تدریس استادیار دانشگاه ساعتی ۱۰هزار تومان است! #دولت_تدبیر #روحاني</t>
  </si>
  <si>
    <t>Mohamad Mohsen</t>
  </si>
  <si>
    <t>شاعر ‏طنز بجنوردی قمی</t>
  </si>
  <si>
    <t>بجنورد</t>
  </si>
  <si>
    <t>اگر بنا بود نمایندگان قانع شوند که از اول اقدام به طرح سوال از رئیس جمهور نمی کردند! بنابرین #روحانی نباید ، مماشات می کرد! خوبی که از حد بگذرد نادان خیال بد کند! #رضاالهامی #استیضاح_روحانی</t>
  </si>
  <si>
    <t>#رضا_الهامی</t>
  </si>
  <si>
    <t>دکتری علوم مختلف</t>
  </si>
  <si>
    <t>هرجا که بشه</t>
  </si>
  <si>
    <t>امروز بعد از سخنرانی #روحانی دیگه یقین پیدا کردم که توی خود سوئیس زندگی میکنم فقط نمیدونم چرا کوچه ما هنوز آسفالت نیست!</t>
  </si>
  <si>
    <t>ایکس_ری</t>
  </si>
  <si>
    <t>بعد از سوال از #رئیس_جمهور نرخ #سکه و #ارز به یکباره کشید بالا خوبه سوالات شفاهی بود کتبی میپرسیدن فاقش پاره میشد ... 😑</t>
  </si>
  <si>
    <t>دکتر بعد‌ جلسه به روحانی: سعی کن دیگه خشک نرینی، خون میاد! #روحانی #سوال_از_رئیس‌جمهور</t>
  </si>
  <si>
    <t>Hossein Ej</t>
  </si>
  <si>
    <t>#روحانی حالا دیگه از آمریکا و استکبار و اسرائیل مشکل نیست بلکه از ما مردم اججججبببب؟ حتما بعدما و آدم فضایها به این نتیجه می رسن که خدا مشکل داره. لعنت به شما حرامزاده های کثیف. شما هیچ فرقی با هیتلر و چنگیز و خالدبن سعد ندارین، بلکه بدترین</t>
  </si>
  <si>
    <t>https://telegram.me/HarfBeManBot?start=MTA3ODkyMDEy</t>
  </si>
  <si>
    <t>‏‏‏‏‏‏‏‏‏‏‏‏‏‏‏‏‏‏‏‏‏‏‏به آنها بگویید سرشان به کار خودشان باشد، اگر مردند، مسئولیتش با من! , استقلالی💙💙💙</t>
  </si>
  <si>
    <t>#روحانی می گه ما ذخایر ارزی رو در بانکهای بین المللی داریم افزایش می دیم, بله درسته دارید حسابهای برون مرزی #آقازاده هاتونو پر می کنید.</t>
  </si>
  <si>
    <t>^مالنا^</t>
  </si>
  <si>
    <t>http://t.me/softwar_soldiers_supportdivision</t>
  </si>
  <si>
    <t>‏‏‏‏‏‏‏‏‏‏‏‏‏‏‏‏‏‏‏‏‏‏‏‏‏ملت متحد و قدرتمند باید کشور را هدایت کند به سمت ظهور. میخواهم مرا خط شکن صدا کنند...</t>
  </si>
  <si>
    <t>جمهوری اسلامی</t>
  </si>
  <si>
    <t>https://pbs.twimg.com/media/DltCsxSU0AEImLa.jpg</t>
  </si>
  <si>
    <t>اخبار فردای مجلس: هزینه سیستم سرمایشی وگرمایشی مجلس۱میلیارد و دویست میلیون تومان است پ.ن:بلاخره دیدن دیگه،دلشون خواسته #مجلس #محمود_صادقی</t>
  </si>
  <si>
    <t>خط شکن 🇮🇷</t>
  </si>
  <si>
    <t>‏‏دختر . دهه شصتی. دیکتاتور دیده</t>
  </si>
  <si>
    <t>خبر بیست و سی با خوشحالی میگه: روز آرام بهارستان! ببینید کیا از حرفای تکراری و بی خاصیت امروز روحانی سود بردن، باز بگید اگه جور دیگه حرف میزد جامعه هیجانی می شد و دلار می رفت بالا و ...سر خم می سلامت! :/ #سوال_از_رئیس‌جمهور</t>
  </si>
  <si>
    <t>توتی</t>
  </si>
  <si>
    <t>کارشناس ارشد روان شناسی تربیتی از دانشگاه تهران/دبیر و مدرس دانشگاه</t>
  </si>
  <si>
    <t>#روحانی امروز اول صحبتش از سعی بر پایبندی به توصیه رهبری گفت،یعنی اینکه ملت بدونید من از دیدار با رهبری دارم میام! و اول صحبتش، در بخش دوم هم با داد و فریاد، از تهدید به #قتل خودش گفت و این هم یعنی هوچی گری! و باز هم تمام مشکلات رو به دیگران حواله و وعده های تو خالی داد.</t>
  </si>
  <si>
    <t>mahdi moradi</t>
  </si>
  <si>
    <t>#روحانی از شاهزاده و تمام بزرگهای فضای مجازی خصوصا توییتر خواهش می کنم یه برنامه ریزی برای یک تجمع بکنند . تا وضع از این بدتر نشده ، خودمون باید آستین همتو بالا بزنیم</t>
  </si>
  <si>
    <t>برای رفتن به بهشت راه‌های متعددی هست و اقدامات متنوعی می‌شود انجام داد، ولی برای رفتن به دوزخ یک راه بیشتر نیست و آن اینکه خلاف عقل رفتار کنی.</t>
  </si>
  <si>
    <t>https://twitter.com/yjcagency/status/1034479368503021575</t>
  </si>
  <si>
    <t>مشکل شد دو تا !! خوب الان باید چه کنیم ؟ #سوال_از_رییس‌جمهور RT @yjcagency: کدخدایی سخنگوی شورای نگهبان: در مورد تکلیف نهایی #سوال_از_رئیس_جمهور در قانون به صورت روشن موردی مطرح نشده و همچنین در مورد مصادیق استنکاف هیچ تعریفی بیان نشده است/ مشخص نیست باید تعریف استنکاف از سوی هیات رئیسه انجام شود یا کمیسیون حقوقی، که این موضوع ابهام دارد</t>
  </si>
  <si>
    <t>Alireza Maleki</t>
  </si>
  <si>
    <t>‏‏‏هرکی یجور دیوونست</t>
  </si>
  <si>
    <t>ناکجا آباد</t>
  </si>
  <si>
    <t>#روحانی در مجلس:بدانید تخریب،خرابی می آورد! و من فقط معنی همین جمله رو فهمیدم!</t>
  </si>
  <si>
    <t>رامِ دامدار</t>
  </si>
  <si>
    <t>Monetary Economist || تبیین اقتصاد اسلامی و مقاومتی || نیمچھ طلبھ راھ ــــــــحقــــــــ #مکتب_اقتصادنا #مکتب_اقتصاداسلامی #نظام_اقتصاداسلامی #علم_اقتصاداسلامی</t>
  </si>
  <si>
    <t>هر جا نیاز باشه</t>
  </si>
  <si>
    <t>این افرادی که همیشه توصیه میکردن «روحانی حقایق پشت پرده را بگوید» فکر میکنن روحانی رادیکالی به نفعشونه! ته رادیکال روحانی اعتراضات دیماه و تجمع فیضیه و مرزها و سپاه بود!!! فکر میکنن دروغ‌هایی که به انقلابی‌ها میبندن رو روحانی باید تکرار کنه تا همه باور کنن! #سوال_از_رییس‌جمهور</t>
  </si>
  <si>
    <t>حِـســــٰامـــے</t>
  </si>
  <si>
    <t>آرزويم تحقق جمهورى سكولار، تخصصم مهندسى برق، علاقه ام كشاورزى و ماهيگيرى و قلبم آبىِ آبى و اصالتم رشتى است. 💙</t>
  </si>
  <si>
    <t>Gothenburg, Sweden</t>
  </si>
  <si>
    <t>آنچه که امروز باید مورد سوال و بازبینی قرار گیرد، سیاست خارجی نظام است، اما این کار نه از مجلس منتخب شورای نگهبان برمی‌آید، نه از رییس جمهوری که تنها دغدغه این روزهایش باقی‌ماندن در بالاترین سطح نظام است و آرزویی جز جانشینی رهبری ندارد. #روحانى</t>
  </si>
  <si>
    <t>Alihossein Ghazizade</t>
  </si>
  <si>
    <t>امروز #روحانی همش دستمال به دست عاقا بود. خاک بر سر حقیرت. #روحانی_خفه_شو #IslamicRegimeMustGo</t>
  </si>
  <si>
    <t>‏‏‏بیزنس وُمنی که رقيب بیزنس مَن ها شد و از میدان به در نرفت.تو مایه های ماهی سیاه کوچولو که به دریاها میرسد.</t>
  </si>
  <si>
    <t>دزد که نتونه دزد رو قانع کنه،مادر دزده. #سوال_از_رئیس_جمهور #براندازم</t>
  </si>
  <si>
    <t>اُتانازی</t>
  </si>
  <si>
    <t>Architect and Pharmacy student ( دكتر و مهندس باهم )</t>
  </si>
  <si>
    <t>Budapest, Hungary</t>
  </si>
  <si>
    <t>با تخريب بدنه ي #دولت كمك يا تغيير مثبتي ايجاد نميشود. تنها نكته ي مثبت امروز عدم "بگم بگم" ها و رعايت شان #مجلس بود. نمايندگان #اصلاحات بايد "خودي" نشان بدهند. #روحاني در شروع سخنراني: رهبري نكاتي فرمودند كه اميدوارم امروز آن را رعايت كنم. #وزارت_صمت</t>
  </si>
  <si>
    <t>MirSadra</t>
  </si>
  <si>
    <t>http://page.is/peymaneh-shafi</t>
  </si>
  <si>
    <t>Advocate of regime change in Iran; Independent specialist in Middle East. secular democracy&amp; individual freedom worldwide. Stand for international human rights.</t>
  </si>
  <si>
    <t>USA</t>
  </si>
  <si>
    <t>https://threadreaderapp.com/thread/1034356639170809856.html</t>
  </si>
  <si>
    <t>Thread by @iranazadi1395: "#رشتو ۱- طرح سؤال از #روحانی در جلسه مجلس نظام / نمایندگان از پاسخ به ۴سؤال از ۵سؤال قانع نشدند. بر اساس قانع نشدنه ۴ سوال، سوالات مطرح شده به قوه‌قضاییه ارجاع خواهد شد #براندازم ۲- […]" #رشتو #روحانی #IranRegimeChange #براندازم</t>
  </si>
  <si>
    <t>Peymaneh Shafi</t>
  </si>
  <si>
    <t>Quran 9:32: They want to extinguish the light of Allah with their mouths, but Allah refuses except to perfect His light, although the disbelievers dislike it.</t>
  </si>
  <si>
    <t>سناریو حال حاضر: ۱. آقای #روحانی با حمایت تمام قد #اصلاح_طلب ها و با کابینه تا بن دندان اصلاح طلب رئیس جمهور شد. ۲. مردم از #بی_کفایتی دولت در رنج و فشار قرار میگیرند. ۳. حامیان دیروز #اپوزیسیون میشوند و از روحانی به شیوه میخ و نعل عبور می کنند. ادامه دارد، #رشتو</t>
  </si>
  <si>
    <t>Hidaren</t>
  </si>
  <si>
    <t>چه مایه نفرت لازم است ، تا بر این دوزخ‌ دوزخ نابکاری بشوریم؟</t>
  </si>
  <si>
    <t>https://t.me/arazbahram</t>
  </si>
  <si>
    <t>https://twitter.com/FoxNews/status/1034493710317355009
https://fxn.ws/2Nu99OL</t>
  </si>
  <si>
    <t>دجالیت #روحانی در اینجاست ک سیاست های ضد بنیادگرایی دولت امریکا رو « ضد ایرانی » عنوان می کنه تا خودش رو ایرانی جلوه کنه و عوامفریبی کنه ... غافل از اینه ک دیگه امثال اوباما و مماشاتگرا دورانشون تموم شد و در کاخ سفید امثال #بولتون هستن ... #دیگه_تمومه_ماجرا RT @FoxNews: Iran's president vows to overcome 'anti-Iranians' in White House, as lawmakers issue public rebuke</t>
  </si>
  <si>
    <t>اراز</t>
  </si>
  <si>
    <t>http://jahaneghtesad.com</t>
  </si>
  <si>
    <t>اولین روزنامه اقتصادی ایران،http://t.me/jahaneghtesad /www.instagram.com/jahaneghtesadnews/</t>
  </si>
  <si>
    <t>ایران، تهران</t>
  </si>
  <si>
    <t>https://pbs.twimg.com/media/DltD7pNXgAA73kF.jpg</t>
  </si>
  <si>
    <t>پیام شفاف #روحانی به #تندروها؛ #آتش_بس_یکجانبه #واکنش ها به رای #مجلس در باره سوال از #رییس_جمهور</t>
  </si>
  <si>
    <t>روزنامه جهان اقتصاد</t>
  </si>
  <si>
    <t>داشتم فکر میکردم کدوم ترسوتر و محتاط‌تر بودن و هستن! به نتیجه‌ای نرسیدم! بابا اگر چیزی هست (که هست) و میدونید بگید، ما تحملش رو داریم، اگر هم نیست (که هست) یا میترسید یا بلد نیستید که بگید لااقل انقدر تکرار نکنید! بخدا خیلی خسته‌ایم #روحانی #خاتمی #رفسنجانی</t>
  </si>
  <si>
    <t>Kaveh</t>
  </si>
  <si>
    <t>https://pbs.twimg.com/media/DltEZChXoAUFz9U.jpg</t>
  </si>
  <si>
    <t>خامنه ای بهش گفت ضرر بزنی تو مجلس میدم پروستاتت رو از بیخ در بیارن پس بهش گفت #روحانی_خفه_شو :) روحانی هم گفت چشم قربان سرتت بعدش لاریجانی با افتخار میگه وواااییی ما تو اوج دمکراسی هستیم #روحانی #سوال_از_رئیس_جمهور #سوال_از_رییس‌جمهور</t>
  </si>
  <si>
    <t>آقای روحانی در جلسه امروز فراتر از انتظار من ظاهر شد: افتضاح، حق به جانب، طلبکار، بدون توان اقناع و از همه بدتر غیر واقعی و مصنوعی سخت است کاری کنی، هم به خودت بد کنی، هم طرفدارت را نا امیدتر، هم قیمت دلار بالابره آقای رییس جمهور، فرصت ها از دست می روند.. #روحاني #سنگ_پا</t>
  </si>
  <si>
    <t>Aurash Alavi</t>
  </si>
  <si>
    <t>C</t>
  </si>
  <si>
    <t>pic.twitter.com/exKP9BVpNQ</t>
  </si>
  <si>
    <t>#سوال ما از #مردم . با اینکه مدام تو تاریخ خوندیم و شنیدیم که آدمهای به اصطلاح #روحانی هر قوم ( شایدم #قم 😊) در شناخت حجت خدا #شکست خوردند؛ . باز سوالی که پیش میاد اینه که چرا باز یه عده سرنوشت دین و #دنیا شون رو میسپرند دست اونها 🤔🤔🤔 . سیداحمدالحسن یمانی در میان ماست...</t>
  </si>
  <si>
    <t>Sohrab13691</t>
  </si>
  <si>
    <t>‏‏‏‏‏‏‏‏‏‏‏‏‏‏‏ایرانی دلسوخته بریده از اصلاحات امیدوار به تغییر علاقه مند به ادبیات_ آذر ماهی مرز ۶۰ و ۷۰ ¦| پرسپولیس🔴 سعی می کنم به زندگی و حوادثش مثبت نگاه</t>
  </si>
  <si>
    <t>https://pbs.twimg.com/media/DltEfCzWsAAqIHl.jpg</t>
  </si>
  <si>
    <t>قبل عید یه پرس چلو کباب بناب ۴ دلار بود به برکت #روحانی الان شده ۲دلار مملکت بهشت شده به شرط اینکه درآمدت مث دوستان از جیب مردم باشه #IranRegimeChange</t>
  </si>
  <si>
    <t>ماکینگ بیرد</t>
  </si>
  <si>
    <t>http://fal.cn/Vx9u</t>
  </si>
  <si>
    <t>پاسخ‌های #روحانی به سوال‌های نمایندگان مجلس، آن‌ها را قانع نکرد. حالا #اصول‌گرایان مجلس به‌دنبال ارجاع سوال‌ها به قو‌‌ه‌قضاییه‌اند که ممکن است درنهایت به عزل روحانی هم بینجامد؛ اما سخنگوی هیات‌رییسه مجلس می‌گوید، هنوز بحث ارجاع به #قوه‌قضاییه مطرح نیست.</t>
  </si>
  <si>
    <t>دبیرکل حزب موتلفه اسلامی</t>
  </si>
  <si>
    <t>در آستانه هفته دولت آقای روحانی با بازخوانی رهنمودهای امام و رهبری در مورد دولت تراز اسلامی و با ارزیابی عملکرد دولت در مورد چگونگی اقدامات و سیاست‌ها و مدیریت‌های ناکارآمد دولت تجدیدنظر کند. #روحانی #سوال_از_رئیس_جمهور</t>
  </si>
  <si>
    <t>محمدنبی حبیبی</t>
  </si>
  <si>
    <t>Servant of Allah، Born 1988 in Doroud، Tat - Bakhtiari، http://M.Sc Applied Chemitry، Researcher، Exploit of Petrochemical، Perspolis، A Common Human</t>
  </si>
  <si>
    <t>این همه اصرار #BBC به افشاگری #روحانی نیاز است؟ ملت مسئولین رو خیلی خوب می‌شناسند.</t>
  </si>
  <si>
    <t>همایون غنی پور</t>
  </si>
  <si>
    <t>کاخی از آرزوها به اسم #برجام... تعبیر جالبیه...! #سوال_از_رییس‌جمهور</t>
  </si>
  <si>
    <t>Masoome Shahbazi</t>
  </si>
  <si>
    <t>عضو هیات علمی پژوهشگاه فرهنگ و اندیشه اسلامی</t>
  </si>
  <si>
    <t>برای داشتن رفاه باید از موضع قدرت و استقلال با نظام جهانی تعامل کنیم، هیچ‌گاه با وابستگی به ثروت نمی‌رسیم. #روحانی #سوال_از_رئیس_جمهور</t>
  </si>
  <si>
    <t>شهریار زرشناس</t>
  </si>
  <si>
    <t>‏پیدات می‌کنم...</t>
  </si>
  <si>
    <t>تو لباسام</t>
  </si>
  <si>
    <t>ولی من میگم به روحانی نگفته بودن حرفاش پخش زنده میشه. وگرنه با وقاحتِ تمام نمی‌گفت حقوق کارمندان 2 برابر و حقوق مستمری بگیران 3 برابر شده. #سوال_از_رییس‌جمهور</t>
  </si>
  <si>
    <t>ابوحیران درونی</t>
  </si>
  <si>
    <t>https://pbs.twimg.com/media/DltEyN1WwAAfwo_.jpg</t>
  </si>
  <si>
    <t>این بی شناسنامه و بیسواد امروز بدجور بزکش کرده بود جناب پرزیدنت کذابُ. #سوال_از_رییس‌جمهور #روحانی #ذوالنور #سوال_از_رئیس_جمهور</t>
  </si>
  <si>
    <t>‏‏‏‏‏ا‏‏صلاح طلب منتقد ؛حامی حقوق بشر؛حامی برابری؛حامی حقوق حیوانات؛ حامی حقوق کودکان ادب مرد به زدولت اوست؛زنده باد مخالف من</t>
  </si>
  <si>
    <t>#روحانی امروز نه بازنده بود نه برنده؛همه کاسه کوزه ها روسر #روحانی نشکنید؛روحانی در بن بستی است که اگر فریاد بزند راهی برای بیرون آمدن نخواهد داشت</t>
  </si>
  <si>
    <t>مجید آریان پور</t>
  </si>
  <si>
    <t>همون دختریم که هیچکس دوسش نداره💀☻</t>
  </si>
  <si>
    <t>روحانی رفت به مجلس تا با توضیحاتی بلکه جو رو آروم‌تر کنه، اما جو ناآروم‌تر شد و قیمت دلار از ۱۱ هزار تومن گذشت و هر گرم طلا هم به ۳۰۸ هزار تومن رسید! واقعا #روحاني هر بار دهنت رو باز می‌کنی شرایط کشور بدتر می‌شه ببنددددد!</t>
  </si>
  <si>
    <t>faezeh</t>
  </si>
  <si>
    <t>a free legendary man</t>
  </si>
  <si>
    <t>این همه کلمه ه کلمه پخش نفاق پراکنی نمایندگان و دریغ از پخش یک کلام درست از #روحانی در پاسخ به #سوال_از_رئیس‌جمهور در اخبار #صداوسیما، این همه نجاست و کثافت و فضاحت رو جمع کنید، توالت بسازید</t>
  </si>
  <si>
    <t>مرد مشرقي</t>
  </si>
  <si>
    <t>‏‏‏‏‏‏‏عزیز دنیا،ذلیل آخرت [‏‏‏‏‏به دنبال پرسشگر ]😃</t>
  </si>
  <si>
    <t>اگر شما هم از اجرای #حسن_روحانی لذت بردید میتونید تو سایت یا برنامه روبیکا بهش رای بدین،تنها تا فردا وقت دارین #سوال_از_رییس‌جمهور</t>
  </si>
  <si>
    <t>مکانیست</t>
  </si>
  <si>
    <t>این همه عاشق داری چطور حسودی نکنم ؟</t>
  </si>
  <si>
    <t>چقدر جامعه دموکراتیکی داریم هر روز یک #استیضاح ... جمع کنید بابا کاسه کوزه رو ...</t>
  </si>
  <si>
    <t>bahmanjvn</t>
  </si>
  <si>
    <t>مشکلات امروز ایران «تصوری» بیش نیست :| #ایده‌آلیسم علیه #رئالیسم #روحانی</t>
  </si>
  <si>
    <t>Hasan Hejdari Nasab</t>
  </si>
  <si>
    <t>‏پژوهشگر تاریخ معاصر</t>
  </si>
  <si>
    <t>#روحاني زندگی شخصی بعد از ریاست جمهوری را بر حیثیت سیاسی ترجیح داد و شاید گول خورد. احتمالا گذشت زمان نشان خواهد داد که اشتباه کردند.</t>
  </si>
  <si>
    <t>majidhakimikhoram</t>
  </si>
  <si>
    <t>صورت نبست در دل ما کینه کسی آیینه هر چه دید فراموش می کند</t>
  </si>
  <si>
    <t>اصلش که دروغه، اما همین 6000 مهمون خونه ای که #رئیس_احمق_اتحادیه_هتلداران_مشهد گفته، توی آماری که #روحانی امروز توی #مجلس ارائه کرد، حساب شده بود. #سوال_از_رییس‌جمهور #استیضاح #استيضاح_وزرا</t>
  </si>
  <si>
    <t>خط خوانا</t>
  </si>
  <si>
    <t>‏‏‏‏‏‏‏‏‏‏‏‏‏‏‏‏‏‏‏‏‏یه نفر درد می‌کشه اینجا.... تو اتاق همیشه تاریکش! ‏‏‏🇫🇷French lang🇫🇷| 💞💙استقلال یووه بارسا سیتی⚽</t>
  </si>
  <si>
    <t>شی‌راز</t>
  </si>
  <si>
    <t>اونایی که موقع گند کاریای #احمدی‌نژاد خفه‌خون گرفته بودن، گوه می‌خورن از #روحانی انتقاد می‌کنن! والسلام.</t>
  </si>
  <si>
    <t>مزیدِ بر علت😕</t>
  </si>
  <si>
    <t>معاون علمی پژوهشی فناوری بسیج کشور</t>
  </si>
  <si>
    <t>#سوال_از_رئیس_جمهور امروز جمهوریت نظام را تقویت کرد و #مجلس این بار نمایندگی افکار عمومی در پذیرش سخنان رییس جمهور درست بر عهده گرفت و امیدوارم خوب به سرانجام برساند و قوه قضائیه نیز بتواتد در رسیدگی به استنکاف، در تراز ملت بزرگ ایران ظاهر شود.</t>
  </si>
  <si>
    <t>حسین قدیانی</t>
  </si>
  <si>
    <t>اگه نميتونى مرهم درد مردم باشى حداقل نمك به زخم مردم نپاش اقاى روحانى توكه عرضه ندارى مشكلات مردمو حل كنى خواهشن باحرفات به بحران واسيب و اين حرفا كارى نداشته باش رفتى مجلس دلار١٠٠٠تومن گرون شد #مجلس</t>
  </si>
  <si>
    <t>مجلس در تایید #کابینه روحانی به هم اندازه عجولانه عمل نمود و بی تدبیری نمود که در #استیضاح برخی وزرای آن. این استیضاح ها دردی از #مردم دوا نمی کند.</t>
  </si>
  <si>
    <t>یک ضرب‌المثل عبری هست که میگه:انسان ها نقشه می کشند اما خدا می خندد؛به نوعی مصداق این ضرب‌المثل بعضی حضرات هستند که هر روز در حال طراحی نقشه برای حذف #روحانی هستند و فکر می کنند از آن طریق به پاستور می رسند؛اما نمی دانند در حال باز کردن راه برای نسخه جدیدی از #احمدی‌نژاد هستند</t>
  </si>
  <si>
    <t>وچه تخفیف بزرگی خورده قیمت هرانسان....فعال حقوق بشر.... ایرانی آباد و آزادم آرزوست</t>
  </si>
  <si>
    <t>اروپا</t>
  </si>
  <si>
    <t>pic.twitter.com/n4St9S2mS7</t>
  </si>
  <si>
    <t>🔴 اگر مردم به جای #روحانی به مجلس می‌رفتند چه می‌گفتند؟ حقیقت را باید از مردم شنید... #قیام_تا_سرنگونی #روحانی_شارلاتان</t>
  </si>
  <si>
    <t>mahmoodgholami</t>
  </si>
  <si>
    <t>‏‏‏‏‏‏‏‏‏وه که جدا نمی‌شود نقش تو از خیال من تا چه شود به عاقبت در طلب تو حال من</t>
  </si>
  <si>
    <t>http://www.asriran.com/fa/news/628909/%D8%A7%D8%B1%D8%B2%D8%B4-%D9%BE%D9%88%D9%84-%D9%88%D9%86%D8%B2%D9%88%D8%A6%D9%84%D8%A7-%D8%AA%D9%82%D8%B1%DB%8C%D8%A8%D8%A7-%D8%A8%D9%87-%D8%B5%D9%81%D8%B1-%D8%B1%D8%B3%DB%8C%D8%AF%D9%87-%D8%A7%D8%B3%D8%AA</t>
  </si>
  <si>
    <t>قیمت یک مرغ متوسط ۲.۴ کیلوگرمی در ونزوئلا به ۱۴میلیون و ۶۰۰ هزار بولیوار معادل ۲.۲۲ دلار رسیده است  #دلار 11000 تومن هست یعنی یه مرغ تو ونزوئلا 24420 تومان قیمت داره؛ من دیروز 2 تا مرغ متوسط گرفتم 45000 تومن شدپس پابه پای ونزوئلا داریم پیش میریم #روحانی</t>
  </si>
  <si>
    <t>Fanasa</t>
  </si>
  <si>
    <t>حالا که چیزی معلوم نیست••• ‏‏‏‏‏‏‏‏‏‏‏‏‏‏‏‏‏‏‏ ‎‎‎‎‎‎‎‎‎‎‎‎‎‎‎‎‎‎‎‎‎‎‎‎‎#ظهور ‎‎‎‎‎‎‎‎‎‎#وارث_زمین</t>
  </si>
  <si>
    <t>Republic "islamic" of IRAN</t>
  </si>
  <si>
    <t>pic.twitter.com/jafjC0MIk7</t>
  </si>
  <si>
    <t>_آیا دولت برای رفاه مردم کاری نکرد؟ ‌ _نِــــح! ‌ _آیا حقوق ها دو برابر نشد؟ ‌ _نِــــح! #سوال_از_رییس‌جمهور #رئیس_جمهور #روحانی</t>
  </si>
  <si>
    <t>مُحَمّد حُسِین 🇮🇷</t>
  </si>
  <si>
    <t>‏إِنَّ ٱللَّهَ لَا یُخْلِفُ ٱلْمِیعَادَ (آل عِمران/۹)</t>
  </si>
  <si>
    <t>ساکن موقت کره زمین</t>
  </si>
  <si>
    <t>https://pbs.twimg.com/media/DltFpmyU0AAELTL.jpg</t>
  </si>
  <si>
    <t>کاش قیمت پراید هم مثل سرعتش از یه حدی که بالاتر می رفت هشدار می داد...😄 . #پراید #تورم #گرانی #نوسان_بازار #تدبیر_امید #کلید_روحانی #روحانی #حسن_روحانی #روحانی_مچکریم #روحانی_خسته_نباشی #اصلاحات #فریب_افکار_عمومی #طنز #دلار #برجام #تحریم</t>
  </si>
  <si>
    <t>التماس تفکر</t>
  </si>
  <si>
    <t>آقای دکتر #روحانی، بله حق با شماست. مشکل از ما مردم است که دلخوشی بیجا به وعده هایتان داشتیم و با #امید کاذبی که شما در ذهن ما مردم کاشتید به آینده نگاه میکردیم. واقعا ما ملت خوبی برای شما #دولت مردان صادق و #پاک_دست نبودیم #عذرخواهی میکنیم</t>
  </si>
  <si>
    <t>coyote</t>
  </si>
  <si>
    <t>‏‏شهروندی از طایفه دانشگاهیان</t>
  </si>
  <si>
    <t>جمهوری اسلامی ایران_اصفهان</t>
  </si>
  <si>
    <t>https://pbs.twimg.com/media/DltFsfoX0AIqgwA.jpg</t>
  </si>
  <si>
    <t>مردم سوئیس! اشتغال چندمیلیونی آفریدم:/ گوارای وجودتان! #سوال_از_رئیس‌جمهور #ساکتین_مجلس</t>
  </si>
  <si>
    <t>شهاب۳</t>
  </si>
  <si>
    <t>ارشدترین کارشناس ادبیات آلمانی از تهران</t>
  </si>
  <si>
    <t>Islamische Republik Iran</t>
  </si>
  <si>
    <t>https://pbs.twimg.com/media/DltFudUXcAAu6xI.jpg</t>
  </si>
  <si>
    <t>این روزها این نقل قول از #اریش‌کستنر در توییتر آلمانی دست‌به‌دست میشه: « ... نباید صبر کرد تا از یه گوله برف، بهمن درست بشه. باید گوله برف رو متلاشی کرد. جلوی بهمن رو کسی نمی‌تونه بگیره...» که می‌تونه جواب درستی به سوالهای #روحانی در مجلس باشه. #ErichKästner</t>
  </si>
  <si>
    <t>مایا</t>
  </si>
  <si>
    <t>‏هیچ اتفاقی,اتفاقی اتفاق نمی افته!!</t>
  </si>
  <si>
    <t>تاهمین چندوقت پیش ب بعضی از #مسئولین #مشهد القاب #دزد و #قاتل و..داده شد..الانم ک درگیر #استیضاح از #رئیس_جمهور ووزیران محترمشونیم بعضیامثل شرق دروغ میگن ک درشهرمقدس #مشهد #شهروند_جنسی و...ب پاشده..!! #مثل_شرق_دروغ_میگی #جنسی_آنلاین</t>
  </si>
  <si>
    <t>kosar.ka</t>
  </si>
  <si>
    <t>انواع و اقسام روزا پیش رومونه، خوش میگذره</t>
  </si>
  <si>
    <t>شما درصد تورم رو در صفر هم ضرب کنی باز بیشتر از صد میشه مرکز آمار چطور زیر ده در میاره؟ #روحانی</t>
  </si>
  <si>
    <t>mosek</t>
  </si>
  <si>
    <t xml:space="preserve">‏‏إِنَّ الْمُؤْمِنَ أَشَدُّ مِنْ زُبَرِ الْحَدِیدِ </t>
  </si>
  <si>
    <t>اکثریت مردم ایران خارج از هر رنگ و جناحی به این همدلی رسیده‌اند که گرفتار دولت کذاب و ناتوانی در مدیریت کشور شده‌اند!!! انشاءلله این همدلی در آینده منجر به نتایج خوبی بشود. #سوال_از_رییس‌جمهور #روحانی</t>
  </si>
  <si>
    <t>حجت فقیه</t>
  </si>
  <si>
    <t>‏‏‏آنان که میفهمند عذاب میکشند وآنان که نمیفهمند عذاب میدهند</t>
  </si>
  <si>
    <t>قله قاف</t>
  </si>
  <si>
    <t>از صب گردنم درد میکنه فک کنم چون این روحانیِ گردن شکسته ،شکست سنگینی رو انداخت گردنم #سوال_از_رئیس_جمهور</t>
  </si>
  <si>
    <t>خانم تکذبان🇮🇷</t>
  </si>
  <si>
    <t>اون عده ای که ادعا میکردند، رئیس جمهور هیچ کاره است و مشکلات کشور به اون ربطی نداره، یا نمیزارن کار کنه!!! پاسخ بدن، اگر اینطوره که شما میگفتید، پس چرا از رئیس جمهور سوال شد و ایشون به سوالات در مورد رکود و اقتصاد و ارز و .... پاسخ داد؟! #سوال_از_رییس‌جمهور</t>
  </si>
  <si>
    <t>http://Telegram.com/mobin7766</t>
  </si>
  <si>
    <t>- دانشجوی کارشناسی مهندسی عمران - دبیر انجمن علمی دانشجویی مهندسی عمران مؤسسه آموزش عالی سارویه - سرپرست بسیج دانشجویی مؤسسه آموزش عالی سارویه</t>
  </si>
  <si>
    <t>Sari, Amol</t>
  </si>
  <si>
    <t>وضعیت نابسامان اقتصاد کشور ناشی از عوامل مختلفی است؛ ساختار متمرکز رانتی تک مخصولی غیر رقابتی، فعالیت نهادهای موازی، توزیع نامتوازن منابع، فساد و عدم شفافیت، انحراف در خصوصی‌سازی، تعامل ضعیف با اقتصاد جهانی و... #روحانی امروز پاسخ نداد دولت وی چه سهمی در هر یک از این عوامل دارد؟!</t>
  </si>
  <si>
    <t>mobin khosrozadeh</t>
  </si>
  <si>
    <t>http://Instagram.com/reza.rahimii_</t>
  </si>
  <si>
    <t>‏‏‏‏‏‏‏‏‏‏‏ وقتی عقل، عاشق شود؛ عشق، عاقل می شود؛ و آنگاه شهید میشوی. ‎‎#مصطفی_چمران|دانشجوی پرستاری|تحکیم وحدت‎</t>
  </si>
  <si>
    <t>معتقدم امروز در مجلس شاهد یک #روحانی معتدل بودیم. جدای از آمارهای نامرئی همیشگی؛ میتوانست با پیروی از توصیه های تنش زای #مجاهدین_انقلاب ، برای مدتی کشور را در گسل دوقطبی قرار دهد ، که اینگونه انجام نداد.</t>
  </si>
  <si>
    <t>رضـاخــــــان</t>
  </si>
  <si>
    <t>#روحانی ، #مجلس ، #رئیس_جمهور #نمایندگان ، #استیضاح ، #طرح_سوال از پای بست ویران است!</t>
  </si>
  <si>
    <t>«خشت اول»</t>
  </si>
  <si>
    <t>🔻سخنگوی شورای نگهبان: مجلس در مورد پرسش از رئیس جمهوری تعیین تکلیف می کند کدخدایی: مجلس در نهایت باید در مورد وضعیت پرسش از رئیس جمهوری تعیین تکلیف کند. اکنون در این باره در قانون ابهام هایی وجود دارد. #سوال_از_رئیس‌_جمهور</t>
  </si>
  <si>
    <t>https://pbs.twimg.com/media/DltMQc7U0AAPayv.jpg</t>
  </si>
  <si>
    <t>چرا به #روحانی رای دادیم؟؟</t>
  </si>
  <si>
    <t>https://pbs.twimg.com/media/DltMoGIXsAAMH5R.jpg</t>
  </si>
  <si>
    <t>شتاب قیمت ها #سوال_از_رئیس‌جمهور</t>
  </si>
  <si>
    <t>https://pbs.twimg.com/media/DltM8NvXcAAFFVs.jpg</t>
  </si>
  <si>
    <t>کسی میدونه، چرا #روحانی به یه پلاکارد مجهول و محدود که دست یه طلبه گمنام بود واکنش نشون داد! اما در مورد ابهامِ تابعیتش که رسماً توسط نماینده‌های مجلس مطرح شده بود سکوت کرد؟!! #سوال_از_رییس‌جمهور</t>
  </si>
  <si>
    <t>قبل از هر چیزی #براندازم #جمهوریخواه طرفدار تمامیت ارضی آزادی بیان تحصیلات، بیمه رایگان برای همه اشتغال تضمین شده اداره کشور با چهل تا شصت درصد مالیات بر در آمد</t>
  </si>
  <si>
    <t>امام خامنه ای و اصطبل مطهرشان(مجلس) امروز شروع به سوراخ کردن کشتی کردند که کل نظام داخل آن نشسته بود قبول است انشاالله #روحاني</t>
  </si>
  <si>
    <t>آیت الله شیاف</t>
  </si>
  <si>
    <t>حسن #روحانی: متاسفانه مردم قانع نیستند؛ ما پیرو امام خمینی هستیم و خود ایشان فرمودند: به مجانی کردن آب و برق و... قانع نباشید.</t>
  </si>
  <si>
    <t>https://pbs.twimg.com/media/DltM-qRWwAAvKO3.jpg</t>
  </si>
  <si>
    <t>یعنی واقعا تا 1400 باید حرف های اینو تحمل کنیم #روحانی #مجلس</t>
  </si>
  <si>
    <t>https://about.me/MoeinQ</t>
  </si>
  <si>
    <t>Team member of Riseup Coworking Space @riseup_co, Co-Founder @VakavicAI. Interested in startup communities, tech industry, cars, music &amp; my city</t>
  </si>
  <si>
    <t>دارم داده های مربوط به جلسه امروز #مجلس رو می‌ماینم، و هر چی بیشتر جلو میرم بیشتر در خود سکوت میکنم. چه کردید با مردم!!!</t>
  </si>
  <si>
    <t>Moein Qodsi</t>
  </si>
  <si>
    <t>من غلام قمرم...</t>
  </si>
  <si>
    <t>https://twitter.com/mmohammadii61/status/1034441579560239105</t>
  </si>
  <si>
    <t>حاشیه خلق نکرد چون عملا جلسه #سوال_از_رییس‌جمهور امروز هیچ دردسری براش ایجاد نمیکنه در ادامه RT @mmohammadii61: اینکه رییس جمهور حاشیه خلق نکرد جای تشکر و تقدیر دارد منتها مطالبه مردم ‘بهبود’ وضع اقتصاد است ‌و متقاعد نشدن از پاسخهای ملت برای مردم نان و آب نمی شود.</t>
  </si>
  <si>
    <t>سید عباس هاشمی</t>
  </si>
  <si>
    <t>‏‏‏‏ما جسم پژو با مغز پیکان...</t>
  </si>
  <si>
    <t>urasiya</t>
  </si>
  <si>
    <t>اون زمانی که هشتک تا۱۴۰۰با #روحانی رو میزدید،فکرشو میکردید اون آدم بشه این؟گفتیم بابا این آدم کسیه که خمینی روکردعمام خمینی!گفتیم این همون نماینده #رهبر_حقیر ه توشورای امنیت ملی،چقدر گفتیم رای ندید،اما افسوس که باز توانتخابات اینده همه اینا یادتون میره #richard #Iran</t>
  </si>
  <si>
    <t>richard_azab🏁</t>
  </si>
  <si>
    <t>https://www.instagram.com/im.sepehr/</t>
  </si>
  <si>
    <t>پیروزی ما آن چیزی نیست که کسی در آن شکست بخورد .... 🇮🇷✌️💚</t>
  </si>
  <si>
    <t>آقاي #روحاني شما حقوقدان هستي و آشنا به روابط بين الملل،ولي واقعا خودتو #مصدق فرض كردي كه تو دادگاه #لاهه عليه آمريكا طرح شكايت ميكني ؟؟؟</t>
  </si>
  <si>
    <t>sepehr sheykholeslam</t>
  </si>
  <si>
    <t>‏‏‏‏‏یک ‎#انقلابی بیزار از ‎#چپ و ‎#راست. اللهم الرزقنا شهادت....</t>
  </si>
  <si>
    <t>https://twitter.com/mah_sadeghi/status/1034502042897842177</t>
  </si>
  <si>
    <t>جناب #لیست_ناامیدی تبصره ای برای به توپ بستن و تعطیلی #مجلس وجود نداره؟؟! یک عدد لیاخوف روسی ام آرزوست... #محمود_صادقی #روحانی_در_رفت #وکیل_الدوله RT @mah_sadeghi: طبق تبصره م ۲۱۳ آیین‌نامه داخلی چنانچه اکثریت از پاسخ رئیس جمهور قانع نشوند و موضوع مورد سؤال نقض قانون یا استنکاف از قانون محسوب شود، آن سؤال به قوه قضاییه ارسال می‌شود. به نظر میرسد باتوجه به اینکه موضوع سؤال‌ها نقض یا استنکاف از قانون نبود ارسال به قوه قضاییه موضوعیت ندارد.</t>
  </si>
  <si>
    <t>Hadi.M</t>
  </si>
  <si>
    <t>‏‏‏‏‏‏‏‏‏‏‏‏‏‏‏‏‏‏‏الهی، روزبه را عمر بگاست، اوضاع جهانت اینگونه چراست؟ eS💙. ju❤️eiii⚽</t>
  </si>
  <si>
    <t>تو خودم.</t>
  </si>
  <si>
    <t>اقا اگر همه مشکلات با #روحانی هست چرا حضرت اقا شخصا برای تشکیل کابینه اقدام نمیکنه؟ تا جامعه ب مدینه فاضله برسه و همه خوشبخت باشن</t>
  </si>
  <si>
    <t>@Rozbeh</t>
  </si>
  <si>
    <t>http://iranshahrig.com</t>
  </si>
  <si>
    <t>‏‏سرباز راه بازیابی ایرانشهری. نه به سکولاریسم، نه به دموکراسی، نه به دیکتاتوری، راه اقتدار و نجات مهین برپایی راه ایرانشهریست.</t>
  </si>
  <si>
    <t>https://pbs.twimg.com/media/DltNfChXcAMv_71.jpg</t>
  </si>
  <si>
    <t>راست این است که #سپاه لیاقت اش بیش از این نیست؛ نهادی که مهمترین خویشکاری اش شده است بوسیدن دست این آخوند یا آن روضه خوان سر قبر، نهادی که همراه با #ارتش به همان اندازه بی غیرت، چشم بر تجزیه ی مملکت در کاسپین چای می بندد. #خردکام_کیخسرو_آرش_گرگین #بازیابی_ایرانشهری #روحانی</t>
  </si>
  <si>
    <t>Cyrus Vatankhah</t>
  </si>
  <si>
    <t>http://instagram.com/mrezaa1211</t>
  </si>
  <si>
    <t>‏‏سعی میکنم واقعیت را آنطور که هست روایت کنم. روزنامه‌نگار در سایت عصر ایران</t>
  </si>
  <si>
    <t>تصمیم داشتم امروز بعد از جلسه صبح مجلس، یه گزارش بنویسم درباره چیزهایی که #روحانی گفت، چیزهایی که نگفت و چیزهایی که ناقص گفت. بعدش دیدم کلا چیزی نگفت، بیخیال گزارش شدم. ولی کسی که باید از حرفای روحانی خوشش میومد، خوشش اومد ظاهرا ! #سوال_از_رئیس‌جمهور #سوال_از_رئیس_جمهور</t>
  </si>
  <si>
    <t>Mohamad Reza Ahmadi</t>
  </si>
  <si>
    <t>‏‏‏‏طلبه سیاست فارغ از هرگونه جریان و جناح</t>
  </si>
  <si>
    <t xml:space="preserve"> Islamic Republic of Iran</t>
  </si>
  <si>
    <t>یک مسئله که از اول صبح ذهنم رو مشغول کرده اینه که وزرا واقعا انقدر بیکارند و سرشون خلوته که یکشنبه آقای کرباسیان رو در مجلس همراهی کردند و امروز آقای #روحاني را!؟ #سوال_از_رییس‌جمهور</t>
  </si>
  <si>
    <t>🇮🇷میرزا احمد</t>
  </si>
  <si>
    <t>📐im an architect and my job is making an innovative world📐 مخالف جنگ...واقعيت گرا</t>
  </si>
  <si>
    <t>روز به روز دارم ذات كثيف اين جماعت مسوول رو ميفهمم...از نمايندگان مجلس گرفته تا رييس جمهوري كه خودمم اشتباها بهش راي دادم.اقاي #رئیس_جمهور درسته از نظر شما اين وضع وخيم كشور تقصير اعتراضات ديماه سال گذشتس ولي ميخام بدوني شماو امثال شما خيلي بي شرم وحيا هستين #از_ماست_كه_بر_ماست</t>
  </si>
  <si>
    <t>A....Gh</t>
  </si>
  <si>
    <t>آذربایجان شرقی ⚘</t>
  </si>
  <si>
    <t>اگر مسئولیت یک #صحرا رو به بخش دولتی بدی بعداز ۵ سال با کمبودش مواجه میشی😲😎😂🙈🙈🙈 #سوال_از_رییس‌جمهور #روحانی</t>
  </si>
  <si>
    <t>شَمیمِ صبح</t>
  </si>
  <si>
    <t>کل جلسه امروز مجلس در خصوص #سوال_از_رییس‌جمهور یک طرف و اونجایی که دستگاه شمارش آرا علی لاریجانی از کار افتاد و اون نماینده داد میزد آرا رو میخوان دست کاری کنند یک طرف ؟؟ مجلس چرا این داغانه ؟</t>
  </si>
  <si>
    <t>دراندرون من خسته دل ندانم کیست که من خموشم او در فغان و در غوغاست</t>
  </si>
  <si>
    <t>چرا هیچ نماینده ای از توصیه هایی که رییس جمهور گفت باید رعایت کنه، نپرسید؟ #مجلس #روحاني #سوال_از_رئیس‌جمهور</t>
  </si>
  <si>
    <t>پروفسور بالتازار</t>
  </si>
  <si>
    <t>https://pbs.twimg.com/media/DltOYcBX0AExtXW.jpg</t>
  </si>
  <si>
    <t>استند آپ كمدي #روحانی! #خامنه_ای #خامنه‌ای #صهيونيسم_شيعه #انجمن_هواداران_بازیابی_ایرانشهری_شاخه_درون_کشور #جنبش_فرزندان_زرتشت_کوروش #کیخسرو_آرش_گرگین</t>
  </si>
  <si>
    <t>خدارو شکر این دولت امروز یه دستاورد داشت آقای روحانی به عنوان کسی که دکترا داره و قسم جلاله خورد گفت که در بحران نیستیم. خب خداروشکر معنی واژه بحران رو هم فهمیدیم. #سوال_از_رییس‌جمهور</t>
  </si>
  <si>
    <t>‏‏قطره ای ز دریایم ، پر خروش و طوفانی/ با غرور هستم از ، نسل خوب ایرانی/ نسل کاوه و آرش ، نسل غیرت و آتش/ نسل مردم عاشق ، یاوران ایمانی</t>
  </si>
  <si>
    <t>pic.twitter.com/Ie0OzRs34S</t>
  </si>
  <si>
    <t>روحانی احمدی نژادیه یا احمدی نژاد روحانییه!!!😁 #سوال_از_رئیس_جمهور</t>
  </si>
  <si>
    <t>گُردآفرید</t>
  </si>
  <si>
    <t>‏‏‏‏‏دستفروش مترو داد میزد «یه حباب‌ساز ببرین. بازی و شادی، حق بچه‌هاس» خودش ۱۲ سالشم نبود. http://t.me/twitterizzm‎‎‎‎</t>
  </si>
  <si>
    <t>وسط کنسرت شاهین</t>
  </si>
  <si>
    <t>❗️ #وزیر آموزش و پرورش در نوبت بعدی #استیضاح بابایی صالح نماینده #مجلس: استیضاح‌کنندگان وزیر آموزش و پرورش در #کمیسیون_آموزش از پاسخ‌های وزیر قانع نشدند و استیضاح ب صحن علنی میرود</t>
  </si>
  <si>
    <t>جیزز اعظم</t>
  </si>
  <si>
    <t>يك دانش آموز روابط بين الملل</t>
  </si>
  <si>
    <t>به نظر می رسد آقای #روحانی به تنهایی جور بی برنامگی اصولگرایان برای انتخابات #مجلس و ریاست جمهوری را می کشد.هرروز که روحانی بماند اصولگرایان یک قدم به #پاستور نزدیک تر می شوند.</t>
  </si>
  <si>
    <t>احسان تقدسي</t>
  </si>
  <si>
    <t>‏‏مشهد ...همیشه خسته .... ..... یا امیر عرب علی(ع)</t>
  </si>
  <si>
    <t>خاک برسر نمایندگان مجلس شورای اسلامیییییییییی.....مرتیکه اینهمه جفنگ زد از اول حرف زدنش مشخصه که هیچ برنامه ای نداره برای اداره کشور فقط داره میره سرکار برمگرده عین کارمندهای معمولی انگار نه انگار رییس جمهوره #سوال_از_رییس‌جمهور #سوال_از_رئیس_جمهور #روحانی</t>
  </si>
  <si>
    <t>🤔🎀🎈🇮🇷MAHDI🇮🇷🇮🇶🤗</t>
  </si>
  <si>
    <t>https://pbs.twimg.com/media/DltOvoOX4AAbdM-.jpg</t>
  </si>
  <si>
    <t>#ایران_را_پس_میگیریم #دریای_خزر یادتونه ماه قبل #ولایتی جهت اعلام بندگی و بیعت مجدد از طرف #خامنه‌ای حضور پوتین شرفیاب شد و بعنوان پیشکش قول دادچند روز بعد #روحانی پیمان فضاحتبار بخشش #دریای_مازندران رو امضا کنه و در عوض از #پوتین تمنا کرد که از #جمهوری_اسلامی مراقبت و حفاظت کنه.</t>
  </si>
  <si>
    <t>NℹK💥💥...🅰️F🅰️RℹN</t>
  </si>
  <si>
    <t>‏‏‏‏دبیرکل جمعیت پیشرفت و عدالت /مدیرمسئول روزنامه رسالت</t>
  </si>
  <si>
    <t>#روحانی چنان در جلسه #سوال_از_رئیس_جمهور در تمجید از دولت خود زیاده روی کرد که حتی یکی از نمایندگان به کنایه او را رئیس جمهور سوییس خطاب کرد. شرط اول جبران، پذیرش اشتباه است. روحانی آماده جبران نیست.</t>
  </si>
  <si>
    <t>mohsenpirhadi</t>
  </si>
  <si>
    <t>کدخدایی: 🔹اکنون پرسش از رئیس جمهور در قانون ابهام هایی وجود دارد. نظام مقدس ج. ا مثل خر تو گل گیر کرده که چیکار کنه یه کلاه جدیدِ دموکراسی سر مردم بزارن #روحانی #سوال_از_رییس‌جمهور</t>
  </si>
  <si>
    <t>‏‏‏حزب الله هم الغالبون /دانشجوی در انتظار اعلام نتایج انتخاب رشته</t>
  </si>
  <si>
    <t>یعنی یه روزی میاد که همه رفتن #روحاني رفته لاریجانی رای نیاورده زیباکلام دلت اکانت کرده جنتی بازنشسته شده صادقی از دستشویی اومده بیرون ولی هنوز کسی نمیتونه #آخوندي رو استیضاح کنه</t>
  </si>
  <si>
    <t>Alireza Bahrami</t>
  </si>
  <si>
    <t>با فیلتر شکن اومدی دم از قانون نزن</t>
  </si>
  <si>
    <t>هر وقت #کنار_دریایی که رفتیم رو تمییز کردیم بیایم از فرهنگ صحبت کنیم #سئوال_از_رییس_جمهور #روزنامه_شرق #خبرآنلاین #روحاني</t>
  </si>
  <si>
    <t>خودم و خودت</t>
  </si>
  <si>
    <t>http://khabarfoori.com/detail/555350</t>
  </si>
  <si>
    <t>کوهکن ،عضو کمیسیون صنایع و معادن: 🔺نمایندگان در جلسه امروز #مجلس جناحی عمل نکردند 🔹مردم از طرح سوال از #رئیس‌جمهور خاطره خوشی ندارند شرح گفتگوی کوهکن با خبرفوری را اینجا بخوانید👇👇👇</t>
  </si>
  <si>
    <t>‏‏‏‏‏‏‏‏‏‏‏‏‏‏‏‏‏‏‏‏‏‏‏‏‏‏‏‏‏‏‏خواهرِ *نسیم شمالم* که از جنوب می وَزَم! (همون روزنامه نگاری که دردوران مشروطه به خاطر حق گویی توی روغن داغ انداختن وشهیدش کرد)</t>
  </si>
  <si>
    <t>https://pbs.twimg.com/media/DltO_OzW0AA8Js9.jpg</t>
  </si>
  <si>
    <t>براتون حباب درست نکردم که کردم... با خودم توچال نبردمتون که بردم... رکود و بیکاری و #گرونی درست نکردم که کردم... قسم جلاله دروغ نخوردم که خوردم... آخه دیگه چی از جونم میخواین؟! #سوال_از_رئیس_جمهور</t>
  </si>
  <si>
    <t>نسیـ جنوب ــمِ</t>
  </si>
  <si>
    <t>https://pbs.twimg.com/media/DltPCjmXgAE0mEp.jpg</t>
  </si>
  <si>
    <t>منگنه ی خامنه ای-روحانی و زه زدن شرم آورانه ی ارتش و وزارت دفاع #کیخسرو_آرش_گرگین #بازیابی_ایرانشهری #ارتش #سپاه #بسیج #خامنه‌ای #خامنه_ای #روحانی #وزارت_دفاع</t>
  </si>
  <si>
    <t>‏‏‏راننده سنگین. دغدغه مندی هستم که هرچی براتون می نویسم امکان داره از جای جای مختلف ایران باشه، عاشق کارم هستم.</t>
  </si>
  <si>
    <t>https://twitter.com/Smr_firoozi/status/1034491706828369920</t>
  </si>
  <si>
    <t>برای ملتی که برای نابودی انرژی هسته ای کف و سوت میزدن و میرقصیدن کف خیابونا شما داری #سوال_از_رییس‌جمهور رو مطرح میکنید؟ RT @Smr_firoozi: جلسه #سوال_از_رئیس_جمهور باید چند سال قبل اجرا میشد همان موقع که کشور را به غرب فروخت ! همان موقع که 470 هزار میلیارد نقدینگی را به 1600 هزار میلیارد رساند همان موقع که به لبخند دیپلماسی مدال افتخار داد همان موقع که خوشبین نیستم ها را نشنید....</t>
  </si>
  <si>
    <t>رضا رسولی</t>
  </si>
  <si>
    <t>کارگر فرهنگی-تربیتی، مهندس عمران، کمی هم گرافیک یادم داده‌اند</t>
  </si>
  <si>
    <t>به نظر #سوال_از_رییس‌جمهور و قانع نشدن ها دل همه رو‌خنک کرده! شاید همه اتفاقات امروز فقط همین یک دلیل رو داشته!</t>
  </si>
  <si>
    <t>هادي خلفايان</t>
  </si>
  <si>
    <t>http://www.imps.ac.ir</t>
  </si>
  <si>
    <t>حقیقت در بستر گفتگو شکل میگیره اینو ارسطو میگه،علاقه من تبدیل مونولوگ به دیالوگه/منتظر/آشوبیسم/توبه‌کار سیاسی/آنتی‌هشتگ/آنتی‌لیبرال/آنتی‌بلاک</t>
  </si>
  <si>
    <t>امروز با حرف‌های روحانی خندیدیم، عصبانی شدیم، فحش دادیم، امیدواروار شدیم و در نهایت شاخ درآوردیم! #روحاني #روحانی_مچکریم #روحانی_خفه_شو #روحانی_شارلاتان #روحانی_استعفا #سوال_از_رییس‌جمهور والاا</t>
  </si>
  <si>
    <t>محمد_نیمسوز</t>
  </si>
  <si>
    <t>https://pbs.twimg.com/media/DltPUD4WsAAioG_.jpg</t>
  </si>
  <si>
    <t>روزهای التهاب در ناامیدی #جوانان #ایران #گرانی #دلار #بی_آبی #روحاني</t>
  </si>
  <si>
    <t>Maede Kh</t>
  </si>
  <si>
    <t>‏نمیوم</t>
  </si>
  <si>
    <t>IRI</t>
  </si>
  <si>
    <t>باورم نمیشد بعد از صحبت های #روحانی عده‌ای باشند که از جواب ایشان قانع شده باشند. مرز های خیلی چیزها تغییر کرد مثلا قناعت :))</t>
  </si>
  <si>
    <t>انقلابی🇮🇷</t>
  </si>
  <si>
    <t>https://twitter.com/Advent_is_near/status/1034485803374796802</t>
  </si>
  <si>
    <t>چیه خب؟ واقعا نمیدونه #چیشد_کشور.هی نپرسین ازش هول میشه بچه #سوال_از_رییس‌جمهور RT @Advent_is_near: فکر کنم تنها تفاهم ما با روحانی همین یک سوال باشه که توی مجلس بارها هم تکرارش کرد: #چیشد_کشور ؟؟!</t>
  </si>
  <si>
    <t>https://www.instagram.com/moosa_hasanvand/</t>
  </si>
  <si>
    <t>‏کارشناس و تحلیلگر مسایل سیاسی . . علاقمند به سینما. . . . .</t>
  </si>
  <si>
    <t>گفته بودم #روحانی حرف مهمی توی $مجلس نمیزنه -چی ؟ -اینجا نبود؟ آها توی اینستاگرام گفته بودم -استیضاح؟ نه #استیضاح هم نمیشه</t>
  </si>
  <si>
    <t>موسی حسن وند</t>
  </si>
  <si>
    <t>http://t.me/Pvshahinbot</t>
  </si>
  <si>
    <t>‏‏‏‏‏‏‏‏/‏آسید شاهین داودی ازغدی/ ‏‏‏‏‏طنزنویس _ برنامه نویس_ ‎‎‎‎‎‎‎‎‎‎‎‎#انقلابی /چرت وپرت نویس روزانه/چیزایی که اینجا میبینی بیشترش از خودمه کمترش نقل قول</t>
  </si>
  <si>
    <t>Iran,mashhad</t>
  </si>
  <si>
    <t>جناب #روحانی فرمودند: من بدون مشورت هیچ کاری نکردم! عزیزم شما با مشورتم کاری نکردی ، کلا اصن کاری نکردی تو :/</t>
  </si>
  <si>
    <t>Davoodi Shahin</t>
  </si>
  <si>
    <t>#ذوالنور خطاب به #روحانی: آی نره خر اینجا #سوئیس نیست، اینجا طویله‌ای به اسم ایرانه.</t>
  </si>
  <si>
    <t>#روحانی حق دارد بگوید در دوره #احمدی_نژاد ده هزار شغل ایجاد شد و در دوره خودش دومیلیون و هفتصد هزار، او تمام ایران را آن 24 میلیونی میبیند که در سال96 به او رای دادند...</t>
  </si>
  <si>
    <t>B_Awleaz</t>
  </si>
  <si>
    <t>سخنگوی شورای نگهبان: مجلس در مورد پرسش از رئیس جمهوری تعیین تکلیف می کند کدخدایی: مجلس در نهایت باید در مورد وضعیت پرسش از رئیس جمهوری تعیین تکلیف کند. اکنون در این باره در قانون ابهام هایی وجود دارد. #سوال_از_رئیس‌_جمهور</t>
  </si>
  <si>
    <t>‏‏‏‏‏زندگی سراسر مبارزه است مبارزه حق و باطل ... و ما اهل مبارزه ایم.</t>
  </si>
  <si>
    <t xml:space="preserve">مشهد مقدس </t>
  </si>
  <si>
    <t>#خرد_جمعی که امروز از زبان #روحانی شنیدیم یعنی: محمود سریع القلم محمد نهاوندیان محمدباقر نوبخت محمود نیلی و تمام.</t>
  </si>
  <si>
    <t>رضا صداقت</t>
  </si>
  <si>
    <t>https://pbs.twimg.com/media/Dlr_htvW4AE3pwv.jpg</t>
  </si>
  <si>
    <t>https://twitter.com/hamidrasaee/status/1034420046402076672</t>
  </si>
  <si>
    <t>از یکی سوال کردن که: خدا میتونه جهان رو توی تخم مرغ جا بده؟ طرف برگشت گفت خدا از روی قدرتش که میتونه ولی فکر نکنم تخم مرغ ظرفیتش داشته باشه شده جریان اون پنکه و پوشه اقای @hamidrasaee انصافاً پنکه و پوشه؟ دیگه گیر نبود به اون جلسه بدیم موند اون پنکه؟ #سوال_از_رییس‌جمهور RT @hamidrasaee: جناب اسماعیلی! همه مشکلات از زیر میزهاست نه روی میز! کولر مخصوص پرزيدنت را لای پوشه قرار داده، به داخل صحن آوردند و در هنگام سخنرانی ایشان زير میز قرار دادند اما وقت خروج، عوامل یادشان رفت که بردارند. یکی از نمايندگان آن را روی میز قرار داد و عکس گرفت! #سئوال_از_رییس_جمهور</t>
  </si>
  <si>
    <t>خداروشکر که دماغ #روحاني مثل پینوکیو دراز نمیشه وگرنه امروز دماغش تا میدون انقلاب می رسید #سوال_از_رییس‌جمهور</t>
  </si>
  <si>
    <t>فعال رسانه ای در زمینه تدوین،جلوه های ویژه و موشن گرافی...عاشق زیبایی در هر چیزی از کلام گرفته تا کار و شخصیت انسان ها.</t>
  </si>
  <si>
    <t>صدا و سیمایی که منافع رو ترجیح میده به حقایق به درد جمهوری اسلامی ایران نمیخوره تو سال یه فیلم انقلابی نشون میده اونم با سانسور...! #صدا_بیصدا #ایران #روحاني #صدا_و_سیما #انقلاب</t>
  </si>
  <si>
    <t>پیمان مجرد</t>
  </si>
  <si>
    <t>‏‏شُماٰرَندهٔ⏱ثٰانٖیِه هٰایِ پٰایٰانٖیِ عُمْرِ ‎‎#إسْرٰائٖیلْ</t>
  </si>
  <si>
    <t>https://pbs.twimg.com/media/DltP9fAX4AAMgDc.jpg</t>
  </si>
  <si>
    <t>برو دیگه برنگردی ایشالله ایشالله... #سوال_از_رییس‌جمهور #سنگ_پا</t>
  </si>
  <si>
    <t>شـ⏱ـمارشِ معکوس</t>
  </si>
  <si>
    <t>بخشی از صحبت های روحانی باز هم بوی کد دادن به آنطرف را می دهد مردم از شخص شما ناامید شده‌اند نه چیز دیگری #سوال_از_رییس‌جمهور</t>
  </si>
  <si>
    <t>‏‏فعال فرهنگی و سیاسی _ شرمنده شهدا و امامین انقلاب... ‏آسمانی شدن از خاک بریدن می خواست / بی سبب نیست که فواره فرو ریختنی ست</t>
  </si>
  <si>
    <t>استان البرز</t>
  </si>
  <si>
    <t>https://pbs.twimg.com/media/DlSopicX0AEMr5_.jpg</t>
  </si>
  <si>
    <t>https://twitter.com/omidiaanhossein/status/1032635649747288064</t>
  </si>
  <si>
    <t>روحانی هم سعی کرد جلسه پاسخ به سوالات نمایندگان را به فرصتی برای تبلیغ معاهده ننگین FATF تبدیل کند. قبلا هم گفتم که FATF ناموس جریان نفوذ در دستگاه تصمیم گیر و تصمیم ساز است . #سوال_از_رییس‌جمهور #FATF RT @omidiaanhossein: سوال اینجاست: در FATF که رهبر معظم انقلاب صریحا با آن مخالفت کردند ، چه مواردی وجود دارد که از علی لاریجانی و پزشکیان تا وزارت اقتصاد و اتاق بازرگانی و سایر وابستگان به دولت به دنبال تصویب آن هستند؟ گویا #fatf ناموس جریان #نفوذ است</t>
  </si>
  <si>
    <t>حسین امیدیان</t>
  </si>
  <si>
    <t>‏‏‏‏‏همه بدانند که ‏بی عشق ‎#خمینی نتوان عاشق ‎#مهدی شد . . .</t>
  </si>
  <si>
    <t>دروازه ورود تشیع به ایران</t>
  </si>
  <si>
    <t>https://pbs.twimg.com/media/DltQFuzXoAEwPxZ.jpg</t>
  </si>
  <si>
    <t>مردانی داشتیم که با خون جواب دغدغه های مردم را مدهند!!!! #سوال_از_رییس‌جمهور</t>
  </si>
  <si>
    <t>اهوازیم</t>
  </si>
  <si>
    <t>شکر خدا که نام علی در اذان ماست.💚 مهندس بودم،معلم شدم...بماند بقیه اش</t>
  </si>
  <si>
    <t>یعنی ازون بُلیز شلوار آبی راه راها میپوشه؟؟؟! #سوال_از_رئیس‌جمهور #قوه_قضائیه</t>
  </si>
  <si>
    <t>یه مهندس معلم</t>
  </si>
  <si>
    <t>✳‏ما فقط بلد نبودیم دوست داشتنی باشیم✳</t>
  </si>
  <si>
    <t>ولی من با #روحانی موافقم که میگه وضع #مملکت خوبه. خدایی مردم تا وضعشون #خوب نباشه واسه #پراید ۴۰ تومنی #صف میبندن #تورم #عدم_اتحاد #پراید #سایپا #تدبیر_امید #خودرو #رکود #</t>
  </si>
  <si>
    <t>Mohammad Fattahi</t>
  </si>
  <si>
    <t>http://hashtagban.com</t>
  </si>
  <si>
    <t>#هشتگبان دیده بان تویتر فارسی است. هشتگ‌ها و ریتوییت‌های روز را از استریم توییتر می گیرد و پردازش می کند. برای حفظ بیطرفی استریم نمیتوانم فالوبک کنم.</t>
  </si>
  <si>
    <t>https://pbs.twimg.com/media/DltQQ-6WsAIsGlq.jpg</t>
  </si>
  <si>
    <t>https://hashtagban.com</t>
  </si>
  <si>
    <t>هشتگ های پرکاربرد 6 شهریور 1397 #روحانی 3249 #ایران 1701 #شرق 1167 #مجلس 990 #EXO 863 #من_انتخاب_نکردم 851 #ظرفیت_بسیج 786 #این_انتخاب_من_نیست 769 #مثل_شرق_دروغ_میگی 677 #ریتوییت 507  #hashtagban</t>
  </si>
  <si>
    <t>هشتگبان</t>
  </si>
  <si>
    <t>‏‏‏قـال الامـام علـی (علیه‌السلام):فَـانَّ فـی الـعَدْلِ سَـعَةً. روزگاریسـت که سـودای تـو در ســ👤ـر دارم //مـگـرم ســر بـرود تـا بـرود سـودایت👌</t>
  </si>
  <si>
    <t>شلمچه</t>
  </si>
  <si>
    <t>چٌنان رونقی ایجاد کنم که مرغای #آسمون به حالتون گریه کنن. #روحانی:/</t>
  </si>
  <si>
    <t>mirza</t>
  </si>
  <si>
    <t>‏‏‏‏‏‏‏‏‏‏‏‏‏‏‏‏‏‏‏‏‏‏رهبر آینده نظام | ‎‎‎‎‎‎#بنده_اجازه_نخواهم_داد ‎‎‎#به_قلمرو_من_خوش_آمدید</t>
  </si>
  <si>
    <t>با رفتار امروز مجلس ، مشخص شد که تاریخ مصرف آقای #روحانی به اتمام رسیده.</t>
  </si>
  <si>
    <t>آیت‌الله‌ مارمولک‌🇬🇧</t>
  </si>
  <si>
    <t>https://twitter.com/padash_mr/status/1034322973958856704</t>
  </si>
  <si>
    <t>بخاطر ازدیاد پرونده ها احتمال گم شدن پرونده #سوال_از_رییس‌جمهور زیاده. در این دولت هرچیزی ممکنه RT @padash_mr: طبق ماده ۲۱۳قانون، چنانچه نمایندگان از پاسخهای رئیس‌جمهور قانع نشوند، موضوع موردسوال، نقض یا استنکاف از قانون محسوب و سوالات به #قوه_قضاییه ارسال میشود بیچاره مردم که این پرونده هم افتاد زیر دست قوه‌ی عاری از #شفافیت و مملو از تعلل در رسیدگی به پرونده‌ها! #سوال_از_رییس‌جمهور</t>
  </si>
  <si>
    <t>‏‏یک راننده تاکسی تحلیل‌گر 🚕</t>
  </si>
  <si>
    <t>خطی هستم</t>
  </si>
  <si>
    <t>حسن میدونستم امروز قراره اینطور حرف بزنی، خودم و تو رو و ماشین و باهم آتیش میزدیم. این و هم بگو تهدید #سوال_از_رئیس‌جمهور</t>
  </si>
  <si>
    <t>تاکسی تحلیل</t>
  </si>
  <si>
    <t>گیرم من تو را دوست دارم به تو چه؟! #نیچه</t>
  </si>
  <si>
    <t>#روحانی : ما #بحران نداریم. گویا بحران مارو داره ما #فرزندان بحرانیم #مجلس #سوال_از_رئیس_جمهور #ایران</t>
  </si>
  <si>
    <t>forest gump</t>
  </si>
  <si>
    <t>‏‏‏مشاور خانواده/فعال فرهنگی/دغدغه مند تربیت توحیدی/معتقد و مطالبه گر عبودیت فردی و اجتماعی،عدالت و اقامه قسط و مبارزه با طواغیت/خاک پای منتظران منجی/عبد عاصی</t>
  </si>
  <si>
    <t>نتایج رای گیری نمایندگان #مجلس در خصوص پنج سوال از #رئیس_جمهور یک معنا دارد: #مجلس ، #دولت را #طلاق داده است. #مجلس ، #دولت را #طلاق داده است. #مجلس ، #دولت را #طلاق داده است. #مجلس ، #دولت را #طلاق داده است. #مجلس ، #دولت را #طلاق داده است. #روحانی</t>
  </si>
  <si>
    <t>پاسگاه مرزی</t>
  </si>
  <si>
    <t>https://t.me/naslefateh</t>
  </si>
  <si>
    <t>O! Muslims, come together . . SPRING IS COMING soon . . . Muslim🔑 Shi'a💡 waiting for imam zaman⌚ studing law😎 ❤ 😇چریکِ بی نقاب و اسلحه😉</t>
  </si>
  <si>
    <t>https://pbs.twimg.com/media/DltQoZvWwAAKzfD.jpg</t>
  </si>
  <si>
    <t>اگر امیرالمومنین بود چه میکرد؟ #اشتباه_کردم #روحانی</t>
  </si>
  <si>
    <t>شـَه‌ریوریِ بَـهاریــ(🗡رِضیــ کُماندو🗡)</t>
  </si>
  <si>
    <t>یکی از انتقادات به آقای روحانی، برجام نافرجام بود. این انتقاد به نمایندگانی که بیست دقیقه ای آن را تصویب کردند واردتر است. در این بین رهبری و فرزندان انقلابی و مردم، گول برجام را نخوردند. #سوال_از_رییس‌جمهور #برجام #مجلس</t>
  </si>
  <si>
    <t>آقای #روحانی ! اگر در دولت #احمدی_نژاد فقط ده هزار و در دولت تو 2.7 میلیون شغل ایجاد شد؛ چرا اعتراضات معیشتی در دولت تو اتفاق افتاد؟؟؟</t>
  </si>
  <si>
    <t>نتایج رای گیری نمایندگان #مجلس در خصوص پنج سوال از #رئیس_جمهور یک معنا دارد: مجلس ، دولت را طلاق داده است. #روحانی</t>
  </si>
  <si>
    <t>میگید روحانی جواب مشخصی نداد ولی باید بگم جوابش کاملا مشخص بود تا زمانی که 4تا لایحه مربوط به پولشویی رو اونجوری که باب دل من تصویب نکنید همین آش و همین کاسه #سوال_از_رییس‌جمهور</t>
  </si>
  <si>
    <t>‏‏40 ساله ای که تو 20 سالگی گیر کرده</t>
  </si>
  <si>
    <t xml:space="preserve">#کشور_قم </t>
  </si>
  <si>
    <t>آقای @Rouhani_ir شما هنوز 3 سال فرصت دارید کل دوران صدارت امیر کبیر که اون همه خدمت به ایران کرد و در تاریخ ماندگار شد 3 سال بود، از صحبتهای امروز شما در مجلس پیداست که هیچ برنامه ای برای حل مشکلات ندارید. امید وارم شما از اون ور در تاریخ ماندگار نشید. #سوال_از_رییس‌جمهور</t>
  </si>
  <si>
    <t>سید محمود (در سوگ نشسته)</t>
  </si>
  <si>
    <t>و من انديشه كنان غرق اين پندارم ...</t>
  </si>
  <si>
    <t>من به دست هاي لرزان و توجيهات بي منطق شما راي ندادم. كورسوي اميد را با پاسخ هايتان به تاراج برديد. سپاس كه حداقل امروز خودتان بوديد #روحاني</t>
  </si>
  <si>
    <t>YaserHosseini</t>
  </si>
  <si>
    <t>راه زندگی از سازندگی می‌گذرد...</t>
  </si>
  <si>
    <t>https://pbs.twimg.com/media/DltRVJhWwAA3Auq.jpg</t>
  </si>
  <si>
    <t>راه سوم/ #رییس‌جمهور در مجلس از ابتکار تازه‌ای در برابر آمریکا خبر داد #دولت خون تازه می‌خواهد/ بیانیه کارگزاران سازندگی جلد #روزنامه_سازندگی، چهارشنبه ۸ اردیبهشت ۹۷ @Rouhani_ir</t>
  </si>
  <si>
    <t>روزنامه سازندگی</t>
  </si>
  <si>
    <t>http://www.kadkhodaee.ir</t>
  </si>
  <si>
    <t>‏‏‏‏‏‏‏‏‏‏🔸 حساب رسمی پایگاه دکتر عباسعلی کدخدایی🔸 ضمن احترام به نظرات همه کاربران، اینجانب مسئولیتی در قبال نظرات نخواهم داشت.</t>
  </si>
  <si>
    <t>جمهوری اسلامی ایران 🇮🇷</t>
  </si>
  <si>
    <t>#سوال و #استیضاح ابزار نظارتی #مجلس و فرصتی برای ایضاح. گام بلند مجلس در #شفافیت و #پاسخگویی. ضمن اینکه نشان داد نگرانی ها بی مورد است و اتفاق خاصی نیز نیافتاد.</t>
  </si>
  <si>
    <t>عباسعلی کدخدایی | Kadkhodaee.ir</t>
  </si>
  <si>
    <t>‏‏‏اللَّهُ نُورُ السَّمَوَتِ وَالْأَرْضِ مَثَلُ نُورِهِ ‎‎‎#کَــمِشــْکَــــــــــٰوهٍ فِیهَا مِصْبَاحٌ الْمِصْبَاحُ فِى زُجَاجَهٍ الزُّجَاجَهُ... (۳۵ نور)</t>
  </si>
  <si>
    <t xml:space="preserve"> با افتخار٬جمهوری اسلامی ایران</t>
  </si>
  <si>
    <t>https://twitter.com/Hj_Petros/status/1034310470017146880</t>
  </si>
  <si>
    <t>ما بچه حزب اللهیا و حتی اصولگراها احمدی نژاد رو گذاشتن کنار ولی جناب روحانی همچنان دست از سرش بر نمیداره😮 #سوال_از_رئیس_جمهور RT @Hj_Petros: روحانی هنوز خودشو با دولت های قبل از خودش مقایسه میکنه داداش یه کم از فاز انتخابات بیا بیرون سه سال دیگه دوره ت تمومه، بیدار شو حسن</t>
  </si>
  <si>
    <t>✴مِـــــــــــــــشْکــــــٰاتـــــــــــــ✴</t>
  </si>
  <si>
    <t>کمی اقتصاد بلدم، طراح اینفوگرافی، پرزی</t>
  </si>
  <si>
    <t>https://pbs.twimg.com/media/DltRie6WwAIwvQZ.jpg</t>
  </si>
  <si>
    <t>میگم رای_ممتنع یعنی چی؟ این نمایندگان که #رای_ممتنع دادن مگه صحبت های #رئیس_جمهور رو نشنیدن؟ کاش رای ها #شفاف میشد</t>
  </si>
  <si>
    <t>Masoudzare</t>
  </si>
  <si>
    <t>http://t.me/revolutionary1357</t>
  </si>
  <si>
    <t>‏‏‏‏‏‏‏‏‏‏‏‏‏‏‏‏‏‏‏دانش‌آموخته دانشگاه شریف، عضوبسیج نمی‌گذاریم انقلاب در دست نااهلان ونامحرمان بماند، ‎‎‎‎‎‎‎‎‎‎‎‎‎‎‎‎#انقلابی_دیگر لازم است،از جنس #عدالت</t>
  </si>
  <si>
    <t>https://pbs.twimg.com/media/DltRjVeXgAEwu3G.jpg</t>
  </si>
  <si>
    <t>مشمئزکننده‌تر از دکترای تقلبی و دوتابعیتی و دروغگویی و وعده‌های دروغ و مردود شدنش درجلسه امروز سؤال از وی درمجلس، خوی اشرافیگری است که همچون پادشاهان باید همیشه باد خورده و خنک بماند. دیگر چرا در مجلس؟! مگر هوای مجلس گرم است و مشکل دارد؟! #روحانی #سوال_از_رییس‌جمهور</t>
  </si>
  <si>
    <t>انقـــلابی دیگر ـــ حسین کربلایی</t>
  </si>
  <si>
    <t>https://www.instagram.com/mahroo.jafari/</t>
  </si>
  <si>
    <t>کاش یه روز از آسمون حرف بیاد آدم حرفی درست کنم</t>
  </si>
  <si>
    <t>توچمدون زیر تخت</t>
  </si>
  <si>
    <t>تو مسئول بغض امشب پدر منی آقای دولت. #روحاني #جمهوري_اسلامي #ظریف</t>
  </si>
  <si>
    <t>موکاموایی🎎</t>
  </si>
  <si>
    <t>http://sobhe-no.ir</t>
  </si>
  <si>
    <t>صبح نو؛ روزنامه زمانه دانایی</t>
  </si>
  <si>
    <t>https://pbs.twimg.com/media/DltSGSjVAAAcDXo.jpg</t>
  </si>
  <si>
    <t>صفحه نخست روزنامه #صبح_نو چهارشنبه ۷ شهریور ۱۳۹۷ ————- 🔺 مجلس قانع نشد #سوال_از_رئيس_جمهور #روحانی #مجلس #دلار #قاچاق_کالا</t>
  </si>
  <si>
    <t>روزنامه صبح نو</t>
  </si>
  <si>
    <t xml:space="preserve">IRAN </t>
  </si>
  <si>
    <t>داستان کسایی که رای دادن به #روحانی هم شده مثل انقلابیون ۵۷ ، به هر کی میگی شما انقلاب کردین میگه‌ والا اگه ما انقلاب کرده باشیم ، الانم به هرکی میگی شما رای دادید میگه والا اگه ما رای داده باشیم</t>
  </si>
  <si>
    <t>آرمین نصرتی 🏳️</t>
  </si>
  <si>
    <t>‏‏‏‏‏سنت خدا بر این قرار دارد که مبارزه حق و باطل همیشگی باشد و تکامل از خلال مبارزه بدست آید... شهید چمران</t>
  </si>
  <si>
    <t>رئیس جمهور در گفتگوی زنده خبری چند روز پیش گفت لازم نیست همه چیز قانونی حل بشه. گاهی با یک نهار دورهمی خیلی از موضوعها حل میشه. فقط امیدوارم منظورش موضوع قانع نشدن نماینده ها نباشه. #سوال_از_رییس‌جمهور</t>
  </si>
  <si>
    <t>صالح</t>
  </si>
  <si>
    <t>‏‏‏متولد نصف جهان، حوزه علمیه قم، خارج فقه و اصول،</t>
  </si>
  <si>
    <t>قانع نشدید که نشدید. برید #به_جهنم! #ترسو های #بزدلِ #بی_شناسنامه! #مجلس #نمایندگان_مجلس #روحانی @Rouhani_ir @hesamodin1</t>
  </si>
  <si>
    <t>احسان نمازی زاده</t>
  </si>
  <si>
    <t>https://pbs.twimg.com/media/DltSnOkXoAYjlb5.jpg</t>
  </si>
  <si>
    <t>امروز حسنی با چشم برزخی به مجلس رفته بود. پنکه اش لازم بوده با این لبا و قبای سیاه و عمامه و کلاه و ایرادی نیست. رئیس جمهور ایران است فعلا پیامبر فرمود قل الحق ول بالضُرّ علی ع : نجات در راستی است. اما همه منافق ان و نفاق را با تقیه و آبروداری اشتباه می گیرند. #روحانی</t>
  </si>
  <si>
    <t>‏‏Spring Life Style / زندگی به سبک ‎‎بهار</t>
  </si>
  <si>
    <t>بیت بیابانی مهدی</t>
  </si>
  <si>
    <t>ما همه باهم هستیم نترسید نترسید امروز #روحانی در مجلس</t>
  </si>
  <si>
    <t>Seyed Ali</t>
  </si>
  <si>
    <t>می نویسم تا پسند «او» شود...</t>
  </si>
  <si>
    <t>وقتی #روحانی کارش به جایی رسیده که در #مجلس برای #رأي گرفتن از #نمایندگان مجبوره به دروغ مضحک تهدید به #ترور متوسل بشه، معلوم میشه کفگیر تیم #جنگ روانی #دولت به ته دیگ رسیده. #علی_برکةالله</t>
  </si>
  <si>
    <t>سید حسن حسینی</t>
  </si>
  <si>
    <t>https://pbs.twimg.com/media/DltSzC0W4AQPyTY.jpg</t>
  </si>
  <si>
    <t>آقای رئیس‌جمهور از عمه‌ات خبر نداری؟ #روحانی #Kiosk</t>
  </si>
  <si>
    <t>‏‏مونولوگ های یک تبعیدی</t>
  </si>
  <si>
    <t>آقای #روحانی, گفته که مشکل اصلی تصورات مردم هست جناب رئیس, در بن بست انتخاب بین اصلاح طلبان و اصول گرایان, امید تصورات مردم به شما اصلاح طلبان و کارگزارانی بود که وقیحانه سال ها و سرمایه ها و زندگانی هایشان را تباه, نابود و سیاه کردید</t>
  </si>
  <si>
    <t>taqi</t>
  </si>
  <si>
    <t>. جمهوری اسلامی #تركية: تحریم‌های ضدایرانی آمریکا را رعایت نمی‌کنیم پیش‌بینی لیدر #ری_‌استارت درباره جابجایی کشورهای ترکیه و ایران در عرصه سیاسی سال 97 #تحريم #استیضاح #جنگ #ری_استارت_تنها_راه_نجات #interview_Restartleader #Seyed_Mohammad_Hosseini #Restart_opposition</t>
  </si>
  <si>
    <t>‏‏‏‏‏ هراسناکترین چیز برای دین و انسان دین خو، منطق و عقل سلیم است.اولين روحانی‌جهان،اولین شيادی بودکه به اولین‌ابله رسيد.ولتر</t>
  </si>
  <si>
    <t>Deutschland</t>
  </si>
  <si>
    <t>میشه از یه زاویه دیگه به سخنان #روحانی نگاه کرد، راست میگن اینا تموم مشکلات کشور تقصیر مردمه، چرا؟ چون همین مردم ساکت نشستند یه گوشه و دارن نگاه می‌کنند که روز به روز فقیرتر میشن و گند کل مملکت و برداشته آب از آب تکان نمیخوره.</t>
  </si>
  <si>
    <t>Big Bang</t>
  </si>
  <si>
    <t>آیا در تمام پهنه‌ی اصلاحات یک نفر اقتصادفهم وجود ندارد که داستان #دولت_پنهان را شفاف و واضح بیان کند؟ آیا درگیر یک بازی سیاسی-رسانه‌ای برای پوشاندن ضعفِ دولت هستیم؟ #سوال_از_رئیس_جمهور #اصلاحات</t>
  </si>
  <si>
    <t>#روحانی امروز تمام مشکلات را گردن #مردم انداخت و خودش را تبرئه کرد. درستش این است:24 میلیون نفری که به روحانی رای دادند و 15 میلیونی که به #رئیسی #رای دادند و هرکسی که با رایش باعث افزایش عمر نظام شد مقصر است. #مجلس #ایران #رفراندوم #IranRagimeChange</t>
  </si>
  <si>
    <t>https://pbs.twimg.com/media/DltTOMmW4AA5McD.jpg</t>
  </si>
  <si>
    <t>خداروشکر که روحانی قابلیت پینوکیو را نداشت وگرنه میتوانستیم از بهارستان تا خزر را سرسره بازی کنیم #سوال_از_رییس‌جمهور</t>
  </si>
  <si>
    <t>گول خورده از بنیاد سوروس</t>
  </si>
  <si>
    <t>Portland, OR</t>
  </si>
  <si>
    <t>ارزشی عزیز که به هوای یه حقوق کارمندی ویه سی جی ۱۲۵ داری توییت میزنی که با جنگ نرم مقابله کنی هموطن عزیزی که الان برای آلت #عراقی روشنفکر شدی،اگه حکومت متبوعت بیشتر از این سر کار بمونه چه بسا که همون آلت عراقی به خانواده تو هم به زودی فرود بیاد #مشهد_تايلندتشيع #روحانی #مجلس</t>
  </si>
  <si>
    <t>🏳️  معلوم الحال 🏳️</t>
  </si>
  <si>
    <t>‏‏‏‏‏‏انقلابی ام .. همین..</t>
  </si>
  <si>
    <t>iran_tehran_ray</t>
  </si>
  <si>
    <t>https://pbs.twimg.com/media/DltTSYnXoAAot9k.jpg</t>
  </si>
  <si>
    <t>ادعای عجیب و غریب روحانی در خصوص آمار اشتغال: از ۸۴ تا ۹۲ اشتغال خالص ۱۰هزار نفر بود اما در پنج سال گذشته دو میلیون و هفتصد هزار شغل ایجاد کردیم!!! شما قبول می‌کنید؟ #دولت_دروغ #روحانی</t>
  </si>
  <si>
    <t>🇮🇷rahmat_khalili🇯🇴</t>
  </si>
  <si>
    <t>دوستان #اصولگرا و #دلواپس که عملکرد امروز #روحانی در #مجلس را دستمایه طنزهاشون قرار دادن یادشون رفته #رییس_جمهور محبوبشان جناب #احمدی_نژاد که خودش را یار #رهبری می خواند چه بگم بگمی راه انداخت که موجب نارضایتی ایشان شد حالا انصافا کدام یک در راستای خواست رهبری قدم برداشتند؟</t>
  </si>
  <si>
    <t>‏روزنامه نگار آزاد و اگر خداقبول کند مستقل. علاقه مند فیلم، کتاب، تاریخ و متاسفانه سیاست. درگیر تنهایی و کنار آمدن با آن و غیره</t>
  </si>
  <si>
    <t>زنجان . ایران</t>
  </si>
  <si>
    <t>#روحانی گفت ااز #رهبری رهنمود گرفته و #نمایندگان_مجلس هم همین را گفتند! اما تهش سنگ #دموکراسی و #مردم‌سالاری دینی بود که چپ و راست به سینه ها زده می شد. #سوال_از_رئیس‌جمهور #ایران</t>
  </si>
  <si>
    <t>saeedmaaleki⁦⁦🇮🇷⁩</t>
  </si>
  <si>
    <t>‏دارد زمان آمدنت دیر میشود</t>
  </si>
  <si>
    <t>بچه محل امام رضا علیه السلام</t>
  </si>
  <si>
    <t>هنوز به 1400 نرسیدیم؟ من دیگه نمیتونم شما بدون من ادامه بدین! 😵😩 #سوال_از_رییس‌جمهور</t>
  </si>
  <si>
    <t>مصطفی</t>
  </si>
  <si>
    <t>http://instagram.com/Alirezapirverdi</t>
  </si>
  <si>
    <t>‏‏‏‏‏‏‏‏‏‏‏‏‏‏‏‏‏کمی فعال سیاسی و رسانه ای/ یک مهندس برق روابط بین الملل خوان هرگز نبوده قلب من اینگونه گرم و سرخ ❤️‎‎ #ن ❤️</t>
  </si>
  <si>
    <t>#روحانی: والله ما دچار بحران نیستیم عزیزان من! شما رو نمیدونم ولی آخرین باری که شبیه این حرفو شنیدم، از اکس گرامی بود که آخر سر مشخص شد من جمله شو کامل گوش نکرده بودم. می‌گفت با هیچ کس نیستم، هیچ کس به جز کل پسرای ایران! #مجلس</t>
  </si>
  <si>
    <t>Alireza Pirverdi</t>
  </si>
  <si>
    <t>آقای #معین طی یادداشتی توضیح دادند که انتظار داشته آقای #روحانی چگونه پاسخ ابهامات را در مجلس بدهد؛ به اعتقاد ایشون آقای روحانی باید علت عدم موفقیت دولت در کاهش نرخ بیکاری را "فراموشی وعده‌های داده شده به زنان" ذکر میکردند!!!! #جدی #پیوند_گودرز_و_شقایق #سوال_از_رییس‌جمهور</t>
  </si>
  <si>
    <t>لایک و ریت مهم نیست، او باید راضی باشد</t>
  </si>
  <si>
    <t>#استیضاح و برکناری ترامپ در واشنگتن یا #روحانی در تهران، نتیجه‌ای مشابه دارد: آرامش به بازارهای ارز و طلا و خودرو بازمیگردد</t>
  </si>
  <si>
    <t>لیلی محسنی</t>
  </si>
  <si>
    <t>وزن کردن پول در ونزوئلا ارزش پول ونزوئلا تقریبا به صفر رسیده است صندوق بین‌المللی پول پیش بینی کرده است تورم ونزوئلا امسال از یک میلیون درصد بگذرد . فروشندگان کالا در این کشور به جای شمردن بولیوار- واحد پول این کشور- آن را وزن می‌کنند.@JZarif #IranRegimeChange #روحانی</t>
  </si>
  <si>
    <t>‏‏اگر جهان همه دشمن شود ظفر یابیم/به عرصه ای که بود تیغ مرتضی علی با ما</t>
  </si>
  <si>
    <t>حالا این وسط اینهمه به شیخ حسن گیر دادیم و بارش کردیم که البته حقش بودو نوش جونش؛ اما چرا نماینده ها از زیربار رای علنی فرار میکنن؟ چرا ازشفافیت میترسن؟؟ #سوال_از_رئیس‌جمهور</t>
  </si>
  <si>
    <t>M.yasin farsi</t>
  </si>
  <si>
    <t>هیچیم و چیزی کم</t>
  </si>
  <si>
    <t>شیراز کانادا</t>
  </si>
  <si>
    <t>#روحانی امروز حرفی زد که بنظرم هنوز کنترل اوضاع رو در دست داره. گفت اگر بخوایم همین حالا هم میتونم با ارزهای بانک مرکزی دلار رو به قیمت پارسال برگردونیم و «خودم» به بانک مرکزی دستور دادم هیچ ارزی به بازار تزریق نکنه.</t>
  </si>
  <si>
    <t>Skobelev ⚔️</t>
  </si>
  <si>
    <t>‏‏‏‏‏‎‎‎‎‎#اسرائیل باید از صفحه روزگار محو شود. / ישראל צריכה להימחק מעל ‌/ ‎‎‎‎‎#فلسطین گام اول ظهور است. ‎‎‎‎‎#اللهم_عجل_لولیک_الفرج</t>
  </si>
  <si>
    <t>هُورُاَلعَظٖیٖمْ | جزیره مجنون</t>
  </si>
  <si>
    <t>تصور استیضاح روحانی از مجلس دهم مثل اینه که بگی سگ پاچه صاحبش رو میگیره درضمن هنوز اسطوره لابی جمهوری اسلامی کسیه که آرا نهایی رو اعلام میکنه! #سوال_از_رئیس_جمهور</t>
  </si>
  <si>
    <t>اخ في الله ۸ (@🇵🇸🇮🇷MiRz)</t>
  </si>
  <si>
    <t>خدارو شکر نظام مقدس جمهوری اسلامی دیگه هیچ ننگی نیست که بهش نچسبیده باشه خوشحالم روزایی رو میبینم که #اصلاح_طلب و #اصول_گرا در ننگ آفرینی ازهم سبقت میگیرن یکی در موضوع دیانت و شریعت و ناموس یکی در موضوع اقتصادی و مدیریتی و سیاسی به اوج نکبت رسیدن،#ریسی #روحانی #علم_الهدى</t>
  </si>
  <si>
    <t>mohsen mohamadi</t>
  </si>
  <si>
    <t>https://pbs.twimg.com/media/DltXYFlW0AAtnPq.jpg</t>
  </si>
  <si>
    <t>شیوه #استخدام #آقازاده چگونه است؟؟ 🔹تنها ۸ روز مانده به #استیضاح_ربیعی یک نماینده برای استخدام آشنایان و فامیل و... 👈جالب هست که بدون هیچ واهمه ای روی سربرگ #مجلس نامه می‌زنند! #استیضاح #مجلس_شورای_اسلامی</t>
  </si>
  <si>
    <t>ای قاضی این مردم آبادی و آزادی میخوان 🙏🏻</t>
  </si>
  <si>
    <t>https://pbs.twimg.com/media/DltXFfrW0AEiYvE.jpg</t>
  </si>
  <si>
    <t>شاهکار @AhmadrezaKzmi ❤️❤️❤️ #دلار #ارز #بازارکار #روحانی</t>
  </si>
  <si>
    <t>Aminpm</t>
  </si>
  <si>
    <t>در سراسر بخش خصوصی اعم از صنایع ؛ معادن یا بازرگانی؛ خارج از دایره مدیران فسیل شده دولتی واقعا یک مدیر خود ساخته ؛ توانا و قابل نبود تا از مجلس رای اعتماد گرفته و بتواند با تلاش و ابتکار و نوآوری خود ؛ تکانی به بخش در گل مانده #صنعت_معدن‌و‌تجارت بدهد ؟ #استیضاح #شریعتمداری</t>
  </si>
  <si>
    <t>#روحانی #مجلس #ارز یه چیز جالبی که توی صحبت های همه مسئولان دیده میشه ، طلبکار بودن از مردم هست و اینکه توقع دارن توی هر شرایطی مردم اعتراض نکنن ، آقایون دهه شصت تموم شد ، تمووووووووووم .... تموم شد اون روزای خوب که مردم همه چیزشون رو میدادن جبهه ، شناختنتون مردم</t>
  </si>
  <si>
    <t>lavasani amirhossein</t>
  </si>
  <si>
    <t>https://hra-news.org</t>
  </si>
  <si>
    <t>خبرگزاری هرانا وابسته به مجموعه فعالان حقوق بشر در ایران نخستین خبرگزاری تخصصی حقوق بشر ایران است</t>
  </si>
  <si>
    <t>https://pbs.twimg.com/media/DltX_FUW0AALWJg.jpg</t>
  </si>
  <si>
    <t>https://www.hra-news.org/articles/a-361/?tg_rhash=22a41dd9689763</t>
  </si>
  <si>
    <t>بازخوانی دو گزارش #دولت و #مجلس درباره متولیان امام‌ زاده ای به نام #حجاب/ آسیه امینی</t>
  </si>
  <si>
    <t>خبرگزاری هرانا</t>
  </si>
  <si>
    <t>در یک حکومت مردمی #روحانی و نمایندگان #مجلس و رهبرش یکجا باید تحت درمان در تیمارستان قرار بگیرند</t>
  </si>
  <si>
    <t>‏‏http://t.me/HidenChat_bot?start=101351375</t>
  </si>
  <si>
    <t>به خدا #احمدی_نژاد خیلی بهتر از #روحانی بود!</t>
  </si>
  <si>
    <t>MOHSEN</t>
  </si>
  <si>
    <t>بازی در زمین دشمن نمیدونم نماینده های مجلس با طرح سئوال از #روحانی دنبال چی میگردن؟ مگر رهبری نفرمودند : روحانی باید بماند؟ یکی نیست بگه آخه ؛ برای چی تو زمین دشمن دارید بازی می کنید؟!! حتما اینم تقصیر احمدی نژاده؟!</t>
  </si>
  <si>
    <t>نبی الله کربلایی حسینی</t>
  </si>
  <si>
    <t>‏‏‏‏‏‏فقیر خدا 💙 / ‏دانشجوی مهندسی کامپیوتر 📚</t>
  </si>
  <si>
    <t>قرار بود در نیکوکاری از یکدیگر پیشی بگیریم الان داریم تو گرون فروشی از یکدیگر پیشی میگیریم! #قیمت_نجومی #روحاني</t>
  </si>
  <si>
    <t>مهدی صالحی 🇮🇷</t>
  </si>
  <si>
    <t>😐😐😐</t>
  </si>
  <si>
    <t>Shiraz</t>
  </si>
  <si>
    <t>از همین تریبون اعلام میکنم اگر همین الان انتخابات ریاست جمهوری برگزار بشه با #تکرار خاتمی و روشهای #آشنای دولت باز #روحانی رای میاره،بیاید خودمونو گول نزنیم.ملت فراموشکار و ساده ای هستیم.</t>
  </si>
  <si>
    <t>آرامش با دیازپام 10</t>
  </si>
  <si>
    <t>#مسئله #آسیب #تهدید #بحران و ما الان مرحله دو هستیم و حالا کووووووو تا بحران... آقای #روحانی ما دیگه جونمون تموم شده توی همین مرحله گِیم‌اُوِر میشیم</t>
  </si>
  <si>
    <t>Taha Afshin</t>
  </si>
  <si>
    <t>‏‏‏گوش كن ! وزش ظلمت را ميشنوي ؟! من به نوميدي خود معتادم .... در رابطه ای عمیق و احساسی❤️</t>
  </si>
  <si>
    <t xml:space="preserve">بوينس آيرس </t>
  </si>
  <si>
    <t>با استیضاح #روحانی موافقید ؟! #ريتوييت_لطفا #ریتوییت</t>
  </si>
  <si>
    <t>The Don</t>
  </si>
  <si>
    <t>‏به قول خیلی ها یه دهه شصتی. اول عاشق خدا دوم رهبر سوم چادرم .</t>
  </si>
  <si>
    <t>با افتخار،جمهوری اسلامی ایران</t>
  </si>
  <si>
    <t>میتوان از صحبت های #روحانی فقط این را برداشت کرد که اگر #دولت و #مجلس باهم باشن مردم هیچ غلطی نتونن بکنن. ولی،او نمی‌داند ما منتظر امر #ولی یمان هستیم‌. #رهبر_معظم_انقلاب #ولی_امر #سوال_از_رییس‌جمهور #روحانی_سکوت</t>
  </si>
  <si>
    <t>nafas_y_m</t>
  </si>
  <si>
    <t>گوسفندانی که از بوی گندکاری های خوک حالشان بد شده بود بلیط اسختر را برای او تهیه کردن #روحاني #استیضاح_بزودی</t>
  </si>
  <si>
    <t>joker999</t>
  </si>
  <si>
    <t>‏‏‏‏»»اندکی صبر سحر نزدیک است«« مهندس فناوري اطلاعات ، ارشد تجارت الکترونیک دنبال شونده سياست و عدالت ✍️ زنده باد بهار 👈برما نظری کن که در این شهر غریبیم</t>
  </si>
  <si>
    <t>زمانی که نخبگان صالح شناس مملکت ، آقایان را در راستای مملکت داری صالح شناسایی کردند و به مردم عرضه کردند می بایست انتظار اینگونه پاسخهایی می بودیم #سوال_از_رییس‌جمهور #شورا</t>
  </si>
  <si>
    <t>خورشیدی راد🇮🇷</t>
  </si>
  <si>
    <t>امروز فاتحه دولت #روحانی رو خوندم. الآن حامیانش کمتر و مرددتر از همیشه هستن و دولتش لرزان تر از هروقت دیگه‌‌ای هست. #اصولگرا ها فکر میکنن برنده امروز اونا بودن درصورتی که برنده واقعی امروز، #براندازان بودن! #سوال_از_رئیس‌جمهور #سوال_از_رئیس_جمهور</t>
  </si>
  <si>
    <t>کارشناس ارشد علوم سیاسی و کارشناس حقوق، کنشگر ملی‌گرا و آزادی‌خواه.</t>
  </si>
  <si>
    <t>https://pbs.twimg.com/media/DltZRTNX4AE7NmB.jpg</t>
  </si>
  <si>
    <t>#روحانی در مجلس به جای تقرب بیشتر به سبدرای تحول‌خواه پیشین خود، تقرب بیشتر به هسته سخت قدرت را برگزید.این انتخاب چه آگاهانه و چه از روی اظطرار باشد، پایان را برای روحانی و نهاد #ریاست‌جمهوری در جمهوری اسلامی رقم زد.</t>
  </si>
  <si>
    <t>Tirdad Bonakdar</t>
  </si>
  <si>
    <t>https://pbs.twimg.com/media/DltZYi5W4AADUJO.jpg</t>
  </si>
  <si>
    <t>حرافی و صرافی!! /قانون #رئیس‌_جمهور #دلار</t>
  </si>
  <si>
    <t>باید تو رو پیدا کنم شاید هنوزم دیر نیست</t>
  </si>
  <si>
    <t>شاید من نتونستم ماشین صدملیونی بخرم ولی به لطف #روحانی قیمت ماشینم داره میشه صد ملیون #روحانی_مچکریم</t>
  </si>
  <si>
    <t>ویکتور</t>
  </si>
  <si>
    <t>http://www.instagram.com/salavatialireza.e/</t>
  </si>
  <si>
    <t>Economics &amp; Business commentator</t>
  </si>
  <si>
    <t>#جنیدی اولین معاون رئیس جمهور کشور بود که بعد از انقلاب بدون چادر در مجلس شورای اسلامی و جلسه‌ی #سوال_از_رئیس‌جمهور حضور داشت. #حجاب_اجبارى</t>
  </si>
  <si>
    <t>علیرضا صلواتی Alireza Salavati</t>
  </si>
  <si>
    <t>pic.twitter.com/pkHs7mUNZH</t>
  </si>
  <si>
    <t>https://twitter.com/behzad_bh/status/1034512251334602752</t>
  </si>
  <si>
    <t>دمت گرم، انقدر خندیدم که دارم به زور تایپ می‌کنم. #مجلس #علی_لاریجانی #روحانی #احمدی‌نژاد RT @behzad_bh: علی لاریجانی از این شوهر خاله هاست که ۲۰ سال یک جوک رو تعریف می کنه و خودش می زنه زیر خنده.</t>
  </si>
  <si>
    <t>جاهد ... دانش آموخته ژئوپولیتیک دانشگاه تهران ‌‌ ‌‌</t>
  </si>
  <si>
    <t>صـورت زیبا نمــی آید به کار// حرفی از معنی اگر داری بیار اینکه رئیس جمهور در پاسخ به سوال پیرامون بیکاری،آمار اشتغال خالص در ۵سال گذشته را ۲میلیون و هفتصدهزار شغل عنوان می‌کنند،دردی از مشکلات اجتماعی کشور و موانع ازدواج جوانان برطرف نمیکند. #سوال_از_رئیس‌جمهور #روحاني #شفافیت</t>
  </si>
  <si>
    <t>mahdimohammadsadeghi</t>
  </si>
  <si>
    <t>آیا خدا برای بنده اش کافی نیست ؟!</t>
  </si>
  <si>
    <t>#روحانی امروز طوری تو مجلس حرف میزد و از حرف دل مردم میگفت انگار نماینده مردمه و اونهایی که روبروش بودن رئیس جمهورن و کابینه ش و باید جوابگو باشن :)) #سوال_از_رییس‌جمهور</t>
  </si>
  <si>
    <t>🇵🇸مسافر منتظر 🇮🇷</t>
  </si>
  <si>
    <t>‏‏‏‏ صاف تا قسمتی ابری مطالعات فرهنگی📚 / 📄✏👓‌‌‌‌ IT &amp; Network Security Consultant ☫</t>
  </si>
  <si>
    <t>باور بفرمایید؛ کلمه "#باید" رو از دایره لغات آقای #روحانی حذف کنیم ، نصف مشکلات مملکت حل میشه :))</t>
  </si>
  <si>
    <t>Javane Irani</t>
  </si>
  <si>
    <t>http://www.maqami.blog.ir</t>
  </si>
  <si>
    <t>دکتری حقوق بین الملل، عضو هیئت علمی دانشگاه شهید اشرفی اصفهانی Ph.D, Public International Law</t>
  </si>
  <si>
    <t>https://pbs.twimg.com/media/Dlssfo-WsAAc1pR.jpg</t>
  </si>
  <si>
    <t>https://twitter.com/EsmaeiliParviz/status/1034469472487321600</t>
  </si>
  <si>
    <t>ولی من #رئیس‌جمهور شدم از این پنکه ها برام بگذارید. #طبع_گرم یا #فشارخون در این سن و سال که عیب نیست. RT @EsmaeiliParviz: تکمیلی/ این #پنکه متعلق به #مجلس است نه #رییس_جمهور.و درطول همه سخنرانیهای امروز زير تريبون بود. امایک #نماینده ساعت ١٢ (۲ساعت بعدخروج #روحانی) پنکه راروی میز گذاشته، عکس گرفته وبرای یک #خبرنگار می فرستد تا... ساعتی که از وسط پنکه پیداست، راست و #دروغ را ناخواسته هویدا کرده است!!</t>
  </si>
  <si>
    <t>Amir Maghami</t>
  </si>
  <si>
    <t>http://instagram.com/mahdinazari_ir</t>
  </si>
  <si>
    <t>‏‏‏‏‏‏‏‏‏‏‏من با چیزی که تو برای گفتن داری موافق نیستم ولی تا سر حد از حق تو برای گفتن آن دفاع می کنم کارشناسی حقوق</t>
  </si>
  <si>
    <t>چهار سوالی که نمایندگان از پاسخ #رئیس‌جمهور قانع نشدند فعلا به قوه قضائیه ارجاع نمی شود و منوط به نظر حقوقی مجلس است که استنکافراز قانون بوده است یا خیر بعد از جمع بندی مجلس اگر لازم بود به قوه قضائیه ارجاع داده می شود #سوال_از_رئیس_جمهور</t>
  </si>
  <si>
    <t>mahdi nazari</t>
  </si>
  <si>
    <t>Marketing &amp; Advertising Consultant | Germany, Bayern München &amp; Persepolis Fan |</t>
  </si>
  <si>
    <t>Far Far Away</t>
  </si>
  <si>
    <t>https://pbs.twimg.com/media/DltZzyYXgAUnNV6.jpg</t>
  </si>
  <si>
    <t>واقعا تا ۱۴۰۰ با #روحانی ؟! اسیر شدیم بخدا ...</t>
  </si>
  <si>
    <t>Yahya</t>
  </si>
  <si>
    <t>دشمنان خود را دوست بدارید . زیرا بهترین جنبه های شما را به نمایش میگذارند . نیچه.</t>
  </si>
  <si>
    <t>از صحبتهای #روحانی تا تمامی دست اندرکاران رژیم خیلی خوب میشه فهمید که #بحرانهای_اقتصادی و #اجتماعی فقط یک راه حل بیشتر ندارد و آن هم راه حل سیاسی و تغییر این رژیم است . #IranRegimeChange</t>
  </si>
  <si>
    <t>jalal</t>
  </si>
  <si>
    <t>Qeshm island</t>
  </si>
  <si>
    <t>یه عده از سفارت انگلیس بالا میرن سفارت عربستان رو آتیش میزنن با تصویب fatf در مجلس مخالفت میکنن برجام رو در مجلس آتش میزنن بعد معترضن چرا آمریکا از برجام خارج شد چرا ارزش پول ملی کم شد #سوال_از_رئیس_جمهور</t>
  </si>
  <si>
    <t>hamidis</t>
  </si>
  <si>
    <t>‏میگن دانشجوام، یه آدم درونگرا که به حکم مولاش وارد جبهه مجازی شده</t>
  </si>
  <si>
    <t>رو همون سیاره</t>
  </si>
  <si>
    <t>pic.twitter.com/b93HWMfiPV</t>
  </si>
  <si>
    <t>یکی به من بگه این میم آخره "رییس بانک مرکزیم" ینی رییس بانک(همتی)مال روحانیه یا مالکیت بانک مرکزی با حسنه؟ #سوال_از_رئیس‌جمهور</t>
  </si>
  <si>
    <t>گلِ شازده کوچولو🇮🇷</t>
  </si>
  <si>
    <t>https://t.me/abdolahmomeni</t>
  </si>
  <si>
    <t>https://pbs.twimg.com/media/DltaVwUW0AAwGVq.jpg</t>
  </si>
  <si>
    <t>سخنان امروز #روحانی در مجلس نشان داد که فکر یک صندلی در #هسته_قدرت پس از #1400 همچنان وی را از بازگویی #واقعیت_ها و حرکت در مسیر #مردم بازداشته است! ناخواسته فکر می کنم که وی در این #بازی، برای #هیچ می بازد!</t>
  </si>
  <si>
    <t>عبدالله مومنی</t>
  </si>
  <si>
    <t>M.A of Auditing</t>
  </si>
  <si>
    <t>آقای #روحانی فرمایش فرمودن سعی میکنم نکاتی که #رهبری درباره این جلسه بم گوشزد کردند را رعایت‌ کنم پفیوز تو از ما رای گرفتی یا از رهبری؟ پس چرا دم انتخابات برای ما دم تکون میدادی حالا شدی پسر خوب رهبری؟</t>
  </si>
  <si>
    <t>عرفان</t>
  </si>
  <si>
    <t>‏‏هیچم و چیزی کم...</t>
  </si>
  <si>
    <t>https://pbs.twimg.com/media/DltajMkXsAAJ12H.jpg</t>
  </si>
  <si>
    <t>از وعده دروغ، دلی شاد کن مرا هر چند تشنگی نشود از سراب کم #روحانی</t>
  </si>
  <si>
    <t>Déjavue د‌‌‌‌‌‌ِژاوو 🇮🇷</t>
  </si>
  <si>
    <t>اگر #روحانی با وجود استیضاح وزرایش و قانع نشدن نمایندگان از پاسخش به سوالات و ارجاع پرونده اش به قوه قضاییه باز هم بر سر کار ماند، فقط بخاطر همان اولین جمله [بخوانید تهدید] است ک گفت: "رهبری در مورد این جلسه به من توصیه هایی کرده و امیدوارم بتوانم آنها را دقیقا رعایت کنم."</t>
  </si>
  <si>
    <t>من فعال كارگري قبلاً شاغل در شركت نفت پالايشگاه آبادان بودم</t>
  </si>
  <si>
    <t>EU</t>
  </si>
  <si>
    <t>https://pbs.twimg.com/media/Dlta29kXoAAs8pW.jpg</t>
  </si>
  <si>
    <t>#روحاني بارها اعلام کرده بود اگر اروپا به تعهداتش در برجام عمل نکند ما از برجام خارج خواهیم شد! اما اکنون از راه موهوم سومی خبر می‌دهد! ۲-روحانی هیچ توضیح نداد که «راه سوم» چیست و توضیح آن را موکول به زمانی مجهول کرد! راه سوم راه سرنگونیه این نظام نیست ؟؟ #قیام_تا_سرنگونی</t>
  </si>
  <si>
    <t>مهرايران</t>
  </si>
  <si>
    <t>از کرامات شیخ ما این است سخنرانی مجلس را شروع کرد و در ۱۰ دقیقه دلار ۶۰۰ تومن بالا رفت #روحانی #مجلس_شورای_اسلامی #دلار۱۱۰۰۰تومنی</t>
  </si>
  <si>
    <t>https://twitter.com/DrAboutalebi/status/1034518429397594112</t>
  </si>
  <si>
    <t>در #قانون_اساسی تلازمی میان اصل 88 (#سوال_از_رئیس_جمهور) و بند 10 اصل 110 (برکناری با حکم رهبری پس از رای دیوان عالی کشور به تخلف از وظایف قانونی) وجود ندارد. RT @DrAboutalebi: ۴)درست است حق سوال از رییس جمهوردر قانون اساسی آمده است ولی آیا آیین نامه داخلی مجلس مصوب در سال ۹۱ درتضاد باقانون اساسی نیست؟ ۵)آیااحاله سوالات به قوه قضاییه وفق متن صریح قانون اساسی است؟ آیا آیین نامه داخلی مجلس می تواندچیزی فراتر از قانون اساسی بخواهد؟</t>
  </si>
  <si>
    <t>‏هر چه از حضرت دوست رِسد نیکوست</t>
  </si>
  <si>
    <t>خنده‌دار ترین هشتگ سال ! #سوال_از_رییس‌جمهور</t>
  </si>
  <si>
    <t>javadnazeri</t>
  </si>
  <si>
    <t>‏ورود‏‏ فرقه رجوی، عمله های نرینه و مادینه ج.ا در شکل استمراری و عرازشه و سبز و بنفش ممنوع🚫 صرفا بخاطر بک فالو نکن.معامله گر خوبی نیستم</t>
  </si>
  <si>
    <t xml:space="preserve">جهان ،خیابان زمین </t>
  </si>
  <si>
    <t>#روحانی امروز تلویحا اشاره کرد که کلیت جمهوری آخوندی با همه هدم و حشم و گوسپندان سبز و سرخ و بنفش اش، در برابر یک توییت #ترامپ ذلیل میشه و به قول ارباب ولایت وقیحش، #هیچکی_هیچ_غلطی_نمیتونه_بکنه</t>
  </si>
  <si>
    <t>mashkouk</t>
  </si>
  <si>
    <t>خوب شد روحانی اومدتا معلوم شه این آخوندا چه اصلاح طلب چه اصولگرا سروته یه کرباسن. البته این مردمی که من میبینم بازم میان سال 1400 پای صندوقای رای حماسه میافرینن.خخخ #روحانی</t>
  </si>
  <si>
    <t>MLD</t>
  </si>
  <si>
    <t>شایدم #مجلس خواسته با #سوال_از_رییس‌جمهور به منزله‌ی یک سوفاف* عمل کنه! سوفاف: سوپاپ</t>
  </si>
  <si>
    <t>محمدرضا فتحی نجفی</t>
  </si>
  <si>
    <t>‏‏‏کل یوم عاشوراء و کل ارض کربلا/هر روزی عاشورا و هر زمینی کربلاست/Every day is Ashura, Every land is Karbala</t>
  </si>
  <si>
    <t>With God - نزد خدا (بندرجاسک)</t>
  </si>
  <si>
    <t>چرا حق ندارم بدونم وکیلم نسبت به پاسخهای داده شده قانع شده یا نه؟ چرا آراء نمایندگان ملت #شفاف بیان نمیشه، چه کسی نمایندگان رو بابت عملکردشون در مجلس #استیضاح خواهد کرد؟ مردم در چه زمان و مکانهایی #نامحرم محسوب میشن؟ #سوال_از_رییس‌جمهور</t>
  </si>
  <si>
    <t>علی پاکاری (یالثارات الحسین)</t>
  </si>
  <si>
    <t>https://www.instagram.com/arminshokri</t>
  </si>
  <si>
    <t>همون كَژخويی كه با شئونات اجتماعي و نظامي مغايرت داره!</t>
  </si>
  <si>
    <t>بعد از اتفاقایی که امروز واسه #روحانی افتاد فقط آهنگ “دوباره ایران” جوابه! 😂😂😂</t>
  </si>
  <si>
    <t>لوزِر بیِردِد بلو كَژخو</t>
  </si>
  <si>
    <t>https://t.me/simorgh31</t>
  </si>
  <si>
    <t>ایران وطنم خاکت کفنم.جانم فدای ایران.جمهوریخواه</t>
  </si>
  <si>
    <t>everywhere</t>
  </si>
  <si>
    <t>آقا امروز که روحانی رفت #مجلس، دیدی چه حرفهایی زد؟ باور کن من که یک لحظه فکر کردم داره #کانادا رو توصیف میکنه! گفت: «مردم در دولت ما شاهد تحولات مثبت بودند!» 🔸خب برای همین ذوالنور ازش پرسید آقای روحانی شما #رئیس_جمهور نظام هستی یا رئیس جمهور #سوئیس!</t>
  </si>
  <si>
    <t>كاووس آستا</t>
  </si>
  <si>
    <t>مرد زیر بار مشکلات اقتصادی و معیشتی دارند لِه میشوند ، آقایان در پِی کولر زیر میز میگردند !!؟ #سوال_از_رییس‌جمهور</t>
  </si>
  <si>
    <t>از بچه کوچکی که تو محله بازی می‌کنه بگیر تا استادی که تو دانشگاه تهران درس میده از مشدحسن کدخدای آبادی پشتِ‌کوه تا #رئیس_جمهور نشسته در تهران تا مراجع عظام و علمای اعلام! سوال کنی : چرا کار را خراب کردی؟ خواهند گفت: یعنی تو فکر می‌کنی دیگران از من بهترند؟</t>
  </si>
  <si>
    <t>یه ضرب المثل هست که در مورد تاثیر هم نشین میگه ! گمان کنم روحانی زیادی روزنامه شرق خونده که امروز تو مجلس اونطور حماسه آفرید...!! #سوال_از_رییس‌جمهور #رسانه_کذاب_دادستان_خواب #مثل_شرق_دروغ_میگی</t>
  </si>
  <si>
    <t>Haaghiighaat110</t>
  </si>
  <si>
    <t>‏چه زیبا گفت پیرمرد خیاط؛ زندگی هیچ وقت اندازه تنم نشد. حتی وقتی که خودم بریدم و دوختم</t>
  </si>
  <si>
    <t>از سخنان #روحاني تنها یک چیز می توان گفت این #مجلس خروجی خاصی برای #مردم_ایران ارائه نکرد بعد از قانع نشدن #نمایندگان بعضی ها عمدتا لیست امیدی افاضاتی فرمودند که قرار نیست نامه ای به #قوه_قضائیه فرستاده شود لیست امیدی هایی که اکثرا با تمام پاسخ ها قانع شدند کلا اینها قانع بودند</t>
  </si>
  <si>
    <t>mousavi.smh</t>
  </si>
  <si>
    <t>براي آزادي هرجه بخواهي حاضرم بدهم حتي جانم را</t>
  </si>
  <si>
    <t>Eu</t>
  </si>
  <si>
    <t>pic.twitter.com/Lng5LYc4BB</t>
  </si>
  <si>
    <t>#ايران اگر مردم به جای #روحانی به مجلس میرفتند چه میگفتند؟ حقیقت را باید از مردم شنید</t>
  </si>
  <si>
    <t>بهاره جديديان</t>
  </si>
  <si>
    <t>http://www.no.com</t>
  </si>
  <si>
    <t>تحصيل علوم سياسي # علاقه رسانه # تخصص سياست و رسانه</t>
  </si>
  <si>
    <t>اينكه در جلسه #سوال_از_رئيس_جمهور ، اقاي روحاني حاشيه ايجاد نكرد. متشكريم . . . اما به سوالات هم پاسخ نمي داد!</t>
  </si>
  <si>
    <t>s h a</t>
  </si>
  <si>
    <t>Master Of Economics</t>
  </si>
  <si>
    <t>زندگی زیر بار ظلم وستم حکام جور و فساد و اختلاس انتخاب ماست ظریف درست می گوید #روحاني #ظریف_غلط_کرد</t>
  </si>
  <si>
    <t>میرزا بزرگ خان</t>
  </si>
  <si>
    <t>🔸مقام معظم رهبری: برادران و خواهران عزیز! هرچه انتخاب کنید، به خودتان برمیگردد. بشناسید و انتخاب کنید؛ از وفاداری‌شان به انقلاب و مرعوب نشدنشان خاطرجمع شوید</t>
  </si>
  <si>
    <t>در جلسه #سوال_از_رییس‌جمهور آنچه بیشتر به چشم می آمد هیئتی از یک #دولت_شکسته خورده بود</t>
  </si>
  <si>
    <t>سیدمحمدصادق ضیایی نیا</t>
  </si>
  <si>
    <t>‏‏‏‏کسی که بین علم و ثروت اولی را انتخاب کرده / می‌خواند و قدری اندک هم می‌نویسد / و در تلاش برای دور شدن از زمین / باقی را خدا داند ...</t>
  </si>
  <si>
    <t>هرکجا او بخواهد ...</t>
  </si>
  <si>
    <t>شرق تو این روزا جوان مردانه عمل کرد و با انداختن موج تهاجم به عرب ها فشار افکار رسانه ای رو دیروز و امروز از رو دوش دولت برداشت بابا دمت گرم اصلا پترس در مقابل تو یه شوخی بود یذره رو خودت کار کنی جای خالی دهقان فداکار رو پر میکنی #سوال_از_رییس‌جمهور</t>
  </si>
  <si>
    <t>سید مجتبی</t>
  </si>
  <si>
    <t>یا ایها الذین امنوا اتقوا الله و قولوا قولا سدیدا</t>
  </si>
  <si>
    <t>https://twitter.com/vahidhdi/status/1034298223035392000</t>
  </si>
  <si>
    <t>به نظرم در حال حاضر بهترین کار #استیضاح مردم و برکناری آنهاست! RT @vahidhdi: روحانی: در وضعیت بد اقتصادی کنونی اشکال از تصور مردم ایران است روحانی رسما مردم را مسئول این وضع معرفی کرده!</t>
  </si>
  <si>
    <t>قول سدید</t>
  </si>
  <si>
    <t>https://pbs.twimg.com/media/DltcjplW0AEAtqs.jpg</t>
  </si>
  <si>
    <t>تأثیر پاسخگو بودن روحانی #سوال_از_رییس‌جمهور</t>
  </si>
  <si>
    <t>https://twitter.com/rezasedaghattt/status/1034521501666553858</t>
  </si>
  <si>
    <t>وقتی... #سوال_از_رییس‌جمهور #وقاحت RT @rezasedaghattt: @hesamodin1 وقتی از تینک تنک های اونور آبی کاری بر نمیاد!!! وقتی مشاوره های مراکز تحقیقات استراتژیکی مانند هریتیج،هادسن،امریکن اینترپرایتر،بنیاد دموکراسی،رند و ...کاری بر نمیاد! وقتی کفگیر عملیات روانی به ته دیگ میخوره! وقتی خدا اراده میکنه کسیو شامل سنت لایتغیر "یذل من یشاء"کنه... وقتی...</t>
  </si>
  <si>
    <t>این استیضاح روحانی به معنی حمایت از وضع کشور و مردم بود یا مظلوم نمایی برای شخص روحانی !؟ #سوال_از_رییس‌جمهور</t>
  </si>
  <si>
    <t>Studying Master of Public Law @SBU, Reformist</t>
  </si>
  <si>
    <t>١)نسبت به آنچه كه از اين پس از منظر حقوقي براي #رئيس_جمهور پيش مياد بحث هاي زيادي شده و منم از ديد خودم توضيحاتي ميدم تا شايد بخشي از اشتباهات دوستان غير متخصص در حقوق عمومي رو رفع كرده باشم: #رشتو</t>
  </si>
  <si>
    <t>Reza Khabook</t>
  </si>
  <si>
    <t>جستجوگر سعادت و خوشبختی</t>
  </si>
  <si>
    <t>تشکراز نمایندگان سؤال کننده بخاطر رعایت ادب و اخلاق وبیانات مستدل تقدیراز #مجلس که علیرغم برخی مظلوم نمایی‌ها، آمارهای غیرواقعی، طرح دستاوردهای نامرئی، فرافکنی‌ها و توجیهات تکراری #روحانی، قانع‌ نشد.اتفاقی‌که برای اولین بار رخ داد علی برکة‌ الله #سوال_از_رئیس_جمهور سیدمحمدحسینی</t>
  </si>
  <si>
    <t>y.Ali221</t>
  </si>
  <si>
    <t>چرا همه جای دنیا اعتراض باعث پیشرفت و پویایی جامعه هستش ولی اینجا اینقدر تلخ و به نظر رییس جمهور مملکت باعث سقوط ارزش پول ملی؟چرا برای دانشجو ۲۱ ساله که نگران آینده خودش هست هفت سال زندان؟نگرانی آینده هم بده؟ #روحانی @Rouhani_ir #ارز #ریال #ایران</t>
  </si>
  <si>
    <t>#یاحسین رویای من شهادت😢</t>
  </si>
  <si>
    <t>#رودبار</t>
  </si>
  <si>
    <t>⁉️#سوال_از_رئیس_جمهور درستایش ناامیدی وحکایت پینوکیو نمایندگان مردم قانع نشدند دولت اگر مردمی است تغییر مسیر بدهد</t>
  </si>
  <si>
    <t>maryam</t>
  </si>
  <si>
    <t>مرغ شد کیلو 12 تومن مللللللت حالا هی از #روحاني سؤال کنید و قانع نشید و آخرش هم هیچی نماینده ها بعد از قانع نشدن از پاسخ های روحانی مثل شب قبل با خیالی آسوده به منزل خویشتن رفتند و خوابیدند</t>
  </si>
  <si>
    <t>‏‏‏‏‏‏‏‏‏معلم ریاضی شونده/ بعلاوه ی از این چرت و پرت هایی که همه تون می‌نویسید ... (گالوا هم یه ریاضیدان سیاسی خیلی بدشانسه که آخر به خاطر عشقش جوون مرگ میشه!)</t>
  </si>
  <si>
    <t>Rain city</t>
  </si>
  <si>
    <t>مدل بعضی راننده تاکسیا یه جوریه که هرچی بیشتر درمورد دولت حرف بزنی فحش های جدید تری یادمیگیری! #سوال_از_رییس‌جمهور</t>
  </si>
  <si>
    <t>گالوای مونث</t>
  </si>
  <si>
    <t>همین #سوال_از_رییس‌جمهور هم کار خودشونه! [راننده تاکسی، دنده را عوض میکند!]</t>
  </si>
  <si>
    <t>أميري حسين و نِعمَ الأمير</t>
  </si>
  <si>
    <t>#سريال_پدر امشب تكراري بود. چون قسمت بعد يحتمل حامد ميخواد زنده شه، نگه داشتن برا فردا شب كه به ملت عيدي بدن تا خيلي خوش بگذره بهشون. حالا هي دنبال #استيضاح ه رييس جمهورتون باشيد. نا شكراي تباه😁😁😁</t>
  </si>
  <si>
    <t>z_er</t>
  </si>
  <si>
    <t>https://twitter.com/IranNewspaper/status/1034522581917949952</t>
  </si>
  <si>
    <t>در نظام ولایت فقیه از نوع مطلقه آن و بازوی اجرایی #سپاه عزیز ابهامی نداریم هرچی اقا بگه همون است #سوال_از_رئیس_جمهور RT @IranNewspaper: ✳️ کدخدایی: مجلس باید در مورد وضعیت پرسش از رئیس جمهوری را تعیین تکلیف کند. اکنون در این باره ابهام هایی وجود دارد. ایرنا</t>
  </si>
  <si>
    <t>خامنه‌ای ۲۲مرداد فرمان داد کسی به دولت نباید #حمله کنه و هر کس بکنه خائنه! 💬پس ببین پشم و پیله #ولی‌فقیه چقدر ریخته که تره هم برا فرمانش خورد نمی‌کنن!وروحانی رو #استیضاح میکنن وبعدم جواباشوقبول ندارن</t>
  </si>
  <si>
    <t>http://T.me/hamidrezahabibi_313</t>
  </si>
  <si>
    <t>‏‏‏‏از چپ و راست ‎‎‎#سیاسی بیزارم‎ ‎‎‎#من_انقلابیم 🇮🇷</t>
  </si>
  <si>
    <t>https://pbs.twimg.com/media/DlteEW5X0AMUtwQ.jpg</t>
  </si>
  <si>
    <t>دوست دارم تو اون کشوری که روحانی ازش تعریف میکنه زندگی کنم! ولی تو #کشور ی زندگی میکنم که #روحانی توش رییس جمهوره #اعتماد_به_سقف #سوال_از_رییس‌جمهور #شفافیت #مجلس #دولت @Rouhani_ir @Panahian_IR @A_Raefipour @Jedaaal @A_poormasood @YJebraily @yaminpour @DrZarshenas</t>
  </si>
  <si>
    <t>مهندس_صنایع - کمی فعال سیاسی !!</t>
  </si>
  <si>
    <t>🙏✨ “آرامش” و “صبر” رد پای خدا در زندگی ست … آرزو می کنم زندگیت پر از رد پای خدا باشد ✨🙏</t>
  </si>
  <si>
    <t>در تاریخ خواهند نوشت درباره حکومتی که: فیلتر میکردند اما خود فیلترشکن داشتند! دزدی را بد می دانستند اما خود دزدی میکردند! دروغ را بد می دانستند و خود دروغگو ترین بودند! بزرگترین دشمن مردمانشان بودند اما سایر ملل را دشمن میدانستند! #تاریخ #جمهوری_اسلامی #روحانی #ایران #استیضاح</t>
  </si>
  <si>
    <t>Neginrajabi</t>
  </si>
  <si>
    <t>ایران سرای من است و سیاست پیشه ام</t>
  </si>
  <si>
    <t>طیف گسترده ای از اصلاح طلبان با سخنرانی امروز #روحانی از او عبور کردند</t>
  </si>
  <si>
    <t>nabavi</t>
  </si>
  <si>
    <t>‏یک عدد انسان به امید مقامی از مقامات بهشت</t>
  </si>
  <si>
    <t>ahwaz</t>
  </si>
  <si>
    <t>صحبت های جدید کدخدایی درباره فرایند رسیدگی به سوالات نمایندگان بیانگر ان است که همه ما :دنبال نخود سیاه فرستاده شده ایم. باورش واقعا برام سخته که چهل ساله هنوز فرایند مشخصی برای بررسی سوال از رییس جمهور تدوین نشده است اباد باد این مملکت #استیضاح #روحانی #سوال_از_رییس‌جمهور</t>
  </si>
  <si>
    <t>M.Amiri</t>
  </si>
  <si>
    <t>https://twitter.com/javadkandelousi/status/1034500686464118785</t>
  </si>
  <si>
    <t>حسن #روحانی ۲۷۰ برابر محمود #احمدی_نژاد شغل ایجاد کرده است... این جوری پیش بره مشکل پیش روی ما باکاری خواهد بود... و می تونیم برای عراق و افغانستان و پاکستان و ترکمنستان و... هم مشکل بیکاری را حل کنیم. #سوال_از_رییس‌جمهور RT @javadkandelousi: دولتهای دکتر احمدی نژاد،بیش از 4میلیون واحد مسکن مهر ساخت. اگر هر واحد رو فقط 1نفر ساخته باشه،یعنی 1نفر همه کارهای ساخت یک واحد مسکن رو انجام داده باشه،اگه با ماشین حساب روحانی حساب کنی،میشه حدود 10000. #دروغ</t>
  </si>
  <si>
    <t>https://twitter.com/mmohammadii61/status/1034523344534728705</t>
  </si>
  <si>
    <t>حضرت اقا و سپاه عزیز خواسته بودن حاشیه درست نشه حاشیه هم درست نشد مهم اینه که حسن #روحانی نمیخواد از این کشتی تایتانیک نظام پیاده بشود! RT @mmohammadii61: اینکه رییس جمهور حاشیه خلق نکرد جای تشکر و تقدیر دارد منتها مطالبه مردم ‘بهبود’ وضع اقتصاد است ‌و متقاعد نشدن از پاسخها برای مردم نان و آب نمی شود.</t>
  </si>
  <si>
    <t>‏انتگرال یگانه ام، پسر عموی محسن یگانه انقلابی ام</t>
  </si>
  <si>
    <t>تو کتاب ها</t>
  </si>
  <si>
    <t>از قدیم گفتن یبار جستی ملخک، دوبار جستی ملخک، آخر به دستی ملخک فکر کنم نوبتی هم باشه نوبت #استیضاح آقای روحانی شده... #سوال_از_رییس‌جمهور</t>
  </si>
  <si>
    <t>انتگرال</t>
  </si>
  <si>
    <t>💡در راستای این انقلاب💡 مابرای انقلاب ایده میسازیم.... ✌ما استراحت نخواهیم کرد✌ *شهید بهشتی ( ره) * #طلبه _#انقلابی</t>
  </si>
  <si>
    <t>حسن روحانی در مجلس : ما بحران نداریم !!🔴🔴 مردم : ما نان نداریم 🔵🔵 #بی_عدالتی #نا_کار_آمدی #اختلاس #دولت_بی_تدبیر #ایران #مجلس #رئیس_جمهور #دروغ #فقر</t>
  </si>
  <si>
    <t>Erfan.naseri.moghadam</t>
  </si>
  <si>
    <t>چیزی که شاید کمتر بهش پرداخته شد این بود که اکثر نمایندگان مخالف طرح #شفافیت_آرا بودن! خب دوستان گره کار معلوم شد! اگه فردا روزی انتخابات تحریم شد گله نکنید... #سوال_از_رییس‌جمهور</t>
  </si>
  <si>
    <t>با کدام گزینه موافقید؟ #روحاني #مشهد_تايلندتشيع #براندازم #این_انتخاب_من_نیست #جمهوری_اسلامی_انتخاب_من_نیست #انتخاب_من_نیست</t>
  </si>
  <si>
    <t>journalist ، روزنامه نگار</t>
  </si>
  <si>
    <t>tehran | kerman</t>
  </si>
  <si>
    <t>https://pbs.twimg.com/media/DltfBVrWwAANLzJ.jpg</t>
  </si>
  <si>
    <t>اگر‌تعداد موافق +مخالف+ ممتنع ها رو در سه ردیف رنگ شده جمع کنید از حاضرین در جلسه #سوال_از_رئیس_جمهور کمتر می‌شود. یعنی تعدادی از نمایندگان زحمت فشار دادن دکمه در سه رای‌گیری اول رو‌ به خودشون ‌ندادن .</t>
  </si>
  <si>
    <t>نكيسا</t>
  </si>
  <si>
    <t>http://instagram.com/aliakbar_moslehi</t>
  </si>
  <si>
    <t>💞﷽💞 ❤اَلّلهُمَّ صَلِّ علي مُحَمَّد وَ آلِ مُحَمَّد و عَجل فَرَجَهُم❤ ❤Nursing stu💊💉☞Bpums❤</t>
  </si>
  <si>
    <t>pic.twitter.com/tcFx5xJYuu</t>
  </si>
  <si>
    <t>محمود #احمدی‌نژاد در مورد تحریم ؛ اعتراض وقتی خودش مسئول نیست و وقتی مسئول بود؛ خطاب به #روحانی و #خس‌وخاشاک #روحانی #احمدی_نژاد</t>
  </si>
  <si>
    <t>aliakbarmoslehi</t>
  </si>
  <si>
    <t>ما به شدت منتظر نتیجه قانع نشدن #نمایندگان_مجلس از پاسخ های آقای #روحاني هستیم ببینیم آیا اوج دموکراسی و جمهوریت در مجلس می تواند منتج به اتفاقات مبارکی برای #مردم_ایران رقم بزند #استیضاح_روحانی شاید اتفاق نیفتد ولی اگر غیرت دارید مردم را دلگرم به نظام کنید</t>
  </si>
  <si>
    <t>These days drift on inside a fog It's thick and suffocating / This seeking life outside its hell Inside intoxicating</t>
  </si>
  <si>
    <t>pic.twitter.com/1ed4xQrcDB</t>
  </si>
  <si>
    <t>https://twitter.com/Nosir80192452/status/1034420647831773185</t>
  </si>
  <si>
    <t>روحانی و احمدی نژاد رفتار مشابهی دارن. هر دو تلاش میکنند بی برنامه گی را توسط شعار، جنجال و مظلوم نمایی پنهان کنند. با این تفاوت که احمدی نژاد فاقد حمایت پروپاگاندای عظیم و ثروتمند به اصطلاح، اصلاح طلبان بود. #روحاني #روحانی_خفه_شو RT @Nosir80192452: شباهت عجیب کنایه‌های روحانی و کنایه های احمدی‌نژاد در مجلس جالب اینجاست،لاریجانی،یک پاسخ مشابه می‌‌ده جالبه گلایه های دو رییس جمهور یکیه! #کپی</t>
  </si>
  <si>
    <t>Ehsan</t>
  </si>
  <si>
    <t>تشکراز نمایندگان سؤال کننده بخاطر رعایت ادب و اخلاق وبیانات مستدل؛ تقدیر از #مجلس که علیرغم برخی مظلوم نمایی‌ها، آمارهای غیرواقعی، طرح دستاوردهای نامرئی، فرافکنی‌ها و توجیهات تکراری #روحانی، قانع‌ نشد. اتفاقی‌که برای اولین بار رخ داد. علی برکة‌ الله #سوال_از_رئیس_جمهور</t>
  </si>
  <si>
    <t>حقیقتش روحانی تموم این چند سال فقط حرف زده! #سوال_از_رییس‌جمهور هم یه تریبون برای دوباره حرف زدنش .</t>
  </si>
  <si>
    <t>فآطمه. قآف</t>
  </si>
  <si>
    <t>‏‏‏‏‏‏‏‏‏‏‏‏‏امیر المومنین ‎‎‎‎‎‎‎‎‎‎‎‎‎#علی علیه السلام: تو مراقب آخرتت باش! دنیا خودش ذلیلانه پیش تو می آید!| همون ســـــاداتـƀබƝƝƠ سابق</t>
  </si>
  <si>
    <t>پس کیِ ایران آنتالیا میشه؟!!!!!!!!!!!!!!!!! «برعنداز طور» #سوال_از_رئیس_جمهور</t>
  </si>
  <si>
    <t>http://www.ACS.ir</t>
  </si>
  <si>
    <t>‏‏‏‏‏‏‏‏ ایران در مسیر پیشرفت... « به آمریکا بدبین بودیم، هستیم و‌ خواهیم بود»</t>
  </si>
  <si>
    <t>Best Country; I.R.Iran</t>
  </si>
  <si>
    <t>pic.twitter.com/yfm1lWCPE9</t>
  </si>
  <si>
    <t>جهانگیری: کسی که بگوید چند میلیون شغل ایجاد کرده، معلوم است که می‌خواهد مردم را فریب دهد و عدد و رقم حالیش نیست! #روحانی #دولت #فریب #تخم_لق</t>
  </si>
  <si>
    <t>الیاس ملکی</t>
  </si>
  <si>
    <t>‏‏‏‏‏‏‏‏‏‏‏‏‏‏‏‏‏تعریف من از عشق همان بود که گفتم در بند کسی باش که در بند حسین است ..... منتظرالمهدی ان شاءالله</t>
  </si>
  <si>
    <t>با صحبت های روحانی معلوم شد ، مشکل از ما مردمه که تصوراتمون غلطه ، وگرنه گرونی و اجاره خونه و قیمت بالای ارز و ماشین و اینها مال کشور بغلیه ما نیستیم که !! #سوال_از_رئیس_جمهور</t>
  </si>
  <si>
    <t>سحر محمودی</t>
  </si>
  <si>
    <t>توئیتر زیرزمینی</t>
  </si>
  <si>
    <t>https://twitter.com/abmomeni/status/1034519886926688256</t>
  </si>
  <si>
    <t>یه گروه می‌گن: برای مصالح کشور و نظام سکوت کرد و به‌به و چه‌چه. این‌ها هم پشت این انتقاد ظاهری می‌خوان این‌طور جا بندازن که #روحانی جدا از واقعیت‌هاییه که نگفته. شیخ اعتدالتون توی همین کثافت غرقه، چه بلاهای اقتصادی که با برنامه و عمدا سر مردم آوردن و چه فساد اقتصادی. RT @abmomeni: سخنان امروز #روحانی در مجلس نشان داد که فکر یک صندلی در #هسته_قدرت پس از #1400 همچنان وی را از بازگویی #واقعیت_ها و حرکت در مسیر #مردم بازداشته است! ناخواسته فکر می کنم که وی در این #بازی، برای #هیچ می بازد!</t>
  </si>
  <si>
    <t>الفبا</t>
  </si>
  <si>
    <t>والا ما دچار بحران نیستیم !!! این ملت هستند که دچار بحران هستند!!! #روحانی_خفه_شو #روحانی_شارلاتان #روحاني</t>
  </si>
  <si>
    <t>یه ساختارشکن</t>
  </si>
  <si>
    <t>social science</t>
  </si>
  <si>
    <t>Ardabil,Azerbayjan,Iran</t>
  </si>
  <si>
    <t>کسانی که وظیفه دارند ما را هم از اسب بیاندازند،هم از اصل...بدون کوچکترین رسالتی درباره پاسخگو بودن خود... #سوال_از_رئیس‌جمهور #دولت_سایه</t>
  </si>
  <si>
    <t>Surayya Dalgin</t>
  </si>
  <si>
    <t>الیس الله بکاف عبده؟!!!!!</t>
  </si>
  <si>
    <t>انقدر جوابهای آقای #روحانی مثل همیشه قانع کننده بود که هنوز جواب سوال اولی تموم نشده بود بچه ام گفت مامان بزن پویا! #سوال_از_رییس‌جمهور</t>
  </si>
  <si>
    <t>Rihanna</t>
  </si>
  <si>
    <t>‏‏‏‏◀️دانش‌آموخته‌یِ اقتصاد و جامعه‌شناسی ◀️ساکنِ طبقه‌یِ متوسطِ جامعه 🔸بازتوییت(Retweet)، پاسخ دادن(Reply) و دنبال کردن (follow)، به معنایِ تایید نیست</t>
  </si>
  <si>
    <t>#رسایی عکسی از یک پنکه‌یِ بدونِ پره گذاشته و نوشته کولرِ آمریکاییِ #پرزیدنت که به خیالِ خود #روحانی رو اشرافی معرفی کنه. نماینده‌یِ سابقِ #مجلس حتی خبر نداره که پارس خزر هم از این پنکه‌ها با قیمتِ فعلیِ 300 تا 400 هزار تومان داره. حالا سوالِ من اینه که اصلاً چرا مجلس گرم بوده؟ RT @hamidrasaee: جناب اسماعیلی! همه مشکلات از زیر میزهاست نه روی میز! کولر مخصوص پرزيدنت را لای پوشه قرار داده، به داخل صحن آوردند و در هنگام سخنرانی ایشان زير میز قرار دادند اما وقت خروج، عوامل یادشان رفت که بردارند. یکی از نمايندگان آن را روی میز قرار داد و عکس گرفت! #سئوال_از_رییس_جمهور</t>
  </si>
  <si>
    <t>وحید روحی</t>
  </si>
  <si>
    <t>روحانی امروز قشنگ رفت مجلس رو موعظه کنه و برگرده گوش ملت که بدهکار این قبیل فرافکنی های کلیشه ای نیست. نمایندگان رو نمیدونم #روحانی #استیضاح #مجلس</t>
  </si>
  <si>
    <t>matin320</t>
  </si>
  <si>
    <t>چرا توی #مجلس، همه وسط حرف همدیگه داد میزنن ؟! حرف نه، داد !!!</t>
  </si>
  <si>
    <t>تصویری سازی، دوبله، ازین چیزا ((ورود هر کس با هر تفکری آزاد))</t>
  </si>
  <si>
    <t>هه هه شما مارو دعوت کردید ما شمارو دعوت می کردیم شیرنی میدادیم هه هه مملکت بگا رفت هه هه #روحانی</t>
  </si>
  <si>
    <t>آریا دانش</t>
  </si>
  <si>
    <t>‏‏‏فعال سیاسی اجتماعی فرهنگی نویسنده شاعر</t>
  </si>
  <si>
    <t>نماینده های محترم برید دو رکعت نمازشکر بخونید که جهانگیری نیومد...وگرنه باس بش یه چیزی دستی هم میدادید. #روحانی #سوال_از_رئیس_جمهور</t>
  </si>
  <si>
    <t>بابازاده6p</t>
  </si>
  <si>
    <t>https://pbs.twimg.com/media/DlthnyUW4AADnFV.jpg</t>
  </si>
  <si>
    <t>نماينده ها كه قانع نشدند..ما هم كه خيلى وقته قانع نيستيم..ولى خب شيخ حسن كليدسازمون خيلى قانع هست..كلاً دچار خودقانعى هستن ايشون..خودشون ادلّه ميارن،خودشون خودشونو قانع ميكنن!!! #خود_قانعى #سوال_از_رئيس_جمهور #روحانى #كليد_ساز</t>
  </si>
  <si>
    <t>https://twitter.com/damoon_k/status/1034317627479531520</t>
  </si>
  <si>
    <t>همونایی که میرفتن امضاهاشونو پس می گرفتن قانعشون می کنن... علی برکةالله #سوال_از_رییس‌جمهور RT @damoon_k: حالا که قانع نشدن قرار چه اتفاقی بیافته</t>
  </si>
  <si>
    <t>من یک #برانداز بی‌دین و بی‌خدایم که تمام هدفم آزادی #ایران از چنگال دروغ ملایان و اسلام ناب است...</t>
  </si>
  <si>
    <t>JFK, LHR, MEL</t>
  </si>
  <si>
    <t>#جمهوری_اسلامی رو بیخیال شدید چسبیدید حسابی به #روحانی و #ظریف اااااا. خواستم بگم صورت مسئله هنوز پا برجاست. #نه_به_جمهوری_اسلامی</t>
  </si>
  <si>
    <t>pic.twitter.com/5Pp5i82OrG</t>
  </si>
  <si>
    <t>جالبه این مطلب دوستان کار کردن به گفته رؤسای جمهور وقت وزیر هر دو دولت دهم و دوازدهم کلا تو مجلس برو بیا دارن و جواب #لاريجاني بعد از 5 سال دقیقا یک چیز است خوشمان آمد و آیا شما نیز ؟ #روحاني #استیضاح_روحانی #احمدی_نژاد</t>
  </si>
  <si>
    <t>‏‏‏کارشناس ارشد عمران.طراح و مشاور پروژه های ساختمانی</t>
  </si>
  <si>
    <t>#دلار۱۲۰۰۰تومنی ،#روحانی،#آقازاده کاش آنقدر که #روحانی نگران افزایش بلیت هواپیما بود(اونم از ترس #آقازاده ها) و دستور ویژه داد واسه گرونی و احتکار #خودرو_سازها هم یه دستور میداد.حتی یه بار هم نشد یه دستور ظاهری هم بده</t>
  </si>
  <si>
    <t>civil engineer</t>
  </si>
  <si>
    <t>‏‏‏‏‏‏‏دکترای پژوهش هنر / در میان ویژگی های انسان، هیچ یک را ارزشمندتر از اصلاح خواهی در همه شئون زندگی فردی و اجتماعی نیافتم</t>
  </si>
  <si>
    <t>رهبری از این دست توصیه ها که برای این جلسه مجلس، به #روحانی فرموده بودند، به نمایندگان و قضات و سران سایر قوا و اعضای محترم شورای نگهبان و ائمه جماعات و مداحان و سران رسانه های حکومتی نمی فرمایند، یا میفرمایند اونها به روی خودشون نمی آورند؟!</t>
  </si>
  <si>
    <t>🇮🇷 Zahra Najian</t>
  </si>
  <si>
    <t>‏‏‏من و اندیشه و قلم و قدم، نتیجه!؟...، الله اعلم</t>
  </si>
  <si>
    <t>در کدام کشور زندگی می کنید؟ #ایران_کهن ایران #مدافعان_حرم ایران #مفسدان_اقتصادی ایران #انقلابی ایران #آقازاده ها #ایران_اسلامی ایران جناح های سیاسی ایران #منتظران_ظهور ایران #جهان_سوم ایران #کارگران شرمنده ایران #حسن_روحانى ایران ... #سوال_از_رییس‌جمهور</t>
  </si>
  <si>
    <t>الف الف</t>
  </si>
  <si>
    <t>Master of journalism (ATU)</t>
  </si>
  <si>
    <t>والله قبلنا هر روز حداقل یه پیام تبلیغاتی برای کاشت مو و ترک اعتیاد و لیزر زیربغل تو یه جلسه میومد، اونم با قیمت نازل. به لطف بالا‌ رفتن قیمت‌ها اونم دیگه نمیاد #روحانی #روحانی_متشکریم</t>
  </si>
  <si>
    <t>mehran dousty</t>
  </si>
  <si>
    <t>پدر : ای فرزندانم نگران نباشید حساب های بانکی دولت پر از دلار است :| اولاد : در حالت سجده شکر از گشنگی جان دادند ؛) #روحانی @rouhani_ir</t>
  </si>
  <si>
    <t>https://pbs.twimg.com/media/DltlNx5XgAIA72E.jpg</t>
  </si>
  <si>
    <t>چالش دَله حسن در تقابل با #چالش_دِله_علی #روحاني #سوال_از_رئیس‌جمهور</t>
  </si>
  <si>
    <t>‏‏‏‏دل نیز با دلِ پُر از اینجا رفت، من دل شکسته‌ام که نمی‌مانم...</t>
  </si>
  <si>
    <t xml:space="preserve"> Atheist - گورستانِ آرزوها</t>
  </si>
  <si>
    <t>#روحانی دیده #احمدينژاد راحت دروغ میگفت و همه چی خیلی خوب تموم شد، شروع کرده به دروغ گویی و آمار غلط، #اشتغال_زایی</t>
  </si>
  <si>
    <t>kia</t>
  </si>
  <si>
    <t>‏‏‏‏‏‏‏‏‏‏نگاهی دقیق!!!!😳😳😎 / یک فرد عادی! // منهای جناح بندی // خیلی دوست دارم شبیحش باشم</t>
  </si>
  <si>
    <t>دقت کنید این ایرانی که #روحاني توضیح داد،چیزی نبود که گفت!! بلکه چیزی هست که شما دارید تصور میکنید!! اینقدر تصور بیجا از #دولت نکنید!!! #سوال_از_رییس‌جمهور</t>
  </si>
  <si>
    <t>میرزا بروجردی</t>
  </si>
  <si>
    <t>پژوهشگر حقوق‌بشر و حقوق ‌بین‌الملل؛ فعال سیاسی دموکراسی‌خواه</t>
  </si>
  <si>
    <t>https://pbs.twimg.com/media/DltljcIXgAErWd1.jpg</t>
  </si>
  <si>
    <t>🛑مگس و عرصه سیمرغ! #شهباز_حسن_پور نماینده سیرجان در #مجلس درپی توییت اخیر من ظاهرا شبانه با مراجعه به #ناجا نشریه #سخن_تازه که اولین افشاگر فساد انتسابی به او در #گل_گهر بوده را تهدید و آنها را به صدور اطلاعیه زیر واداشته؛ آنگاه نیمه شب با تماس‌های مکرر قصد #تهدید من را دارد.</t>
  </si>
  <si>
    <t>حسن اسدی زیدآبادی</t>
  </si>
  <si>
    <t>‏هیچ</t>
  </si>
  <si>
    <t>گوبلز غلط میکنه #سوال_از_رئیس‌جمهور</t>
  </si>
  <si>
    <t>mohammd</t>
  </si>
  <si>
    <t>There will be nothing but Ash</t>
  </si>
  <si>
    <t>آقا صد بار‌ گفتم بازم میگم ما میگیم خر نمیخایم خاهشن پالون خرُ عوض نکین #روحاني #روحانی_خفه_شو #روحانی_شارلاتان #استیضاح #استیضاح_روحانی</t>
  </si>
  <si>
    <t>Ash</t>
  </si>
  <si>
    <t>I,ll go back to black...</t>
  </si>
  <si>
    <t>dehatemoon</t>
  </si>
  <si>
    <t>از روحانی راضیم :) خوب داره نظامو رو به سقوط سوق میده #روحانی</t>
  </si>
  <si>
    <t>راعی</t>
  </si>
  <si>
    <t>از حرفای امروز روحانی فقط اینجاش: بهار ۹۷ نسبت به بهار ۹۶ افراد متقاضی کار ۷۱۱ هزار، اشتغالی که ما ایجاد کردیم ۷۵۶ هزار!!! خانواده ها که همه بالاخره چند نفر بیکارو دارن دقیقا این یکیو دیگه قانع شدن!!! #سوال_از_رئیس_جمهور</t>
  </si>
  <si>
    <t>🌲بیشه بیدار✌</t>
  </si>
  <si>
    <t>کارشناس ارشد حقوق خصوصی فعال سیاسی فعال دانشجویی</t>
  </si>
  <si>
    <t>از کی تا حالا #پنكه شده مشکل ما؟ حالا پنکه واسه هر کی هست! مگه پنکه داشتن جرمه که همه گیر دادن؟ دوست دارم اون #نماینده مجلسی که این عکس رو گرفته رو بشناسم و ازش بپرسم چه غلطی میکنی وقتی کل ذهنت درگیر گیر دادن به #روحانی هست؟؟؟ RT @EsmaeiliParviz: تکمیلی/ این #پنکه متعلق به #مجلس است نه #رییس_جمهور.و درطول همه سخنرانیهای امروز زير تريبون بود. امایک #نماینده ساعت ١٢ (۲ساعت بعدخروج #روحانی) پنکه راروی میز گذاشته، عکس گرفته وبرای یک #خبرنگار می فرستد تا... ساعتی که از وسط پنکه پیداست، راست و #دروغ را ناخواسته هویدا کرده است!!</t>
  </si>
  <si>
    <t>alikishi</t>
  </si>
  <si>
    <t>😉hello friends</t>
  </si>
  <si>
    <t>حسن روحانی دشمن خداست البته قدیما میگفتن دروغگو #سوال_از_رئیس_جمهور</t>
  </si>
  <si>
    <t>moonlight</t>
  </si>
  <si>
    <t>gazeteci</t>
  </si>
  <si>
    <t>urmiye/iran</t>
  </si>
  <si>
    <t>انتخاب #روحانی از میان گزینه‌های #مردم و #حاکمیت، خیلی هم سخت نبود دومی، انتخاب مناسب‌تری برای او بود #روحانی_مچکریم</t>
  </si>
  <si>
    <t>mehrdad tabrizi</t>
  </si>
  <si>
    <t>وابسته به نظام جمهورى اسلامى ايران دكترى تبليغات و رسانه</t>
  </si>
  <si>
    <t>امروز #روحانى از اعتماد به كارشناسان گفت،اما اسامى آنان مبهم ماند كارشناسانى که به گفته الیاس حضرتی در روز استیضاح کرباسیان همه‌کاره دولت هستند يعنى نوبخت، جهانگیری، نهاوندیان و واعظى. در١٤٠٠منتظر كانديداتورى اين آقايان باشيد شايدهم زودتراز ١٤٠٠</t>
  </si>
  <si>
    <t>رهبرم سيد على است</t>
  </si>
  <si>
    <t>فعال سیاسی، کارشناسی‌ارشد فیزیک، گاهی معلم، گاهی ویراستار، گاهی دست‌به‌قلم و همیشه‌ی همیشه مامانِ پارسا.</t>
  </si>
  <si>
    <t>افشاگری،ارائه‌ی راه‌حل،بیان ریشه‌ی مشکلات هم‌ اگر در صحبت‌های #روحانی بود،کسی را قانع نمی‌کرد چون هیچ‌کدام تازگی نداشت باید مشکلات را می‌پذیرفت،در هر سؤالی،به‌جای تأکید بر توطئه‌ی دشمن و‌ بیایید خودمان با هم دوست باشیم،کمی متواضعانه خودش را شریک دردهای جامعه معرفی می‌کرد که نکرد</t>
  </si>
  <si>
    <t>Zeinab bhrni</t>
  </si>
  <si>
    <t>http://telegram.me/omidpouraziz</t>
  </si>
  <si>
    <t>Political &amp; social analysts ✍️📰تحليلگر سياسی و🌱صلح طلب</t>
  </si>
  <si>
    <t>iran,tehran</t>
  </si>
  <si>
    <t>کاش فقط یک نفر در آن هیئت دولت #روحانی پیدا میشدکه به او‌بگوید اینکه حالا اگر هم آمار رسمی اشتغال خالص دوران احمدی نژاد واقعا هم ۱۰هزار نفر بوده باشد،لازم نیست برای اثبات خویش هربار این را به زبان بیاورد، نمیدانم این حد از خلا‌ هوش سیاسی بعلت کهولت سن است یاواقعا مشکل ادراکی است.</t>
  </si>
  <si>
    <t>اميد پورعزيز</t>
  </si>
  <si>
    <t>https://telegram.me/harfbemanbot?start=NzQwMDQ1MTc</t>
  </si>
  <si>
    <t>Kurd</t>
  </si>
  <si>
    <t>somewhere</t>
  </si>
  <si>
    <t>امروز رفتم پول ویزامو بدم که تقریباً چهل میلیون میشد، تا #روحانی حرفاش تموم شد طرف زد تو ماشین حسابش و گفت شرمندم باید چهل و پنج تومن بدین، یعنی زندگی تو ایران به این حد از کسشر رسیده</t>
  </si>
  <si>
    <t>illusion</t>
  </si>
  <si>
    <t>‏‏یک روانشناس و یک معلم که وظیفه خود را علاوه بر تدریس و تحقیق، روشنگری سیاسی نیز میداند.</t>
  </si>
  <si>
    <t>آخه کی تا حالا دیده به کسی که همش تو آفسایده کارت زرد بدن؟ باید تعویض بشه تعویض!!! #روحاني</t>
  </si>
  <si>
    <t>hamed_mohammadi</t>
  </si>
  <si>
    <t>‏‏‏‏آخرین سنگر باقیمانده فتح بیت المقدس انشاءالله اگه آقایونِ در جبهه خودی بزارن!!!</t>
  </si>
  <si>
    <t>Göteborg, Sverige</t>
  </si>
  <si>
    <t>https://pbs.twimg.com/media/Dltm52jW4AAsb_-.jpg</t>
  </si>
  <si>
    <t>اگه دست من بود به جای سوال از #روحانی اون رو محاکمه میکردم ، خیلی عادلانه⚖</t>
  </si>
  <si>
    <t>Ahmad🇮🇷🇮🇶🇸🇾🇱🇧🇾🇪🇵🇸</t>
  </si>
  <si>
    <t>یک آدم معمولی</t>
  </si>
  <si>
    <t>نمیدانم تا کی می شود افکار عمومی را با بمب های رسانه ای مدیریت کرد،امیدوارم که دیگر حنایشان رنگی نداشته باشد. #سوال_از_رییس‌جمهور #مثل_شرق_دروغ_میگی</t>
  </si>
  <si>
    <t>Ehsanhamedifar</t>
  </si>
  <si>
    <t>مهندسِ صنایع‌طور ...</t>
  </si>
  <si>
    <t>امروز #سوال_از_رئیس‌جمهور در مجلس یک سیرک به تمام معنا بود تنها نکتش این بود با هر جواب مستر پرزیدنت ما اشکمون درمیومد</t>
  </si>
  <si>
    <t>Mrym</t>
  </si>
  <si>
    <t>دیگر به خدا مام وطن خانه نشین است / ایران منو ما همه جا در تب و کین است / ای هموطنان گرد هم آیید که امروز / رخش حرکت عکس زمان پشت به زین است</t>
  </si>
  <si>
    <t>هر جا که #روحاني و کلا اعضای #فرقه_تبهکار از ضمیر فاعلی "ما" استفاده کردند بدانید که منظور از ما همان جمع خودیهای نظام است. مثال:ما مشکل ارزی نداریم و درحال ذخیره #ارز برای آینده هستیم(روحانی امروز در #مجلس ) ترجمه:در حال غارت #ایران هستیم و داریم ثروتمون رو از کشور خارج میکنیم.</t>
  </si>
  <si>
    <t>ایمان</t>
  </si>
  <si>
    <t>‏انقـلابـے ام</t>
  </si>
  <si>
    <t>از اینکه مجلس علی رغم تحریک ها جنجالی نشد خوشحالم از اینکه نمایندگان از عملکرد اقتصادی دولت قانع نشدند هم خوشحالم اما از اینکه #روحانی نمی خواهد مسائل را بفهمد متاسفم</t>
  </si>
  <si>
    <t>سیـــروس محمـــدے</t>
  </si>
  <si>
    <t>نماینده ای که از #سوال_از_رئیس‌جمهور قانع شدی #استخرِ_فرح در انتظارت دست به دست کنید برسه دست نماینده #سوال_از_رئیس_جمهور</t>
  </si>
  <si>
    <t>Steven Paul Jobs 🇫🇷</t>
  </si>
  <si>
    <t>‏‏‏‏می­دوم به دنبال آرزوی بربادرفته ­ام و یقین دارم، جایی باد... خسته خواهد شد.</t>
  </si>
  <si>
    <t>تا حالا که #روحانی هیچ غلطی نکرده حداقل بیاد یه صفر ریال رو برداره فوبیای یه صفر اضافه زدن تو کارتخوان منو کشت</t>
  </si>
  <si>
    <t>سوگلی‌‌‌</t>
  </si>
  <si>
    <t>‏عاشق ‎#ایران ‏‏‏‏‏‏‏‏در هر شرایطی معتقد به ‎#اصلاحات چرا که برای رسیدن به ‎#دمکراسی باید از مسیر اصلاحات گذشت به ‎#جنبش_سبز وفادار</t>
  </si>
  <si>
    <t>lran.Tehran</t>
  </si>
  <si>
    <t>https://twitter.com/a_gholhaki/status/1034312756944621568</t>
  </si>
  <si>
    <t>جمعی هم در کلام و هم به وسیله پلاکارت نوشته در روز روشن و در مقابل چشم و گوش همگان #رئیس_جمهور را #تهدید_به_قتل میکنند و حتی شیوه عملی کردن تهدیدشان را نیز اعلام میکنند از دید پیروان فرقه #مصباح در #جببه_پایداری مقصر عکاس و رسانه‌ایست که صدا و تصویر #تهدید را رسانه‌ای کرده است RT @a_gholhaki: در ماجرای تجمع طلاب در قم، عکس پلاکارد جنجالی را خبرگزاری "شفقنا" با مدیریت "فاتح"(مدیر سابق خبرگزاری ایسنا)شروع کرد همه این بازی کثیف هم برای رهایی دادن روحانی از #سوال_از_رییس‌جمهور بود و جلوگیری از این مهم که پرچم مطالبه گری دست حوزه‌های علمیه بیافتد</t>
  </si>
  <si>
    <t>🇮🇷 Farhad</t>
  </si>
  <si>
    <t>http://t.me/r_sanaiee</t>
  </si>
  <si>
    <t>‏‏‏‏‏‏‏‏‏‏‏‏‏روح‌ا... شاه سنایی</t>
  </si>
  <si>
    <t>isfahan</t>
  </si>
  <si>
    <t>واقعا از تحلیل رفتار روحانی عاجزم وقتی گردش آزاد اطلاعات نیست و رفتار یک سیاستمدار اینقدر پیچیده باشه، بسیاری از تحلیل ها در واقع مزخرفی بیش نیست. نمی دانم. نمی فهمم. #روحانی</t>
  </si>
  <si>
    <t>روح‌ا... 🇮🇷</t>
  </si>
  <si>
    <t>سلامتی اونی که حتی بعد از جواب دادن #روحانی مثل کبک بود و با رأی ممتنع،نظری نداشت #سوال_از_رییس‌جمهور #شفافیت_آراء_نمایندگان #شفافیت</t>
  </si>
  <si>
    <t>ناگفته‌های روحانی که با آن یکماهی هست همه را تهدید می‌کنند، همان حرف‌های تکراری و همیشگی او بود. حق داشت که از طرح #سوال_از_رئیس_جمهور در مجلس ناراحت باشد؛ چون اساسا برای سوالات و مشکلات جدی مردم پاسخی ندارد.</t>
  </si>
  <si>
    <t>ی روز خوب میاد</t>
  </si>
  <si>
    <t>#مجلس که قانع نشد. #سلبریتیها که #پشیمان هستند و .... قربون بچه #انقلابی_ها برم چه موقع خون دادن و چه موقع دفاع از آرمان های انقلاب همیشه در #خط_مقدم هستند. آ شیخ رو به انقلابیون بکن راه نجات از بحران نزد #انقلابیون_مجاهد هست. #اعتماد_به_سقف #انقلابی_ام</t>
  </si>
  <si>
    <t>اِل چه</t>
  </si>
  <si>
    <t>#روحانی عادت کرده تقصیر این و اون میندازه.حالا مشکلات اقتصادی نتیجه #تظاهرات هست.</t>
  </si>
  <si>
    <t>http://t.me/sarafi_iranian_isparta</t>
  </si>
  <si>
    <t>🌍خرید و فروش انواع ارز 💵 دلار 💴یورو لیر 💱انواع حواله سوئیفت و وسترن یونیون</t>
  </si>
  <si>
    <t>Türkiye</t>
  </si>
  <si>
    <t>https://pbs.twimg.com/media/DltoNIiW4AAXpT0.jpg</t>
  </si>
  <si>
    <t>سوالات از رئیس‌جمهور و پاسخها #روحانی #ایران #ترکیه #ارز #بیکاری #اقتصاد #حواله #دلار #یورو #لیر #سوئیفت #وسترن_یونیون</t>
  </si>
  <si>
    <t>صرافی ایرانیان</t>
  </si>
  <si>
    <t>ژنرال های اصلاح طلب حواستان هست با سرمایه گذاری بر روی #روحانی، قسمت اعظم اندوخته های متزلزلتان را نیز باختید؟!</t>
  </si>
  <si>
    <t>1993 #Teacher</t>
  </si>
  <si>
    <t>#روحاني به طور خلاصه گفت ما تو مملکت هیچ مشکلی نداریم و همش بیماری روانی و نگرش منفی مردم به آینده و واکنش آمریکا در آینده است و اصولگرایان هم از هر تریبونی بتوانند به این نا امیدیها دامن میزنند #سنگ_پای_قزوین #روحاني</t>
  </si>
  <si>
    <t>🇮🇷عباس مبارکیان</t>
  </si>
  <si>
    <t>‏ولایی، انقلابی،احمدی‌نژادی</t>
  </si>
  <si>
    <t>من یه حساب سرانگشتی کردم دیدم اینجور که #روحانی داره شغل ایجاد میکنه تا هفته دیگر با کمبود نیروی کار مواجه هستیم و باید از افغانستان و سومالی و شایدم #سوئیس نیروی کار وارد کنیم #کنجیر</t>
  </si>
  <si>
    <t>کنجیر</t>
  </si>
  <si>
    <t>https://www.instagram.com/miantitr</t>
  </si>
  <si>
    <t>می‌گه #مردم دی‌ماه #اعتراض کردن، وضع این شد. کاش ما مردم #استیضاح می‌شدیم آقای #روحانی ببخشید که وقتی ما مردم وقتی #غذا نمی‌خوریم #گرسنه هم می‌شیم. ما مردم #عملکرد بدی داریم. #آقای_روحانی_ما_متهمیم #روحانی_دوم</t>
  </si>
  <si>
    <t>Mehrdad Ghorbani</t>
  </si>
  <si>
    <t>‏‏‏‏‏‏‏‏‏‏‏‏‏‏‏‏‏معلم و دانشجوی علوم اجتماعی - مسئول سابق قرارگاه اردوهای جهادی دانشجویی مشهد مقدس - مسئول اسبق ‎‎‎‎‎‎‎‎‎‎‎‎‎‎‎‎#بسیج_دانشجویی</t>
  </si>
  <si>
    <t xml:space="preserve">با افتخار، مشهد مقدس </t>
  </si>
  <si>
    <t>من به نماینده ها کاری ندارم، از خود آقای #رئیس‌جمهور میپرسم... واقعا خودت از پاسخ هایی که دادی قانع شدی؟؟؟ از هرچیزی بیشتر پیچوندن رو یاد دارید... #اعتماد_به_سقف #سوال_از_رییس‌جمهور #روحانی</t>
  </si>
  <si>
    <t>علی ربانی فرهودی</t>
  </si>
  <si>
    <t>پرستش به مستی است در کیش مهر // بُرون اند زین جرگه هشیارها</t>
  </si>
  <si>
    <t>انقلاب اسلامی ایران</t>
  </si>
  <si>
    <t>هنگام سخنان #روحانی در مجلس کم کم باورم شده که فرافکنی هایش کم شده تا اینکه به تجمع طلاب فیضیه پرداخت مطمئن شدم که او همون #روحانی همیشگی ست! #روحانی_خفه_شو #استخر_فرح_در_انتظارت</t>
  </si>
  <si>
    <t>🇮🇷 ابوالحسن براتی 🇮🇷</t>
  </si>
  <si>
    <t>از صبح تو این فکرم... چرا ذوالنور به #روحانی گفت، شما رئیس جمهور سوئیس هستین یا جمهوری اسلامی؟ و بعد رد شد.</t>
  </si>
  <si>
    <t>یه رسم بدی تو دولتهای اسبق بود که پروژه ها رو افتتاح نمی کردن و معطل میذاشتن که تو #هفته_دولت افتتاح کنن که باعث میشد کلی سرمایه معطل بمونه الحمدالله دولت #روحانی این مشکل رو ریشه ای حل کرد و هیچ افتتاحی رو برای هفته دولت نگه نداشتن! چون اساسا افتتاحی نیست #دولت_ناکارآمد</t>
  </si>
  <si>
    <t>محمدرضا تهوری</t>
  </si>
  <si>
    <t>‏دختربچه تبریزی👧یکم سر زبون دار🙋‍♀️عاشق ورزش👈 🏊‍♀️ 🎯🏋️‍♀️یه خواهرمهربونِ بدجنس👯‍♀️یکم زیادی دغدغه مند👩‍🎓</t>
  </si>
  <si>
    <t>#روحانی امروزگف مردمی که ۴ سال رونق دیدند،ناگهان تعجب کردند که چه شده است؟چهارسال اول شمارونق دیدید؟یعنی من ایران نبودم؟یا روحانی تو مریخه؟</t>
  </si>
  <si>
    <t>kkziraki</t>
  </si>
  <si>
    <t>‏‏کمی فضای مجازی</t>
  </si>
  <si>
    <t>اینکه یکی راست راست تو روتون نگاه کنه و دروغ بگه آدمو میسوزونه.... #مجلس #سوال_از_رییس‌جمهور #روحانی</t>
  </si>
  <si>
    <t>ahd art</t>
  </si>
  <si>
    <t>‏زندگی دو روز است یک روز با تو و یک روز علیه تو؛ آنروز که باتوست مغرور نشو و آنروز که علیه توست مایوس نشو</t>
  </si>
  <si>
    <t>IRAN;Zabol;Nimrooz</t>
  </si>
  <si>
    <t>جناب روحانی کاش لرزش دستاتون بخاطر ترس از خدا بود نه ترس از دست دادن جاه و مقام #سوال_از_رییس‌جمهور</t>
  </si>
  <si>
    <t>فاطمه بزی</t>
  </si>
  <si>
    <t>‏‏‏الهی عاقبت ب خیری🤗 .. توییتر: ‎@ghoghnos_21 ‎@ghoghnos_21 : اینستاگرام تلگرام : http://t.me/Ghoghnos_21‎‎‎</t>
  </si>
  <si>
    <t>کل صحبتهای امروز #روحانی در مجلس: علت اصلی وضعیت بوجود آمده خود مردم هستند 😒 پ.ن: کاملا درسته 👍چون به شما اعتماد کردیم و انتخاب تان کردیم. 😩 #مثل_شرق_دروغ_میگی</t>
  </si>
  <si>
    <t>ققنوس</t>
  </si>
  <si>
    <t>https://pbs.twimg.com/media/DltpvVvW4A0TkPF.jpg</t>
  </si>
  <si>
    <t>+خب اشکال نداره قانع نشدن دیگه . خرجش یه شامه که نوبخت زحمتشو میکشه. -برای اون گریه نمیکنم. +نگران بحث ترورم نباش بچه های حاج آقا خودشون هماهنگ کرده بودن. -برای اون گریه نمکنم. +پس دردت چیه؟ -مک کین مرد. #سوال_از_رییس‌جمهور</t>
  </si>
  <si>
    <t>عاشق مطالعه واعتراض به بی مهری رانندگی باسرعت بالا</t>
  </si>
  <si>
    <t>هرجا</t>
  </si>
  <si>
    <t>خوبه همیشه یکی باشه تقصیراتوبندازی کردنش یاکسانی باشن تقصیراتوبینشون تقسیم کنی #سوال_از_رییس‌جمهور</t>
  </si>
  <si>
    <t>Reza</t>
  </si>
  <si>
    <t>وضع اقتصادی، دزدی مقامات، اختلاس پشت #اختلاس، تحریم، برجام، #احتکار #انتخاب_ما برای قهر بودن با دنیا اینها #بحران نیست؟ #روحانی</t>
  </si>
  <si>
    <t>کارشناس ارشد مدیریت امور فرهنگی</t>
  </si>
  <si>
    <t>#روحاني برای طفره رفتن از پاسخ به سئوالات افکار عمومی فقط یک راه حل داشت و اجرا کرد،آنهم دادن #آدرس_غلط #سوال_از_رییس‌جمهور</t>
  </si>
  <si>
    <t>حمیدرضا حبیبیان دهکردی</t>
  </si>
  <si>
    <t>mashhad.iran</t>
  </si>
  <si>
    <t>اما امروز #مجلس به وظیفه خود عمل کرد و #روحاني به عهد خود گرچه نه قانع کننده بود و نه در شان ملت ایران مردم #عمل به وعده ها رامیخواهند،همین</t>
  </si>
  <si>
    <t>freedom.call</t>
  </si>
  <si>
    <t>به نظر نمیاد بتونیم #خودمان_انتخاب_کنیم، در جلسه امروز،ظاهرا برنامه ای ارائه نشد،اما به شدت احساس میکنم که برنامه ای در کاره. یه اخبار ساعت 2 ظهر میگه توافق کردیم و یا با اروپا بستیم، ارز سقوط میکنه و مردم دوباره می‌بازن. اینها منافع بزرگی تو موندن دارن، راحت وا نمیدن. #روحاني</t>
  </si>
  <si>
    <t>father of dragons official!!</t>
  </si>
  <si>
    <t>من هوادار جنبش دادخواهی اعدام شدگان سال 67 وخواهان دموکراسی برابری زن ومردوحکومتی غیر دینی ودموکرتیک بر اساس آرا مردم هستم</t>
  </si>
  <si>
    <t>https://pbs.twimg.com/media/DltqTbGXsAEyu0u.jpg</t>
  </si>
  <si>
    <t>سنگر آزادی</t>
  </si>
  <si>
    <t>‏‏‏‏‏‏‏‏زندگی ، معنایِ مُردن در هوایِ دلبر است ..</t>
  </si>
  <si>
    <t>به این نتیجه رسیدم که اگه #هاشمی_طبا می اومد، به مراتب وضعیت ما بهتر از الان بود :| #روحانی</t>
  </si>
  <si>
    <t>Sajjad Firouzjah🇮🇷🇵🇸</t>
  </si>
  <si>
    <t>https://pbs.twimg.com/media/DltqqVCXoAEcbau.jpg</t>
  </si>
  <si>
    <t>وضعیت امروز دولت و مجلس اون که گاوه قاعدتا نمیفهمه. اینم که فکر میکنه اون میفهمه باید با این کار ول کنه گاوتر از اونه. خلاصه خر تو خریه که بیا و ببین... #سوال_از_رییس‌جمهور</t>
  </si>
  <si>
    <t>#نظرسنجي آیا از سخنان دکتر #روحاني ،در ارتباط بامسائل جامعه قانع شدید؟</t>
  </si>
  <si>
    <t>تمام ابرها رفتند سبک اما نشد حالم عجب حال گوهی دارم</t>
  </si>
  <si>
    <t>نتیجه گیری من پس از صحبت های امروز #روحانی در مجلس ... خداروشکر #امنیت داریم</t>
  </si>
  <si>
    <t>رَد ...</t>
  </si>
  <si>
    <t>#حقوق #law #nature</t>
  </si>
  <si>
    <t>دفعه بعد مهمون دعوت میکنید یه شیرینی و شربت جلوش بذارین گلوش خشک شد از بس که شما رو قانع کرد. #سوال_از_رییس‌جمهور</t>
  </si>
  <si>
    <t>Hajipour.Sakineh</t>
  </si>
  <si>
    <t xml:space="preserve">IRAN-TEHRAN
</t>
  </si>
  <si>
    <t>تاجایی که یاد دارم در ایران قاضی هم اینور میز بوده هم اونور میز.نماینده #مجلس خودش عامل برهم زدن بازار ارز و ... هستن آیا میشن بلندگوی ملت؟</t>
  </si>
  <si>
    <t>saeed mohebbi</t>
  </si>
  <si>
    <t>http://www.mitfirm.org</t>
  </si>
  <si>
    <t>Managing Director of MIT security and crisis management institute , member board of arsh gostar (electronic)and solace security(projects, production)</t>
  </si>
  <si>
    <t>ما مردم بايد وقايع چند وقت گذشته را به خاطر بسپاريم و بفهميم كه حضور افراد موثر و غير موثر در مجلس شوراي اسلامي و حتي در پارلمان بخش خصوصي چه قدر مهم است و به صورت كيلويي -ائتلافي و بي تحقيق و تفخص راي ندهيم #مجلس_شورای_اسلامی #اتاق_بازرگاني #فراكسيون #نماينده</t>
  </si>
  <si>
    <t>Nasim Tavakol</t>
  </si>
  <si>
    <t>اگر روز تسویه حساب زنده باشم،شاید از #روحانی با همه شیادی هاش، #ظریف با همه دروغها و وقاحت هاش، ولایت وقیح با همه جنایت هاش بگذرم اما از عمله های دوزاری استبداد و شرف فروخته های حامی این #فرقه_تبهکار در هر شکل و قیافه اش نخواهم گذشت.جنگ اول من با شرف فروشان حامی آخوندیسمِ</t>
  </si>
  <si>
    <t>‏طنز نویس. شاعر</t>
  </si>
  <si>
    <t>من به جای اینکه به چهار سوالی که نماینده ها قانع نشدن فکر کنم به سوالی فکر میکنم که نماینده ها قانع شدن! نکنه اون چهار سوال سرپوشی بود برای قانع شدن از این سوال؟! آیا واقعا پاسخ رئیس جمهور قانع کننده بود؟ آیا شما قانع شدید؟! #سوال_از_رییس‌جمهور #روحانی</t>
  </si>
  <si>
    <t>امین شفیعی</t>
  </si>
  <si>
    <t>سخنان امروز #روحانی در مجلس به نوعی بازگشت به گذشته بود و ترس از ماجرای #استخر کاملا مشهود بود. ایشان امروز نتوانستند از رای بیست و چهار میلیونی صیانت کند و ثابت کردند که اقای خاتمی درست گفتند : رییس جمهور #تدارکاتچی بیش نیست</t>
  </si>
  <si>
    <t>Ahmad.mostafazadeh</t>
  </si>
  <si>
    <t>‏‏عضو شورای سیاستگذاری و تشکیلات حزب ندای ایرانیان</t>
  </si>
  <si>
    <t>اگر نهادهای خارج از دولت در بروز شرایط فعلی نقش اساسی دارند،#روحانی باید امروز آن را اعلام میکرد. حال که نکرده است،اینگونه به ذهن متبادر میشود که فقط دولت ناکارآمد است و مشکل از جای دیگر نبوده.</t>
  </si>
  <si>
    <t>ashkan mojallali</t>
  </si>
  <si>
    <t>وی در خانواده ایی شهید پرور در نیویورک چشم به جهان گشود!</t>
  </si>
  <si>
    <t>center of erth</t>
  </si>
  <si>
    <t>https://pbs.twimg.com/media/DltraowW0AM5WuR.jpg</t>
  </si>
  <si>
    <t>#روحانی هیچ کاره مفیدی که نکردی دستکم یه سهمیه #کافور برای #سیمای_میلی تخصیص بده! #پستان_گرگ</t>
  </si>
  <si>
    <t>فنا الملک</t>
  </si>
  <si>
    <t>they.dont.know.that.we.know.they.know.we.know #IAMUNITED</t>
  </si>
  <si>
    <t>خوشحالم که دوستان مقصرِ اصلی‌ی چهل‌سال حکومتِ افتضاحِ جمهوری‌اسلامی رو پیدا کردن. امیدوارم زودتر عزل بشه که برگردیم به سمتِ قله‌ها. #روحاني</t>
  </si>
  <si>
    <t>کمیسر</t>
  </si>
  <si>
    <t>مهتاب زیر سیلی شب بود و آفتاب حتی دو دست باز برای کمک نداشت</t>
  </si>
  <si>
    <t>https://www.facebook.com/sadat.khanoom/videos/2285203071495292/</t>
  </si>
  <si>
    <t>مردم عکس روحانی رو میذارن رو صورتشون به جاش حرف میزنن پشت #ماسک #رئیس_جمهور چه حرف هایی که زده نمیشه!</t>
  </si>
  <si>
    <t>sadatkhanoom</t>
  </si>
  <si>
    <t>I am a DR</t>
  </si>
  <si>
    <t>Iran-Shiraz</t>
  </si>
  <si>
    <t>امروز #روحانی هم از #من خورد هم از دیوار . عزیزم خودت رو جمع کن ناک اوت نشی</t>
  </si>
  <si>
    <t>delavar</t>
  </si>
  <si>
    <t>‏‏‏‏‏‏‏‏شما مگه پیتزا رو تیلیت نمیکنین تو آبگوشت با پیاز بخورین بی ذوقا ؟:)) شما هم بپیوندید به ارتش تیلیتیا</t>
  </si>
  <si>
    <t>هر آنجا که تیلیت باشد</t>
  </si>
  <si>
    <t>هرکی با حرفای #روحانی قانع شد، باید در عاقل بودنش شک کنیم تامام. #سوال_از_رییس‌جمهور</t>
  </si>
  <si>
    <t>تیلیت</t>
  </si>
  <si>
    <t>http://t.me/Behnoud95</t>
  </si>
  <si>
    <t>ڪوچیڪ شما #براندازم اگہ اهلشی ڪہ قدمت روچشم😌 اگہ نیستی، آرزوی موفقیتت مارو بس!🙏 احتراما، هرگونہ بےاحترامی بہ براندازان وبلغور چرندیات نظام ممنوع(صداوسیماهست)</t>
  </si>
  <si>
    <t>در مسیر #براندازی</t>
  </si>
  <si>
    <t>برعکس فرموده #روحاني در پایان جلسه امروز #مجلس نه کاخ سفید بلکه کوخ نشینان کفن پوش بودندکه از سراشیب سقوط ولایت پرستان شاد شدند! اندکی صبر سحر نزدیک ست. #براندازم #IranRegimeChange</t>
  </si>
  <si>
    <t>ژن_بد#</t>
  </si>
  <si>
    <t>https://t.me/its_bobby</t>
  </si>
  <si>
    <t>In The Path Of Architecture</t>
  </si>
  <si>
    <t>Shiraz , Iran</t>
  </si>
  <si>
    <t>یه حسی میگه که #روحانی خودش یکی از عاملای اعتراضه و قصدش براندازیه !! و گرنه کسی با دست خودش اینقدر تخریب نمیکنه ..</t>
  </si>
  <si>
    <t>BaBak</t>
  </si>
  <si>
    <t>کریتون، ما یک خروس به آسکلیپیادس بدهکاریم؛ فراموش نکن...</t>
  </si>
  <si>
    <t>Sestri Levante, Liguria</t>
  </si>
  <si>
    <t>حداقل در مورد #اشتغال نه تنها از جواب #روحانی قانع شدم بلکه معتقدم شکسته نفسی هم فرمودند ایشان ۲.۵ ملیون نفر را سر کار نذاشتند ۲۵ ملیون رو در انتخابات سرکار گذاشته اند</t>
  </si>
  <si>
    <t>مهرداد و بیداد</t>
  </si>
  <si>
    <t>بدشانسی هست بدبختی هست بدبیاری هست ولی زندگی نکبت همچنان ادامه دارد</t>
  </si>
  <si>
    <t>آواره تو عالم خودش</t>
  </si>
  <si>
    <t>تله تاتر خوبی رادرمجلس دیدیم امروز #روحانی #مجلس یک تاتر درآم کمدی پراز گریه و خنده برای تماشاچیانی که زبان‌بازیگران رانمیفهمیدن ولی باز خندیدن وگریه کردن</t>
  </si>
  <si>
    <t>کشاورز بی زمین</t>
  </si>
  <si>
    <t>‏‏من از لج دنیاس همیشه کج دهنم...</t>
  </si>
  <si>
    <t>مسؤلان جمهوری‌اسلامی هر روز مرزهای وقاحت و درمینوردَند :))))) #روحانی #مجلس</t>
  </si>
  <si>
    <t>Cedric 🏳️</t>
  </si>
  <si>
    <t>‏‏‏معمار ،امیدوار به اصلاح</t>
  </si>
  <si>
    <t xml:space="preserve">Iran tehran </t>
  </si>
  <si>
    <t>#آن_دیگری توصیه به سکوت نمودند #روحانی #مردم</t>
  </si>
  <si>
    <t>nik.s🇮🇷</t>
  </si>
  <si>
    <t>ادب مرد به ز دولت اوست #میرحسین #مصدق</t>
  </si>
  <si>
    <t>کرج</t>
  </si>
  <si>
    <t>نقد و فوحش دادن به #روحانی‌ خیلی راحته اصولگرایان و اصلاح طلب همه میزنن حتی تهدید به مرگ میشه اما... کسی جرا داره حاکمیت رو محکوم کنه؟؟ آیا کسی میتونه از رهبری سوال کنه؟؟ آیا کسی میتونه از #مجلس که نه #کودکستان_مهستان سوال کنه؟ آیا از نهادهای تحت نظارت رهبری سوال کرد؟</t>
  </si>
  <si>
    <t>mohammadreza🇮🇷</t>
  </si>
  <si>
    <t>دروغ های هدایت شده ی #روزنامه_شرق ثمره ازدواج #مریم_رجوی و #ترکی_الفیصل و ارتباط تنگاتنگ آنان با براندازن #افسادطلب داخلی ست هدف، پوشش افتضاح #روحانی در مجلس و نشانه گرفتن اربعین! #مثل_شرق_دروغ_میگی #شهروند_جنسی</t>
  </si>
  <si>
    <t>‏‏‏متولد۷مهر۱۳۳۸ باکمک مردان وزنان هموطنم وبه فضل الهی درکنارهم دراین کشورعزیزوزیبامیمانیم وایران راباتلاش خواهیم ساخت دست گدایی به اجنبی درازنمیکنیم!</t>
  </si>
  <si>
    <t>پیامی راکه امروزازسخنان نمایندگان و اقای #روحانی دریافت کردم بخش زیادی ازمشکلات داخلی ناشی ازسومدیریت ودروغگویی مسئولان میباشد #بی_مسئولیتی</t>
  </si>
  <si>
    <t>رضا-نوراللهی</t>
  </si>
  <si>
    <t>نکته ای که امروزدرگفتگوبابعضی ازمردم دریافت کردم که نشان ازدرک بالا وهشیاری انهاست. نمیزارند ونزاشتند #روحانی کاربکنه کارشکنی کردند!!!!!!؟</t>
  </si>
  <si>
    <t>‏‏‏‏‏در هیئـــتی که دغــــدغـــه مبـــارزه با اســـــرائیـــل نبـــاشـــد، ابن زیـــاد هم سیـــــنه می زنـــد.</t>
  </si>
  <si>
    <t>https://pbs.twimg.com/media/DlttfzEW4AA_GXJ.jpg</t>
  </si>
  <si>
    <t>درختی که ۴سال میوه ندهد هیچ‌وقت ثمر نمی‌دهد.. پ.ن: بدیهی هست که ما داریم در مورد درخت صحبت میکنیم و عکس تزینی است! :) #روحانی</t>
  </si>
  <si>
    <t>ســیـــAmirYasinـــــد 🇵🇸 🇮🇷</t>
  </si>
  <si>
    <t>فک کنم #روحاني روباتی چیزیه. یه سری جمله تو حافظش ریختن که در جواب هر سوالی یکیشو به صورت رندوم بیان میکنه. سخنرانی مجلسشو میدیدم. انگار اصلا متوجه شرایطی که توش قرار داریم نیست. انگار هیچی نمیبینه، هیچی حس نمیکنه!</t>
  </si>
  <si>
    <t>کوچیده به درون</t>
  </si>
  <si>
    <t>‏‏‏‏‏‏‏‏‏‏‏‏‏‏‏‏‏‏‏‏‏‏‏‏‏‏‏‏‏‏‏‏‏‏‏‏‏‏‏‏‏تهمینه‌ام تو گویی که از غم به دو نیمه‌ام</t>
  </si>
  <si>
    <t>سرای رستم</t>
  </si>
  <si>
    <t>اون ور تایم لاین یه عده بودن هشتگ #تصور_کن میزدن یادتون هست؟ خب امروز جناب روحانی فرمودن تمام مشکلات از تصور اوناست. علی برکت الله #سوال_از_رئیس_جمهور</t>
  </si>
  <si>
    <t>تهمینه</t>
  </si>
  <si>
    <t>مزدور اجیر شده توسط موساد،سیا،عربستان،داعش، سلطنت‌طلبان،منافقین،مسئول میز ایران در ام‌آی سیکس،رئیس دفتر پسر صدام و برادرزن صدام</t>
  </si>
  <si>
    <t>پادگان اشرف،لندن،تل‌آویو،ریاض</t>
  </si>
  <si>
    <t>#روحانی امروز نشون داد یه ملای واقعیه، توی #مجلس بالای منبر رفت و روضه خوند و قوای سه‌گانه رو به وحدت دعوت کرد. اینا تفرقه دارن و اینطور دارن به مملکت و ملت تجاوز میکنن،وای از روزی که با هم متحد بشن...</t>
  </si>
  <si>
    <t>زندانبانِ مهربان</t>
  </si>
  <si>
    <t>http://instagram.com/ww.w.mf547/</t>
  </si>
  <si>
    <t>‏‏‏‏‏‏‏‏‏‏‏‏‏‏‏‏‏‏‏متاهل. خانه دار . متولد نیمه اول سال 64. مردادی😍😍😍 .عاشق همسر و دختر اتیش پارم. هر گونه توهین و بی احترامی =بلاک</t>
  </si>
  <si>
    <t>دکی جون دیدی سوتی دادی آخر میگه : به بانک مرکزی بگوییم مثل قبل عمل کند ، قیمت ارز دو هفته ای به نرخ پارسال بر میگردد ، داریم احتیاط کاری میکنیم . پ .ن :اصلانم تابلو نیست که ارزهای دولتی رو چجوری توزیع کردید #سوال_از_رییس‌جمهور @Rouhani_ir</t>
  </si>
  <si>
    <t>مائده خاتون</t>
  </si>
  <si>
    <t>I ❤️ all of humanity. those who live to better the lives of others to bring freedom for all.✌️☮️✝️ #HumanRights</t>
  </si>
  <si>
    <t>Ottawa, Ontario</t>
  </si>
  <si>
    <t>#روحاني در مجلس گفت: گفت: «مردم در دولت ما شاهد تحولات مثبت بودند!» درست میگه تورم و گرونی بی سابقه، افزایش قیمت دلار،بیکاری بیشتر ،تعطیلی بیشتر کارخانه ها. تظاهرات وسرکوب بیشتر و فساد بیشتر اقازاده ها و ....</t>
  </si>
  <si>
    <t>Behan</t>
  </si>
  <si>
    <t>معتقدم جلسه امروز مجلس برای روحانی حکم میل سوپاپ را داشت ،که فشار ناشی از انبوه مطالبات عمومی را تخلیه کرد و بدین ترتیب روحانی میتواند با خیال راحت به ریاست جمهوری خود ادامه دهد #سوال_از_رییس‌جمهور #روحانی</t>
  </si>
  <si>
    <t>مهندس ای تی هستم امنیت شبکه ولی کارم چیز دیگس نه چپیم نه راستی نه شاهی نه منافق طرف منطق هستم عاشق تاریخ مولانا</t>
  </si>
  <si>
    <t>داستان مشهد عراقیا خیلی بو داره دوسال پیش هم دقیقا تو عراق همین بحث انداختن که ایرانیا که اربعین میان برای دخترای عراقی میان حالا چند وقت رسید به محرم صفر این داستان بر عکس کردن دوسال پیش برعکسش تو العربیه بخش شد کلا بو داره داستان #ایران #عراقي #زائران_عراقی #روحانی</t>
  </si>
  <si>
    <t>alijabbari</t>
  </si>
  <si>
    <t>خارج شدن ترامپ از برجام و تحریم های ایران هر بدی که داشته باشه حداقل خوبیش اینه که فسادها رو شد مشکلات کشور اعم از بی کفایتی مفت خوری فساد ورانت و هزار کوفت و زهر مار بیشتر مشخص بشه از طرفی مسولین ما فقط بلدن قشنگ حرف بزنن اما عمل نوچ دو صد گفته چون نیم کردار نیست #روحانی</t>
  </si>
  <si>
    <t>rezashg</t>
  </si>
  <si>
    <t>آقای روحانی تو مجلس 4-1 عقب افتادن انشاءالله بازی برگشت رو تو پاستور با اختلاف 3 گل میبرن و به مرحله بعد صعود میکنن #برجام #مجلس #سوال_از_رئیس_جمهور #روحانی #رئیس_جمهور #اعتماد_به_سقف #شفافیت</t>
  </si>
  <si>
    <t>milad</t>
  </si>
  <si>
    <t>هشتگ داغ 6 ساعت گذشته: #یاامام_مکان: 9234 توییت #تز_ایرانارشیسم: 9076 توییت #تبریز_مبارک_اردوغان: 9035 توییت #صیغه_یعنی_جندگی: 8986 توییت #مثل_شرق_دروغ_میگی: 5663 توییت #جنسی_آنلاین: 4335 توییت #شهروند_جنسی: 4205 توییت #روحانی: 2958 توییت</t>
  </si>
  <si>
    <t>روحانی دستاش میلرزید! معلوم بود بر خلاف لبخند روی صورتش حسابی عصبی بود و استرس داشت! #روحانی #ایران #اختلاس #گرانی</t>
  </si>
  <si>
    <t>S.P</t>
  </si>
  <si>
    <t>master of public law; journalist</t>
  </si>
  <si>
    <t>این که بعد از #سوال_از_رییس‌جمهور و قانع نشدن نمایندگان، کسی نمیداند چه اتفاقی باید بیفتد، یعنی خلاء قانونی وجود دار؛ و این دقیقا همان جایی است که #لاریجانی ورود و کار را به نفع خود تمام میکند</t>
  </si>
  <si>
    <t>abdoljavadkanani</t>
  </si>
  <si>
    <t>‏‏‏‏‏‏ما گدايان خیل سلطانیم...</t>
  </si>
  <si>
    <t>[جمله بزرگان] روحانی: بدانید تخریب خرابی می‌آورد! #روحانی</t>
  </si>
  <si>
    <t>محمد اکبرزاده</t>
  </si>
  <si>
    <t>‏‏‏‏‏‏‏‏‏‏‏‏‏‏‏برانداز و طرفدار یک سکولار دموکراسیِ فدرال | مخالف تجزیه ایران Pro secularim and federal democracy for Iran/ human rights defender</t>
  </si>
  <si>
    <t>کم مانده به ویرانی یک خاک به اندازه یک سکوت #یاامام_مکان #روحانی</t>
  </si>
  <si>
    <t>آزادآذربایجان</t>
  </si>
  <si>
    <t>http://www.vatanemrooz.ir</t>
  </si>
  <si>
    <t>روزنامه صبح ایران/ Political, social economic and cultural newspaper</t>
  </si>
  <si>
    <t>https://pbs.twimg.com/media/DltvjbTW4AE243K.jpg</t>
  </si>
  <si>
    <t>http://Www.vatanemrooz.ir</t>
  </si>
  <si>
    <t>روزنامه #وطن_امروز، ۷ شهریور ۹۷  #روحاني</t>
  </si>
  <si>
    <t>روزنامه وطن امروز</t>
  </si>
  <si>
    <t>http://Instagram.com/mehrdad_najafpour</t>
  </si>
  <si>
    <t>دوست‌دار ادبیات، سیاست، تاریخ و ... . بیش‌تر ماله‌کش تا ارزشی :) دانش‌جوی دکتری ریاضی محض. مولف مجموعه کتب مهارت حل مساله. I Want to Be a Mathematician</t>
  </si>
  <si>
    <t>Canada</t>
  </si>
  <si>
    <t>به نظر می‌رسه پرزیدنت #روحاني و مشاورانش برنامشون اینه، هر کس که رای داده و حمایت کرده در انظار عمومی فریاد بزنه شِکَر خوردم! اصلاح‌طلبان هم برای آینده‌نگری ... و‌ طمع ... لال شده‌اند. #سوال_از_رئیس_جمهور @Rouhani_ir @hesamodin1</t>
  </si>
  <si>
    <t>مهرداد نجف‌پورMehrdad Najafpour🇮🇷</t>
  </si>
  <si>
    <t>ای آنکه مذاکره شعارت تابعیت انگلیس نوش جانت صبر کن از اتاق فرمان میگن استخر فرح تابعیتو میشوره میبره پس همون جای مورد نظر در انتظارت #سوال_از_رییس‌جمهور #استخرِ_فرح</t>
  </si>
  <si>
    <t>#اصلاح_طلب جماعت منتظر بودن #روحانی توی #مجلس شروع به افشاگری کنه و پته‌ی جماعتی رو روی آب بریزه، ولی همون اول با جمله‌ی« امیدوارم به رهنمودهای رهبری عمل کنم» آفتابه رو گرفت روشون. روحانی برای دوران پساریاست‌جمهوری برنامه‌ریزی میکنه و این احمق‌ها ماله‌به‌دست مسیرش رو هموار میکنن</t>
  </si>
  <si>
    <t>حال که وزرا چپ و راست توسط نمایندگان بدلیل آنچه که نمایندگان، عدم شایستگی ملت میدانند سوال و #استیضاح میشوند؛ بهتر نیست #رییس_جمهور برای هماهنگی بیشتر با #مجلس، باتوجه به اصل ۸۷ قانون اساسی، کابینه ی خود را مجددا با برنامه هایشان برای اخذ رای اعتماد راهی #بهارستان کنند ؟</t>
  </si>
  <si>
    <t>من یه فوقه لیسانسه بیکارم خیلی خسته و نا امید ولی با یه امید سر میکنم ایرانی آبادو آزاد</t>
  </si>
  <si>
    <t>#روحانی ای مردک مردم فریب خورده به تو رأی دادن تا فرد نزدیک به خامنه‌ای رأی نیاورد این هم از علاقه شدید مردم به مثلاً رهبر که تو برای قدرت و چاپیدن به سمتش غش کردی تو همون جانی هستی که می‌خواستی دانشجویان را در نماز جمعه اعدام کنی دوباره به ریشه ات برگشتی تا مردم را بکشی #قاتل</t>
  </si>
  <si>
    <t>Khodakomak</t>
  </si>
  <si>
    <t>http://aassak13.ir</t>
  </si>
  <si>
    <t>اللهم عجّل لولیک الفرج</t>
  </si>
  <si>
    <t>quchan</t>
  </si>
  <si>
    <t>کاش سال هشتاد و سه، #نماینده مون ( #قوچان ) اهل #مذاکره بود نه بزن بهادری</t>
  </si>
  <si>
    <t>مرتضی تقی زاده</t>
  </si>
  <si>
    <t>دارم به این فکرمیکنم که اگه به جای #روحانی رفتگرمحلمونومیزاشتیم جای رئیس جمهورحداقلش این بودکه پرایدچهل پنجاه تومن نمیشد؛نه؟دلی دیگه تورم چهل پنجاه درصدنمیشد؛ دلیل دارم✋✋ چون میدونم رفتگریه جوانصاف داره که پرزیدنت نداره حداقل!! #سوال_از_رییس‌جمهور #اعتماد_به_سقف</t>
  </si>
  <si>
    <t>اونی که هرچی رییس‌جمهور می گفت با صدای بلند می گفت احسنت کولر روحانی به سمت اون بوده وگرنه دلیلی نداشت این همه احسنت #کولر_روحانی #سوال_از_رییس‌جمهور</t>
  </si>
  <si>
    <t>سال ها منتظر سیصدواندی مرد است انقدر مرد نبودیم که یارش باشیم! #اللهم عجل الولیک الفرج</t>
  </si>
  <si>
    <t>#سوال_از_رئیس‌جمهور نظرتون چیه یه ۳۰ تا سوال بدیم به رئیس جمهور بگیم از این ۳۰ تا سوال ۶ سوال میاد.اینطوری دل نگرونی و صدا ودست لرزان رئیس جمهور هم از بین میره. #سوال_از_رئیس‌جمهور</t>
  </si>
  <si>
    <t>Melika</t>
  </si>
  <si>
    <t>خوب که دقت کنید میبینید در هیچ کشور پیشرفته ای که مردمش در رفاه باشن اسقف و کشیش و خاخام نخست وزیر و رئیس جمهور نیستن! از قرون وسطا عبرت گرفتن و رد شدن! حالا یه نگاه بندازین در بدنه کارهای تخصصی و اجرایی کشور!!! #روحانی #ایران #اختلاس #گرانی #تورم</t>
  </si>
  <si>
    <t>شرافت یعنی انتخاب افکار واعمال براساس ارزشها نه منافع شخصی</t>
  </si>
  <si>
    <t>تهران هم تهران قدیم</t>
  </si>
  <si>
    <t>https://pbs.twimg.com/media/Dltv2bbWsAUwZ0h.jpg</t>
  </si>
  <si>
    <t>♦️امروز در مجلس از ۵ سوالی که نماینده ها از #روحانی کردن و جوابهای که او داد ۴ تا رو نمایندها قبول نکردن و موضوع رفت که قضایه تعیین و تکلیف کنه🤔 🔹شده عین اخرای شاه که هم نخست وزیر عوض میکرد 🔸 حالا هی مردم میگن مرگ بر دیکتاتور هی وزراء عوض میشه 😂😂 #IranRegimeChange #ایران</t>
  </si>
  <si>
    <t>mehranghavidel</t>
  </si>
  <si>
    <t>تهران.ايران.علوم سياسي (كارشناس ارشد)</t>
  </si>
  <si>
    <t>Iran,tehran,tajrish</t>
  </si>
  <si>
    <t>#روحاني بعد از #مرگ #هاشمی_رفسنجانی ديگه اون #پرزيدنت نيست كه بود.😐 #روحاني #ايران #پرزیدنت #رئیس_جمهور #رفسنجاني #شما</t>
  </si>
  <si>
    <t>uniquerlion</t>
  </si>
  <si>
    <t>ا‏مام علی (ع): مومن در دنیا صادق است ، و حرکت او مودبانه است و سخنش همراه با خیرخواهی است و پندش نرم و آرام است ، و از کسی جز خدا نمی ترسد.</t>
  </si>
  <si>
    <t>https://pbs.twimg.com/media/Dltw3gaW0AI6lDh.jpg</t>
  </si>
  <si>
    <t>-بی ناموس +ایناروس ... ایناروس هستم قربان -نه با تو نبودم با اونی که گفت احسنت بودم ... #سوال_از_رییس‌جمهور</t>
  </si>
  <si>
    <t>Mostafa Pirhayati</t>
  </si>
  <si>
    <t>https://pbs.twimg.com/media/DltxO-OUwAEfHjo.jpg</t>
  </si>
  <si>
    <t>خیلی خوبه این! #سوال_از_رئیس_جمهور</t>
  </si>
  <si>
    <t>https://telegram.me/harfbzanbot?start=07EeNj5</t>
  </si>
  <si>
    <t>‏‏‏‏‏‏‏سیاست زده ی آلوده به شعر</t>
  </si>
  <si>
    <t>جلسه امروز مجلس را الان بالاخره توانستم ببینم. و هم چنان معتقدم که پروژه ی حذف روحانی خیلی آرام دارد کارش را جلو می برد و حتی توانسته مجلس را هم با خود همراه کند. #روحانی #مجلس</t>
  </si>
  <si>
    <t>Eqbal</t>
  </si>
  <si>
    <t>‏‏‏‏‏به هر کسی با هر عقیده‌ایی که هدفش ‎‎#براندازی نظام فاشیستی اسلامی است خوش آمد میگویم تو رفیق عزیز منی جانم فدای میهن✌ ‎‎#UnityForIRAN ‎#ائتلاف_اپوزیسیون</t>
  </si>
  <si>
    <t>#ایران_اشغالی</t>
  </si>
  <si>
    <t>https://pbs.twimg.com/media/DltxZY0XgAAyPMb.jpg</t>
  </si>
  <si>
    <t>اگر تعجب میکنید چطور #روحانی در #مجلس مشت مشت گوه میخورد و خفه نمی‌شد یا چرا عرازشه محترم که دائم زیر توئیت اسرائیل به فارسی مشغول گوه خوری هستند دل درد نمیشوند.... عارضم خدمت دوستان که قبلا جهت این بزرگواران کود انسانی ریفاین شده وارد کردن، سریع الهضم و ویژه ! #براندازم</t>
  </si>
  <si>
    <t>ولی فقیه وقیح هستم</t>
  </si>
  <si>
    <t>به #روزنامه_شرق خُرده نگیرید؛اصلاحطلب هاازاول هم باهوچی گری وشایعه پراکنی ودروغ افکنی های شازروی کارآمدن ورمزوجوداین جناح هم تاالان همین امربوده؛تااصلاحطلب هست؛دروغ؛اختلاف افکنی؛دوقطبی سازی و...ادامه دارد #روحانی #رسانه_کذاب_دادستان_خواب #مثل_شرق_دروغ_میگی #مشهد_تايلندتشيع</t>
  </si>
  <si>
    <t>پاسخ #روحانی به سؤال نمایندگان: ما خوبیم، حالااااا شمام خوبید، آمریکا خره، برجام شیره مثل شمشیره، همه چی خوبه، دستمال من زیر درخت آلبالو گم شده، منو لاریجانی داداشیم با هم دیگه می...</t>
  </si>
  <si>
    <t>mesbah</t>
  </si>
  <si>
    <t>امروز توي مجلس يك نفر از #روحاني نپرسيد چرا #خليج_فارس رو داديد به چيني ها؟دقيقا نماينده هاي استان هاي خوزستان وبوشهر و هرمزگان كجا بودند؟نماينده شهر من جناب خدري كجا تشريف داشتند كه از حقوق و مطالبات و وضيعت معيشتي مردم صبحت كنند؟؟؟@khedri_ir</t>
  </si>
  <si>
    <t>‏‏‏‏‏‏هـر از گـاهـی، قــلـمی/ سخت می گذرد، سخت که نمی ماند</t>
  </si>
  <si>
    <t>https://pbs.twimg.com/media/DltyO9jXoAIil31.jpg</t>
  </si>
  <si>
    <t>تنها آماری که به #آمار امروز #رئیس_جمهور در #مجلس درباره #اشتغال شبیه بود، آمار ۲۵۰۰ #گرین_کارت #آقازاده ها بود که موجب اشتغال شون در #آمریکا و #کانادا شده بود. #سوال_از_رئیس‌جمهور #روحانی_مچکریم</t>
  </si>
  <si>
    <t>حسین مذنب</t>
  </si>
  <si>
    <t>چاووشیست با سابقه *سرباز</t>
  </si>
  <si>
    <t>گوشیم خورد زمین و نصفه صفحش رفته و دیگه داره کم کم کلش میره ....با این وضعیت گوشی ایناگ ک تعطیل.. #روحاني #روحانی_مچکریم</t>
  </si>
  <si>
    <t>بونجورنو مافیا</t>
  </si>
  <si>
    <t>‏‏‏‏فعال سیاسی فرهنگی هستم/جانم فدایی رهبر</t>
  </si>
  <si>
    <t>ریاست جمهور، دغدغه‌ها وسوالات نمایندگان مردم مشخص و روشن بود و ازپاسخ های بیربط و بی‌محتوای شما قانع نشدند جا دارد در این فرصت پیشامده گذری بر عملکرد ۶ساله داشته باشید و به ریل خدمتگذاری برگردید مردم می‌بینند وخوب می‌فهمند. به شعور مردم احترام بگذارید. #سوال_از_رئیس_جمهور</t>
  </si>
  <si>
    <t>Mrahimi6455@</t>
  </si>
  <si>
    <t>ماشالله رو که نیست ، سنگ پای قزوینم پیشش کم میاره میگه دولت یازدهم و دوازدهم درخشان ترین کارنامه رو داره به طوری که در خیلی از کشورهای جهان نظیر ندارد😦😠 #سوال_از_رییس‌جمهور</t>
  </si>
  <si>
    <t>سطح عالی حوزه علمیه قم. کارشناسی ارشد روابط بین الملل.</t>
  </si>
  <si>
    <t>نمایش امروزمجلس آب پاکی بود بردستان اندک امیدواران!#روحانی خودرا به زبونی کشاندبلکه بماند!اصلامقصودم جنجال آفرینی به سبک احمدی نژاد نیست اماحقیقتا این خواری بااین پشتوانه رای؟؟دم فروبستن وسخن ازفضیلت وحدت سردادن؟!روحانی بایدمیدانست که #تزویر ابتداابزارهایش رامیشکند وبعدگردنش را..</t>
  </si>
  <si>
    <t>Reza Rahmanipour</t>
  </si>
  <si>
    <t>Architect, Photographer, World Traveller, Designer, US &amp; ME Political Enthusiast, Counter Terrorism Researcher and a News Junkie! ... #SOS🇺🇸 #StepUp🇪🇺</t>
  </si>
  <si>
    <t>North California</t>
  </si>
  <si>
    <t>#نمایندگان در #سوال_از_رئیس‌جمهور گهی خوردید که توش موندید و دارید غرق میشید. #درود_بر_روحانی RT @yjcagency: کدخدایی سخنگوی شورای نگهبان: در مورد تکلیف نهایی #سوال_از_رئیس_جمهور در قانون به صورت روشن موردی مطرح نشده و همچنین در مورد مصادیق استنکاف هیچ تعریفی بیان نشده است/ مشخص نیست باید تعریف استنکاف از سوی هیات رئیسه انجام شود یا کمیسیون حقوقی، که این موضوع ابهام دارد</t>
  </si>
  <si>
    <t>Mike Alpha 🇺🇸🇮🇷</t>
  </si>
  <si>
    <t>سرباز سایبری امام زمان ؛ اگر شهر سقوط کرد آن را دوباره فتح خواهیم کرد؛ مواظب باشید ایمانتان سقوط نکند.</t>
  </si>
  <si>
    <t>https://pbs.twimg.com/media/Dlty3BWXoAAc2R9.jpg</t>
  </si>
  <si>
    <t>تو شهر ما فرماندار و رییس شورای محترم، پیاده رو منتهی به تفرجگاه معروف شهر، که ۶ سال مورد استفاده و تردد مردم بود، آسفالت کرده و به عنوان پروژه #هفته_دولت افتتاح کردند. تصاویر رو ببینید لطفا روبان قرمز هم بریده شد😬 #دولت #روحاني #نقده #سولدوز</t>
  </si>
  <si>
    <t>Mr. Hashemi</t>
  </si>
  <si>
    <t>بستن بمب ساعتی ب بدنه #دولت با حضور محافظه‌کارانه #روحانی در #مجلس #رهبری #سوال_از_رئیس_جمهور #استخر_فرح #قوه_قضائیه #سپاه</t>
  </si>
  <si>
    <t>Armin Ehsani Amoli</t>
  </si>
  <si>
    <t>"بك دهنده اي براي تمام فصول" بسيار تحصيل كننده، بسيار شنا كننده، بسيار پيانو نوازنده، بسيار سفر رونده، بسيار دنده به دنده، بسيار چرا نميخنده؟؟؟</t>
  </si>
  <si>
    <t>تهران دست راست</t>
  </si>
  <si>
    <t>تو كشوري زندگي ميكنيم كه حرف رو صرف تاثير ميذاره #روحاني #قيمت_دلار</t>
  </si>
  <si>
    <t>دخترك فوتبال پرست سابق</t>
  </si>
  <si>
    <t>‏درد و دل های خودمانی ِ بدون شرح!</t>
  </si>
  <si>
    <t>ممنون آقای #روحانی از اینکه گفتید بازهم #صبر کنید. نمیدانستم باید در سن سی سالگی هم صبر پیشه کنم. از اینکه آمارهایی به دروغ ارائه کردید سپاسگذارم. شما انگار هرکسی که از خیابان به اداره ای وارد میشود حتی برای آب خوردن را هم شاغل حساب میکنید #Iran #روحانی #مجلس #استیضاح</t>
  </si>
  <si>
    <t>Milad Rahmati</t>
  </si>
  <si>
    <t>‏‏‏صادق عاشق ولایت. افتخارمیکنم به انقلابی وبسیجی بودن سربازسیدعلی ومنتظرالمهدی (عجل) الهم عجل لفرج مولانا صاحب الزمان روحی ونفسی واولادی له الفدا</t>
  </si>
  <si>
    <t>قشنگ تابلوبود روحانی واسه بدونه کیاقانع نشدن وبعدا یک شب توباغ، نشد،خونه تولدنوه یکی از وزرا قانعشون کنه یه بیست نفری رو شب قانع کرده بودتادرخواست برگزاری رای گیری علنی بدن😁 ولی انگاربقیه فهمیدن این قانع کردن از اون توبمیری هاس واسه همین غیرعنی رای دادن 😎😎 #سوال_از_رییس‌جمهور</t>
  </si>
  <si>
    <t>sadegh</t>
  </si>
  <si>
    <t>‏‏یار را عاشق شوی......آخر شهیدت میکند......</t>
  </si>
  <si>
    <t xml:space="preserve">کمی آن طرف تر  </t>
  </si>
  <si>
    <t>Sara hamidi</t>
  </si>
  <si>
    <t>‏‏‏کارآفرین، تولید کننده بخش خصوصی، فعال در صنعت مواد غذایی، مدیر بازرگانی و فروش. امیدوار به آینده ی کشورم ایران🇮🇷</t>
  </si>
  <si>
    <t>جای خالی را پر کنید (خیلی نمره) تا ...۱۳۹ با روحانی !؟!؟ . . #روحانى #رییس_جمهور #استیضاح #مجلس_شورای_اسلامی #بحران #حسن_روحانى #دولت #فروپاشی_اقتصادی</t>
  </si>
  <si>
    <t>Kasra 🇮🇷</t>
  </si>
  <si>
    <t>‏‏‏‏‏‏‎‎‎‎‎‎‎‎‎‎‎#براندازم و جمهوری خواه.ورود همه گروهها به جز فرقه مجاهدین مجازه.شخصا ج ا رو به مجاهدین ترجیح میدم. عاشق و متعهد@eli_naz1234</t>
  </si>
  <si>
    <t>آغوش عشقم❤️((M💑E))❤️</t>
  </si>
  <si>
    <t>مردم ایران به روحانی رای دادن ولی اون جای ایران ریس جمهور یه کشور دیگه شده. مث اینکه وضع کشورش بدک هم نیست ولی وضع ایران..... ای خاک تو سر رهبر و ریس جمهور ایران که همش دارن میرینن به این کشور و مردم بدبختش #روحانی</t>
  </si>
  <si>
    <t>⁦🎗️⁩لوک بدشانس⁦🏳️</t>
  </si>
  <si>
    <t>‏‏‏‏اَهلِ شیرازم- شهادت حد و مرز ،سیاه و سفید نمیشناسه- کم هستم اما پرقدرت هستم</t>
  </si>
  <si>
    <t>شهرراز</t>
  </si>
  <si>
    <t>از قدیم گفتن دروغگو کم حافظه‌ست اشاره به تذکر ذوالنور در خصوص آمار سازیِ اشتغال توسط روحانی در مجلس #سوال_از_رئيس_جمهور</t>
  </si>
  <si>
    <t>آسید مالکوم</t>
  </si>
  <si>
    <t>https://t.me/BehinehKhan</t>
  </si>
  <si>
    <t>همین چیزهایی که اینور، اونور می‌خونم را میذارم تو این 👇 کانال؛ دوست داشتید سر بزنید 😌</t>
  </si>
  <si>
    <t>الان که همگی نشستیم و اینجا داریم چس ناله میزنیم که اوضاع مملکت چقدر داغونه یک دسته بسیجی دارند فکر می کنند که بعد از عزل #روحانی کاخ سفید را طویله (یا به قول دیگری حسینیه) می کنیم که البته هر دو مترادفه!</t>
  </si>
  <si>
    <t>ARZ_PUN</t>
  </si>
  <si>
    <t>مگرمیشود بهار را ازآمدن بازداشت وملتی را اسیر نگه داشت؟نه نمیشود ،چرا که خواست خداست، اراده خلق است سنت تاریخ و قانون اجتماع است</t>
  </si>
  <si>
    <t>امروز #روحانی استیصال رژیم را بر همگان ثابت کرد و نشان داد رژیم نه تنها در سراشیبی سقوط قرار گرفته بلکه چاره ای هم برای جلوگیری از آن ندارد</t>
  </si>
  <si>
    <t>rozbeh</t>
  </si>
  <si>
    <t>خاستگاه نفسم جای سردی است</t>
  </si>
  <si>
    <t>وقتی روحانی لبخند میزنه و عکسشو میبینم،یاد لابی قدرتمند و بی رحمش می افتم و حالت تهوع میگیرم و حس میکنم داره به ریش یه ملت میخنده. قوه قضائیه کوچیکتر از اونیه که بخواد با روحانی سرشاخ بشه #سوال_از_رییس‌جمهور</t>
  </si>
  <si>
    <t>جان اسنو</t>
  </si>
  <si>
    <t>http://Telegram.me/tavalodi_digar313</t>
  </si>
  <si>
    <t>یه روزی میاد ، یکی روشونو کم میکنه! مَشتی</t>
  </si>
  <si>
    <t>https://pbs.twimg.com/media/Dlt1bqsXcAUk0Zv.jpg</t>
  </si>
  <si>
    <t>قدم زنان میره به سمت تریبون در اوج ارامش عناصر تشکیل دهنده جلسات دورهمی که #روحانی باید پاسخگو باشه= #لبخند #سنگ_پا #اعتماد_به_سقف و #نماینده_مجلس به مقدار لازم میشه اینی که دیدید! #امید_به_اینده رو هم به راحتی میشه با این وضع خوب اقتصادی در مردم ایجاد کرد. @Rouhani_ir</t>
  </si>
  <si>
    <t>ParsaKamali</t>
  </si>
  <si>
    <t>‏‏‏‏‏‏‏‏‏‏‏‏‏‏علاقمند به صنعت هوا و فضا 🛩🚀🚁✈🛰 ⌚</t>
  </si>
  <si>
    <t>Hamburg, Germany</t>
  </si>
  <si>
    <t>https://twitter.com/SaeedBarabadi/status/1034401027162759168</t>
  </si>
  <si>
    <t>آقای #روحانی بخوانید،ما با کسی جز شما راحت نیستیم،الباقیو اینجور بگیم آقا اینو بخون،سر از فشافویه در میاریم. @Rouhani_ir RT @SaeedBarabadi: جوان دهه هفتادی که برای ثبت نام آمده بود میگفت که هم دور دور است و هم موزیک و معاشرت و هم پول درآوردن،کسی هم تو را نمیشناسد. عجیب اما جوانی بود که میخواست با درآمد اسنپ ازدواج کند. این مردم امیدوار که زیر بار مشکلات دارند له میشوند، کی و کجا توسط مسئولان دیده شده اند؟؟</t>
  </si>
  <si>
    <t>مِكس_دی</t>
  </si>
  <si>
    <t>http://instagram.com/hvafa1983</t>
  </si>
  <si>
    <t>‏‏‏‏ما زنده به آنیم که آرام نگیریم ‎موجیم ‌که ‌آسودگی ‌ما ‌عدم ‌ماست</t>
  </si>
  <si>
    <t>https://twitter.com/a_gholhaki/status/1034329879943303168
https://twitter.com/saeed_ghamari/status/1034326427418718209</t>
  </si>
  <si>
    <t>فکر کنم ، فامیل اصلاحاطیمون هم از جوابهای حسن فریدون قانع نشد. #سوال_از_رییس‌جمهور RT @a_gholhaki: فکر کنم، خود حسین فریدون هم از جواب‌های حسن فریدون قانع نشد!</t>
  </si>
  <si>
    <t>اصلاح‌طلبکاران‌‌🇮🇷</t>
  </si>
  <si>
    <t>‏روزنامه نویس و مدیرعامل خبرگزاری برنا</t>
  </si>
  <si>
    <t>اینکه عده ای از دوستان اصلاح طلب توقع داشتند #روحانی مثل #احمدي_نژاد شمشیر را از رو برای مجلس ببندد و برود جار و جنجال کند، مشکل روحانی و دولتش نیست، مشکل #استانداردهای_دوگانه ای است که برخی رفقای #اصلاح_طلب دارند.</t>
  </si>
  <si>
    <t>mohamad mobin</t>
  </si>
  <si>
    <t>#سوال_از_رئیس‌جمهور اگه تو #حالا_خورشید رضا #رشیدپور بود بنظرم خیلی خیلی جذابتر و بهتر برگزار میشد و #روحانی جوابای بهتری میداد #ترور #ترس #استخرِ_فرح #سازمان_صداوسیما @rezarashidpour</t>
  </si>
  <si>
    <t>http://instagram.com/h_hamidi313</t>
  </si>
  <si>
    <t>‏اگر به بی تفاوتی کشانده شویم،یعنی _مرگ _انقلاب</t>
  </si>
  <si>
    <t>️یا شغل ایجاد نکردی یا عدد و رقم سرت نمی‌شه! #سوال_از_رییس‌جمهور</t>
  </si>
  <si>
    <t>حجت حمیدی</t>
  </si>
  <si>
    <t>http://instagram.com/ebfou</t>
  </si>
  <si>
    <t>ahvaz</t>
  </si>
  <si>
    <t>ebfou</t>
  </si>
  <si>
    <t>قیمت #پراید_چهل_میلیونی باور کردنی نیست. مثل #سیگار وینستون که ده هزارتون شده .. آشغال همون آشغاله ولی قیمت رفته بالا.. ارزش نداره بکشی. ارزش زندگی کردن هم داره میاد پایین #گرانی #منوتوخبر #روحانی #Iran</t>
  </si>
  <si>
    <t>سرباز صفر انقلاب ، مَشغول با مِدیـــکال ســـایِــنـْـس</t>
  </si>
  <si>
    <t>https://pbs.twimg.com/media/Dlt14dtVsAAm_Nh.jpg</t>
  </si>
  <si>
    <t>🧠 تصور من از مراسم #سوال_از_رئیس‌_جمهور . . . . دولت نیست که مُووووزه..... مووووز🍌🍌🍌🍌 #استند_آپ_کمدی</t>
  </si>
  <si>
    <t>🇵🇸 🇮🇷 تـویـیـتـِرچی 🇮🇷 🇵🇸</t>
  </si>
  <si>
    <t>كارشناس ارشد علوم سياسي و روابط بين الملل</t>
  </si>
  <si>
    <t>https://pbs.twimg.com/media/Dlt2Y4NXsAA98tr.jpg</t>
  </si>
  <si>
    <t>وكيل الدوله، غلامرضا حیدری افاضه ي فضله كرده و گفته: واقعیت اینست که در ج.ا. رییس جمهور و مجلس دیگر کاره‌ای نیستند و افکار عمومی این را فهمیده است! پ.ن١: يكنفر پارسال خودش رو جر داد تا دوباره براي ٤ سال بشه "هيچكاره حسن"! پ.ن٢: براي افكار عمومي، شعور حداقلي قائل باشيم! #روحانى</t>
  </si>
  <si>
    <t>حسين نعيم آبادي</t>
  </si>
  <si>
    <t>https://t.me/Musenote</t>
  </si>
  <si>
    <t>English literature student(M.A) and a proud member of universe #liberalist</t>
  </si>
  <si>
    <t>۱۸ سالگی:سربازی از ۱۸به ۲۴ ماه گواهینامه: بنزین از ۱۰۰ ت به ۱۰۰۰،ماشین ۱۴ تومانی ۶۰ تومان پاسپورت: دلار ۱۰۰۰ تومانی ۱۰۳۰۰ دانشگاه: بی ارزش شدن‌مدرک کار:کم‌شدن بازار کار و تورم شدید .گوشه ای از دوران زندگی‌جوان ایرانی از ۱۸ سالگی تا...این انتخاب ما نیست #ظریف #سوال_از_رییس_جمهور</t>
  </si>
  <si>
    <t>Nima Juvinani</t>
  </si>
  <si>
    <t>فعال سياسى / فعال دانشجويى / دانشجوى علوم سياسى📚</t>
  </si>
  <si>
    <t>https://pbs.twimg.com/media/Dlt1uNTUUAAZMga.jpg</t>
  </si>
  <si>
    <t>در راستای تویت قبلی دید چه قدر زود تعبیر شد #مجلس نگران رای نیاوردن در سال ۹۸ هستش سیل #استیضاح ها رو شاهد خواهیم بود #سوال_از_رئيس_جمهور</t>
  </si>
  <si>
    <t>محمد ربانی</t>
  </si>
  <si>
    <t>‏‏مهندس امورات نفتی/الهیات خوان و فلسفه دوست/گاهی نویسنده/گاهی خطاطِ ذوقی/فعّالِ دانشجویی وافسر جوان جنگ‌ نرم/علاقه مند به سیاستِ انقلابی/ولی هیچم اگر بنده نیست</t>
  </si>
  <si>
    <t>در دایره قسمت ما وسطِ تهرانیم.</t>
  </si>
  <si>
    <t>https://pbs.twimg.com/media/Dlt2prxWsAEC7hJ.jpg</t>
  </si>
  <si>
    <t>یعنی به اون نماینده نماهایی!!!!!که قانع نشدن چی بدم که راضی بشن؟؟؟؟!!!! (نیمه شب از خواب پریده و به فکر فرو میرود...) #سوال_از_رئیس_جمهور</t>
  </si>
  <si>
    <t>R_SHAHBAZI</t>
  </si>
  <si>
    <t>‏‏‏‏‏‏‏خرد بهتر از هر چه ایزد بداد _#منم_توییتری_شدم_ همراه شو عزیز كاين درد مشترک هرگز جدا جدا درمان نمی‌شود...</t>
  </si>
  <si>
    <t xml:space="preserve">همه جاى ایران سرای منست..  </t>
  </si>
  <si>
    <t>#روحاني: ما هر کاری کردیم بدون #خرد_جمعی نبوده! 😬 (البته جمع دزدان) آی کلک! یواشکی #ري_استارت گوش میدی؟ خوب اصطلاحات ما رو یاد گرفتی! دیگه خیلی دیر شده، ری استارت آمده تا بروید..</t>
  </si>
  <si>
    <t>گردآفرید</t>
  </si>
  <si>
    <t>‏‏‏دانشجوی حقوق و فقه 📖 متخصص بافندگی و صافندگی🍃 insta: jalilijvd/</t>
  </si>
  <si>
    <t>روزنامه ها از تیتر یکشنبه سیاه برای استیضاح احمدی نژاد استفاده کرده بودن! با این وجود بعید نیست تیتر روزنامه های فردا برای استیضاح دکتر روحانی " سه شنبه قهوه ای " باشه! #احمدینژاد #سوال_از_رییس‌جمهور #روزنامه_شرق</t>
  </si>
  <si>
    <t>ایهام🍃</t>
  </si>
  <si>
    <t>‏‏‏‏دانشجو هستم</t>
  </si>
  <si>
    <t>تک تک جملات امروز رئیس جمهور #روحانی تیری بود به قلب #نسل_جوان ... داری با جوانان چه میکنی جناب رئیس جمهور؟ #حسن_فریدون #دولت_بی_درد #نگران_نباشید</t>
  </si>
  <si>
    <t>sarbaze yar</t>
  </si>
  <si>
    <t>آخرشم سوالارو جواب نداد و رفت....... #سوال_از_رئیس_جمهور</t>
  </si>
  <si>
    <t>‏‏خانه هایی که بالا میبینید روزی یکیش برای من خواهد بود.پشت بام خانه ام محل رفت و آمد ادم ها میشود</t>
  </si>
  <si>
    <t>غرب تهران</t>
  </si>
  <si>
    <t>وقتی میبینیم که روحانی در جلسه پاسخ به مجلس با رگ گردن متورم شده از FATF حرف میزند و تحریم ها را بعد از هسته ای به آن گره میزند هیچ نتیجه ای نمیتوان گرفت الا اینکه این سر سپرده کدخدا کاملا هدفمند اقدامات خود را پیش میبرد #سوال_از_رئیس_جمهور</t>
  </si>
  <si>
    <t>OFOGH</t>
  </si>
  <si>
    <t>✳️❎♐️♈️📶ℹ️ ♣️♥️🌓‌⭐️🌐🦋 🚪🔮✉️📘📅,‌ 1. Astronomer, Tutor, and Instructor;‌ 2. Doctor of Pharmacy Student... ; 3. [*]</t>
  </si>
  <si>
    <t>در کشوری که دموکراسی جایی نداره و اعضای #پارلمان نمایندگان حقیقی ملت نیستند، #سوال_از_رئیس‌جمهور هم هیچ ارزش خاصی نداره و کمکی به حل مشکلات نمیکنه و نهایتا" چیزی نیست جز تلاش صاحبان قدرت برای کنترل رئیس جمهور و محدود کردن قدرت‌اش.</t>
  </si>
  <si>
    <t>🇪🇺 [Kurdic/] خرگوشْ—تلگراف</t>
  </si>
  <si>
    <t>IT Engineer</t>
  </si>
  <si>
    <t>تشکراز نمایندگان سؤال کننده بخاطر رعایت ادب و اخلاق و بیانات مستدل؛ تقدیر از #مجلس که علیرغم برخی مظلوم نمایی‌ها، آمارهای غیرواقعی، طرح دستاوردهای نامرئی، فرافکنی‌ها و توجیهات تکراری #روحانی، قانع‌ نشد. اتفاقی‌که برای اولین بار رخ داد. علی برکة‌ الله #سوال_از_رئیس_جمهور</t>
  </si>
  <si>
    <t>peyman.mansoori</t>
  </si>
  <si>
    <t>دبیر بازنشسته آموزش و پرورش</t>
  </si>
  <si>
    <t>https://twitter.com/HasanMo93065036/status/1034506151096811520
https://twitter.com/MB_Nobakht/status/1034157187549913088</t>
  </si>
  <si>
    <t>دارو لازم است نه مُسکِّن !!! فقط : #اجرای_قانون_مدیریت_خدمات_کشوری پس از گذشت #۱۱سال نظارت از #مجلس شورای اسلامی اجرای قانون از #دولت #بازنشستگان #خط_فقر RT @HasanMo93065036: آقای نوبخت نوشداروپس ازمرگ سهراب نوش جان خودتان. این بسته های حمایتی دردی ازمردم به ویژه بازنشستگان اخص فرهنگی را دوا نمی کند. فقط #اجرای- قانون -خدمات -کشوری می تواندکمی ازآلام ما بکاهد. واندکی ازشرمندگی ۴دهه ازخانواده و۱دهه ازنوه ها را .. آن هم درحکومتی که مدعی عدالت گستری ست.</t>
  </si>
  <si>
    <t>خلیل اله مکتبی</t>
  </si>
  <si>
    <t>‏یه آدم معمولی</t>
  </si>
  <si>
    <t xml:space="preserve"> iran</t>
  </si>
  <si>
    <t>#روحانی گفت سوال نمایندگان از رییس‌جمهور و پاسخ من اوج دموکراسی دینی در ایران رو نشون میده بعد اولین جمله‌ش این بود که من تمام سفارشات رهبر در مورد این جلسه را مو به مو رعایت می‌کنم! دموکراسی دینی‌تون بخوره فرق سر خودت و رهبرت</t>
  </si>
  <si>
    <t>موج خسته</t>
  </si>
  <si>
    <t>An Engineer</t>
  </si>
  <si>
    <t>Moscow, Russia</t>
  </si>
  <si>
    <t>وقتی #شغل و #پول کافی نداریم نباید گُه خوری زیادی کنیم برا ازدواج عشق و علاقه همش کشکه اخرش ول میکنه میره #روحانی #ما_خودمان_انتخاب_کردیم</t>
  </si>
  <si>
    <t>Кардинал Данеил</t>
  </si>
  <si>
    <t>باهم میتوانیم</t>
  </si>
  <si>
    <t>ایرانشهر</t>
  </si>
  <si>
    <t>#مجلس مبدل به قوه مجریه شده است.برخی #نمایندگان درسطحی نیستندکه بتواننددرشرایط فعلی #ایران #تصمیمات_ملی وموثربگیرند،بازنگری درنحوه تاییدصلاحیت کاندیداهاتوسط شورای نگهبان،قوانین فعلی مجلس که موجب ترکتازی برخی نمایندگان ودخالت‌های مخرب آنهاگردیده،ضروری است #وقت_پاسخگویی_مجلس_است</t>
  </si>
  <si>
    <t>نسل ما</t>
  </si>
  <si>
    <t>اگر #روحانی استیضاح بشه، طیف اصلاح‌طلب هم به برانداز میپیونده و نسخه نظام پیچیده است. استیضاح روحانی یعنی معترضان ۸۸ رو با برانداز ها و معترض های اقتصادی جمع کنید و دیگه کاملا تمومه ماجرا.</t>
  </si>
  <si>
    <t>https://pbs.twimg.com/media/Dlt5GjFXoAATC4i.jpg</t>
  </si>
  <si>
    <t>امشب روحانی کابوس می بینه؛ رئیس جمهور سوئیس میاد به خوابش میگه : دِ لامصب بیا این سوئیس مالِ تو .. فقط با من اینجوری نکن :| #سوال_از_رییس‌جمهور</t>
  </si>
  <si>
    <t>به امید دیدار آ میر حسین محبوب دل آزاده های ایران🌹 (از هم صحبتی با رجویون و فرمول یکی های روزگار و وطن فروشان معذور م لطفا فالو نفرمایند)</t>
  </si>
  <si>
    <t>https://twitter.com/smfazelian/status/1034449289458724865</t>
  </si>
  <si>
    <t>بمیری حسن که آبرو نگذاشتی بماند #روحانى RT @smfazelian: همه مي دانند از سر ناچاري بود كه از آن دوگانه #تكبر و #توهم ٩٢،يكي را به رياست رسانديم و ديگري را بر صدر ليست مجلس نشانديم. شيخ و عارف تنها مهره هاي نمايش عظمت و خواست #مردم بودند. ملت معطل مهره ها نمي ماند. و لحظه اي نيست كه به آقاي جنتي درود نفرستيم. و هو علي كل شي شهيد!</t>
  </si>
  <si>
    <t>آ میر حسین</t>
  </si>
  <si>
    <t>‏‏کارشناس ارشد جامعه شناسی.. طلبه..</t>
  </si>
  <si>
    <t>راستی کسی نپرسید ک هوای مجلس سرد بود تا از تاریخ گذشته ها فاسد نشن... #سوال_از_رییس‌جمهور</t>
  </si>
  <si>
    <t>Kh.seyfi</t>
  </si>
  <si>
    <t>۵تا سوال کردن، یکماه وقت دادند تا قشنگ بخونه ؛بیاد امتحان بده ! رفته دنبال بازی و یللی تللی اصلا لای کتاب هم باز نکرده؛ امروز امتحان داده با ارفاق شده ۴ ! رفتم پیش رئیس #مجلس میگم آقا تو روخدا یه فرصت دیگه بده؛ داداشش تو بازداشته خوب نخوانده ! میگه تازه این امتحان شهریور بود !</t>
  </si>
  <si>
    <t>بزرگترین خیانت آدم ها به خودشون حرفهای نگفتشونه...!!!</t>
  </si>
  <si>
    <t>https://pbs.twimg.com/media/Dlt5deIWsAAmhGi.jpg</t>
  </si>
  <si>
    <t>+نماینده ها قانع نشدن؟!!! +اسیر شدیم این وقت شب +حالا قوه قضاییه رو چطور بپیچونم +بازم اسیر شدم +علی برکت الله +ااااا این مال دیالوگ قبلی بود _احسنت +من باختم فقط بزارید برم پاستور _احسنت +🤤🤤🤤 _احسنننننننت +😠😠😠 _احسنت #سوال_از_رییس‌جمهور</t>
  </si>
  <si>
    <t>mhnouranian</t>
  </si>
  <si>
    <t>https://telegram.me/HarfBeManBot?start=NjUzOTYzMTk</t>
  </si>
  <si>
    <t>#روحانی در #مجلس: ولله ما در بحران نیستیم عزیزان من! خُب دروغ نگفته که ، منظورش از "ما" خودش و کابینه ش بوده انقدر بهش گیر ندین عه</t>
  </si>
  <si>
    <t>امام ِ خوبیها</t>
  </si>
  <si>
    <t>http://goo.gl/5KtgUZ</t>
  </si>
  <si>
    <t>‏‏‏‏‏‏‏‏‏‏‏‏‏حیف دیرفهمیدم اما بازم خدارو شکرکمک کرد بشناسم برای چی خلق شدم بخاطر ‎‎زمینه سازی ظهور تو واصلاح عقایدم یااباصالح المهدی(عج) بِرَغمٍ دردهایت العفو</t>
  </si>
  <si>
    <t>زمین خدا</t>
  </si>
  <si>
    <t>https://www.instagram.com/p/BnCa_ddlIaG/?utm_source=ig_twitter_share&amp;igshid=zqy5w7yl1v3f</t>
  </si>
  <si>
    <t>#سوال ما از #مردم . با اینکه مدام تو تاریخ خوندیم و شنیدیم که آدمهای به اصطلاح #روحانی هر قوم ( شایدم #قم 😊) در شناخت حجت خدا #شکست خوردند؛ . باز سوالی که پیش میاد اینه که چرا باز یه عده…</t>
  </si>
  <si>
    <t>Ebn_Mahdi10313</t>
  </si>
  <si>
    <t>مقصر دولت قبل قبل قبل... بابا ولش کن تقصیر پدر و مادرمونه ک مارو بدنیا اوردن #سوال_از_رییس‌جمهور</t>
  </si>
  <si>
    <t>زندگی در صدف خویش گوهر ساختن است..‌</t>
  </si>
  <si>
    <t>مردم نگران #تحریم نیستن، نگران دعوای #دولتی ها هستن... چه جالب!!!! آقای #روحانی آخرین نگرانیمونم دعوای شما نخواهد بود... هنوز اینقدر خوشی نزده زیر دلمون که نگران شما #مسئولین_بی_کفایت بشیم... خوشحالم از اینکه شناسناممو تعویض کردم،دیگه کثیفش نمی کنم.</t>
  </si>
  <si>
    <t>shirin kakavand</t>
  </si>
  <si>
    <t>‏به زودی🇮🇷 هماهنگی جبهه نیروهای انقلاب</t>
  </si>
  <si>
    <t>🇮🇷 قم - ایران</t>
  </si>
  <si>
    <t>موج جدید در راه است به زودی شاهد بازی های رسانه ای و یا رونمایی از چالش های اجتماعی و سیاسی خواهیم بود و ماجرای سوال از رئیس جمهور و روند قانونی آن به محاق میرود #سوال_از_رییس‌جمهور #روحانی</t>
  </si>
  <si>
    <t>سرباز خمینی کبیر</t>
  </si>
  <si>
    <t>ميمون فضانورد كه به مريخ پناهنده شد و بدل او به ايران برگشت. حالا تصميم گرفتم تحليل هاى فضايى از وضع موجود مخابره كنم</t>
  </si>
  <si>
    <t>Mars, PA</t>
  </si>
  <si>
    <t>pic.twitter.com/8L5cwX1Q4m</t>
  </si>
  <si>
    <t>چرا دلارا رو ميريزى تو ماستا؟ #روحانى #دلار #دروغ</t>
  </si>
  <si>
    <t>كاوشگر</t>
  </si>
  <si>
    <t>‏هر نفسی که فرو می رود مُمِدّ حیاتست و چون بر می آید مفرّح ذات. پس در هر نفسی دو نعمت موجودست و بر هر نعمتی شکری واجب</t>
  </si>
  <si>
    <t>کنج ازلت</t>
  </si>
  <si>
    <t>نطق #ذوالنور تو مجلس به نظرم نشان از یک بلوغ سیاسی بین انقلابی‌هاست... یک نطق کاملا معقول و منسجم، بدون هیچگونه آشوب و بلوا... طوری‌که با طرح و رد احتمالاتِ ممکن در مساله، #روحانی رو در محاصره کامل قرار میداد! #سوال_از_رییس‌جمهور</t>
  </si>
  <si>
    <t>شبیر</t>
  </si>
  <si>
    <t>رزمنده ، جانباز ،اصلاح طلب ، وطن پرست - ورود فرقه رجوی، عرزشی‌ها و براندازان مطلقا ممنوع</t>
  </si>
  <si>
    <t>https://twitter.com/hasanasadiz/status/1034532244235399168</t>
  </si>
  <si>
    <t>آقای #روحانی ، روزی که #شهباز_حسن_پور استاندار دولت شما شود ، باید فاتحه #امید و #تدبیر را بخوانیم @Rouhani_ir RT @hasanasadiz: 🛑مگس و عرصه سیمرغ! #شهباز_حسن_پور نماینده سیرجان در #مجلس درپی توییت اخیر من ظاهرا شبانه با مراجعه به #ناجا نشریه #سخن_تازه که اولین افشاگر فساد انتسابی به او در #گل_گهر بوده را تهدید و آنها را به صدور اطلاعیه زیر واداشته؛ آنگاه نیمه شب با تماس‌های مکرر قصد #تهدید من را دارد.</t>
  </si>
  <si>
    <t>سارنگ🇮🇷</t>
  </si>
  <si>
    <t>معلم مراغی</t>
  </si>
  <si>
    <t>چون ایران نباشدتن من مباد</t>
  </si>
  <si>
    <t>#روحانی ترجیح داد بلرزد ولی نلرزاند آبروداری کرد و مدارا ، #دیماه را تفسیر نکرد. #فتنه دیماه و ما ادراک ما دیماه و امثالهم</t>
  </si>
  <si>
    <t>احمدجوانمهر.Javanmehr</t>
  </si>
  <si>
    <t>حسن #روحانی عملکرد اقتصادی دولتش را درخشان می‌داند؛ اعتراضات مردمی هم به این دلیل است که این درخشندگی به شدت چشمانشان را می‌آزارد.</t>
  </si>
  <si>
    <t>کاش منم بلد بودم مثل پرزیدنت #روحاني با کلمات بازی کنم... #استیضاح_روحانی</t>
  </si>
  <si>
    <t>mania</t>
  </si>
  <si>
    <t>بعضی ها اگربه جای توجیه کردن اشتباهشان راقبول میکردن و عذرمیخواستن به مقام سفت نمیچسبیدن وقبول میکردن کاررا باید به کاردان سپرد همه چیزبهتر از حال بود #مجلس #روحانی #ایران</t>
  </si>
  <si>
    <t>شب زنده دار</t>
  </si>
  <si>
    <t>همش 5 تا سوال بود هر کدوم 4 نمره !! مجموعا از 20 نمره، 4 شدی :| [ نیاز به تلاش بیشتر ] @Rouhani_ir #سوال_از_رییس‌جمهور</t>
  </si>
  <si>
    <t>آقای #روحانی چرایی #تظاهرات_سراسرى دی ماه نتیجه چرخش عجیب شما بعد از انتخابات خرداد ۹۶ بود. #مجلس #استیضاح_روحانی</t>
  </si>
  <si>
    <t>meymenzi</t>
  </si>
  <si>
    <t>*والا شماها 40 سال ملت احمق فرض کردید *نیازی به روشهای بِروز دور زدن #استیضاح نیست چون مقام معظم رهبری صحنه را خوب کارگردانی و مدیریت میکنند! #سوال_از_روحانی #سوال_از_رئیس‌جمهور RT @A_Raefipour: جناب آقای دکتر #روحانی اعتماد به نفستان شگفت انگیز بود دور زدن تحریم ها پیش کش٬ ای کاش بجای احمق فرض نمودن #نمایندگان_مجلس، قدری از وزیرتان جناب #آخوندی روشهای بِروز دور زدن #استیضاح را می آموختید این حربه ها قدیمی شده #اعتماد_به_سقف @Rouhani_ir</t>
  </si>
  <si>
    <t>#روحانی با بُلد کردن #تظاهرات دی ماه تلویحاً رد #برجام توسط #ترامپ را به گردن #مردم انداخت.</t>
  </si>
  <si>
    <t>http://Instagram.com/arashpajooh</t>
  </si>
  <si>
    <t>📷‏‏ عکاسم، اما آب حوض هم می‌کشم</t>
  </si>
  <si>
    <t>https://pbs.twimg.com/media/Dlt-NpkU8AElqln.jpg</t>
  </si>
  <si>
    <t>#روحانی هیچ حرفی جز لزوم اتحاد و ایجاد آرامش روانی نزد، دلار ۷۰۰ تومان کشید بالا! این دقیقا دلیل چرایی حرف نزدن روحانی‌ست! در حالی که جامعه به هر اتفاق ریز و درشتی واکنش منفی نشون میده جلوگیری از وقوع خودش بهترین راهکاره! آقای رئیس این روزها تمام می‌شود دل قوی دار @Rouhani_ir</t>
  </si>
  <si>
    <t>Arash</t>
  </si>
  <si>
    <t>https://twitter.com/farsinews3</t>
  </si>
  <si>
    <t>آخرین، مهم ترین و کوتاه ترین #اخبار #ایران #افغانستان، #تاجیکستان و #جهان. #تظاهرات لطفا دنبال کنید.</t>
  </si>
  <si>
    <t>ایران، افغانستان، تاجیکستان</t>
  </si>
  <si>
    <t>https://pbs.twimg.com/media/Dlt-YVbUYAAfqeM.jpg</t>
  </si>
  <si>
    <t>http://dlvr.it/QhN6yc</t>
  </si>
  <si>
    <t>خبر فارسی</t>
  </si>
  <si>
    <t>economic journalist, industrial engineer, business manager,</t>
  </si>
  <si>
    <t>IRAN.tehran</t>
  </si>
  <si>
    <t>https://twitter.com/najafi_tehrani/status/1034376503910453248</t>
  </si>
  <si>
    <t>متاسفانه این انتخاب خود #روحانی بود که با مشاورین و اطرافیانی ناکارآمد چون، #نوبخت و #واعظی پا در این مسیر گذاشته و مردم را ناامید کند خود کرده را تدبیر نیست @Rouhani_ir RT @najafi_tehrani: با حذف دو وزیر و قانع نشدن نمایندگان از پاسخ @Rouhani_ir زمینه برای استیضاح وی فراهم شد و اقتدارگرایان گام به گام بسوی تسخیر پاستور پیشروی میکنند. اصلاح طلبان هم هیچگونه استراتژی روشنی برای این وضعیت ندارند. دولت روحانی امروز در بدترین و ضعیف ترین وضعیت طی دو دوره قرار گرفته است.</t>
  </si>
  <si>
    <t>🇮🇷Reza Nouhi🇮🇷</t>
  </si>
  <si>
    <t>#روحانی با #مجلس صادقانه سخن گفت، با #مردم_ایران تکراری</t>
  </si>
  <si>
    <t>⛔️ هدف براندازی اخوند⛔️ ارزشی بیشعور مزاحم نشه ⛔️</t>
  </si>
  <si>
    <t>#روحانی دیگه خقه شو #اخوند عوضی حال بهم زن #براندازیم #اتحاد_برای_نابودی_جاعش</t>
  </si>
  <si>
    <t>Z 💎 ALMAS 💎 Z</t>
  </si>
  <si>
    <t>سیامک فرید هستم شغلم تکنیسین برق صنعتی ، فعال سیاسی ، عضو حزب چپ ایران(فدائیان خلق) برای آزادی و عدالت اجتماعی و رفاه مبارزه می کنم</t>
  </si>
  <si>
    <t>bruxelles</t>
  </si>
  <si>
    <t>#روحانی تصمیم گرفته است تا ۱۴۰۰ فقط بماند و مهم نیست اگر به وعده ها عمل نشود. از نظر او سمبه آقا از ۲۴ میلیون رای پر زودتر است پس تصمیم دارد مثل دوره دوم #خاتمی یک #تدارکچی باشد</t>
  </si>
  <si>
    <t>siamak farid</t>
  </si>
  <si>
    <t>“In international relations, god helps those who help themselves” - John J. Mearsheimer | Political Science and International Relations | RT ≠ Endorsement</t>
  </si>
  <si>
    <t>https://pbs.twimg.com/media/Dlt_tmOUcAApbDk.jpg</t>
  </si>
  <si>
    <t>به #روحانی رای دادم تا «بگم بگم» نکند و منافع ملی را در الویت قرار دهد. اعتدال یعنی در شرایط #جنگ_اقتصادی به دنبال اجماع و همدلی سیاسی باشیم تا از بحران عبور کنیم، نه انکه برای حفظ جایگاه خود، رقیب سیاسی را قربانی کنیم. روحانی در عمل نشان داد که مرد اعتدال است | #پشیمان_نیستم</t>
  </si>
  <si>
    <t>Pouyan J.</t>
  </si>
  <si>
    <t>‏‏‏‏‏‏‏‏‏سیدمحمد کارشناس ارشد مدیریت. دهه شصتی پذیرای نظریات شما درتلگرام هستم ‎‎@mohammad7385bot</t>
  </si>
  <si>
    <t>دست به چانه و لَمیده "زغوغای جهان فارغ"..... #عارف #لیست_امید #سوال_از_رئیس‌جمهور</t>
  </si>
  <si>
    <t>Mohammad1373</t>
  </si>
  <si>
    <t>https://BestFarsi.com</t>
  </si>
  <si>
    <t>بازنشر بی‌درنگ توییت‌های فارسی که بیشتر از ۱۰۰۰ لایک و ۱۵۰ ریتوییت در کمتر از ۲۴ ساعت می‌گیرند. پرسش یا آمار بیشتر در دایرکت. اعداد بعد هشتگ‌ها تعداد توییت نیست</t>
  </si>
  <si>
    <t>هشتگ‌های داغ ۸ ساعت گذشته #raminhosseinpanahi ۱۳۴ #مثل_شرق_دروغ_میگی ۸۵ #روحانی ۶۴ رامین_حسین_پناهی ۴۶ جنسی_آنلاین ۴۳ شهروند_جنسی ۴۱ تبریز_مبارک_اردوغان ۳۸ صیغه_یعنی_جندگی ۳۶ تز_ایرانارشیسم ۳۵ یاامام_مکان ۳۵ ایران_را_پس_میگیریم ۳۳</t>
  </si>
  <si>
    <t>توییتر فارسی</t>
  </si>
  <si>
    <t>یک خبرنگار سیاست زده</t>
  </si>
  <si>
    <t>معلم فیزیک ازم پرسید «مرکز اینرسی جسم کجاست؟» گفتم «ما باید بر یادگیری علم فیزیک همت بگماریم. صفر داد بهم. چرا واقعا؟ #رئیس_جمهور #مجلس</t>
  </si>
  <si>
    <t>مرتضی محمدپور</t>
  </si>
  <si>
    <t>News Music Lifestyle Fun</t>
  </si>
  <si>
    <t>pic.twitter.com/y7qgiV00NY</t>
  </si>
  <si>
    <t>تنها جوابي كه ميتونم به صحبتهاي اخير روحاني بدم همين كليپه #روحاني با تقديم به شما</t>
  </si>
  <si>
    <t>Absolute Chaos</t>
  </si>
  <si>
    <t>ناگفته‌هایی که در این چند وقت اصلاح‌طلبان مدام با آن همه را تهدید میکردند، همان حرفهای تکراری و همیشگی #روحانی بود؛ بی‌شک مهمتر از پاسخگویی، راستگویی است! #سوال_از_رئیس_جمهور</t>
  </si>
  <si>
    <t>‏‏دستی بر قلم دارم اما نویسنده نیستم</t>
  </si>
  <si>
    <t>Iran_hamedan</t>
  </si>
  <si>
    <t>#کارت_زرد #روحانی😂 قرار به دادن کارت زرد اگه باشه کل #نظام کارت زرد میگیره،جمع کنین بار و بندیلتون کلاشای بی غیرت حتی جرات فرار ندارین...</t>
  </si>
  <si>
    <t>نیکایلوویچ</t>
  </si>
  <si>
    <t>‏‏‏براندازم... براندازِ صهیونیست ‏‏‏‎‎‎‎‎‎‎#آتش_به_اختیارِ رهبرم سید علی</t>
  </si>
  <si>
    <t>از تبار سید النساء العالمین</t>
  </si>
  <si>
    <t>از کی میخواید سوال کنید؟ در کسی که امام زمون رو قابل نقد میدونه لیاقتی نمیبینم که بخوام حتی مورد بازخواست قرارش بدم #سوال_از_رییس_جمهور</t>
  </si>
  <si>
    <t>رضوان شین⁦⁦🇮🇷⁩</t>
  </si>
  <si>
    <t>فحوای کلام رییس جمهور آقای روحانی: اگر ما با هم باشیم مردم هیچ غلطی نمی توانند بکنند #روحانی #مجلس #ایران_را_پس_میگیریم</t>
  </si>
  <si>
    <t>RJBN</t>
  </si>
  <si>
    <t>نویسنده و ‏‏کارگردان ، شما بخوانید فیلمسازچریک، خار چشم چپ و راست، سرباز ولایت، نوکر مردم .</t>
  </si>
  <si>
    <t>و بازهم مجلس بد عمل کرد الان که وضع ارز و سکه به ثبات نسبی رسیده چه جای سوال بود؟!!! روحانی هم خودش فهمیده که هرچی حرف نزنه بهتره هنوز مجلس نفهمیده اون موقع که باید استیضاح میکردن نکردن حالا قطاری دارن استیضاح میکنن تا شرایطو بدتر کنند #استیضاح_روحانی #مجلس</t>
  </si>
  <si>
    <t>محمدرضا حاج محمد حسینی</t>
  </si>
  <si>
    <t>‏‏مدرس سواد رسانه و فضای مجازی/ متخصص و مشاور در زمینه تربیت کودک و نوجوان/ در حال تحصیل علم روانشناسی/ انشاءالله مستند ساز شروع فعالیت در توئیتر: مرداد ۹۷</t>
  </si>
  <si>
    <t>🌸 امام هادی علیه السلام: مؤمن خوبى مى كند و مى گريد، ولى منافق بدى مىكند و مى خندد. ارشاد القلوب(دیلمی) ج 1 #کرسی_سیاست #روحانی #منافق</t>
  </si>
  <si>
    <t>بی‌قرار وصل یار🍃</t>
  </si>
  <si>
    <t>یا من خرم هیچی حالیم نیست یا یه عده خیلی گاون چرا هیچکسی با #خاتمی هیچ کاری نداره؟حرفی ازش نیست؟یعنی قبول ندارین حمایت مستقیم ایشون باعث برد #روحانی شد؟ قبول ندارین الان باید مسئول باشه؟مسئول نه حداقل پاسخگو باشه؟!!</t>
  </si>
  <si>
    <t>‏‏‏هر وقت شهاب دیدی یه آرزو کن....!!!</t>
  </si>
  <si>
    <t>آقا شاید اصلن نه دولت سایه ای هست،نه دست #سپاه توی اقتصاده،نه به دولت #روحانی و دولتهای قبلش فشار وارد میشه،نه #بودجه حروم و هدر میشه،ما هی الکی گیر میدیم افشا کن رسوا کن پیدا کن!!!! #سوال_از_رئیس_جمهور #ایران #سوال_از_رئیس‌جمهور</t>
  </si>
  <si>
    <t>METEOR</t>
  </si>
  <si>
    <t>https://pbs.twimg.com/media/DluB-QKX0AEBb-S.jpg</t>
  </si>
  <si>
    <t>دوستان بارو بندیل جمع کنید قراره بریم اون کشوری که #روحاني بهش ریاست میکنه وسیله ایاب ذهاب هم مهمون من😂 #مجلس</t>
  </si>
  <si>
    <t>Ahmad_313_</t>
  </si>
  <si>
    <t>‏‏تو در من؛ از من فراوانتری...</t>
  </si>
  <si>
    <t xml:space="preserve"> في الأرضِ والسَماء</t>
  </si>
  <si>
    <t>https://pbs.twimg.com/media/DluCnYSXoAATmEu.jpg</t>
  </si>
  <si>
    <t>روحانی: چرا مردم را نسبت به آینده کشور ناامید میکنید؟ ما مشکلی برای تامین ارز و کالاهای اساسی نداریم... مردم بدانند که قیمت ها یقینا پایین خواهد آمد... پ ن: باشنیدن حرفاش ناخودآگاه یا دوست خوبمون حضرت دیوی افتادم👇👇... :))))) #سوال_از_رییس‌جمهور</t>
  </si>
  <si>
    <t>[مـَحـزوُن~]</t>
  </si>
  <si>
    <t>سوالی که باید پرسید مخالفان دولت چه در مجلس،چه در قضاییه و چه در نهادهای انتصابی و امنیتی در #انتخابات96 روحاني را نمیخواستند.چطور باور کنیم که میخواهند به او کمک کند? پایین آمدن قیمت ارز=موفقیت #روحاني و بقای او و احزاب مرتبط با او در قدرت شکایت آنها بوی همدردی با مردم را نمیدهد</t>
  </si>
  <si>
    <t>الحمدُ لله الذي جعَلَنا منَ المتمسِكِينَ بوِلاَيَةِ مَولانا أَمِيرِ الْمُؤمِنِينَ وَ الْائمَّةِ المَعصومین عَلَيْهِمُ السَّلاَمُ امام حسنی ام من انقلابی ام</t>
  </si>
  <si>
    <t>گرگان</t>
  </si>
  <si>
    <t>دیدی که #روحانی نسبت به مسائل داره مثله اون دوست عزیزیه که میگفت عامل اصلی طلاق ازدواجه وگرنه این حجم از دروغ پراکنی و آمار های غلط غیرقابل توجیهه</t>
  </si>
  <si>
    <t>Navidbalarostaghi</t>
  </si>
  <si>
    <t>https://telegram.me/HarfBeManBot?start=NTI3OTc2ODU0</t>
  </si>
  <si>
    <t>فالو= بک اگه فالو کردی یه آمار بِم بده (عزیزانی که زرنگن و میان فالو میکنن و بعد یه مدت انفالو محترمانه دکمه س.ی.ک.ت.ی.ر رو بفشارند و اینورا پیداشون نشه) سپاس</t>
  </si>
  <si>
    <t>#روحانی خلاصه کلامش به مجلس این بود: "اگه ما با هم متحد باشیم مردم هیچ غلطی نمیتونن بکنن"</t>
  </si>
  <si>
    <t>پشمک السلطنه</t>
  </si>
  <si>
    <t>‏سعی کرده ام دانشجو باشم ‎‎‎‎#بسیج_دانشجویی ‎ ‎‎‎‎‎‎‎#جامعه_اسلامی_دانشجویان 🌺‏‏مارا که بجز توبه شکستن هنری نیست</t>
  </si>
  <si>
    <t>انقدر استیضاح از مسئولی در حد رییس جمهوری، نو و عجیب و بدون سابقه است که الان تا مجلس و طرح سوالش دانلود شده و مثل اینکه برای بقیه اش بسته کم آوردن، همه گیج همو نیگا میکنن که «وای واسه فردا من چی بپوشم چرا زودتر نگفتین». ماست مالی نشه صلوات #سوال_از_رییس‌جمهور #روحانی</t>
  </si>
  <si>
    <t>ع.الف</t>
  </si>
  <si>
    <t>دور افتاده اي از موطن خويش...</t>
  </si>
  <si>
    <t>به نظر ميرسد كه #روحاني و تيمش، خيلي سريع به جايگاه فعلي كابينه #احمدي_نژاد نزديك ميشوند، يعني شرايطي كه نه تنها پشتوانه مردمي برايش وجود ندارد، بلكه ديگر در داخل حكومت هم بازي داده نميشود... اما تفاوت اينجاست كه غالبا روساي جمهور، اين شرايط را پس از اتمام دوره شان تجربه ميكردند.</t>
  </si>
  <si>
    <t>Aidin T</t>
  </si>
  <si>
    <t>https://www.isna.ir/news/97060603124/</t>
  </si>
  <si>
    <t>#ایران #تهران #فوری درادامه #اعتراضات #مردم #روحانی :با عنایات صاحب⏳ جهاد #دولت #اختلاس #فساد اهل بیت ال عبا #رهبر_انقلاب وشرکا لاکن با #استجازه از #رهبرفرزانه درخصوص 2 میلیون #دلار از محل صندوق توسعه ملی مناطق #زلزله #سرپل_ذهاب شفاف‌سازی شده است #کذب است</t>
  </si>
  <si>
    <t>این جلسات #استیضاح هفته به هفته فقط از سر خود باز کردن و لاپوشانی بی کفایتی مجلسی هاست که به مردم بگویند به فکرتان هستیم جای این نمایش های مضحک و انحراف افکار عمومی رییس #ایران_خودرو و #سایپا را بخوانید تا #کمیسیون_اقتصادی بررسی کند قیمت گذاری ها چقدر واقعی است ?</t>
  </si>
  <si>
    <t>اهوازي ام /تحصيلاتم روزنامه نگاريست / عاشق نوشتن از سيدعلي (رهبرم) هستم و تمام هستي ام چفيه ايست ك هديه ام داد و مرا به مبارزه با كفر دعوت كرد.</t>
  </si>
  <si>
    <t>ميگن شيطان وقتي رو حاني رو ديد سجده نكرد! #سوال_از_رئیس‌جمهور 😶</t>
  </si>
  <si>
    <t>🇮🇷آزادي 🇱🇧</t>
  </si>
  <si>
    <t>anti-liberalisme يمن كليد ظهور است http://Instagram.com/road_of_beauty</t>
  </si>
  <si>
    <t xml:space="preserve">تهران </t>
  </si>
  <si>
    <t>الان چند وقته همه رسانه ها دارن درباره تابعيت آقاى #روحانى و احتمالات خيلى خَفَن ديگه سوال ميپرسن و به نوعى دغدغه خودى و نخودى شده!اما كَكِشَم نميگزه! ولى براى يه خط شعار تو فيضيه كه اونم تهش دراومده كه رفقاى خودشون بودن!كلى ننه من غريبم بازى در آوورد! #آدرس_غلط #مطالبه_گرى</t>
  </si>
  <si>
    <t>كِلاش نيكُف</t>
  </si>
  <si>
    <t>https://linktr.ee/varashtunes</t>
  </si>
  <si>
    <t>من از کجا غم باران و ناودان ز کجا | خنیاگر🎸🎤</t>
  </si>
  <si>
    <t>#روحاني یه جوری راجع به وزراش میگه : «نیستن» انگار کمبرندش نیست مثلا...</t>
  </si>
  <si>
    <t>VARASH</t>
  </si>
  <si>
    <t>#روحانی :میگین که برجام هیچ بوده اگه هیچ بوده خب مهم نیست آمریکا رفته بیرون همه هم برن بیرون اهمیتی نداره.اقای روحانی برجام به فرموده ی رهبری خسارت محض بوده است آیامنحل کردن فعالیت هسته ای و بتن ریزی در قلب راکتور اهمیتی نداره؟ضررهایی که دیدیم ودست آوردی که نداشتیم اهمیتی نداره؟!</t>
  </si>
  <si>
    <t>‏‏‏‏‏‏‏‏‏‏‏‏‏‏‏‏ای آشیـــان کهـنه سیــــمرغ، یک روز ناگهان، چون چــشم من ز پنجره افتد بر آسمان، میبینم آفتاب تـــــــــو را در برابرم ...</t>
  </si>
  <si>
    <t>#روحانی خودشم اذعان کرد مملکت صاحاب نداره، ميگه مردم هر روز که سوار تاکسی میشن میبینن کرایه ها گرون تر شده من از طرف عمه م از ملت ایران عذر خواهی میکنم که قیمتا رو هر روز بالا میبره.</t>
  </si>
  <si>
    <t>eнѕαɴ</t>
  </si>
  <si>
    <t>https://www.isna.ir/news/97060703289/</t>
  </si>
  <si>
    <t>#ایران #تهران #فوری درادامه #اعتراضات #مردم #روحانی :با عنایات صاحب⏳ در راستای تحقق مطالبات#دولت #اختلاس #فساد اهل بیت ال عبا #رهبر_انقلاب وشرکا لاکن با کرامات خفیه #رهبرفرزانه از عالم غیب مشکل کسری قطعه ۲۰هزار دستگاه #خودرو حل شد</t>
  </si>
  <si>
    <t>‏‏‏‏‏‏وجدان صدای خداوند است.⁦ 🇮🇷 آدم باید حقیقت هارو ببینه</t>
  </si>
  <si>
    <t>آقا ساقی این #روحانی کی هستش هر کی میدونه به من معرفی کنه میگه من اگه الان به #وزیر_اقتصاد بگم مثل شهریور پارسال کار کنه #دلار قیمتش میشه مثل پارسال خب عزیز دل یک کشور #بکن_بکن که هستش توام بگو بکنه دیگه</t>
  </si>
  <si>
    <t>Mahmoud Falaki</t>
  </si>
  <si>
    <t>pic.twitter.com/zvW0nkrkeT</t>
  </si>
  <si>
    <t>این ویدیو را #فارس_نیوز در صفحه ی اینستاگرامش گذاشته است. قسمت اول، پاسخ #روحانی به پرسش در مورد تحریم های بانکی ست. و قسمت دوم، سخنان ایشان است در مورد برجام،که تعمدا بخشی از آن آورده شده است. ۱.در هر دو یک چیز گفته می شود. ۲.اتفاقا این تنها پاسخی بود که مجلسیان را قانع کرد.</t>
  </si>
  <si>
    <t>http://www.almahdyoon.co</t>
  </si>
  <si>
    <t>‏‏‎‎#دعوت و ‎‎#تحدی از علماء،اندیشمندان،اساتید و شیوخ شیعه،سنی،مسیحی،یهودی،خداناباور و کل ادیان به دعوت سیداحمدالحسن(ع) تحت اشراف موسسه ‎‎#وارثین_ملکوت varesin</t>
  </si>
  <si>
    <t>https://www.instagram.com/p/BnCg-ublbPC/?utm_source=ig_twitter_share&amp;igshid=gsogiil9bib4</t>
  </si>
  <si>
    <t>#سوال ما از #مردم . با اینکه مدام تو تاریخ خوندیم و شنیدیم که آدمهای به اصطلاح #روحانی هر قوم ( شایدم #قم 😊) در شناخت حجت خدا #شکست خوردند؛ . باز سوالی که پیش میاد اینه که چرا باز…</t>
  </si>
  <si>
    <t>وارثین ملکوت | varesin.org</t>
  </si>
  <si>
    <t>ترند در ۲۴ ساعت گذشته: - ایران - ۶% - مجلس - ۴% - روحانی - ۴% - #روحانی - ۳% - مردم - ۳% - آمریکا - ۳%</t>
  </si>
  <si>
    <t>صحبت های #روحاني اونجاش باحال بود ک گفت ما دو میلیون و ششصد هزار شغل ایجاد کردیم بعد یکی از نماینده ها در جواب گفت شما سال سوم گفتی ۷۰۰هزار شغل بعد دوباره پارسال گفتید دومیلیون و هفتصد هزار شغل جدید درست کردید الان هم میگید کلا دو میلیون ششصد این تضاد عددی برای چیست</t>
  </si>
  <si>
    <t>امشب بازم مست کردم چون نمی‌دونستم باید از نامردی و بی وفایی تو بنالم یا حماقت خودم از حرفهای #روحانی که گفت بحران نداریم همه چی خوبه یا از خنده های مفت خوردهایی که پول مردم تو جیبشونه و تو دادگاه میخندن یا دوستایی که بی رحمانه آرزوها مو کشتن آره مست کردمو سیگار میکشم</t>
  </si>
  <si>
    <t>آقای اَخمو</t>
  </si>
  <si>
    <t>https://www.isna.ir/news/97060603121/</t>
  </si>
  <si>
    <t>#ایران #تهران #فوری درادامه #اعتراضات #مردم #روحانی :با عنایات ضامن اهو جهاد #دولت #اختلاس #فساد اهل بیت ال عبا #رهبر_انقلاب وشرکا خبر مربوط به سفر مردان #عراقی تکذیب می‌شودبا #استجازه #رهبرفرزانه یشترین استفاده‌ اقتصادی را برای رونق #مشهد ببریم</t>
  </si>
  <si>
    <t>‏هیچ گروه و سازمانی دایرکت نیاد برخورد خواهد شد من افکار خودم را در رابطه با تمام مسائل مینویسم</t>
  </si>
  <si>
    <t xml:space="preserve">ایران شیراز </t>
  </si>
  <si>
    <t>#ما هم مثل شما #نمایندگان_مجلس از سخنان آقای #روحانی قانع نشدیم اما میخواستم بگم شما #نمایندگان_مجلس چه گلی به سر این #ملت زدید یعنی شما مشکلات #مردم را نمیدانید</t>
  </si>
  <si>
    <t>نادر علیزاده</t>
  </si>
  <si>
    <t>‏‏‏‏‏‏‏‏‏دانشجو/مهندس/عاشق امام خامنه ای/مسکین الرقیه خوشبخت ترینم که نیازم به کسی نیست .چون ریزه خور سفره ے دربار رقیه ام...</t>
  </si>
  <si>
    <t>https://twitter.com/manofars/status/1034527830376435713?s=19</t>
  </si>
  <si>
    <t>برای رای آوردن: کافیه فقط دروغ بگی #روحانی RT @manofars: من امروز متوجه شدم رئیس جمهور بودن خیلی آسونه! فقط کافیه رای بیاری!</t>
  </si>
  <si>
    <t>🇮🇷دانشجوی انقلابی🇮🇷</t>
  </si>
  <si>
    <t>https://pbs.twimg.com/media/DluJPTvXoAAauWg.jpg</t>
  </si>
  <si>
    <t>ای کسی که قانع شدی #استخرِ_فرح در انتظارت گرفتی یابدم از ... #عاره_و_خلاصه_و_اینا #سوال_از_رییس‌جمهور</t>
  </si>
  <si>
    <t>آخرین درجه یه پاچه خواری بزرگ یعنی این یادپاچه خواریهای زمان پهلوی افتادم الی حضرت همایونی سلطان به سلامت باد #سوال_از_رییس‌جمهور RT @hesamodin1: روحانى يكبار دیگر هزينه حفظ آرامش و عدم ايجاد تنش در کشور را پرداخت. او می داند که باید سنگ زیرین آسیاب باشد. موفقیت دولت در گرو اصلاح مسیر و ارتقای تدبیر و تعامل فعال تر با مجلس و مردم است. سر خم مى سلامت شکند اگر سبوئی</t>
  </si>
  <si>
    <t>https://pbs.twimg.com/media/DluKNnOXgAEJ8Rk.jpg</t>
  </si>
  <si>
    <t>_احسنت لنتی من که هنو چیزی نگفتم _احسنت انقدر شعور داشتی این یارو ایستگامو نگرفته بود _احسنت #سوال_از_رییس‌جمهور #احسنت</t>
  </si>
  <si>
    <t>نه آقای #روحانی شجاعت گفتن #حقایق را داشت و باز هم #نرمش به خرج داد و نه #نمایندگان_مجلس شجاعت داشتند #رای گیری #علنی داشته باشند متاسفانه باید بگم از همدیگه #ترس دارن</t>
  </si>
  <si>
    <t>‏‏‏‏‏‏‏سر خم می سلامت شکند اگر ..... فالو= بک</t>
  </si>
  <si>
    <t>جمهوری اسلامی ایران . گیلان</t>
  </si>
  <si>
    <t>میدونید چرا مجلس امروز گول روحانی رو نخورد؟ چون سال نود و دو و نود و شش مردم گول روحانی رو خورده بودن ، بنده خدا دیگه گولی براش باقی نمونده بود 😀 #سوال_از_رییس‌جمهور #استیضاح_روحانی #شفافیت_آراء_نمایندگان</t>
  </si>
  <si>
    <t>یا لثاراتِ الحُسَین</t>
  </si>
  <si>
    <t>خسته ام ، مثل تیم رسانه ای روحانی که با تمام جنگولک بازیا و شایعه ها و در و دیوار زدنا نتونستن مجلس چقر بد بدن رو بپیچونن، خدا قوت پهلوان 😏 #سوال_از_رییس‌جمهور #مثل_شرق_دروغ_میگی #شفافیت_آراء_نمایندگان</t>
  </si>
  <si>
    <t>‏‏‏‏سعی کنیم زندگی شخصی و خصوصی دیگران را قضاوت ومسخره نکنیم .شاید اگر ما هم در شرایط آنها قرار بگیریم ، بلاجبار رفتاری مشابه داشته باشیم .</t>
  </si>
  <si>
    <t>https://twitter.com/Entekhab_News/status/1034304448879845376</t>
  </si>
  <si>
    <t>به نظرم #روحانی از نظر روانی و جریان فکر مشکل اساسی داره. این اندازه وقاحت و دروغ فقط از دیوانه تمام عیار ساخته است RT @Entekhab_News: #روحانی: 🔹اگر هنر دولت یازدهم نبود اکنون #بیکاری به جای 12 درصد، 22 درصد بود 🔹برای اولین بار در بهار 97 اشتغال ایجاد شده بیش از متقاضیان کار بود. 🔹 715 هزار متقاضی کار داشتیم، 750 هزار شغل ایجاد شد</t>
  </si>
  <si>
    <t>Nasrin</t>
  </si>
  <si>
    <t>‏‏‏‏‏‏‏آدم بی سواد سیاست اش، قیل و قال های بی ریشه است ،و خدمت اش ، پوچ و حقیر. و زندگی اش و لذت اش ، گند،سطحی،عامیانه و بی ارزش. (یه مهندس برق عاشق سیّدعلی)</t>
  </si>
  <si>
    <t>این تعداد اشتغالی که روحانی میگه ایجاد کرده دقیقا تو کدوم کشور بوده تا بریم اقامت همون کشور رو بگیریم #سوال_از_رییس‌جمهور</t>
  </si>
  <si>
    <t>حاج مُحَمَّد</t>
  </si>
  <si>
    <t>Cultural and social activist Political critics Arts and Culture</t>
  </si>
  <si>
    <t>آقای #روحانی در ناتوانی پاسخ به سوال نمایندگان #مجلس همین بس که دستش دوباره به رعشه افتاد</t>
  </si>
  <si>
    <t>Ali Parvaz davani</t>
  </si>
  <si>
    <t>Medizinstudent an der Universität MHH. Internationales Recht für 2 jahre. Geboren in Teheran. wohne in Hannover.🇩🇪 عَزمِ سَفَرِ ما زِ حُبِ وَطن ماست</t>
  </si>
  <si>
    <t>فقط باس به #روحاني گفت جوووووون تو فقط حرف بزن قناری.....</t>
  </si>
  <si>
    <t>Medizin motehajer</t>
  </si>
  <si>
    <t>‏‏‏‏‏‏‏‏‏« اللّٰهم عجِّل لِوَلیِّکَ الْفَرَجْ » ‏‏‏‏‏‏‏‏‏‏‏‏‏‏‏‏‏‏‏‏‏‏‏‏‏‏‏‏‏‏‏‏‏‏‏‏‏‏یک روز به انتقام«۷۲» شمس با «۳۱۳» قمر می آید.</t>
  </si>
  <si>
    <t>ｔｅｈｒａｎ</t>
  </si>
  <si>
    <t>https://pbs.twimg.com/media/DluQreeXcAEvbrL.jpg</t>
  </si>
  <si>
    <t>توییت استاد #رائفی_پور در مورد #استیضاح آقای #روحانی</t>
  </si>
  <si>
    <t>‌🇮‌🇷‌‌ hrf 313</t>
  </si>
  <si>
    <t>pic.twitter.com/gajBFBz5YF</t>
  </si>
  <si>
    <t>جهت یادآوری خدمت جناب آقای دکتر #روحاني و اعضای #حزب_اعتدال_و_توسعه که همچنان تصور می کنند مردم به سیاست ها و اهداف این حزب رای داده اند. #نوبخت #واعظی #هاشمی_رفسنجانی</t>
  </si>
  <si>
    <t>سازمان پژوهشگران ایرانی سبزاندیش (سپاس)</t>
  </si>
  <si>
    <t>‏‏‏‏یاد بعضی نفرات رزق روحم شده است مادرم مادر</t>
  </si>
  <si>
    <t>jabelgha</t>
  </si>
  <si>
    <t>https://pbs.twimg.com/media/DluRuZuXcAEPO03.jpg</t>
  </si>
  <si>
    <t>#نماینده_مجلس #محمود_صادقی هم #روحانی بودند که لباس روحانیت کنار گذاشتن ؟شما هم اگر کسی میشناسید منش بزارید</t>
  </si>
  <si>
    <t>ghazal</t>
  </si>
  <si>
    <t>‏‏‏تمام پرسه های من کنار تو سلوک شد... آرشیتکت</t>
  </si>
  <si>
    <t>https://twitter.com/arezoo_farshid/status/1034485620314464256</t>
  </si>
  <si>
    <t>از سال ۸۵ دارن کار میکنن تا الان ، جزو ده هزار نفری بودن که به ادعای #روحانی زمان #احمدی_نژاد کار میکردن! البته ناراحت شدم از اینکه بیکار شدن RT @arezoo_farshid: یازده ساله دارم کار میکنم و حدود هفت ساله که خبرنگارم. امروز برای اولین بار از یک مجموعه اخراج شدم و ... متعجب ام</t>
  </si>
  <si>
    <t>مُحمّد</t>
  </si>
  <si>
    <t>‏‏‏یک فیلمساز ناراضی... وابسته به هیچ جناحی نیستم ... شوخی‌هام رو جدیم نگیرید .. ضد مغ خالص دایرکت رو جواب نمی‌دم</t>
  </si>
  <si>
    <t>https://pbs.twimg.com/media/DluTfNBXsAAEiUs.jpg</t>
  </si>
  <si>
    <t>توجه عنایت بفرمایید پنکه را کجا قرارداده‌اند پنکه را برای باد زدن به تخم چپ مبارک در زیر جایگاه قرار گرفته است😒😒😒😒⁦🤦🏻‍♂️⁩ #روحانی #پنکه #پنکه_رئیس‌جمهور #تخم_چپ_رئیس‌جمهور</t>
  </si>
  <si>
    <t>حاج اسپیل</t>
  </si>
  <si>
    <t>جناب #روحانی بیندیشید که چرا تنها به به و چه چه کنندگان نطق دیروز شما،متاسفانه و بسیار غمبار برای همچون همراهان دیروزی چون ما،دور و بری های دولتی شما هستند و بس!سابقا! اصلاح طلبانی چون خانم #ابتکار و نیز،آشنا و واعظی.. مردم و جوانان و یاران دیروز را اما،ماههاست از دست داده اید!</t>
  </si>
  <si>
    <t>با تمام اتفاقات این پنج سال،من همچنان به آقای #روحانی اعتقاد دارم</t>
  </si>
  <si>
    <t>آقا خرسه 🐻 Mr Bear</t>
  </si>
  <si>
    <t>هشتگ‌های پر‌طرفدار: - #RaminHosseinPanahi - #روحانی - #مجلس</t>
  </si>
  <si>
    <t>در جستجوى ناگفتنى ها / دانشجو علوم سياسى دانشگاه مفيد قم</t>
  </si>
  <si>
    <t>https://pbs.twimg.com/media/DluU4mqW0AAjub-.jpg</t>
  </si>
  <si>
    <t>معلوم شد واژه تدبير، عقلانيت و مديريت سياسى براى هردو اين بزرگواران سراب و خيالى بيش نيست! اما آقاى روحانى! تدبير كه هيچ... كاش حداقل كمى مثل #احمدى_نژاد جرأت و جسارت داشتى! #محافظه_كارى_انزجار_آميز #سوال_از_رئیس_جمهور #مجلس</t>
  </si>
  <si>
    <t>mehdi shirkhan</t>
  </si>
  <si>
    <t>Dracut, MA</t>
  </si>
  <si>
    <t>ای توالت زاده ها بهر کاری دست زدید ریدید. گوه تو سرتون با اون مغز گوییتون #روحاني</t>
  </si>
  <si>
    <t>Hossein Abolhassani</t>
  </si>
  <si>
    <t>‏من به جهان چه می‌کنم؟! چونک از این جهان شدم!</t>
  </si>
  <si>
    <t>سودای خام نشستن بر کرسی مقامات عالی‌رتبه #روحانی را دست به عصا کرده ولی سناریو قربانی کردن روحانی برای حفظ مقامات عالی‌رتبه است؛ زهی خیال باطل! RT @A_Raefipour: جناب آقای دکتر #روحانی اعتماد به نفستان شگفت انگیز بود دور زدن تحریم ها پیش کش٬ ای کاش بجای احمق فرض نمودن #نمایندگان_مجلس، قدری از وزیرتان جناب #آخوندی روشهای بِروز دور زدن #استیضاح را می آموختید این حربه ها قدیمی شده #اعتماد_به_سقف @Rouhani_ir</t>
  </si>
  <si>
    <t>Noors</t>
  </si>
  <si>
    <t>روحانی غلط کرد با ادعاهای من دراوردیش #روحانی</t>
  </si>
  <si>
    <t>ضدسازمان منفورمجاهدین‌خلق وعرازشه ورودشان اکیدأ⛔️</t>
  </si>
  <si>
    <t>ایران اشغالی</t>
  </si>
  <si>
    <t>pic.twitter.com/lDQFhvNITV</t>
  </si>
  <si>
    <t>کسی میتونه صحت این کلیپ که این پیج گذاشته راتأییدبکنه؟توش ادعامیشه پسر #جهانگیری معاون #روحانی یکی از این دونفره که سواراین فراری طلایی میشن اگرصحت داشته باشه که خاک عالم بر سر تک تک ماایرانیان #مشهدالرضا #دولت_ناکارآمد #دولت_تدبیروامید</t>
  </si>
  <si>
    <t>Davinchi</t>
  </si>
  <si>
    <t>https://instagram.com/dnl.96</t>
  </si>
  <si>
    <t>‏‏‏‏‏‏‏‏‏‏🎂🎁🎈‏۲۲بهمن ۱۳۷۴/اردبیل دانشجوی پزشکی/ایلام اگر خطایی از من می‌بینی،آن را به پای مکتبم منوی</t>
  </si>
  <si>
    <t>امروز کلن جاده بودم و از #سوال_از_رئیس‌جمهور کلن خبر ندارم و از اینکه حس میکنم چیزی رو از دست ندادم دلشادم :)</t>
  </si>
  <si>
    <t>دانیال جابرصفار🇮🇷🇵🇸</t>
  </si>
  <si>
    <t>پاینده ایران</t>
  </si>
  <si>
    <t>طویله #مجلس باز نمایش پخش کرد.</t>
  </si>
  <si>
    <t>MojganParsi</t>
  </si>
  <si>
    <t>‏‏‏‏‏‏‏‏‏‏‏‏‏‏‏‏‏‏‏‏‏‏‏‏‏‏‏‏تولید و فروش ‏‏‏‏‏‏‏صنایع دستی، فیلمنامه و داستان</t>
  </si>
  <si>
    <t xml:space="preserve">فعلا روی خاک </t>
  </si>
  <si>
    <t>https://pbs.twimg.com/media/DltS6rJXsAEEm_L.jpg</t>
  </si>
  <si>
    <t>https://twitter.com/SharghDaily/status/1034511736257347585</t>
  </si>
  <si>
    <t>مگه قرار بود قانع بشید عزیزان؟ قرار بود بفهمید که رئیس کیه یا کی از همه به رئیس تزدیک تره که قائدتن باید تاحالا فهمیده باشید! اگر هم تاحالا نفهمیدید که دیگه..... #سوال_از_رئیس‌جمهور RT @SharghDaily: صفحه یک روزنامه شرق چهارشنبه ۷ شهریورماه ۱۳۹۷</t>
  </si>
  <si>
    <t>Amirhossein ✒🎗M 🎬</t>
  </si>
  <si>
    <t>امروز دلم سوخت واسه #روحانی اخه مگه میشه یه انسان تو یه ربع انقدر #دروغ بگه #کذاب #شهید #استخر #تکرار #برجام #سلبریتی</t>
  </si>
  <si>
    <t>mostafa motlagh</t>
  </si>
  <si>
    <t>http://www.Almahdyoon.org</t>
  </si>
  <si>
    <t>‏خداوند به درون آدمها آگاه است و افراد صالح را از تبهكار تشخيص مى دهد،پس خليفه و جانشينی را كه انتخاب مى كند که از بهترین و داناترين بندگان خويش بر زمین هستند</t>
  </si>
  <si>
    <t xml:space="preserve">www.Almahdyoon.org  </t>
  </si>
  <si>
    <t>https://www.instagram.com/p/BnCr8v4lcfm/?utm_source=ig_twitter_share&amp;igshid=16f4byq929dwm</t>
  </si>
  <si>
    <t>ansaria10313</t>
  </si>
  <si>
    <t>آقای روحانی آقای مسول آقای دزد آقای مال مردم خور آقای حرام خور تو سیری وبی درد آیا خبر داری از حال پریشان مردم آیا میفهمی حال پدرانی که ازشرم خانواده شان هرروز می میرند خبر داری از حال مردم گشنه مریض دربه در بی چاره درمانده ایران. نداری بی وجدان نداری #روحانی #مجلس #ایران</t>
  </si>
  <si>
    <t>رأی #مجلس به پاسخ #رئیس_جمهور بیش از خود پاسخها منشأ مشکلات اقتصادی را نشان داد. #نمایندگان فقط در مورد #تحریم بانکی با #روحانی همراهی کردند، عاملی که تا حد زیادی به وجود آورنده چهار معضل دیگر است. #سیاست های نظام کشور را به انزوا کشانده و مسبب مشکلات #اقتصادی امروز هستند.</t>
  </si>
  <si>
    <t>Chakhmagh</t>
  </si>
  <si>
    <t>نمی دانم چرا مردمی که حق انتخاب سیاست های کلان را دارند @JZarif و بر اقتصاد کشور تاثیر گذار و‌رییس جمهور امریکا #ترامپ ازشون خط میگیره @Rouhani_ir در کف خیابان بابت خواسته های حداقلی و اعتراضات کوچک کتک می خورن و دستگیر می شوند #ایران_را_پس_میگیریم #وقاحت #روحانی #ایران_آزاد۹۷</t>
  </si>
  <si>
    <t>taraneh</t>
  </si>
  <si>
    <t>https://www.instagram.com/munzzz/</t>
  </si>
  <si>
    <t>Iran enthusiast</t>
  </si>
  <si>
    <t>صحبتهای امروز #روحانی در مجلس، من رو یاد بغداد باب (محمد سعید الشرف) وزیر اطلاعات صدام انداخت. میومد جلوی دوربین میگفت هیچ بحرانی نیست در عراق و پشتش بمب از آسمون میبارید.</t>
  </si>
  <si>
    <t>Munzz</t>
  </si>
  <si>
    <t>گرچه رو سیاه تر از من کسی نیست، ولی اسلام هویت من است</t>
  </si>
  <si>
    <t>pic.twitter.com/4ATpFssrvz</t>
  </si>
  <si>
    <t>https://twitter.com/DaryaKavoos/status/1034579031029678080</t>
  </si>
  <si>
    <t>چقدر پریزیدنت پر رویی داریم ما!!! #روحانی #سوال_از_رئیس_جمهور RT @DaryaKavoos: نِه بابا، نِه</t>
  </si>
  <si>
    <t>Ramkalsharif</t>
  </si>
  <si>
    <t>‏‏‏‏‏‏‏‏‏‏اکانت قبلیم محدود شد.فالو کنید=بک [ریتوییت به معنای تایید محتوا نیست]</t>
  </si>
  <si>
    <t>این و چی میگی!! این و چی میگی!! این و چی میگی!! این و چی میگی!! این و چی میگی!! این و چی میگی!! این و چی میگی!! تیکه کلام نمایندگان بعد از هر سوال... #سوال_از_رییس‌جمهور</t>
  </si>
  <si>
    <t>Reza Shaban</t>
  </si>
  <si>
    <t>ماییم و نوای بی نوایی🎼بسم الله اگر حریف مایی🎼حضرت مولانا🇮🇷حق طلبم</t>
  </si>
  <si>
    <t>از همون اول که #روحانی گفت امیدوارم به توصیه‌های رهبری درباره این جلسه بتونم عمل کنم،فهمیدم پاسخگویی به مردمی که بهش رأی دادند، اصلا براش مهم نیست و تنها رضایت رهبری و طی کردن مدارج عالی براش مهم است. غافل از اینکه با این عملکرد،معلوم نیست در آینده اصلا جمهوری اسلامی باشه😐😐😐😐</t>
  </si>
  <si>
    <t>Met🌍</t>
  </si>
  <si>
    <t>https://pbs.twimg.com/media/DlupcNjXsAAOPa-.jpg</t>
  </si>
  <si>
    <t>اگه بگم تاحالا ازیناااااا ندیدم مسخره ام میکنید؟! #سوال_از_رییس‌جمهور</t>
  </si>
  <si>
    <t>قیمت #دلار سال ۵۷ نزدیک ۱۰تومن و با پایان #میرحسین در ۶۸ با صعود ۱۲برابری رسید به ۱۲۰تومن #اکبر با ۱۲۰ تو ۶۸ دلار را رساند به ۶۴۰ تومن تقریباً ۶برابر تا ۷۷ #خاتمی دلار۶۴۰ را رساند به۹۰۰ تومن #احمدی_نژاد دلار ۹۰۰ تومن را رساند به۳۳۰۰ تومن تقریباً ۴برابر #روحانی دلار ۳۳۰۰ را...</t>
  </si>
  <si>
    <t>فرد دچار خطای استراتژیک مخالفتش با #روحانی هم راستا و قوام بخش امیال پایداری چی هایی چون ذوالنور میشود همانطور که اواخر اصلاحات عده زیادی با آبادگران چنان هم آوا شدند تا به احمدی نژاد رسیدند.نقد روحانی حق ست اما در جهتی که به برکشیدن اعوان استبداد کمک نکند.</t>
  </si>
  <si>
    <t>🇮🇷Rahmat@1983</t>
  </si>
  <si>
    <t>وقتی به دنیا آمدم ... مُردم😐 / هیچ چیزی قابلِ تعمیم به همه نیست</t>
  </si>
  <si>
    <t>لا مکان</t>
  </si>
  <si>
    <t>اینکه جلسه‌ی #سوال_از_رئیس‌جمهور، زمانِ #احمدي_نژاد با تنش همراه بود و زمانِ #روحانی با خنده و شوخی، نشونه‌ی پیشرفتِ اخلاقیِ مملکت نیست. بلکه با توجه به وضع اقتصادیِ ملّت در هر دو مقطعِ زمانی، نشونه‌ی اینه که باید رید به کلیه‌ی قوای #جمهوري_اسلامي در طول این 40 سال. #مجلس</t>
  </si>
  <si>
    <t>🎗️ آجر پاره 🎗️</t>
  </si>
  <si>
    <t>‏‏‏‏‏خبری در راه است...</t>
  </si>
  <si>
    <t>چرا مناطق محروم در دید و چشم انداز دولت نیست؟؟؟!!! #سوال_از_رییس‌جمهور</t>
  </si>
  <si>
    <t>به زودی....</t>
  </si>
  <si>
    <t>https://pbs.twimg.com/media/DluvLO8XgAAV6N0.jpg</t>
  </si>
  <si>
    <t>هشتگ‌های #داغ ۸ ساعت گذشته ۱. #RaminHosseinPanahi ۲. #رامین_حسین_پناهی ۳. #ایران ۴. #مثل_شرق_دروغ_میگی ۵. #روحانی</t>
  </si>
  <si>
    <t>‏‏‏‏‏‏‏‏#من_انقلابی_ام هاربٌ منك الیك..../ سعی میکنم کم بگم و گزیده بگم چون دُر! اضافات رو به بزرگی خودتون ببخشید</t>
  </si>
  <si>
    <t>زمین کجه. البته اینکه نمیتونم برقصم هم بی تأثیر نیست! #سوال_از_رئیس_جمهور</t>
  </si>
  <si>
    <t>ناظم بی نظم🇮🇷🇵🇸</t>
  </si>
  <si>
    <t>http://eitaa.com/mahdi_move_313</t>
  </si>
  <si>
    <t>حسین آرمان است و کربلا آرمان شهر انقلابی ماندن مهمتر از انقلابی بودن ما منتظر انقلاب قیام کننده غائبیم ادمین کانال "جنبش مهدویت 313" در پیام رسان های ایتا سروش</t>
  </si>
  <si>
    <t>Isfahan, IRI</t>
  </si>
  <si>
    <t>https://pbs.twimg.com/media/DluxURqXoAIz_Ge.jpg</t>
  </si>
  <si>
    <t>* پدیده هایی رو می شناسم به اسم نماینده ملت که تو جلسه #سوال_از_رئیس‌جمهور همون ملت نبودن. - واقعا؟! حالا کیا بودن این عجایب روزگار ؟! * خب چیزه .... مطلب فوق سریه - ..... #شفافیت_آراء_نمایندگان</t>
  </si>
  <si>
    <t>🇮🇷Poorya Kadivar</t>
  </si>
  <si>
    <t>‏شاید وقتی دیگر.....؟</t>
  </si>
  <si>
    <t>جناب آقای #رییس_جمهور باور کنید یکی از دلایل وضعیت نابسامان #اقتصاد سیاست های غلط #سازمان_برنامه_بودجه است لطفا ساختار ان را اصلاح کنید. #بسته_حمایتی</t>
  </si>
  <si>
    <t>farshad</t>
  </si>
  <si>
    <t>فندک.........فندک تو کدوم جیبه؟</t>
  </si>
  <si>
    <t>#روحانی مدام از #امید حرف می‌زنه؛ اما ارزش واقعی این کلمه رو نمی‌دونه و بی‌جهت ازش استفاده می‌کنه. روحانی همون بلایی رو سر واژه امید آورد که #احمدي_نژاد سر مقوله‌ای چون پاک‌دستی و ساده‌زیستی. به امید مردم خیانت شد. از رای به روحانی پشیمان نیستم، متاسفم.</t>
  </si>
  <si>
    <t>پروفسور فون غاز وينگ</t>
  </si>
  <si>
    <t>هیچی</t>
  </si>
  <si>
    <t>دقت کردید دایورت کردن اوضاع فاجعه اقتصاد به اتفاقات 5دی 96 توسط روحانی، در درجه ای از جفنگیت قرار داشت که حتی طرفداران دولت هم خجالت کشیدند روی آن مانور دهند! شاید هم با خودشان گفتند مخاطب که احمق نیست، میپرسد پس اغتشاشات 8 ماهه سال 88 چه نتایجی داشت؟! #سوال_از_رئیس‌جمهور</t>
  </si>
  <si>
    <t>حامد رضایی</t>
  </si>
  <si>
    <t>خلاصه حرفهایی #روحاني در مجلس: ما اگر با هم متحد شویم ملت هیچ غلطی نمیتواند بکند</t>
  </si>
  <si>
    <t>قربانی ادوار</t>
  </si>
  <si>
    <t>‏‏‏‏‏‏همیشه اونی که بیشتر از سنش میفهمه، کمتر از سن خودش زندگی میکنه…😎</t>
  </si>
  <si>
    <t>امسال واسه محرم پشت شیشه عقب پرایدم مینویسم؛ یزید میدونی شدم 40میلیون #سوال_از_رییس‌جمهور #روحانی #پراید</t>
  </si>
  <si>
    <t>sina_alavi</t>
  </si>
  <si>
    <t>#روحانی میگه اوضاع اقتصادی کشور خوبه و بحرانی نیست ولی هیچ وقت نمیگه کدوم کشور</t>
  </si>
  <si>
    <t>‏‏programmer - عضو حزب اعتدال و توسعه استان اصفهان</t>
  </si>
  <si>
    <t>یک برگه #رای داشتم که به #روحانی دادم و هنوز هم تمام قد ازش #دفاع میکنم.</t>
  </si>
  <si>
    <t>🇮🇷 mohammad yasin</t>
  </si>
  <si>
    <t>‏‏‏‏‏‏‏‏‏آتش, اقیانوس را آواز داد 🌹🌹🌹 آخرین ققنوس را پرواز داد</t>
  </si>
  <si>
    <t>Ahwaz</t>
  </si>
  <si>
    <t>https://pbs.twimg.com/media/Dlu8EopXcAAwYh_.jpg</t>
  </si>
  <si>
    <t>اِخخخخخِی! بمیرم برا مظلومیت #روحانی! #سوال_از_رییس‌جمهور</t>
  </si>
  <si>
    <t>جانم فدای رهبر</t>
  </si>
  <si>
    <t>https://pbs.twimg.com/media/Dlu8GbYW0AUubP8.jpg</t>
  </si>
  <si>
    <t>اووف بر رئیس جمهور اسکاتلند و شاید بهتره بگم تف. #سوال_از_رییس‌جمهور</t>
  </si>
  <si>
    <t>عباس دهقان</t>
  </si>
  <si>
    <t>http://Selahvarzi.com</t>
  </si>
  <si>
    <t>مهمترین تاثیر سوال از #رئیس_جمهور و پاسخ های بر #اقتصاد کشور و‌معیشت #مردم چه بود؟ افزایش قابل توجه قیمت #دلار در بازار و ریزش چشمگیر شاخص #بورس ! #ايران</t>
  </si>
  <si>
    <t>Hossein Selahvarzi/سلاح ورزى</t>
  </si>
  <si>
    <t>‏ناچیزتر از هیچ../</t>
  </si>
  <si>
    <t>pic.twitter.com/3npTKYLcvo</t>
  </si>
  <si>
    <t>من از شما میپرسم؟! نِه.... نِه.... نِه..... (پست محمدجواد رضایی در صفحه اینستاگرامش) #سوال_از_رییس‌جمهور</t>
  </si>
  <si>
    <t>مشکات</t>
  </si>
  <si>
    <t>#مردم عزیز اگر ما از خودرو سازی #مطالبه_گری کنیم و از آن ها #خودرو نخریم قیمت #پراید ۴۰ میلیون نمیشه #تغییر_به_نفع_مردم #پاسخگویی #روحانی</t>
  </si>
  <si>
    <t>میگن؛ رئیس‌جمهور #سوئیس به #روحانی پیغام داده: خوبه منم بیام رئیس‌جمهور #ایران بشم؟! نکن این کار رو آقاجان! #سوال_از_رییس‌جمهور</t>
  </si>
  <si>
    <t>جستجوي حقيقت يك سفر بي پايان است. ولي مي توان مدعيان دروغين راشناخت كه ان هم كار ساده اي نيست.</t>
  </si>
  <si>
    <t>بی جربزه تر از #خاتمی، #روحانی هست. این مملکت مثل گله بدون چوپون افتاده دست #خامنه‌ای و #سپاه و دارند مملکت را به باد میدهند. مردم هم که واقعا مثل #گوسفند.</t>
  </si>
  <si>
    <t>قالو سلاما</t>
  </si>
  <si>
    <t>جمهوری اسلامی ایران کشور امام زمان عج</t>
  </si>
  <si>
    <t>باشه بابا اصلا شما استاد حل مشکلات هستید سپاه و رهبری نمیذاره،ولی دیگه این حرفها تکراری شده،قبلا #خاتمی تون میگفت نمیذارن حالا #روحانی تون شما که اوندفعه دیدید نمیذارن شکر خوردین قول 100 روزه به مردم دادین! 5سال وطن فروشی کافیه تا همه بفهمن شماها چه دیوثهایی هستین! RT @mostafatajzade: #روحانی می‌توانست با تبیین علل و عوامل اصلی مشکلات کشور گام بلندی در جهت رشد آگاهی‌های عمومی بردارد و مشارکت ملت را برای حل معضلات، خنثی‌کردن کارشکنی‌های دولت پنهان و طمع‌ورزی‌ ترامپ جلب کند. رای منفی مجلس نشان داد نگفتن حقایق رقیب را جری و مردم را ناامید می‌کند.</t>
  </si>
  <si>
    <t>ATPak</t>
  </si>
  <si>
    <t>‏‏+ زندگے لبخند معنا دار مےخواهد فقط ... (((:</t>
  </si>
  <si>
    <t>#سوال_از_رئیس_جمهور فقط اونجاش که بپرسن آخرین باری که این وقت صبح بیدار بودی کی بوده؟ //:</t>
  </si>
  <si>
    <t>•|еямча|•</t>
  </si>
  <si>
    <t>مراقب باشید هشتک #مثل_شرق_دروغ_میگی شما را از هشتک #سوال_از_رییس‌جمهور غافل نسازد .</t>
  </si>
  <si>
    <t>‏نقادم،پیرو مکتب فرانکفورت !</t>
  </si>
  <si>
    <t>خروجی نظارت استصوابی قابلیت اشاره به حقایق رو نداره ! #سوال_از_رییس‌جمهور</t>
  </si>
  <si>
    <t>http://M.Sc. in Urban Planning، Project Manager.(expert gis)</t>
  </si>
  <si>
    <t>Persian</t>
  </si>
  <si>
    <t>https://pbs.twimg.com/media/DlvCtwLXsAAlRlR.jpg</t>
  </si>
  <si>
    <t>#روحانی برنده نهائی #خنداننده_شو #دلار #رکود</t>
  </si>
  <si>
    <t>Mostafa</t>
  </si>
  <si>
    <t>Culture</t>
  </si>
  <si>
    <t>کارمون به جایی رسیده که خوشحالیم #رئیس_جمهور حاشیه ای جدید درست نکرد؛ و اینکه چه جوابی به سولات داد برایمان مهم نیست.</t>
  </si>
  <si>
    <t>Hamzehnajjarzadeh</t>
  </si>
  <si>
    <t>‏‏‏‏‏دانشجوی دکتری پیوسته سرویس دهان؛ ارزشی اصلاحطلب سلطنت طلب برانداز مجاهدین فالو کنن فالوورام بره بالا😂</t>
  </si>
  <si>
    <t>الان بدجوری دستشویی دارم چرا ماشین نمی ایسته #سوال_از_رییس‌جمهور</t>
  </si>
  <si>
    <t>مرتیکه توییتری MT7</t>
  </si>
  <si>
    <t>http://Telegram.me/appliedpsychoanalysis</t>
  </si>
  <si>
    <t>Medical Doctor Psychotherapist PHD Student in Medical University of Vienna (Mental Health and Behavioral Medicine)</t>
  </si>
  <si>
    <t>Iran.Austria</t>
  </si>
  <si>
    <t>یکی از پیشرفت های مغفول مانده در #مجلس این سخن جناب ذوالنور بود که اعلای کشور داری را سوییس معرفی کردند. انصافا از الگوی کره شمالی به سوییس رسیدن تبحری ست که فقط دوستان اهل پایداری دارند.</t>
  </si>
  <si>
    <t>Atireza</t>
  </si>
  <si>
    <t>‏‏‏فرصت اندکی باقی است...</t>
  </si>
  <si>
    <t>الان وضعیت یه جوریه که رفتن یا موندن #روحانی، هر دوتاش هزینه‌های سنگین برای نظام و کشور داره.</t>
  </si>
  <si>
    <t>پورِحَـیدَر</t>
  </si>
  <si>
    <t>https://pbs.twimg.com/media/DlvFPx1XsAEaB5_.jpg</t>
  </si>
  <si>
    <t>#روحانی: نگران نباشید #بحران نداریم! در مرحله #آسیب هستیم.</t>
  </si>
  <si>
    <t>منتظر ، به وضع موجود راضی نیست...</t>
  </si>
  <si>
    <t>https://pbs.twimg.com/media/DlvG2nfX4AAN89v.jpg</t>
  </si>
  <si>
    <t>یکی به ما توضیح بده این چطوری سرد میکنه ؟!😅 پروانه اش کو؟🤔 #سوال_از_رییس‌جمهور</t>
  </si>
  <si>
    <t>محمد ابراهیم</t>
  </si>
  <si>
    <t>http://facebook.com/ariadoustt</t>
  </si>
  <si>
    <t>*hello world*lift engineer and elevator installer in iran (Bankrupt)</t>
  </si>
  <si>
    <t>#روحانی میگه ما هیچ بحرانی تو مملکت نداریم ولی من اعتقاد دارم مملکت دچار بزرگترین سونامی تاریخ است نه غلام #ایران</t>
  </si>
  <si>
    <t>shahram ariadoust</t>
  </si>
  <si>
    <t>حالا #روحانی که انقدر بی خاصیت هست که کسی زحمت ترورش رو نکشه،ولی میترسم برای اثبات مظلومیتش با همون کلتی که ترتیب پسرشو داد به تیر خلاص به خودش بزنه! والا!از این و #آشنا هیچی بعید نیست!</t>
  </si>
  <si>
    <t>‏‏‏‏‏‏‏‏‏‏خدارو شکر مولایم علی شد دل من پیش همانیست که نیست</t>
  </si>
  <si>
    <t>آنجا</t>
  </si>
  <si>
    <t>شمایی ک رفتی #مجلس شورای اسلامی خطابه کردی #منطق_ارسطو معنای جدیدی پیدا کرد و #فلسفه_سقراط مریدت شد #صبح_شما_هم_بخیر #ظریف_طور</t>
  </si>
  <si>
    <t>سلول خاکستری</t>
  </si>
  <si>
    <t>Student of Materials Science and Metallurgy Hakim Sabzevari University</t>
  </si>
  <si>
    <t>تو که از مهنت دیگران بی غمی نشاید که نامت نهند آدمی #سوال_از_رئیس_جمهور</t>
  </si>
  <si>
    <t>Ali Bolouki</t>
  </si>
  <si>
    <t>‏یک مهندس نقشه‌بردار خسته، بلاک شده توسط آخوند معدن، حسین دهباشی و شهاب اسفندیاری و البته عطاالله مهاجرانی</t>
  </si>
  <si>
    <t>ناکجاآباد</t>
  </si>
  <si>
    <t>هه اینهمه آشنا و غیرآشنا گفتن روحانی حرفهای ناگفته را خواهد زد و طوفان به پا میکند، این شد آخرش؟ یعنی آغاز سقوط #روحاني رو مجلس استارت زد؟</t>
  </si>
  <si>
    <t>⁩RS⁦⁩⁩⁦</t>
  </si>
  <si>
    <t>‏‏مرا این بس که میدانم تمیز دوست از دشمن</t>
  </si>
  <si>
    <t>127.0.0.1</t>
  </si>
  <si>
    <t>#مشخصه که قبلش وجود داشته ما البته #نمیدونیم دقیقا چی بوده #ولی #اگر بخوایم کیهان جدی بگیریم #طبیعتن خب #ممکنه که بخشی از توصیه ها #ممکنه راجع به مجموع اتفاقات باشه که تا چه حد جلسه داغ #باشه_یا_نباشه تحلیلگربی‌بی‌سی #حسین_باستانی #روحانی</t>
  </si>
  <si>
    <t>هایدگر 🇮🇷</t>
  </si>
  <si>
    <t>‏‏‏در انتظار طلوعی، که بسوزاندم ز ریشه...!!</t>
  </si>
  <si>
    <t>گویا حرکت دیروز #مجلس در خصوص #سوال از #روحانی بر خلاف هیاهوی #رسانه ای حرکتی نمادین بوده و هیچ وجاهت قانونی نداشته ...</t>
  </si>
  <si>
    <t>پارتیـــــزان</t>
  </si>
  <si>
    <t>•Researcher in politics - IT Engineer - Media literacy•</t>
  </si>
  <si>
    <t>چقدر باید ساده باشیم اگر فکر کنیم با #استیضاح #وزیر_اقتصاد و وزیر صنعت و وزیر راه و..‌. اتفاق خاصی در #اقتصاد کشور رخ خواهد داد در حالیکه همچنان فرمان اقتصاد کشور در دست #نولیبرال هاست و از اتاق #مسعودنیلی، #محمدنهاوندیان و #نوبخت اداره میشود</t>
  </si>
  <si>
    <t>soheil.fa</t>
  </si>
  <si>
    <t>تو یه همچین وضعیت بحرانی رئیس جمهور #مملکت پا شده رفته #مجلس تا پاسخگو باشه, اونوقت حداقل 20سی نفر از #نماینده ها غایبن. کجان دقیقا؟ اون کاری که مهمتر از پیگیری مطالبات مردمه و باعث غیبت شون شده چیه؟</t>
  </si>
  <si>
    <t>حاج علی</t>
  </si>
  <si>
    <t>https://pbs.twimg.com/media/DlvL2CGX0AARpEJ.jpg</t>
  </si>
  <si>
    <t>حرف زدن که بلد نیستی؛ حرف نزدن هم بلد نیستی!؟😐 رسانه های حامی دولت سعی دارند سوالات نمایندگان #مجلس از روحانی را عامل این گران شدن #دلار جلوه دهند! در صورتی که سوالات مدتی است که توسط مجلس مطرح شده است!! #اعتماد_به_سقف #تغییر_به_نفع_مردم #تحقیر_مردم #سواد_رسانه_ای #بصیرت</t>
  </si>
  <si>
    <t>Son, Brother. Economist and Financial Expert. @MITOCW and @edXOnline fan. Looking for the God Shot of coffee and the perfume of paradise. RTs not endorsements.</t>
  </si>
  <si>
    <t>اینهمه نمایش و برو و بیا و پرسش و پاسخ مجلس و حرافی‌های #روحانی فقط وقتی درخور اهمیت بود که کوچکترین تاثیری در زندگی و معاش می‌داشت. فی‌الواقع مملکت به مدد رویه‌های از سر عادت و تکرار اداره میشه و رئیس جمهور و دولت و مجلس و الباقی مشتی علاف و بیکاره هستند.</t>
  </si>
  <si>
    <t>Saeed Goudarzi | سعید گودرزی</t>
  </si>
  <si>
    <t>بازم‌ جرات #احمدی‌نژاد باز اون حیگر داشت تو جلسه مجلس دوتا فیلم از لاریجانیا نشون داد #روحاني که جرات این کارم نداشت #سوال_از_رئیس‌جمهور</t>
  </si>
  <si>
    <t>muslim, student</t>
  </si>
  <si>
    <t>tehran,iran</t>
  </si>
  <si>
    <t>شايد تنها حسن #سوال_از_رئیس_جمهور اين بود كه #روحاني فهميد بابا مردم فرق ماله كشي و آمار دروغ رو با حرف منطقي و درست تشخيص ميدهند.</t>
  </si>
  <si>
    <t>emampur</t>
  </si>
  <si>
    <t>https://pbs.twimg.com/media/DlvN2B2UYAE08og.jpg</t>
  </si>
  <si>
    <t>https://twitter.com/isna_farsi/status/1034646871937961986
http://www.isna.ir/news/97060703290</t>
  </si>
  <si>
    <t>اینا همش بهونست که دیگه کسی دونبال #سوال_از_رئیس‌جمهور نباشه بعدش بگن دیدید گیر دادید به #روحانی اوضاع چه قدر بدتر شد ولش کنید کارش رو انجام بده،اگه باز سوال پیچش کنید اوضاع از این هم بدتر میشه #سوال_از_رییس‌جمهور RT @isna_farsi: باغجری، استاد دانشگاه: *ارجاع سوال از رئیس جمهور به قوه قضاییه می‌تواند باعث بدتر شدن اوضاع اقتصادی شود *اگر مسائل سیاسی بخواهد به اوضاع اقتصادی اضافه شود، می‌تواند مسائل را حادتر و تورم را بیشتر هم کند</t>
  </si>
  <si>
    <t>تا نفس در جان است باید رفت....</t>
  </si>
  <si>
    <t>چند ماه پيش و در اختتاميه جشنواره فيلم فجر، حاتمي کيا گفت: من فيلم ساز #وابسته_به_نظامم؛ ديروز #روحانی نیز در #مجلس گفت: من رئيس جمهور #وابسته_به_نظامم!! آخه يه صندلي بعد سال 1400 ارزشش را داره؟ اين چندمين بازی باخت باخت هست؟ فلانی تو از گندم ری نخواهی خورد.. وابسته به مردم باش..</t>
  </si>
  <si>
    <t>مجید حصارکی</t>
  </si>
  <si>
    <t>‏احتجاج حدیث نفس در قیل و قال دنیا از چرک نویس ترک خرده دوران</t>
  </si>
  <si>
    <t>https://pbs.twimg.com/media/DlvQM3TWsAAZSwC.jpg</t>
  </si>
  <si>
    <t>یک سینه حرف موج زند در دهان ما از بیم دین اگر چه خموشیم چون حباب #روحانی #تدبیروامید</t>
  </si>
  <si>
    <t>Mahdi</t>
  </si>
  <si>
    <t>I will be an Oscar winner trust me /creative writer and entrepreneur /😎👊 / Instagram: ashkan_martin1990/ humans all are equal so forget about boarders&amp;colors</t>
  </si>
  <si>
    <t>بعضی از این آقایان #دلواپس و #اصلاحات_نما چنان درباره سخنرانی #روحانی جبه گرفتن و میگن روحانی اینو نگفت و اونو گفت؛ قدیما یه چیزی بود به نام شرم و حیا سیاست مدارانی که وقتی توانایی و جسارت انجام یک کاری رو ندارن باید برن. #روحانی هم کننده کار نیست.</t>
  </si>
  <si>
    <t>ASHKAN</t>
  </si>
  <si>
    <t>صبح تا میای فضای مجازی جای اینکه یه دعایی یه ارامشی یا به هر حال کورسویی از امید باشه میبینی از هر طرف مصیبت آوار شده سرت اون از اتاق بازرگانی و مسئولش که میگه بپپذیریم شکست خوردیم اون از #شرق و معرفی #مشهد به عنوان خانه فساد اون از #راز_مشایی اون از وضع #روحانی چه خبره !!!</t>
  </si>
  <si>
    <t>عاقا یه پیشنهاد عالی برا #روحانی دارم تازه از تنور در اومده.#اسحاق رو بده بره #پراید بخره.😀</t>
  </si>
  <si>
    <t>سخنان یک رئیس جمهور در دورانی که دلار ارزان است و در دورانی که دلار چندین برابر شده و به تبع آن ملت به شدت مستاصل شده اند نمی تواند یکی باشد #حرف #عمل #راهکار باید تغییر یابد . #سوال_از_رئیس‌جمهور</t>
  </si>
  <si>
    <t>‏‏دانشجو ، انقلابی،چادری، قاطع ،شش ماهه چادری شدم و الان آزادم😊😊</t>
  </si>
  <si>
    <t>مادرم داره تند تند کار میکنه و من هنوز بهش نگفتم که شیرینی سفارش ندادم قبل از اینکه بهش بگم و با دار فانی وداع کنم باید بگم : آقای روحانی تو این #مجلس_فشل کارت زرد گرفتی یعنی در واقع از دید مردم #کارت_قرمز رو گرفتی. برو تو اتاقت به کارای بدی که کردی فکر کن #سوال_از_رییس‌جمهور</t>
  </si>
  <si>
    <t>Saba</t>
  </si>
  <si>
    <t>آماتورم در همه چيز و همه كار</t>
  </si>
  <si>
    <t>تعجب ميكنم از كسانى كه منتظر بودند #روحانى حرف صريح و متفاوتى بزند اولا تيپ و مدل روحانى هميشه همين مدل يكى به ميخ و يكى به نعل بوده دوما دنبال شنيدن چه حرفى هستيد ميشه دقيق بگيد رييس جمهور همان تداركاتچى است كه #خاتمى گفت</t>
  </si>
  <si>
    <t>شاهرخ ابراهيمى</t>
  </si>
  <si>
    <t>‏‏‏‏‏‏معجونِ جنگ و صلح و سکوت و غرور و غم مدیر ارشد انقلابی</t>
  </si>
  <si>
    <t>جایی حوالیِ احوالِ تو</t>
  </si>
  <si>
    <t>برخلاف «پدر» که هروقت گفت «درست میشه» درست شد، هروقت #روحانی میگه «درست میشه» یعنی جای درد قبلی رو فراموش کنید و به فکر جای جدید باشید! #سریال_پدر #سوال_از_رییس‌جمهور</t>
  </si>
  <si>
    <t>امیرارسلان نامدار</t>
  </si>
  <si>
    <t>There's no noise like the Anfield noise</t>
  </si>
  <si>
    <t>iran,alborz,mehstan,new city</t>
  </si>
  <si>
    <t>اقا حواس مجلس رو با سوال از #روحانی پرت نکنید!مجلس کارش این چیزا نیست که، مردم و این پشمک ها مهم نیستن که! اون خانم خوشگلا رو با ما هم آشنا کن! اینه دردشون آقا #لطفا_مزاحم_نشوید</t>
  </si>
  <si>
    <t>hafez</t>
  </si>
  <si>
    <t>https://pbs.twimg.com/media/DlvUBAFX4AA6vAl.jpg</t>
  </si>
  <si>
    <t>یعنی موارد مطرح شده توسط رئیس جمهور محترم در مجلس این قدر ضایع بوده که دیگه کسی جوابش را نمی ده؟! #سوال_از_رئیس_جمهور</t>
  </si>
  <si>
    <t>‏‏منتقد همیشگی٬ معترض خسته</t>
  </si>
  <si>
    <t>Mashhad</t>
  </si>
  <si>
    <t>موقع سوال از #روحانی نمایندگان مجلس چه اصراری داشتن بگن #جناب_رییس_جمهور و از لفظ جناب روحانی پرهیز داشتن. یک چیزی در حد #مقام_معظم_رهبری</t>
  </si>
  <si>
    <t>سیدمهدی⁦©️⁩⁦®️⁩</t>
  </si>
  <si>
    <t>صید حسین اگر شدم دانه آن دام تویی... . . . IT Man . Islamic Medical Student</t>
  </si>
  <si>
    <t>https://pbs.twimg.com/media/DlvUKs-XsAAG9qC.jpg</t>
  </si>
  <si>
    <t>وقتی جوابهای کسی که بخاطرش حنجره و... خودتو پاره میکردی میشنوی #روحانی</t>
  </si>
  <si>
    <t>http://www.ibena.ir/news/90530/</t>
  </si>
  <si>
    <t>ایبِنا منتشر کرد؛ جزییات طرح #سپرده_ارزی #مجلس/ اعتماد به #بانک‌ ها را برگردانید</t>
  </si>
  <si>
    <t>او هیچ دوستی‌ندارد، یک انزواطلب است و اغلب دوست دارد به مکالمات دیگر افراد گوش بدهد و اقدامات آنها را بررسی کند.</t>
  </si>
  <si>
    <t>اقای هادی قوامی، عضو شورای مركزی فراكسيون مستقلين ولايی‌فرمودن اگر #روحانی عذرخواهی مي‌كرد، نتيجه‌ متفاوت بود. یعنی مسائل و مشکلات مملکت اینقد راحت و شخمی وار قابل چشم پوشیه!!! مرد مومن مگه مدرسه است و روحانی هم بچه تنبل و شیطون کلاس که با عذرخواهی همه چی رفع و رجوع شه!! #مجلس</t>
  </si>
  <si>
    <t>روکانتن</t>
  </si>
  <si>
    <t>بیشتر دوس دارم بخونم و ببینیم دیگران چی میگن، گاهی اوقات هم به کسی که باید، یادآوری کنم که “حاجی داغونیا”</t>
  </si>
  <si>
    <t>انتقام همه ی صحبتهای دروان انتخابات رو از روحانی و جهانگیری میگیرند، واقعا انتظار نداشتیم آن همه لگد پرانیها به ایکس و ایگرگ بی جواب بمونه! ولی فکر نمیکردیم به قیمت نابودی مملکت کاری بکنند، که دارند میکنند! #روحانی #مجلس #جهانگیری #انتخابات</t>
  </si>
  <si>
    <t>Omid Aghvami</t>
  </si>
  <si>
    <t>Karaj</t>
  </si>
  <si>
    <t>با صحبت هایی که دیروز از حسن روحانی شنیدم متوجه شدم که رئیس جمهور مردم هستند که نتوانستند انتظارات روحانی را بر اورده کنند..! #رئیس_جمهور #مردم_ایران</t>
  </si>
  <si>
    <t>Amirsezar</t>
  </si>
  <si>
    <t>جلال میرزایی سخنگوی #فراکسیون_امید مجلس: چيزي حدود ٣٠ تا ٤٠ درصد اعضاي فراكسيون اميد حاضر به حمايت از #روحانی نشده‌اند. آنها مي‌گويند روحاني پس از انتخابات اخير رياست‌جمهوري هر روز بيش از پيش از حاميان گفتماني‌اش دور شده است/ اعتماد</t>
  </si>
  <si>
    <t>http://mmoeeni14.blogspot.com/</t>
  </si>
  <si>
    <t>محمد معینی، Blogger, وبلاگ‌نویس، «مشمول رصد»، خبرنگار سابق، گاهی یادداشتی برای نشریات، کانال در تلگرام: https://t.me/mmoeeni1</t>
  </si>
  <si>
    <t>Zanjan - Iran</t>
  </si>
  <si>
    <t>https://www.farsnews.com/news/13970605000296/%D8%B1%D9%88%D8%AD%D8%A7%D9%86%DB%8C-%D8%B3%D8%AE%D9%86%D8%B1%D8%A7%D9%86%DB%8C-%D8%AF%D8%B1-%D8%A7%D8%AC%D9%84%D8%A7%D8%B3%DB%8C%D9%87-%D8%A2%D8%AA%DB%8C-%D8%AE%D8%A8%D8%B1%DA%AF%D8%A7%D9%86-%D8%B1%D8%A7-%D9%86%D9%BE%D8%B0%DB%8C%D8%B1%D9%81%D8%AA-%D8%B1%D9%88%D8%B3%D8%A7%DB%8C-%D8%AF%D9%88-%D9%82%D9%88%D9%87-%D8%AF%DB%8C%DA%AF%D8%B1</t>
  </si>
  <si>
    <t>#روحانی سخنرانی در اجلاسیه آتی خبرگان را نپذیرفته</t>
  </si>
  <si>
    <t>MHMD Moeini</t>
  </si>
  <si>
    <t>https://t.me/xHarfBot?start=100993959</t>
  </si>
  <si>
    <t>یک عدد آدم اشتباهی جهت دوست داشته شدن</t>
  </si>
  <si>
    <t>هیچ جا بابا</t>
  </si>
  <si>
    <t>https://pbs.twimg.com/media/DlvYVjiU4AA2YaC.jpg</t>
  </si>
  <si>
    <t>در نطق دیروز #روحانی چه گذشت !!!!</t>
  </si>
  <si>
    <t>‏Xacaнтуc</t>
  </si>
  <si>
    <t>#رئیس_جمهور روحانی در مجلس فرمودند : که اگر اراده بفرمایند ظرف دو هفته قیمت دلار به سال 1396 باز خواهد گشت ! این گفته یعنی چون پارسال تبلیغات انتخابات ریاست جمهوری بود ، باید اینقدر ارز به باز تزریق می شد که قیمت پایین بمونه . . . !</t>
  </si>
  <si>
    <t>Dopamine</t>
  </si>
  <si>
    <t>astronomer</t>
  </si>
  <si>
    <t>آنقدر از پنکه جناب حسن #روحانی ایراد نگیرید ایشون به هوای اسکاتلند عادت داره تهران هم که هات هات #سوال_از_رییس‌جمهور</t>
  </si>
  <si>
    <t>ریشو🇮🇷</t>
  </si>
  <si>
    <t>#روحانی با این سخنرانی می خواست هم مجلس رو تلطیف کنه هم به حرف های #رهبری عمل کنه و رهبری رو راضی کنه و نهایتا هم #مردم رو. ولی نشد هیچ کدوم</t>
  </si>
  <si>
    <t>amin.sdt</t>
  </si>
  <si>
    <t>اهل کاشونم. روزگارم بد نیست!😉 علاقمند به کشور و نظام، اعتقاد به ولایت مطلقه. علاقمند و پیرو‎‎‎‎‎#طب_اسلامی ‎‎‎‎‎#islamic_life‎‎‎‎‎#islamic_medicine</t>
  </si>
  <si>
    <t>کی_آشیان کاه_افشان کاشیان کاشو</t>
  </si>
  <si>
    <t>https://pbs.twimg.com/media/DlvZD_dXgAEeJ1S.jpg</t>
  </si>
  <si>
    <t>♻️ در جلسه امروز سئوال از #رییس_جمهور، عوامل آقای #روحانی چیزی را جا گذاشتند که با دیدنش تعجب کردم. کولر مخصوص آقای روحانی که در زمان نطق، زیر میزشان قرار داده شده بود تا ایشان را خنک کند! سيستم تهويه صحن علنی مجلس، سيستم به روزی است اما استفاده از کولر ساخت USA لطف دیگری دارد</t>
  </si>
  <si>
    <t>Maja</t>
  </si>
  <si>
    <t>ترند در ۲۴ ساعت گذشته: - ایران - ۶% - روحانی - ۴% - مجلس - ۴% - #RaminHosseinPanahi - ۳% - مردم - ۳% - #روحانی - ۳% - آمریکا - ۳%</t>
  </si>
  <si>
    <t>داروسازي هستم علاقه مند به فوتبال و پول!</t>
  </si>
  <si>
    <t>#روحاني ميتونه يه روز كامل حرف بزنه و آخرش هيچي نگفته باشه.</t>
  </si>
  <si>
    <t>HM omran</t>
  </si>
  <si>
    <t>https://Sapp.ir/khamenei_ir</t>
  </si>
  <si>
    <t>گرافیست / تدوین گر/برنامه ساز/انیماتور</t>
  </si>
  <si>
    <t>https://twitter.com/faa_raa135/status/1034465453152849920</t>
  </si>
  <si>
    <t>کاش یکی میتونست بره یه سیلی به #روحانی بزنه بگه این مملکتی که دستته داره #جوونیمون رو دود میکنه می‌فرسته هوا RT @Faa_raa135: کاش میتونستم برم یه سیلی بهش بزنم و بگم احمق این سیگاری که تو دستته داره جوونی تو دود میکنه میفرسته هوا به خودت بیا!!</t>
  </si>
  <si>
    <t>🇾🇪علیرضا 🌱🌿مسرور‏‎☫🇮🇷</t>
  </si>
  <si>
    <t>فعال رسانه ای در ایران - خبرنگارایرنا-دیدگاه ها شخصی است .</t>
  </si>
  <si>
    <t>https://pbs.twimg.com/media/Dlvat2HXoAAF01_.jpg</t>
  </si>
  <si>
    <t>تحلیل تیترها: تیتر سه روزنامه #شرق، #رسالت و #جوان، "قانع نشدیم" موضع مجلس و روزنامه. تیتر دو روزنامه #اعتماد و #ابتکار " #روحانی سخن نگفت" بیانگر برآورده نشدن انتظارات. تیتر #بهار در راستای نگاه تندروها تیتر #ایران از موضع حمله به تندروها. بدون اشاره به رای منفی #مجلس.</t>
  </si>
  <si>
    <t>hojat.mortaji</t>
  </si>
  <si>
    <t>‏‏‏‏‏محقق و نویسنده کتابهای بازگشت از نیمه راه، چهل تدبیر، حاشیه های مهم تر از متن، اختلاف نظر، نقابها و... دکترای حقوق عمومی دانشگاه علامه طباطبایی</t>
  </si>
  <si>
    <t>https://pbs.twimg.com/media/Dlvba6rW0AE_8jg.jpg</t>
  </si>
  <si>
    <t>رییس جمهوری داریم که لاریجانی عارف صفدر حسینی مطهری و اصلاح طلبا از حرفهاش قانع نمیشوند داریم حالا روحانی و روزنامه مطبوعش یه جوری تیتر زدند که انگار مصباح، رییسی، یزدی، جنتی و علم الهدی قانع نشدند این فرافکنی دیروز انگار خوب نتیجه داده امروزم تیترش کردن #سوال_از_رییس‌جمهور</t>
  </si>
  <si>
    <t>محمد علی الفت پور 🇮🇷🇵🇸</t>
  </si>
  <si>
    <t>‏‏درد من حصار برکه نیست، درد من زیستن با ماهیانی است، که فکردریا به ذهنشان، خطور نکرده است...!!! من دیپلمات نیستم،من انقلابی ام</t>
  </si>
  <si>
    <t>pic.twitter.com/ljg1zidfNJ</t>
  </si>
  <si>
    <t>ظاهرا اینها هم بعد از شنیدن صحبت های آقای روحانی، رَم کردند!! #سوال_از_رییس‌جمهور</t>
  </si>
  <si>
    <t>Somayeh Jaafariyan</t>
  </si>
  <si>
    <t>#دولت ها معمولا زیر تانکی حاکمیت و حکومت بودن عملکرد ضعیف دولت به حاکمیتی برمیگرده که در همه مسائل کشور درحال دخالت و سنگ اندازی است و دست و بال دولت را میبنده خرابکاری هم میکنن دولت باید پاسخگو باشه و مسئولیتش را بپذیره. #دولت_پنهان #نظارت_استصوابی #روحانی #مجلس #رهبری</t>
  </si>
  <si>
    <t>هیچ هیچ</t>
  </si>
  <si>
    <t>توئیت مشاور رسانه ای #روحانی تیتر یک امروز روزنامه های #ابتکار #هفت_صبح #قانون #آفتاب_یزد و #اعتماد پیدا کنید پرتقال فروش رو #روزنامه_های_زنجیره_ای #اصلاح_طلب #آشنا</t>
  </si>
  <si>
    <t>Mohajer</t>
  </si>
  <si>
    <t>http://Www.globalcity.blogfa.com</t>
  </si>
  <si>
    <t>ساختارگرا، ‏‏‏‏‏‏‏‏‏‏مسولیتی در قبال نظرات دیگران زیر توییت های خود ندارم</t>
  </si>
  <si>
    <t>من احساس می کنم روحانی به بعد از ریاست جمهوری به یه پست مهمتر می اندیشه، نوع صحبتاش در مجلس در جهت ایجاد نوعی سازش و توافق جمعی بر سر منافع ملی یک نشانه است. #روحانی</t>
  </si>
  <si>
    <t>ali🎗</t>
  </si>
  <si>
    <t>میتوانم انجام دهم چون میخواهم...</t>
  </si>
  <si>
    <t>هفته ای پر از #استیضاح و #سوال از #رئیس_جمهور و قانع نشدن نمایندگان ملت و بعدش چی میخواد بشه دیگه؟؟؟؟؟؟ #مجلس #نمایندگان_مجلس</t>
  </si>
  <si>
    <t>https://pbs.twimg.com/media/DlveAZLWwAAw5bl.jpg</t>
  </si>
  <si>
    <t>موضوع سوال از #رئیس_جمهور به #قوه_قضاییه نمی رود.فی البداهه نظر من این است. #علی_لاریجانی</t>
  </si>
  <si>
    <t>وكيل پايه يك دادگستري / فعال سياسي و اجتماعي</t>
  </si>
  <si>
    <t>بعيد ميدانم اگر از همين امروز #مجلس و #دولت به كل #تعطيل شوند و كشور بدون مجري بماند وضعيت معيشت مردم ازين بدتر شود</t>
  </si>
  <si>
    <t>علي نصري</t>
  </si>
  <si>
    <t>‏‏ای که از مزار من میگذری روضـــه بخوان نام زینب(س)شنوم زیر لحـــد گریه کنم سر قبرمـ چو بخواننــــد دمـــی روضــه شام سر خــود با لبـــه سنگـــ لحـــد میشکــــن</t>
  </si>
  <si>
    <t>https://pbs.twimg.com/media/DlveyNaWsAIBXEY.jpg</t>
  </si>
  <si>
    <t>عجب کابوسی داشتم به همه سوالا جواب میدادم خداروشکر خواب بود #سوال_از_رییس‌جمهور</t>
  </si>
  <si>
    <t>علی(توییتر اجازه فالو نمیده)</t>
  </si>
  <si>
    <t>a mother challenging live and work and educate in iran</t>
  </si>
  <si>
    <t>معنی استیضاح رو هم فهمیدیم!!!😏 #استیضاح</t>
  </si>
  <si>
    <t>AteneNezami</t>
  </si>
  <si>
    <t>https://twitter.com/saeed_ghamari/status/1034326427418718209
https://twitter.com/Emoji_khan/status/1034326032017436672</t>
  </si>
  <si>
    <t>ما یه گاو داشتیم پرواز میکرد، البته ولی گل میزد!! اونم قانع نشد!! #سوال_از_رییس‌جمهور RT @saeed_ghamari: فکر کنم ، خود حسن فریدون هم از جواب حسن روحانی قانع نشد! #سوال_از_رئیس_جمهور</t>
  </si>
  <si>
    <t>من روزهای یادهایم را به بادی سرد بسپردم</t>
  </si>
  <si>
    <t>دارالخلافه ناصری</t>
  </si>
  <si>
    <t>#روحانی دیروز گفت گرونی عجیبی در کار نیست، #احمدی‌نژاد هم همین حرف رو سال ۸۶ زد ولی واقعی‌تر بود و دروغ رو تا ته برد جلو و گفت هرکی هرچی خواست بیاد از بقالی و میوه‌فروشی سر کوچه ما بخره.</t>
  </si>
  <si>
    <t>آزادیخواه</t>
  </si>
  <si>
    <t>قراربود روباه بنفش ناگفته هارو بازگو کنه ، منتها درروز پاسخ بیشترسعی دراجرای منویات رهبرداشت ودرتلاش برای اثبات دریوزگی وچاکری ونوکری خودش بود. روحانی یک عروسک خیمه شب بازی بیشترنیست. #سوال_از_رئيس_جمهور</t>
  </si>
  <si>
    <t>spiderman</t>
  </si>
  <si>
    <t>وی پس از پایان تحصیلات متوسطه و عالیه از گرفتن فوق‌لیسانسش خیلی خوشحال شد، او به خودش قول داده است تا مادامی که در قید حیات است چشم از جهان فرو نبندد!</t>
  </si>
  <si>
    <t>https://pbs.twimg.com/media/DlvgSSIWwAAo2ku.jpg</t>
  </si>
  <si>
    <t>#موسی_غضنفرآبادی نماینده بم و لابی-من #احمدی_نژاد برای پس گرفتن امضاهای #سوال_از_رئیس_جمهور در #مجلس نهم که اسمش توی لیست نمایندگانی بود که از #ﻣﺤﻤﺪ‌ﺭﺿﺎ_ﺭﺣﯿﻤﯽ، معاون اول احمدی‌نژاد پول گرفتن. غضنفرآبادی همین هفته ولی قاضی دادگاه #مشایی بود! #بصیرت :))))</t>
  </si>
  <si>
    <t>سبحان</t>
  </si>
  <si>
    <t>پس از سوال از #احمدي_نژاد، آیین نامه داخلی مجلس تغییر کرد تا سوال از رئیس جمهور از حالت صوری و نمایشی خارج شود اما امروز که نوبت به #روحانی رسیده که پاسخگوی سوالات باشد‌، تفاسیر متعددی از آیین نامه مطرح می‌شد تا سوال به حالت صوری و نمایشی بازگردد!</t>
  </si>
  <si>
    <t>٣٠ تا ٤٠درصد اعضای فراکسیون امید به #روحانی رای منفی دادند میرزایی سخنگوی #فراکسیون_امید: نحوه پاسخگویی روحانی به مجلس #اصلاح‌طلبان را قانع نکرد/٣٠تا ٤٠درصد اعضاي فراكسيون اميد حاضر به حمايت از رييس‌جمهور نشدند. آنها مي‌گويند روحاني پس از انتخابات هر روز از حاميانش دور شده اعتماد</t>
  </si>
  <si>
    <t>https://pbs.twimg.com/media/DlvgxvgW0AAHeuy.jpg</t>
  </si>
  <si>
    <t>https://www.yjc.ir/00RtiS</t>
  </si>
  <si>
    <t>حاجی دلیگانی: موارد نقض و استنکاف رئیس جمهور به قوه قضاییه ارسال شود لاریجانی: در قالب #سوال_از_رئیس_جمهور نمی‌توان موارد نقض را به قوه قضاییه ارسال کرد</t>
  </si>
  <si>
    <t>به نظرم برداشت اقای روحانی از نقش پررنگ فضای روانی بر نابسامانی های اقتصادی برداشت دقیقی نیست، اقتصاد در کوتاه مدت تحت تاثیر فضای روانی جامعه قرار می گیرد در بلند مدت تحت تاثیر عقلانیت است. #روحانی #اقتصاد</t>
  </si>
  <si>
    <t>https://pbs.twimg.com/media/DlvhzIGW4AALGtJ.jpg</t>
  </si>
  <si>
    <t>http://tn.ai/1814745</t>
  </si>
  <si>
    <t>#نقوی‌حسینی: جلسه #سوال_از_رئیس_جمهور تمرین دموکراسی بود/ نمایندگان نشان دادند که از پاسخ‌های غیر واقعی و غیر عملی قانع نمی‌شوند و #رئیس‌جمهور و وزرا باید تلاش کنند تا با عملکرد خودشان رضایت و ملت و #مجلس را به دست بیاورند</t>
  </si>
  <si>
    <t>آقای #رئیس_جمهور فرمودند که همه ی این گرفتاری ها از 96/10/5 شروع شد. آقای روحانی با این اوصاف اگر شما در زمان #فتنه رئیس جمهور بودید الان ایرانی وجود نداشت. سعی کنیم اشتباهات مدیریتی خودمون رو بپذیریم. شما به جای اتکای به توان داخلی تمام چشم امیدتون به #کدخدا بود.</t>
  </si>
  <si>
    <t>mojtabatk</t>
  </si>
  <si>
    <t>دروغ های مسئولین و بقیه مشکلات کشور اینجوری یه جو علیهش درست میشد چه خوب میشد دورغ های روحانی و مسئولین بی مسئولیت راهم دریابید که داریم به فنا میریم #مثل_شرق_دروغ_میگی #روحانی #مجلس</t>
  </si>
  <si>
    <t>‏‏برای ایران آرزوهایی دارم،همه قابل و دست یافتنی ! ابرهای تیره روزی را یارای ایستادگی در برابر تابش های بهروزی خورشید ایران زمین نیست ! ‎‎#ایران_را_پس_میگیریم</t>
  </si>
  <si>
    <t>https://pbs.twimg.com/media/DltLtktW0AAVzzU.jpg</t>
  </si>
  <si>
    <t>https://twitter.com/saeidpar/status/1034503794275434496</t>
  </si>
  <si>
    <t>درسته خیلی #پفیوزه ولی به پای #ظریف و #روحانی نمی رسه😐😐😐 RT @saeidpar: از نظر من می‌تونه صاحب یکی از صندلی‌های این هفته باشه با شرحی مختصر؛ «سوال رشیدپور از ظریف بی‌شرمانه است» #پفیوز_هفته</t>
  </si>
  <si>
    <t>رستاخیز ایران</t>
  </si>
  <si>
    <t>https://pbs.twimg.com/media/DlvjYeaV4AAA_ms.jpg</t>
  </si>
  <si>
    <t>http://tn.ai/1815028</t>
  </si>
  <si>
    <t>#لاریجانی:قانوناً نمی‌توان سوال از #رئیس‌جمهور را به #قوه‌قضائیه ارجاع داد/اگر در عناوینی که نمایندگان به عنوان سوال مطرح کردند،کلمه‌ای به عنوان استنکاف و نقض قانون ذکر می‌کردند،#مجلس می‌توانست چنین اقدامی انجام دهد اما در حال حاضر چنین عنوانی ذکر نشده است</t>
  </si>
  <si>
    <t>سوال از رییس جمهور و قانع نشدن نمایندگان،بیش از هر چیز نشان از بحران عمیق اقتصادی کشور و ناتوانی در حل آن و تاثیرات این بحران #اقتصاد ی بر عمیق تر شدن شکاف بین نیروهای درون حاکمیتیست. #روحانی #فروپاشی_اقتصادی</t>
  </si>
  <si>
    <t>اوژن اکبری</t>
  </si>
  <si>
    <t>‏‏دوستدار انقلاب... زاده خونه خشتی... تولد دوباره اش در مکتب امام و شهدا...چشم انتظار و تِیَّه بِه رَه</t>
  </si>
  <si>
    <t>آواره ی کوی لیلی در بیابان...</t>
  </si>
  <si>
    <t>https://twitter.com/padash_mr/status/1034663183817031680</t>
  </si>
  <si>
    <t>تصور کن چند خانواده همسایه یک نانوایی و ضعیف از نظر مادی و درآمدی، نونشون رو قرض بگیرن و بعد از پرداخت یارانشون پرداخت کنن...بدتر اینکه اونورشون رو نگاه بکنن و ببینن همون صاحبان زر و زور طاغوت در اینطرف و اونطرفشون برج بسازن... #دیدم_که_میگم #سوال_از_رییس‌جمهور RT @padash_mr: تصور کنید یک زن بی سرپرستِ تنهای بدون کفیل، با شندرغاز دریافتی از کمیته امداد، مراجعه میکند به قصابی برای تهیه نیاز اولیه‌اش، روی تابلو نوشته گوشت گوسفندی کیلویی ۷۵هزار تومان! من از همینجا بدنم مور مور شد...</t>
  </si>
  <si>
    <t>مالکوم ایکس</t>
  </si>
  <si>
    <t>https://pbs.twimg.com/media/DlvfnU4U4AA1RBZ.jpg</t>
  </si>
  <si>
    <t>https://twitter.com/Far_naz64/status/1034666425967890433</t>
  </si>
  <si>
    <t>#روحانی حرفهای دقیقی می زنه،دروغگو یا فریبکارنیست. چون رییس جمهور قشر۴ درصدی جامعه است که شامل آقازاده ها مسولین بالای سپاه و ... می باشد. همون قشری که قالیباف در رقابت انتخاباتی مطر ح کرد ثروت دست تنها ۴ درصد جامعه است. نتبجه: #روحانی رییس جمهور ۹۶ درصد جامعه نیست. RT @Far_naz64: حرافی وصرافی چرا مردم را نسبت به آینده کشور ناامید میکنید ؟ دلار آمریکا ۱۰۵۰۰ تومان ما مشکلی برای تامین ارز و کالاهای اساسی نداریم . دلار آمریکا ۱۰۸۰۰ تومان مردم بدانند که قیمت ها یقینا پایین خواهد آمد . دلار آمریکا ۱۱۴۰۰ تومان کاری از #احمدرضاکاظمی #بی_قانون</t>
  </si>
  <si>
    <t>http://www.jamejamonline.ir/</t>
  </si>
  <si>
    <t>این حساب رسمی جام جم آنلاين است..... عضو کانال جام جم آنلاين شويد : http://sapp.ir/jamejam</t>
  </si>
  <si>
    <t>Tehran, I.R.IRAN</t>
  </si>
  <si>
    <t>http://jjo.ir/hvekrqdz</t>
  </si>
  <si>
    <t>سوالات مشاور #رئیس_جمهور از #مجلس مشاور رئیس جمهور با اشاره به جلسه طرح #سوال_از_رئیس_جمهور ، خواستار پاسخگویی مجلس به ۶ پرسش‌ جهت اثبات عملکرد قانونی مجلس در جلسه روز سه‌شنبه شد.</t>
  </si>
  <si>
    <t>جام جم آنلاین</t>
  </si>
  <si>
    <t>هنوز تو شوک #وقاحت #رئیس_جمهور در مجلسم ... شما هم همینطورین؟! آخه تجمیع این حجم وقاحت در یه نفر معجزه است.</t>
  </si>
  <si>
    <t>#Journalist</t>
  </si>
  <si>
    <t>#روحانی در مجلس گفت: مشکلی در تامین کالاهای اساسی مردم نداریم. گوشت، ماست، شیر، میوه، تخم مرغ و شیرخشک جزو کالاهای اساسی هستند که گران شده اند. دقت کردم دیدم ایشون فرمودن دولت مشکلی در #تامین ندارند، کاری ندارن که ملت در #خرید مشکل دارند! منقرض بشید با این کشور داریتون!</t>
  </si>
  <si>
    <t>ehsanmohammadi</t>
  </si>
  <si>
    <t>روزنامه نگار/ صاحب امتیاز و مدیر مسئول روزنامه عصرانتظار و سایت بندیر نیوز</t>
  </si>
  <si>
    <t>طبل #تدبیر در چاه #برجام فرو خفت.قطار #تزویر در ایستگاه #استیضاح متوقف گردید. #روحانی #دولت_ناکارآمد</t>
  </si>
  <si>
    <t>زریر حجتی</t>
  </si>
  <si>
    <t>فعال سیاسی و رسانه‌ای| قائم‌مقام روزنامه #فرهیختگان| عضو اسبق شورای مرکزی اتحادیه انجمن‌های اسلامی دانشجویان #مستقل</t>
  </si>
  <si>
    <t>https://pbs.twimg.com/media/Dlvl9PtWsAAY9y2.jpg</t>
  </si>
  <si>
    <t>#روزنامه_ایران در حالی فرافکنی #حسن_روحانی را تیتر یک کرده که این ادعا حتی نتوانست در جلسه #سوال_از_رئیس‌جمهور نمایندگان حامی دولت را قانع کند. البته رسانه‌ای که چندی قبل مطالبه‌ی ترمیم کابینه را به تغییر وزیر علوم چسباند، حتما این تیتر هم همسو با دیدگاه جامعه‌شناسانه رئیس است.</t>
  </si>
  <si>
    <t>علی خضریان 🇮🇷</t>
  </si>
  <si>
    <t>https://pbs.twimg.com/media/Dlvl_8gW0AAplmX.jpg</t>
  </si>
  <si>
    <t>رییس جمهوری داریم که لاریجانی، عارف، صفدر حسینی، مطهری و اصلاح طلبها از حرفهاش قانع نمیشن حالا روحانی و روزنامه مطبوعش یه جوری تیتر زدند که انگار مصباح، رییسی، یزدی، جنتی و علم الهدی قانع نشدند این فرافکنی دیروز انگار خوب نتیجه داده امروزم تیترش کردن #سوال_از_رییس_جمهور</t>
  </si>
  <si>
    <t>وكيل #بيسواد آمريكا در دادگاه #لاهه: كاهش ارزش ريال به خاطر سو مديريت داخلي ايرانه به تحريمهاي ما ربطي نداره. #روحاني</t>
  </si>
  <si>
    <t>حساب رسمی دولت فلسطین</t>
  </si>
  <si>
    <t>Palestine</t>
  </si>
  <si>
    <t>https://pbs.twimg.com/media/DlvnDU9XgAEkM2G.jpg</t>
  </si>
  <si>
    <t>هنرمند آزاده ای که اثر هنری به یاد محمد الدره ساخته محمد در سال ۲۰۰۰ توسط جنایت کاران صهیونیستی به شهادت رسید #فقط_به_عشق_علی #رسانه_کذاب_دادستان_خواب #سوال_از_رییس‌جمهور #شرق #ایران #فلسطین #غزه #زندگی_سگی_اسرائیلیها #palestine #gaza #freepalestine #freegaza #Iran</t>
  </si>
  <si>
    <t>فلسطین به پارسی</t>
  </si>
  <si>
    <t>روزنامه نگار - مجری همایش ها و سمینارها</t>
  </si>
  <si>
    <t>کی روحانی بگه "رهبری قبل از جلسه #سوال نزاشت من حرف بزنم"، الله اعلم باید منتظر این افاضاتش هم باشیم #سوال_از_رییس‌جمهور</t>
  </si>
  <si>
    <t>علیرضا پورجعفری</t>
  </si>
  <si>
    <t>‏🌱‏‏‏‏‏‏ان شاءالله بنده خدا . دانشجو . مسلمان</t>
  </si>
  <si>
    <t xml:space="preserve"> با افتخار جمهوری اسلامی ایران</t>
  </si>
  <si>
    <t>وقتی روحانی موقع انتخابات شعار می داد به عقب بر نمی گردیم هیچ وقت فکرشو نمی کردم منظورش به عقب بر نگشتن قیمتها و همواره سیر سعودیشونه 😢 #به_عقب_بر_نمی_گردیم #پراید_چهل_میلیونی #تورم #روحانی</t>
  </si>
  <si>
    <t>مؤذن🕌</t>
  </si>
  <si>
    <t>https://pbs.twimg.com/media/DlvnUbFV4AAZzq7.jpg</t>
  </si>
  <si>
    <t>10 #بهمن ٥٧ #آتش زدن #شهرنو و زنده سوزاندن زن تن فروش و گرداندن جسدش در میان شادی و شعار 40سال بعد 🔺تائید وجود 6000خانه #جنسی در #مشهد وارائه خدمات جنسی به مردان #عراقی #وطن_فروش #روحاني #رهبر_معظم_انقلاب #لعنت_بر_اخوند #اعتراضات_سراسری</t>
  </si>
  <si>
    <t>باز آ باز آ هر آنچه که هستی باز آ / گر عابد و گبر و بت پرستی باز آ / این درگه ما درگه نومیدی نیست / صدبار اگر توبه شکستی باز آ</t>
  </si>
  <si>
    <t>هفته دولت بود،در اخبار افتتاح یک منبع برق برای کنترل نواسانات برقی در یک روستا را افتتاح کردند.یک پمپ آب برای انتقال آب در روستایی دیگر افتتاح شد. آقای #روحانی نه، نظام #جمهوری_اسلامی و #رهبر عزیزمان این همه دست آورد احمقانه را به شما و خاندان کثافت ج.ا تبریک میگوییم. @Rouhani_ir</t>
  </si>
  <si>
    <t>Wolf</t>
  </si>
  <si>
    <t>امروز واقعا بی‌حوصلم و نمی‌دونم چرا کاش یه جلسه طرح سوال دیگه از #روحاني #رئیس_جمهور توی #مجلس می‌ذاشتن یکم خستگیمون در بره</t>
  </si>
  <si>
    <t>در اینجا تیترهای جذاب رسانه ها را دنبال کنید.</t>
  </si>
  <si>
    <t>https://pbs.twimg.com/media/DlvoFr5WwAIAiNO.jpg</t>
  </si>
  <si>
    <t>#روزنامه_سیاست_روز برای #تیتر: مردود شهریور #سیاست_روز #خوش_تیتر #روحانی #مجلس</t>
  </si>
  <si>
    <t>خوش تیتر</t>
  </si>
  <si>
    <t>زخمیم، مثل سامورایی که 10 نفر رو حریف بود ولی روزی 11 نفر گاییدنش</t>
  </si>
  <si>
    <t>Brisbane, Queensland</t>
  </si>
  <si>
    <t>قشنگ معلومه #جهانگیری و #روحانی بهم گفتن بذار ببینیم تهه تهش چی میشه...</t>
  </si>
  <si>
    <t>غنچه باغ انقلاب</t>
  </si>
  <si>
    <t>‏دانشجو و خبرنگار PhD Candidate in University of Tehran and Journalist</t>
  </si>
  <si>
    <t>#لاریجانی رئیس مجلس داره با استناد به عدم نقض قانون توسط #روحانی از ارسال سئوالات نمایندگان به قوه قضائیه ممانعت می کنه. این یعنی هیچی به هیچی #سوال_از_رئیس_جمهور #مجلس</t>
  </si>
  <si>
    <t>rezayerahimi</t>
  </si>
  <si>
    <t>علی #لاریجانی: سوال از #رییس‌جمهور قابل ارجاع به قوه قضاییه نیست موضوع هیچ کدام از سوالات از رییس جمهور نقض یا استنکاف از قانون نبود لذا قابل ارجاع نیست ایسنا</t>
  </si>
  <si>
    <t>سبکبار شوید تا برسید. (امام علی)</t>
  </si>
  <si>
    <t>#روحانی به توصیه آقای خامنه گوش کرد و دیروز در مجلس باخت.هم در مقابل افکار عمومی و هم در مقابل اهداف طراحی کنندگان سوال از رییس جمهور. #رودست</t>
  </si>
  <si>
    <t>mirjavad mirgallou</t>
  </si>
  <si>
    <t>‏‏‏‏‏‏‏اینجا همــــهـ ادعایـِ یاری داریمـْ...یکـ جمعه بیا و امتحان کن ما را💚</t>
  </si>
  <si>
    <t>https://pbs.twimg.com/media/DlvpFdVXgAEQ5T7.jpg</t>
  </si>
  <si>
    <t>#حمایت_از_کالای_ایرانی فقط اونجاش که واسه جنابِ پرزیدنت جانِ نازنینـــِ مـــون این پنکه رو گذاشتن!!! آقایـِ روحانی اینو چی میگی؟?(مثـه اسحاق بخونینش*--*) #سوال_از_رییس‌جمهور</t>
  </si>
  <si>
    <t>🥀یٰاسِــ کــَبــودْ🥀</t>
  </si>
  <si>
    <t>⭕️رصد/#ایران_وایر-حقیقت‌نژاد: نکته بارز پاسخ‌ #روحانی به سوال‌های نمایندگان اینکه: وی بدبودن وضعیت موجود را قبول نداشت وفضای منفی اقتصاد را ناشی از نومیدی سیاسی مردم به آینده وجنگ روانی توصیف کرد وریشه این وضعیت را اعتراضات دی‌۹۶ دانست که ترامپ رابه طمع انداخت در برجام نماند</t>
  </si>
  <si>
    <t>rasad.ir</t>
  </si>
  <si>
    <t>http://hadipiri.ir</t>
  </si>
  <si>
    <t>Wireless Engineer</t>
  </si>
  <si>
    <t>نامه ی #استالین به #خروشچف میگویندوقتی که استالین میمرد،دو تا پاکت به خروشچف جانشین خود دادوگفت این ها را باز مکن مگر اینکه اوضاع حکومت خراب شده باشد.درآنصورت نامه ی شماره ی یک را باز کن و به آن عمل کن. #روحانی #احمدی‌نژاد @Ahmadinejad_fa @Rouhani_ir</t>
  </si>
  <si>
    <t>Hadi Piri</t>
  </si>
  <si>
    <t>کم مونده بود #روحانی بگه اصن از نظر علمی ثابت شده خورشید به دور زمین میچرخه</t>
  </si>
  <si>
    <t>در تاریخ بشریت کدام رییس جمهور تلی از ویرانه را تحویل گرفته و با بی سابقه ترین حملات و کارشکنیها و خیانتها مواجه شده و توانسته است کارنامه گل و بلبل از خود بجا بگذارد. انتقاد فراوان دارم اما چشمانم را بروی واقعیتها نمیبندم. #روحاني @EhsanBodaghi @teriboun1</t>
  </si>
  <si>
    <t>http://www.TP4.ir</t>
  </si>
  <si>
    <t>‏تنها مجموعه‌ی تخصصی رصد وضعیت شفافیت در کشور عزیز اسلامی‌مان ایران | 🌐 تارنما: http://TP4.ir‎‎‎ | 🗣 انجمن شفافیت: http://Discuss.TP4.ir‎‎‎</t>
  </si>
  <si>
    <t>https://pbs.twimg.com/media/DlvprXzXgAA_dh6.jpg</t>
  </si>
  <si>
    <t>▪️انتشار بروز و استاندارد آراء نمایندگان مجلس شورای اسلامی منجر به ایجاد #نظارت_همگانی بر کار نمایندگان و کارآمدی بیش‌تر #مجلس می‌شود. #شفافیت_آراء_نمایندگان</t>
  </si>
  <si>
    <t>شفافیت برای ایران</t>
  </si>
  <si>
    <t>http://about.me/mohammad.tashackori</t>
  </si>
  <si>
    <t>مشاور راهکارهای جامع فاوا</t>
  </si>
  <si>
    <t>https://pbs.twimg.com/media/DlvWOX0XoAApJsF.jpg</t>
  </si>
  <si>
    <t>https://twitter.com/digaran/status/1034656136476143618</t>
  </si>
  <si>
    <t>فقط از #روحانی بر میاد، ایجاد این اتحاد! RT @digaran: از قشتگی‌های روزگار یکی هم اینکه تیتر یک شرق و جوان و رسالت، یکسان شده‌اند. باز بگویید وحدت نداریم.</t>
  </si>
  <si>
    <t>محمد تشکری</t>
  </si>
  <si>
    <t>http://aryanavision.com</t>
  </si>
  <si>
    <t>امروز رو دریاب، فردا مردنی است....</t>
  </si>
  <si>
    <t>آخوندی که در #بریتانیا دکترای #حقوق خونده باشه،چرچیلیه برای خودش... #دکتر_روحانی #روحانی</t>
  </si>
  <si>
    <t>Reza Babaei Hemmaty</t>
  </si>
  <si>
    <t>https://pbs.twimg.com/media/DlvqI0eW0AAtXhG.jpg</t>
  </si>
  <si>
    <t>#سوال_از_رئیس_جمهور همینجا توم می‌شه!!؟؟ خب اکثریت نمایندگان که قانع نشدند! اگر قرار بود آقای #روحانی بیاد و یه سری حرف تکراری بزنه و بره و آخرش هیچی به هیچی؛ خب پس دیگه چرا جلسه برگزار کردید!؟ چرا وقت ملت رو گرفتید!؟ چرا بودجه الکی صرف کردید؟ مردم رو مسخره کردید؟</t>
  </si>
  <si>
    <t>https://pbs.twimg.com/media/DlvqN9UX0AAtfiP.jpg</t>
  </si>
  <si>
    <t>#روزنامه_قانون برای #تیتر: پاسخ های سفارشی #قانون در عکس زمینه صفحه نخست خود هم به کمک تیتر آمده و به سخنان درگوشی #آشنا با #روحانی در #مجلس اشاره می کند. #خوش_تیتر</t>
  </si>
  <si>
    <t>یعنی واقعا فکر میکردید لاریجانی نتیجه #سوال_از_رئیس_جمهور رو میفرسته قوه قضائیه؟؟ علاوه بر سادگی و خوش‌خیالی، خیلی تباهید😁</t>
  </si>
  <si>
    <t>قصد جان است طمع در لب یاران کردن. اندکی اقتصاد خوانده ام.</t>
  </si>
  <si>
    <t>علی لاریجانی: «قابل ارجاع به ق ق نیست». نمایندگان هم که قانع نشدند. #ثم_ماذا #سوال_از_رییس‌جمهور کلا دور هم بودیم دیگه!</t>
  </si>
  <si>
    <t>دکتر حم</t>
  </si>
  <si>
    <t>‏اگر امام زمان خود را نشناسی اورا خواهی کشت... فرقی ندارد کربلا باشی یا هر جای دیگر</t>
  </si>
  <si>
    <t>شیعه خانه‌ی امام زمان</t>
  </si>
  <si>
    <t>https://pbs.twimg.com/media/DlvrSBWXcAAsTCO.jpg</t>
  </si>
  <si>
    <t>سمیه‌ی ما همون روحانیه😢 هر چی بهش گفتیم روحانی نرو برجام، اگر بری گند میزنی به مملکت وآخرش رفت و گندشو زد😐 #روحانی</t>
  </si>
  <si>
    <t>...اللهم عجل لولیک الفرج...</t>
  </si>
  <si>
    <t>‏مائیم و نوای بی‌نوائی بسم‌الله اگر حریف مائی...</t>
  </si>
  <si>
    <t>https://twitter.com/Tasnimnews_Fa/status/1034670673929613312
http://tn.ai/1815028</t>
  </si>
  <si>
    <t>خداکنه این موضوع در مورد #سوال_از_رئیس‌جمهور واقعا بداهه گویی رئیس مجلسمون باشه وگرنه پُز نمایندگان برای برگشت مجلس به راس امور و نمایش دمکراسی که اشتباه در میاد هیچ! این سوالم پیش میاد که یعنی واقعا نمایندگانمون این موضوع رو نمی دونستن یا چی؟! RT @Tasnimnews_Fa: #لاریجانی:قانوناً نمی‌توان سوال از #رئیس‌جمهور را به #قوه‌قضائیه ارجاع داد/اگر در عناوینی که نمایندگان به عنوان سوال مطرح کردند،کلمه‌ای به عنوان استنکاف و نقض قانون ذکر می‌کردند،#مجلس می‌توانست چنین اقدامی انجام دهد اما در حال حاضر چنین عنوانی ذکر نشده است</t>
  </si>
  <si>
    <t>بانوی بهار...</t>
  </si>
  <si>
    <t>https://pbs.twimg.com/media/Dlvrnq6XsAEriFx.jpg</t>
  </si>
  <si>
    <t>#روزنامه_همدلی برای #تیتر: تکرار تکراری روحانی #همدلی #خوش_تیتر #روحانی #مجلس</t>
  </si>
  <si>
    <t>http://www.Chiilick.com</t>
  </si>
  <si>
    <t>‏‏‏‏‏‏عکاس/Photographer ‏‏‏‏دست اندرکار در رسانه ‎‎‎‎‎‎‎‎‎#پایگاه_عکس_چیلیک مشغول دیدن و آموختن؛ مسئول ‎‎‎‎‎‎‎‎‎‎#تور_عکاسی_چیلیک آموزگار وهنرجوی روزگار</t>
  </si>
  <si>
    <t xml:space="preserve">Iran, Tehran, </t>
  </si>
  <si>
    <t>https://pbs.twimg.com/media/DlvrsEOXcAE37vd.jpg</t>
  </si>
  <si>
    <t>#رئیس_جمهور سوگند خورده به قولش وفا کرد و مردم را مقصّر خواند #دکتر با خودکار آبی #جیب_مردم را هدف گرفت و البته در شرایط حسّاس کنونی بایستی بصیرت🤢داشت به کجای این #شب_تیره بیاویزم #قبای_ژنده خود را بشکند✊قلمهایی که ننویسند بر احوال این مردم😔چه می گذرد</t>
  </si>
  <si>
    <t>M.Sorouri</t>
  </si>
  <si>
    <t>http://radiozamaneh.com</t>
  </si>
  <si>
    <t>عرضه‌ی اخبار، گزارش، گفت‌وگو و تحلیل درباره موضوع‌های سیاسی، اجتماعی و فرهنگ follow @ZamanehRadio For English language tweets</t>
  </si>
  <si>
    <t>Amsterdam</t>
  </si>
  <si>
    <t>https://pbs.twimg.com/media/Dlvr6PCWsAEkoBd.jpg</t>
  </si>
  <si>
    <t>https://www.radiozamaneh.com/409774</t>
  </si>
  <si>
    <t>علی_لاریجانی، رئیس #مجلس شورای اسلامی: سئوال از رئیس جمهوری به قوه قضائیه ارجاع نمی‌شود -</t>
  </si>
  <si>
    <t>Radio Zamaneh</t>
  </si>
  <si>
    <t>آقاي #رئیس_جمهور جناب #روحاني؛ شما نماينده كل مردم ايران هستيد و در مقابل انها پاسخگو. به هيچ كس هم بدهي نداريد. لطفا كابينه و #تيم_اقتصادي_دولت را از وجود تفكرات ليبرالي پاك كنيد. برخي از مديران اقتصادي شما به ظاهر با تفكرات شما همراه هستند ولي در واقع كار خود را مي كنند.</t>
  </si>
  <si>
    <t>http://rbi313.blogfa.ir</t>
  </si>
  <si>
    <t>‏Tehran University of Medical Sciences /عدالت طلب/طرفدارمنطق ولو خلاف عقیدم باشه،مخالف بی منطقی حتی اگر هم عقیده باشیم/ Esteghal fc⭐⭐</t>
  </si>
  <si>
    <t>مردم قم! به خدا شما هم تو این ظلم هایی که #لاریجانی داره در حق مردم تو مجلس میکنه شریکید و اون دنیا باید جواب پس بدید که چرا به چنین آدمی رای دادید. پ.ن:لاریجانی:در قالب #سوال_از_رییس‌جمهور نمیتوان پرونده را به قوه قضائیه ارجاع داد!!!</t>
  </si>
  <si>
    <t>Mohsen Gh</t>
  </si>
  <si>
    <t>هر چی دلم بخواد مینویسم</t>
  </si>
  <si>
    <t>پشت سرت</t>
  </si>
  <si>
    <t>وقتی میگن انتخاب درست حق‌الناس هست یعنی وقتی به #روحانی رای میدی تروخشک رو با هم میسوزونه</t>
  </si>
  <si>
    <t>عِزرائیل</t>
  </si>
  <si>
    <t>‏‏‏‏‏‏‏‏‏‏مردابِ مرگِ ما را، دریا نمی توان گفت http://telegram.me/harfbemanbot?s…‎</t>
  </si>
  <si>
    <t>آقای #روحانی بخاطر ترس از تحریم اومده قیمت دلار و سکه رو بالا برده ، اجناس سه برابر شدن بخدا هیچ تحریمی نمیتونست قیمت پوشک و پراید رو اینقد بالا بکشه بزرگوار تحریم خود تویی امریکا اداتو درمیاره</t>
  </si>
  <si>
    <t>مصطفا</t>
  </si>
  <si>
    <t>https://www.facebook.com/yosi.nastenka</t>
  </si>
  <si>
    <t>Freelance journalist,Tehran Iran RT≠endorsements Twitting on Middle east, Arabworld &amp; Iran,in Persian,Arabic &amp; English تغریداتی عن الشرق الأوسط و الشأن الإیرانی</t>
  </si>
  <si>
    <t>Tehran Iran</t>
  </si>
  <si>
    <t>https://pbs.twimg.com/media/DlvslDEXoAEotuo.jpg</t>
  </si>
  <si>
    <t>#لاریجانی : سوال از رییس جمهور به دلیل عدم ذکر "نقض قانون" و "استنکاف" در طرح سوال، قابل ارجاع به قوه قضاییه نیست! پ.ن: همچین نماینده‌های خنگی داریم! #روحاني #سوال_از_رئیس_جمهور #مجلس</t>
  </si>
  <si>
    <t>Yosra Bakhakh</t>
  </si>
  <si>
    <t>https://pbs.twimg.com/media/DlvsxlBWwAEFHkT.jpg</t>
  </si>
  <si>
    <t>«خالی‌بندی» خصلت سیاست‌مدارهاست نه دانشمندان! #روحانی #دولت #مجلس #مردم به راستی کدام مردم؟!</t>
  </si>
  <si>
    <t>aaron110</t>
  </si>
  <si>
    <t>چه میکند این #لاریجانی لاریجانی در مجلس : سوال ازرییس جمهور قابل ارجاع به ق.ق نیست. احسنتم. یعنی ملت و مجلس و کلا همه رو خودش و #روحانی پتک رستمم حساب نمیکنن. وقیحند وقیحند وقیحند !! مزه ی قدرت اون قور زیر زبونشون مزه داده که حاضرند روی خون ملت هم برای خود کاخ بسازند.</t>
  </si>
  <si>
    <t>https://coiniran.com</t>
  </si>
  <si>
    <t>Climber, photographer, MSc student at UAM, Madrid, cryptocurrency and blockchain enthusiast at @coiniran</t>
  </si>
  <si>
    <t>https://coiniran.com/president-comments-on-cryptos/</t>
  </si>
  <si>
    <t>دستور رییس جمهور ایران در مورد سیاست گذاری در خصوص رمز ارز ها  #رمزارز #رمز_ارز #بلاکچین #کریپتوکارنسی #روحانی #رمزارز_ملی</t>
  </si>
  <si>
    <t>Pouya</t>
  </si>
  <si>
    <t>‏پایگاه تحلیلی- خبری سرمشق نیوز رسانه‌ ای تخصصی در حوزه‌ی آموزش و پرورش - آدرس سايت : http://sarmashghnews.com‎ ‎@sarmashghnews</t>
  </si>
  <si>
    <t>لاریجانی: سوال از #رییس_جمهور قابل ارجاع به قوه قضاییه نیست رییس مجلس: سوال از رییس جمهور به دلیل عدم ذکر موضوع نقض قانون و استنکاف در طرح سوال، قابل ارجاع به قوه قضاییه نیست."/ ایرنا</t>
  </si>
  <si>
    <t>sarmashghnews.com</t>
  </si>
  <si>
    <t>روحانی: من چه قولی دادم؟ من قول اعتدال دادم جهرمی: دیروز هم قسم شدیم برای تحقق وعده‌ها تلاش مضاعف کنیم باید منتظر #گرانی‌ها_مضاعف باشیم تا حدی که مردم از گرسنگی همدیگر رو بخورن!! #سوال_از_رییس‌جمهور</t>
  </si>
  <si>
    <t>https://pbs.twimg.com/media/DlvtjMfX4AAWSpv.jpg</t>
  </si>
  <si>
    <t>📈 نمایندگان کدام استان ها از طرح #شفافیت_آرا_نمایندگان اعلام حمایت کرده اند؟ 🔺 پیگیر نماینده شهر خود باشیم. نمایندگان باید بدانند در صورت تصویب نشدن این طرح، سال ۹۸ جایی در #مجلس نخواهند داشت! #شفافیت #مدعیان_شفافیت_لیست_امید #مجلس #مطالبه_کنیم</t>
  </si>
  <si>
    <t>#روحانی بزدل پس از دو دوره اعتمادی ک مردم به وی کردند، تقصیرها را به تمامی گردن مردم می اندازد. او ریشه مشکلات را در اعتراضات و تصورات مردم می جوید! حتی جرات نمیکند اشاره ای به حلقه های فاسد قدرت در کشور داشته باشد؛ او دیواری کوتاهتر از مردم پیدا نکرده است!! #روحانی_خفه_شو</t>
  </si>
  <si>
    <t>اگر بخواهد #سوال_از_رییس‌جمهور صرفا یک کارت زرد باشد و تاثیر ملموس در زندگی مردم نداشته باشد که نخواهد داشت باید از شوی زیبای مجلس و دولت تقدیر کرد.</t>
  </si>
  <si>
    <t>https://pbs.twimg.com/media/Dlvt6-jXcAEQahz.jpg</t>
  </si>
  <si>
    <t>http://roshangari.ir/video/54732</t>
  </si>
  <si>
    <t>وعده های فراموش شده #دولت #روحانی مشاهده در لینک زیر</t>
  </si>
  <si>
    <t>Roshangari.ir</t>
  </si>
  <si>
    <t>https://pbs.twimg.com/media/DlvuDNgX0AAaXGj.jpg</t>
  </si>
  <si>
    <t>. تیر خلاص رئیس مجلس به #دلواپسان لاریجانی: سوال از #رئیس_جمهور قابل ارجاع به قوه قضاییه نیست رئیس #مجلس شورای اسلامی گفت: سوال از رییس جمهور به دلیل عدم ذکر موضوع #نقض_قانون و #استنکاف در طرح سوال، قابل ارجاع به قوه قضاییه نیست."/ ایرنا</t>
  </si>
  <si>
    <t>https://pbs.twimg.com/media/DlvuD_MXgAADZkX.jpg</t>
  </si>
  <si>
    <t>http://roshangari.ir/video/54730</t>
  </si>
  <si>
    <t>حاجیت کارش رو بلده!!! #روحاني مشاهده در لینک زیر</t>
  </si>
  <si>
    <t>http://www.ibena.ir/news/90555/</t>
  </si>
  <si>
    <t>توسط هیات رییسه #مجلس؛ طرح اصلاح قانون مبارزه با #قاچاق کالا و #ارز اعلام وصول شد</t>
  </si>
  <si>
    <t>‏‏‏‏‏‏‏‏‏‏‏‏‏‏‏‏‏‏‏‏‏‏‏داستان اینه ما دیگه پردرو زدیم، اخلاق مخلاق تعطیله سیّد</t>
  </si>
  <si>
    <t>https://pbs.twimg.com/media/DlvukhPW0AAXzE7.jpg</t>
  </si>
  <si>
    <t>لاریجانی: سوال از رئیس جمهور کار عبثی نبود اما امکان اقدام قانونی در آن وجود ندارد! بله عبث نبود و دستاورد #سوال_از_رئیس‌جمهور بالارفتن قیمت ارز بود که به حول و قوه الهی دلار به ۱۱۴۰۰ رسید</t>
  </si>
  <si>
    <t>⛿papillon 🕕</t>
  </si>
  <si>
    <t>وکیل امریکا در لاهه: کاهش ارزش ریال ایران بر اثر سومدیریت داخلی است و ربطی به تحریمهای امریکا ندارد #سوال_از_رییس‌جمهور</t>
  </si>
  <si>
    <t>https://www.instagram.com/hosseiining/</t>
  </si>
  <si>
    <t>‏یه IT man دهه شصتی منطقی، متأهل| خدایا به اندازه حتی یک توئیت، ما را به خودمان وامگذار...</t>
  </si>
  <si>
    <t>زیر سایه دوست</t>
  </si>
  <si>
    <t>دکتر بیژن عبدی،‌ اقتصاددان در واکنش به جلسه #سوال_از_رئیس_جمهور : رئیس جمهور در مجلس، شعاری حرف زد. باید اذعان کرد آمارهای اقتصادی رئیس جمهور را در جامعه کسی لمس نمیکند و باید پرسید، آقای روحانی! واقعا این آمارها را از کجا استخراج کرده‌اید؟</t>
  </si>
  <si>
    <t>🇵🇸حسینینگ🇮🇷</t>
  </si>
  <si>
    <t>ان كاريكاتيراتنا ضد نظام الملالي في إيران وكل عملائه في المنطقة. هدفنا حرية إيران. شعارنا: لا للتطرف ولا للطائفية ولا لنظام الملالي.</t>
  </si>
  <si>
    <t>every where</t>
  </si>
  <si>
    <t>https://pbs.twimg.com/media/DlvuAjiW0AAl9GL.jpg</t>
  </si>
  <si>
    <t>روحاني في أول جلسة استجواب وخامنئي والحرس الملالي.. فارسی: در اولین جلسه روحانی در مجلس او کاملا مطیع خامنه ای و سپاه میباشد.. عمل الرسام.. امجد رسمی هذا الکاریکاتیر منشور الیوم في صحیفة الشرق الاوسط اللندنیة #ايران #خامنئي #روحاني #خامنه‌ای #كاريكاتيراتنا #الاربعاء #الشرق_الأوسط</t>
  </si>
  <si>
    <t>كاريكاتيراتنا</t>
  </si>
  <si>
    <t>https://pbs.twimg.com/media/DlvvTitX0AAh-Ow.jpg</t>
  </si>
  <si>
    <t>تا انتخابات ۱۴۰۰ چقدر مونده؟ :/ #روحانی</t>
  </si>
  <si>
    <t>‏‏‏‏‏‏‏‏ایستاده ایم</t>
  </si>
  <si>
    <t>چرا وقتی نشون میداد درصدو آقای لاریجانی میخند چرا دیر نشون دادن! #روحانی #مجلس</t>
  </si>
  <si>
    <t>Av zone</t>
  </si>
  <si>
    <t>‏‏تو زندگیم یا فرشته دیدم یا شیطان ولی آدم هنوز نه ! تخم جن که تا دلت بخواد.</t>
  </si>
  <si>
    <t>https://pbs.twimg.com/media/DlvviNUWsAEka21.jpg</t>
  </si>
  <si>
    <t>الان ما چرا نمیریم تو صفحه #روحاني و یه اخ تف بندازیم رو ریش رنگ شده اش ؟؟ اینم خیابونه میترسیم باتوم بخوریم ؟ کره ۱۰۰ گرمی ۹ هزار تومن شد</t>
  </si>
  <si>
    <t>حَوُای آدم ندیده</t>
  </si>
  <si>
    <t>بسم الله الرحمن الرحیم _ریاست جمهوریِ آقای #روحانی به دلیل کسب رای بوسیله دروغ و تخلفاتِ گسترده دارای مشروعیت نیست، و ماندن ایشان بر این مسند مستوجبِ ضِمان است. ...والسلام (بنده وابسته و سخنگوی هیچ جریانی نیستم و بصورت مستقل اظهارنظر می‌کنم)</t>
  </si>
  <si>
    <t>ارشد فقه و حقوق جزا / در حال نوشتن پايان نامه/ آشنا ب هنر هاي تجسمي/ نقاش انتزاعي و رئال / نوازنده ي سنتور/مادر٢قلوها/بيخيال خيلي مساااااائل شدم</t>
  </si>
  <si>
    <t>https://pbs.twimg.com/media/Dlvv_6nX0AAKsdZ.jpg</t>
  </si>
  <si>
    <t>جا داره ي تشكر ويژه و جانانه از خودم بكنم كه تونستم سوال رو با سوال جواب بدم طرح #سوال_از_رئیس‌جمهور بود ، شد سوال رئيس جمهور از نمايندگان و مردم .</t>
  </si>
  <si>
    <t>somaye morovati 🇮🇷🇵🇸</t>
  </si>
  <si>
    <t>Gringofficiall</t>
  </si>
  <si>
    <t>Istanbul, Turkey</t>
  </si>
  <si>
    <t>https://pbs.twimg.com/media/DlvwFLCWsAAKBhQ.jpg</t>
  </si>
  <si>
    <t>جناب آقای #روحانی به عنوان یک انسان با تابعیت ایرانی فقط یک سوال از شما دارم. آیا با دیدن این صحنه ها در سطح شهر باز هم شبها با وجدان آرام به خواب می روید؟؟؟ #سوال #روحانی #وجدان #اختلاف_طبقاتی #فقر #آقازاده #ایران</t>
  </si>
  <si>
    <t>hamid</t>
  </si>
  <si>
    <t>من اگه می‌خواستم در مورد جلسه دیروز #سوال_از_رئيس_جمهور برای یه روزنامه تیتر یک بزنم بی برو برگرد این تیترو انتخاب می‌کردم: «توصیه‌های رهبری»</t>
  </si>
  <si>
    <t>‏Bachelor Of Economics . I live in the Islamic Republic of Iran</t>
  </si>
  <si>
    <t>https://pbs.twimg.com/media/DlvwbHcXgAECnZL.jpg</t>
  </si>
  <si>
    <t>با این حجم از حمایت لاریجانی از رئیس جمهور و با توجه به وضعیت وخیم اقتصادی، بنظرم #لاریجانی هم باید به عنوان دست راست #روحانی استیضاح گردد</t>
  </si>
  <si>
    <t>سید ماهان بازکار</t>
  </si>
  <si>
    <t>http://eliyaomid.ir</t>
  </si>
  <si>
    <t>Full stack developer</t>
  </si>
  <si>
    <t>https://pbs.twimg.com/media/DlvwwvEX4AAXHyM.jpg</t>
  </si>
  <si>
    <t>خبرگزاری خانه ملت: رییس مجلس شورای اسلامی اظهار کرد: موضوع هیچ کدام از سوالات از رییس جمهور نقض یا استنکاف از قانون نبود لذا قابل ارجاع نیست. #رئیس مجلس #سوال از رئیس جمهور #رئیس جمهور #قوه قضائیه #روحانی #مجلس</t>
  </si>
  <si>
    <t>Omid Akbari</t>
  </si>
  <si>
    <t>https://pbs.twimg.com/media/DlvwwmgXcAAkfZC.jpg</t>
  </si>
  <si>
    <t>کیهان فردای سوال از #احمدی_نژاد و #روحانی اینگونه تیتر زد</t>
  </si>
  <si>
    <t>داشتم فکر میکردم #روحانی از ابتدای ریاست جمهوری تا امروز چقدر حرف زده و همه چیز و وارونه و گل و بلبل نشون داده اگه همه این حرفارو ببری یه نون بربری نمیدن... آقای رییس‌جمهور یکم از #ترامپ یاد بگیر جای ور ور عمل کن کار کن مملکت منبر نیست مدیر باید کار کنه نتیجه بگیره</t>
  </si>
  <si>
    <t>#مجلس از پاسخ های #روحانی قانع نشد. #استیضاح در راه است؟ یا #لاریجانی جلوشو میگیره؟ #استیضاح_روحانی #مجلس #سوال_از_رئیس‌جمهور #لاریجانی</t>
  </si>
  <si>
    <t>حسنک</t>
  </si>
  <si>
    <t>https://pbs.twimg.com/media/DlvxBZ-W0AAE-ws.jpg</t>
  </si>
  <si>
    <t>http://khabarfarsi.com/u/58754385</t>
  </si>
  <si>
    <t>خبرگزاری خانه ملت: رییس مجلس شورای اسلامی اظهار کرد: موضوع هیچ کدام از سوالات از رییس جمهور نقض یا استنکاف از قانون نبود لذا قابل ارجاع نیست. #رئیس_مجلس #سوال_از_رئیس_جمهور #رئیس_جمهور #قوه_قضائیه #روحانی #مجلس</t>
  </si>
  <si>
    <t>‏‏‏‏‏‏‏‏‏‏‏‏‏‏‏خنک آن قماربازی که بباخت هر چه بودش... ‎‎‎#آتش_به_اختیار</t>
  </si>
  <si>
    <t>https://pbs.twimg.com/media/DlvxTENWwAA85Vm.jpg</t>
  </si>
  <si>
    <t>+ #لاریجانی: سوال از #روحانی، قابل ارجاع به اخوی ارجمندم نیست!☺️ -مردم: چرا؟😳 +لاریجانی: چون در سوالات پنجگانه #استنکاف یا #نقض_قانون به صراحت آورده نشده است!😜 -مردم: سپاس از مجلس غیور و جسور😢 +لاریجانی: قربان شما😝 -مردم: خدا از شما #نمایندگان از خدا بی خبر و جلاد نگذره😭</t>
  </si>
  <si>
    <t>هاتف الرحمن صالحی🇮🇷</t>
  </si>
  <si>
    <t>بعدازاشاره دقیق ذوالنوربه تناقضات رییس‌جمهور #روحانی رفت پشت تریبون مجلس وشروع کردبه تکراردروغ تهدیدبه ترورومظلوم‌نمایی تاازپاسخگویی به تناقضات وکارنامه ضعیف5ساله‌ش فرارکنه حالافهمیدیدچرایه پلاکاردمعمولی توسط تیم عملیات روانی دولت به مساله اول کشورتبدیل شد؟ #سوال_از_رئيس_جمهور</t>
  </si>
  <si>
    <t>غلط گفتم،که چیزی توی کاسه ام نیست ... چی کم دارم ؟ تورو دارم ! حواسم نیست ... حسین جانم ... از این دنیا یه قطعه کربلا دارم!</t>
  </si>
  <si>
    <t>pic.twitter.com/akUXjZHO3q</t>
  </si>
  <si>
    <t>https://twitter.com/mrmorteza4/status/1034676283345698817</t>
  </si>
  <si>
    <t>⭕️پیشنهاد مشاهده ⭕️ ✅نشر سراسری ✅ #ریتوییت کنید تا همه متوجه بشن اوضاع از چه قراره ... #سوال_از_رئيس_جمهور #ذوالنور_باغیرت RT @Mrmorteza4: فیلم پشت پرده پس گرفتن امضاهای نمایندگان مجلس #ذوالنور_باغیرت همه نشر دهید، تا همه ببینند با چه آدمایی طرفیم که به خاطر پول و منافعشون مردمو دارن بدبخت میکنند</t>
  </si>
  <si>
    <t>حيــــريــــا (جون خادم المهدی)</t>
  </si>
  <si>
    <t>https://pbs.twimg.com/media/DlvxjFgXgAAHQZH.jpg</t>
  </si>
  <si>
    <t>✍ تعداد نمایندگانی که طرح #شفافیت_آرا_نمایندگان را امضا کرده اند به 140 نفر رسید. اگر نماینده شما در این لیست نیست حتما از او مطالبه کنید و توضیح بخواهید. 🔺پیگیر نماینده شهرتان باشید #شفافیت #مدعیان_شفافیت_لیست_امید #مجلس</t>
  </si>
  <si>
    <t>ابد والله یا زهرا ما ننسی حسینا (من هیچی نیستم،هیچی) اگر برای بک میخوای فالوم کنی نکن. درسته هیچی نیستم ولی خاک پاتون هستم. کاری نداری؟؟؟؟💍💞</t>
  </si>
  <si>
    <t>بچه طِرون،اهل کف خیابون</t>
  </si>
  <si>
    <t>با این فرمون ک حسن رفت جلو اینکه ی وقتا آرایشگرش رنگ ریششو متقارن در نمیاره ام تقصیر ماهاست... #سوال_از_رئيس_جمهور</t>
  </si>
  <si>
    <t>دراگانف</t>
  </si>
  <si>
    <t>‏‏‏‏‏اومممم حالا یواش یواش دارم میام تو مال شما ببخشید همون سفره شما :))</t>
  </si>
  <si>
    <t>متاسفانه فعلن تهران</t>
  </si>
  <si>
    <t>https://pbs.twimg.com/media/DlvxpsVXoAEnH8p.jpg</t>
  </si>
  <si>
    <t>این توییت تو درفتم مونده حدودا یه ماه خیلی از دوستان درباره این عکس نظر دادن من : آخی نازی ،دلوم سیت کبابه کاکو #کاکو الان اصلاحیه خورده شده شاخ کی بودی تو عزیزوم ۴۰ ملیونی کی بودی تو قربونت برم من دردو بلات بخوره تو سر #روحانی #کاکو</t>
  </si>
  <si>
    <t>#کاکو(لاک شدم آنفالونکردم چه خبرتونه چه خبرتوونه)</t>
  </si>
  <si>
    <t>https://article.mojahedin.org/id/d46bf535-8e1f-4edb-b5e8-ab23a265dedf</t>
  </si>
  <si>
    <t>تک و پاتک‌های دو باند قبل از طرح سؤال از #روحانی #براندازم #تظاهرات_سراسرى #اعتراضات_سراسری #ایران</t>
  </si>
  <si>
    <t>https://t.me/Muhammad_Haghjoo</t>
  </si>
  <si>
    <t>‏‏‏‏👤‎#حقیقت ، ‎#عقیده ی ‎#شخصی ما نیست.| 🔺‎#حساب ‎#رسمی ‎#محمد_حق_جو | #️⃣#muhammad_haghjoo | ‎@Muhammadhaghjoo ❌تنها کانال در پیام رسان تلگرام⬇️</t>
  </si>
  <si>
    <t>شاید بگویید با قانع نشدن #نمایندگان_مجلس از پاسخ های آقای #رئیس‌جمهور، ایشان از #رویاپردازی خارج شوند اما مشکل اصلی مربوط به #ریشه (توان و نحوه ی #مدیریت اصولی) است که به این آسانی ها اصلاح نخواهد شد. ✍🏻#محمد_حق_جو #اختصاصی_حق_جو #muhammad_haghjoo 🆔 : @MuhammadHaghjoo</t>
  </si>
  <si>
    <t>Muhammad Haghjoo</t>
  </si>
  <si>
    <t>https://bit.ly/2Ms0gIf</t>
  </si>
  <si>
    <t>‏‏‏‏📡رسانه ای مرجع،جهت ارتقای دانسته های بشر💡 |📸#inestagram:@migh_ir 📲#Telegram:@Migh_Ir #️⃣#migh_ir | #اختصاصی_میغ 🔎آدرس پایگاه اطلاع رسانی میغ👇</t>
  </si>
  <si>
    <t>خوب رييس جمهور #روحانى ريشه تمام مشكلات ارز و قاچاق و بيكارى رو بالاخره بيان فرمودن:(تصور مردم)!!!! اي مردم همه بياين كنار هم تصورمونو عوض كنيم.</t>
  </si>
  <si>
    <t>☁️میغ☁️</t>
  </si>
  <si>
    <t>ولی #روحانی راست میگه حقوق‌ها دوبرابر شده، من اگر پارسال ماهی ۵۰۰ دلار حقوق میگرفتم، میشد ۲۱۰۰ الان میشه ۵ میلیون :)) فقط مشکل این بود که ما دلار نخریدیم همون موقع...</t>
  </si>
  <si>
    <t>‏‏‏‏‏‏معقولانه ترین راه برای زندگی در این دنیا اینه که بدون قانون و قاعده زندگی کنی جمهوری خواهم و برانداز همچنین احترام زیادی برای مشروطه خواهان قائلم</t>
  </si>
  <si>
    <t>سرزمین اشغال شده ایران</t>
  </si>
  <si>
    <t>فحوای کلام #رييس_جمهور آقای روحانی: اگر ما با هم باشیم مردم هیچ غلطی نمی توانند بکنند #سوال_از_رییس‌جمهور #اتحاد_براندازان #ایران_را_پس_میگیریم #براندازم #این_انتخاب_من_نیست</t>
  </si>
  <si>
    <t>جوکر</t>
  </si>
  <si>
    <t>در بی لیاقتی دولت #روحانی و غربگرایان همین بس که #پوشک بچه نیز به لیست دغدغه های مردم اضافه شده است. رفته ام پوشک بخرم، مغازه دار میگوید در بازار نیست! "پیش خرید" کرده ام و شاید عصر به مغازه برسد! آقای روحانی! هسته ای و موشک نخواستیم، بگذار همین پوشک برای ما بماند...</t>
  </si>
  <si>
    <t>اظهارات دیروز #روحانی علیه دولت ا.نژاد به قدری مشمئز کننده بود که صدای کارشناس #بي_بي_سي رو هم دراورد! #سوال_از_رئیس‌جمهور</t>
  </si>
  <si>
    <t>وقتی در هر تریبون چه رئیس جمهور، چه نماینده مجلس، مداح.. صحبت از تهدید و یا انجام عمل ترور را میزنند، توقع دارند 11 سپتامبر، انفجار مرکز یهودیان، قتل بختیار،دکتر شرفکندی، فریدون فرخزاد، مرکز تفنگداران آمریکا در لبنان، نایروبی، ظهران عربستان..به ایران ربط ندهند #روحاني</t>
  </si>
  <si>
    <t>نسل سوخته</t>
  </si>
  <si>
    <t>‏‏‏منـ بـهـ هـر حـالــ خـــ💜ــدا را دارمــ...</t>
  </si>
  <si>
    <t>_چرا در شمال ایران بام برخی خانه ها را شیب دار میسازند؟؟ +شییییب؟؟؟؟باااام؟؟ #سوال_از_رئیس‌جمهور #ساکتین_مجلس</t>
  </si>
  <si>
    <t>Sarina Na Sarinaaa</t>
  </si>
  <si>
    <t>کمی تا حدودی نویسنده،بنگاه خبرپراکنی،طرفدار حقوق بشر البته قسمت چیزش،طنزپرداز،ژورنالیست، فیلمساز،بقیش بعدا</t>
  </si>
  <si>
    <t>جمهوری اسلامی ایران_تهران</t>
  </si>
  <si>
    <t>https://pbs.twimg.com/media/DlvyvdJXcAAhnwo.jpg</t>
  </si>
  <si>
    <t>آقای #روحانی گوشت، تخم مرغ، مرغ، مسکن، وسایل منزل این ها کالای اساسی ملت نیست؟که شما میگی مردم نگران تامین کالا های اساسی خودشان نباشند؟!!! #سوال_از_رئیس_جمهور #سانسور_رهبری</t>
  </si>
  <si>
    <t>محمدی</t>
  </si>
  <si>
    <t>http://t.me/jamalgeram</t>
  </si>
  <si>
    <t>‏‏‏‏‏‏فلسفه خوان | ‏نیمه فعال فرهنگی اجتماعی!</t>
  </si>
  <si>
    <t>أرض مقدس مشهد</t>
  </si>
  <si>
    <t>#روحانی دیروز به شدت خویشتن‌داری کرد. حتی بعضی جاها تواضع به خرج داد و البته به خوبی چاشنی #مظلوم_نمایی را هم به پاسخ هایش اضافه کرد. او از #احمدی‌_نژاد به خوبی عبرت گرفته و دوست ندارد بعد از دوران ریاست جمهوری‌اش از صحنه سیاست جمهوری اسلامی توسط دوستان یا رقیبانش کنار گذاشته شود</t>
  </si>
  <si>
    <t>جمال</t>
  </si>
  <si>
    <t>https://pbs.twimg.com/media/DlvzeDXW0AAjsTj.jpg</t>
  </si>
  <si>
    <t>http://tn.ai/1815138</t>
  </si>
  <si>
    <t>موافقت #مجلس با تحقیق و تفحص از خودروساز داخلی/ نمایندگان با تقاضای تحقیق و تفحص از بررسی علل ناکارآمدی شرکت‌های #خودروساز داخلی در حوزه‌های کیفیت، قیمت، محیط زیست، طراحی و تکنولوژی، فروش و خدمات پس از فروش موافقت کردند</t>
  </si>
  <si>
    <t>https://pbs.twimg.com/media/DlvzKxqWwAApSjM.jpg</t>
  </si>
  <si>
    <t>در حاشیه آمارسازی های روحانی در #سوال_از_رئیس_جمهور</t>
  </si>
  <si>
    <t>شاید که آینده از آن ما</t>
  </si>
  <si>
    <t>sanandaj,Kurdistan</t>
  </si>
  <si>
    <t>همین توریستهای #عراقی که میان #مشهد برای زیارت،میزان دمکراسی در کشورشون خیلی بیشتر از جمهوریت ماست،انجا حداقل هرچند نمایشی یک کرد میتواند #وزیر یا #رئیس_جمهور باشد.</t>
  </si>
  <si>
    <t>farzad mehrdad فرزاد مهرداد</t>
  </si>
  <si>
    <t>تا حالا یه دونه بلبرینگ چرخ واسه پـــــراید نخریدین نــــــــــوَد هـــــزار تومن که عاشقی از یادتون بره #دولت_تدبیرو_امید #روحانی</t>
  </si>
  <si>
    <t>Sports</t>
  </si>
  <si>
    <t>چالش "سنی دییلر" تنها طی یک هفته در بین کاربران ترکی زبان به اندازه ای باعث ایجاد نشاط اجتماعی شده که کمیسیون فرهنگی مجلس شورای اسلامی طی 4 سال گذشته نتوانسته به این اندازه نشاط در سطح جامعه ایجاد کند😂 #مجلس #نمایندگان_مجلس</t>
  </si>
  <si>
    <t>شاهین سپهراد</t>
  </si>
  <si>
    <t>http://tasnimnews.com</t>
  </si>
  <si>
    <t>♨️ اخبار سیاست داخلی و خارجی خبرگزاری تسنیم ♨️</t>
  </si>
  <si>
    <t>کدخدایی در گفت‌وگو با تسنیم: 🔹مجلس باید درباره سوال از رئیس‌جمهور تکلیف نهایی را مشخص کند. 🔹درباره تکلیف نهایی سوال از رئیس‌جمهور به طور روشن موردی مطرح نشده و درباره مصادیق استنکاف از قانون نیز هیچ تعریفی وجود ندارد. #سوال_از_رییس‌جمهور</t>
  </si>
  <si>
    <t>تسنیم سیاسی</t>
  </si>
  <si>
    <t>روحانی: اشتغال خالص ما در طول ۵ سال گذشته ٢میلیون و هفتصد هزار نفره - من فکر میکنم خیلی بیشتر از این حرفهاست. فقط تو سال ٩۶ حدود ٢۴ میلیون نفر رفتند سر کار #سوال_از_رییس‌جمهور</t>
  </si>
  <si>
    <t>https://pbs.twimg.com/media/Dlv2RVbX4AAlLLc.jpg</t>
  </si>
  <si>
    <t>طرح #استیضاح بطحایی وزیر آموزش و پرورش با ۲۰ امضا در مجلس اعلام وصول شد.</t>
  </si>
  <si>
    <t>http://payambarpour.wordpress.com</t>
  </si>
  <si>
    <t>One who is interested in learning and sharing</t>
  </si>
  <si>
    <t>pic.twitter.com/TmcwOupVJn</t>
  </si>
  <si>
    <t>دو فرد، دو سیاست، یک نتیجه برای مردم #روحاني #احمدي_نژاد</t>
  </si>
  <si>
    <t>S. A. Payambarpour</t>
  </si>
  <si>
    <t>‏حسبي الله | علاقه‌مند به تاریخ و سیاست | فحاشی=بلاک</t>
  </si>
  <si>
    <t>محور المقاومة</t>
  </si>
  <si>
    <t>https://twitter.com/FarsNews_Agency/status/1034691385599946752</t>
  </si>
  <si>
    <t>بابا اینو دیگه چرا #استیضاح کردین😂😂😂 مجلس میخواد این سه سال که خوابیده رو تلافی کنه RT @FarsNews_Agency: طرح #استیضاح بطحایی وزیر آموزش و پرورش با ۲۰ امضا در مجلس اعلام وصول شد.</t>
  </si>
  <si>
    <t>Farhad Imani فرهاد</t>
  </si>
  <si>
    <t>"سیب" هوایی بود! امروز وقتی "سیب" زمینی شد، "سیب زمینی" ماند، مثل تمام زمینی ها /یه سیبِ زمینی صورتی که نویسنده ست، خبرنگاره و عاشق/</t>
  </si>
  <si>
    <t>از روز قبل که یک فرد خاص در یک مجلس خاص آمار بیکاری رو ارائه دادن یک نفر بیکار شده و آمار آقای پرزیدنت بهم ریخته! پ.ن/ البته من خیلی خوشبینم واسه آینده شغلی ایشون! @k_maziar #مثل_شرق_دروغ_میگی #سوال_از_رئیس‌جمهور</t>
  </si>
  <si>
    <t>sib_zamini_soorati</t>
  </si>
  <si>
    <t>دیروز فقط "یک نفر" از جوابهای روحانی قانع شد! سر خم می، سلامت، شكند اگر سبوئی😐 #سوال_از_رئیس‌جمهور</t>
  </si>
  <si>
    <t>https://twitter.com/mehrnews_fa/status/1034432162307694592
https://twitter.com/mehrnews_fa/status/1034374032144171012</t>
  </si>
  <si>
    <t>در جلسه علنی؛ #استیضاح وزیر آموزش و پرورش در مجلس اعلام وصول شد. RT @mehrnews_fa: سخنگوی کمیسیون آموزش و تحقیقات #مجلس:‌ نمایندگان #استیضاح کننده از توضیحات #بطحایی قانع نشدند / استیضاح به هیئت رئیسه می‌رود</t>
  </si>
  <si>
    <t>http://goo.gl/RGQoEj</t>
  </si>
  <si>
    <t>#روحانی بهتر از هر کسی این را می‌دانست که در میان سخنانش گفت: مردم درد را می‌دانند چه فرق دارد (این درد را) نمایندگان بگویند یا رئیس‌جمهور بگوید. از رئیس‌جمهور و نمایندگان هم بهتر می‌دانند. مردم درمان دائم را می‌خواهند... #تیتریک</t>
  </si>
  <si>
    <t>🔹طرح #استیضاح #وزیر_آموزش و پرورش با 20 امضا در صحن علنی مجلس اعلام وصول شد. 🔹 وزیر آموزش و پرورش 10 روز مهلت دارد در صحن علنی حاضر شده و از خود دفاع کند.</t>
  </si>
  <si>
    <t>طرح #استیضاح بطحایی وزیر آموزش و پرورش با ۲۰ امضا در مجلس اعلام وصول شد. ولی همچنان نوبخت و شریعمتداری و نیلی یکه‌تازی می‌کنن کی به کیه</t>
  </si>
  <si>
    <t>‏‏《...راست گو و کفر گو، بهتر از آنست که کلمه ایمان بر زبان رانی و دروغ گویی...》 حضرت بهاءالله پیامبر دیانت جهانی بهایی عکاس صنعتی و تبلیغاتی</t>
  </si>
  <si>
    <t>Yazd.Iran</t>
  </si>
  <si>
    <t>مواد اولیه ما در عرض چهار پنج ماه ۸۰ درصد گرون شد. گفتیم به #روحانی رای بدیم که اون 🐄 نیاد که بد بدتر نشه. دیدیم اینم 🐄یست در حد همون 🐄. در واقع همه عروسک خیشه شب بازی اون اصل کاریه هستن و. ای لعنت به دونه دونه تون که وایسیدنکی 💩 به زندگی مردم.</t>
  </si>
  <si>
    <t>🌐Moein Mohammadi🇮🇷</t>
  </si>
  <si>
    <t>از خاک بر سرانِ با سوادِ شرم بر جبینِ سفلی ...!</t>
  </si>
  <si>
    <t>https://pbs.twimg.com/media/Dlv3wYCWsAAQIxF.jpg</t>
  </si>
  <si>
    <t>سفید شدن روی مموتی پس از صحبتهای دیروز #روحانی در #مجلس + عکس!</t>
  </si>
  <si>
    <t>عل ناپاچینو</t>
  </si>
  <si>
    <t>لاریجانی گفته #استیضاح قابل ارجاع به قوه قضائیه نیست !!! پس قابل چیه؟ قابل خندیدن به ریش ملته؟! #مجلس_خانه_دولت! #سوال_از_رییس_جمهور</t>
  </si>
  <si>
    <t>http://www.eghtesadonline.com/</t>
  </si>
  <si>
    <t>اکانت رسمی سایت اقتصاد آنلاين The Official Account of Eghtesad Online</t>
  </si>
  <si>
    <t>طرح #استیضاح وزیر آموزش و پرورش با 20 امضا در صحن علنی #مجلس اعلام وصول شد. وزیر آموزش و پرورش 10 روز مهلت دارد در صحن علنی حاضر شده و از خود دفاع کند.</t>
  </si>
  <si>
    <t>اقتصاد آنلاين</t>
  </si>
  <si>
    <t>https://pbs.twimg.com/media/Dlv4Sj1V4AA6PXm.jpg</t>
  </si>
  <si>
    <t>http://tn.ai/1815094</t>
  </si>
  <si>
    <t>سخنگوی #شورای_نگهبان:آیین‌نامه #مجلس درباره #سوال_از_رئیس‌جمهور ابهام دارد/مجلس باید درباره سوال ازرئیس‌جمهور تکلیف نهایی رامشخص کند/درباره تکلیف نهایی سوال از رئیس‌جمهور بطور روشن موردی مطرح نشده و درباره مصادیق استنکاف از قانون نیز هیچ تعریفی وجود ندارد</t>
  </si>
  <si>
    <t>‏مینویسم؛ پس هستم.</t>
  </si>
  <si>
    <t>Rasht</t>
  </si>
  <si>
    <t>این طوری که رگباری دارن سوال و استیضاح میکنن، استیضاح #روحانی تا یه مدت دیگه و شکوندن همه ی کاسه کوزه ها سر اون و مبرا کردن آغا از هر گناهی اصلا بعید نیست به نظرم!</t>
  </si>
  <si>
    <t>جَوونک</t>
  </si>
  <si>
    <t>https://pbs.twimg.com/media/Dlv4mIfX0AAnBMp.jpg</t>
  </si>
  <si>
    <t>ازپاسخهای #روحانی قانع نشدیم،امااگرقرارباشدبازهم بین #گفتمان #علم الهدی وروحانی یکنفرراانتخاب کنیم #رای_من روحانی ست</t>
  </si>
  <si>
    <t>parisa pershad</t>
  </si>
  <si>
    <t>https://pbs.twimg.com/media/Dlv4g_QU0AA7hnz.jpg</t>
  </si>
  <si>
    <t>طرح #استیضاح_بطحایی وزیر آموزش و پرورش با ۲۰ امضا در صحن علنی #مجلس اعلام وصول شد</t>
  </si>
  <si>
    <t>#روحانی میگه ما دومیلیون‌و‌هفتصدهزار نفر را سر کار گذاشتیم اما به‌نظر من دولت‌محترم هشتاد میلیون‌نفر رو سر کار گذاشته #سوال_از_رییس‌جمهور</t>
  </si>
  <si>
    <t>https://pbs.twimg.com/media/Dlv4lNAW4AAYTVe.jpg</t>
  </si>
  <si>
    <t>طرح #استیضاح بطحایی وزیر آموزش و پرورش با ۲۰ امضا در #مجلس اعلام وصول شد.</t>
  </si>
  <si>
    <t>‏‏‏‏‏‏‏‏‏‏یک تمام شده در ابتدا یک تباه شده در زندگی درکافه ها در شعر ‎‎‎‎‎‎‎#حرفها_دارم_لیلی‌_جان</t>
  </si>
  <si>
    <t>مجلس رسماً کرده تو دولت و ول کنم نیست #استیضاح #وزیر_آموزش_و_پرورش کلید خورد</t>
  </si>
  <si>
    <t>وصله‌ی ناجور</t>
  </si>
  <si>
    <t>https://pbs.twimg.com/media/Dlv48peXgAAQimm.jpg</t>
  </si>
  <si>
    <t>#راز_سر به مهر توصیه #مقام_معظم_رهبری به #روحانی در حضور در #مجلس_شورای_اسلامی. #مقصران_پنهان #مصلحت_نظام</t>
  </si>
  <si>
    <t>#لاریجانی رییس مجلس: سوال از رییس جمهور به دلیل عدم ذکر موضوع نقض قانون و استنکاف در طرح سوال، قابل ارجاع به قوه قضاییه نیست. #روحانی</t>
  </si>
  <si>
    <t>https://pbs.twimg.com/media/Dlv5YTXXsAIQXsV.jpg</t>
  </si>
  <si>
    <t>https://www.yjc.ir/00Rtmj</t>
  </si>
  <si>
    <t>یوسف‌نژاد، عضو هیئت رئیسه مجلس: طرح #استیضاح وزیر آموزش و پرورش اعلام وصول شد</t>
  </si>
  <si>
    <t>‏‏‏‏‏‏‏‏‏‏‏‏‏‏‏‏‏‏من دیپلمات نیستم، انقلابیم! مهندس عمران، بسیار سختگیر در رعایت قوانین و مقررات، اعتقاد کامل دارم به نابودی اسرائیل در کمتر از ۲۳ سال آینده</t>
  </si>
  <si>
    <t>https://pbs.twimg.com/media/Dlv5myGXgAEbRkQ.jpg</t>
  </si>
  <si>
    <t>لامذهب حتی پنکش هم شبیه حباب سازه! اون هم از نوع خارجی! #سوال_از_رییس‌جمهور #حباب</t>
  </si>
  <si>
    <t>حمید سعیدفیروزه  ⁦🇮🇷 ⁩ 🇵🇸 🇸🇾 🇮🇶 🇱🇧 🇾🇪</t>
  </si>
  <si>
    <t>کالای از دست رفتهء این روزهای #دولتمردان مملکت ما : #وجدان... وکالای فراوان و زیاده از حدِّ موجود بین ایشان : #وقاحت... #سوال_از_رئیس_جمهور</t>
  </si>
  <si>
    <t>https://t.me/kashanpress_ghotnibaf</t>
  </si>
  <si>
    <t>حسين قطنی باف ، رسانه نگار</t>
  </si>
  <si>
    <t>حسن روحانی در روز 6 شهریور 1397 در خانه ملت بدرقه شد ؛ آن هم با حضور اکثریت نمایندگان مردم ؛ کی فکر می کرد بعد از یک سال و سه ماه از بدرقه روحانی در ایام تبلیغات انتخاباتی در کاشان ، بقیه نمایندگان مردم حتی حامیانش ، او را بدرقه کنند ؟! #کاشان #بدرقه #روحانی</t>
  </si>
  <si>
    <t>حسين قـُطنی باف</t>
  </si>
  <si>
    <t>‏‏‏‏یه شب مهتاب، ماه میاد تو خواب، منو میبره....</t>
  </si>
  <si>
    <t>آقای #روحانی باختی</t>
  </si>
  <si>
    <t>عمو حسام🏳️⁩</t>
  </si>
  <si>
    <t>https://pbs.twimg.com/media/Dlv6RLyWsAEHg9k.jpg</t>
  </si>
  <si>
    <t>سخنان اخیر #روحاني در مجلس نشان داد که دولت هیچ برنامه ای برای عبور از بحران افسار گسیخته کنونی کشور ندارد،این امر نه تنها باعث بالا رفتن نرخ ارز شد، بلکه گراد خوبی به دست دشمن داده شد! #سوال_از_رییس‌جمهور</t>
  </si>
  <si>
    <t>Nasser</t>
  </si>
  <si>
    <t>http://montazerashena.blog.ir</t>
  </si>
  <si>
    <t>عاشقی درد سری بود نمی دانستیم ... اصول طلب/اصلاح گرا| دانشجوی مهندسی کامپیوتر|تحکیم وحدتی|دغدغه مند عدالت،آزادی،فرهنگ،استقلال،انسانیت</t>
  </si>
  <si>
    <t>#سوال_از_رییس‌جمهور هیچی نداشته باشه همین که ر.ج به #سیاست های ارزی #اشتباه صرفا #تبلیغاتی سالهای گذشته اعتراف کرد کافیه در خانه اگر کس است یک حرف بس است آقای @HassanRouhani شما در چهار و نیم سال گذشته علاوه بر اینکه با اسم برجام سر مردم کلاه گذاشتی به تمامیت نظام هم خیانت کردی</t>
  </si>
  <si>
    <t>⁦🇮🇷⁩سجاد.میم⁦🇵🇸</t>
  </si>
  <si>
    <t>موقعیت #روحاني در برابر نهادهای زیرمجموعه بیت،اتحاد با یک گروه و تقابل با گروه دیگر است.نماد و هد گروه اول #سپاه است ک نگرش کلانتر و عملگرایانه‌تری نسبت ب بحران موجود پیرامون مسائل کشور و نظام دارد؛اما نماد گروه دوم تیم #علم_الهدى و #رییسی ست ک کینه انتخابات ۹۶ را رها نکرده و</t>
  </si>
  <si>
    <t>یکی مثل خودت...</t>
  </si>
  <si>
    <t>کابینه روحاني داره خیلی نرم نزدیک میشه به رکوردهای دولت محمود تو تغییرات و عزل و نصب وزرا! اعلام وصول طرح استیضاح وزیر آموزش و پرورش امروز. اعلام‌ وصول طرح استیضاح وزیر صمت پریروز. هر کی تک بیاره اون اول استیضاح میییییشه! #روحانی_مچکریم #مجلس #مجلس_شورای_اسلامی</t>
  </si>
  <si>
    <t>Ahmad Salsabili</t>
  </si>
  <si>
    <t>‏طرفدار هیچ چیز جز شرافت و شفافیت نیستم برچسب نچسبانید,نمی چسبد</t>
  </si>
  <si>
    <t>22نماینده مجلس پیشنهاد دادن که به جهت #شفافیت , آرا با ورقه و علنی اخذ بشه بعد اکثریت مجلس رای منفی دادن این یعنی حاضر نیستن مسئولیت کارهاشون رو به عهده بگیرن درود به #شرافت اون 22نفر به نظرم هم #رئیس_جمهور باخت هم #مجلس</t>
  </si>
  <si>
    <t>J.kazemi</t>
  </si>
  <si>
    <t>آیین‌نامه مجلس درباره سوال از رئیس‌جمهور ابهام دارد ▪️سخنگوی شورای نگهبان:مجلس باید درباره سوال ازرئیس‌جمهور تکلیف نهایی رامشخص کند.درباره تکلیف نهایی سوال ازرئیس‌جمهور به طورروشن موردی مطرح نشده و درباره مصادیق استنکاف از قانون نیز هیچ تعریفی وجود ندارد. #سوال_از_رییس_جمهور</t>
  </si>
  <si>
    <t>http://www.rouydad24.ir/</t>
  </si>
  <si>
    <t>پایگاه خبری تحلیلی رویداد۲۴ هیچ گونه مسئولیتی در قبال نظرات سایر کاربران در مورد توئیت های این صفحه ندارد.</t>
  </si>
  <si>
    <t>پایگاه خبری تحلیلی رویداد۲۴</t>
  </si>
  <si>
    <t>http://emtedad.net</t>
  </si>
  <si>
    <t>سایت خبری تحلیلی امتداد</t>
  </si>
  <si>
    <t>https://pbs.twimg.com/media/Dlv64duXoAE6_LF.jpg</t>
  </si>
  <si>
    <t>#استیضاح وزیر آموزش و پرورش با ۲۰ امضا در صحن علنی مجلس اعلام وصول شد</t>
  </si>
  <si>
    <t>Emtedad.net</t>
  </si>
  <si>
    <t>☺</t>
  </si>
  <si>
    <t>https://pbs.twimg.com/media/Dlv677WU8AAeYC4.jpg</t>
  </si>
  <si>
    <t>http://rouhani.ir</t>
  </si>
  <si>
    <t>دامنه  به نام فردی به اسم مجید #روحانی ثبت شده. اقای @Rouhani_ir شما یا اسم کوچیک جدید دارین یا برادرتونم فامیلیشو عوض کرده. قضیه چیه خلاصه؟ 🤣 #ایران</t>
  </si>
  <si>
    <t>Ahmad Mokhtari</t>
  </si>
  <si>
    <t>https://twitter.com/Hadi_167/status/1034686180699324416</t>
  </si>
  <si>
    <t>با نمایندگان شهرتان تماس بگیرد یا بهشون پیامک بدهید و نظرشان را درباره طرح #شفافیت_آرا_نمایندگان جویا شوید. سعی کنید پاسخشان را به صورت صوت یا اسکرین شات در توییتر و اینستاگرام به همراه هشتگ نام شهرتان منتشر کنید. #شفافیت #مدعیان_شفافیت_لیست_امید #مجلس RT @Hadi_167: ✍ تعداد نمایندگانی که طرح #شفافیت_آرا_نمایندگان را امضا کرده اند به 140 نفر رسید. اگر نماینده شما در این لیست نیست حتما از او مطالبه کنید و توضیح بخواهید. 🔺پیگیر نماینده شهرتان باشید #شفافیت #مدعیان_شفافیت_لیست_امید #مجلس</t>
  </si>
  <si>
    <t>https://easternmiddle.wordpress.com</t>
  </si>
  <si>
    <t>Jack of all trades and master of none. Writer in making. Improv comedy enthusiast. Software analyst by trade, Business development by force. left-leaning-ish</t>
  </si>
  <si>
    <t>من به #روحاني راي ندادم. راي ندادنم هم نه از سر كون گشادي بود و نه حتي از سر سوادي مقاومت منفي. پيامي هم نداشتم بفرستم. فرقي بين روحاني و رييسي نمي ديدم. كمترين اعتقادي هم به اين كه رييس جمهور تاثيري در اداره اوضاع كشور داره ندارم. #انتخابات</t>
  </si>
  <si>
    <t>Kaveh Nematipour</t>
  </si>
  <si>
    <t>لیسانس عمران</t>
  </si>
  <si>
    <t>#روحانی درسال ۹۷ بیشتر از متقاضیان کار اشتغال ایجاد. کردیم. اقای رئیس جمهور اجازه میدهید قانع نشویم. #سوال_از_رییس‌جمهور #فرافکنی</t>
  </si>
  <si>
    <t>Edris vahdat</t>
  </si>
  <si>
    <t>#روحانی میگن به ناچار دم فرو بستی!!! من برای خفه شدن بهت رای ندادم آقای #رئیس_جمهور</t>
  </si>
  <si>
    <t>Pooneh</t>
  </si>
  <si>
    <t>https://pbs.twimg.com/media/Dlv7tmpXcAA0QhM.jpg</t>
  </si>
  <si>
    <t>https://www.radiozamaneh.com/409784</t>
  </si>
  <si>
    <t>طرح #استیضاح #محمد_بطحایی، وزیر #آموزش_و_پرورش با با ۲۰ امضا تقدیم هیأت رئیسه #مجلس شد -</t>
  </si>
  <si>
    <t>http://www.ntne.ir</t>
  </si>
  <si>
    <t>وی دوستار زدوده شدن جهل و خرافه از دامن علمُ دین بوده و آرزو و دغدغه ای جز #انقلابی بودن،#انقلابی_ماندن و #شهادت ندارد(ننگ بر #اصلاح_طلب و #اصولگرا ی کاخ نشین)</t>
  </si>
  <si>
    <t>ساکن قم، متولد آذربایجان غربی🇮🇷</t>
  </si>
  <si>
    <t>تو رو چه لیاقتی به شهادت! با این همه خوش خدمتی تو برای استعمار پیر و شیطان بزرگ٬ ملت در نماز خواندن بدون نفاق تو هم شک دارند. #شهادت #سوال_از_رئیس‌جمهور</t>
  </si>
  <si>
    <t>مرتضی جلیلی</t>
  </si>
  <si>
    <t>http://t.me/PmUnkwonBot?start=i_JNZNZ6</t>
  </si>
  <si>
    <t xml:space="preserve">بضرب سَیْفک قَتْلی حَیاتنا أبدا |لأنَّ روحی قدْ طابَ أنْ یَکونَ فداکَ </t>
  </si>
  <si>
    <t>mount doom</t>
  </si>
  <si>
    <t>-ما نون مون رو با گندم می پزیم آقای رییس جمهور ، نه با صبر. صبر نمی دونه از حصار و نگهبان مسلح رد شه. برای رد شدن از حصار حکم شما لازمه. + من نمی تونم حکم بدم. فقط می تونم نظر بدم. زنده باد زاپاتا | الیا کازان #روحانی</t>
  </si>
  <si>
    <t>Ali Sarmadi</t>
  </si>
  <si>
    <t>http://www.zagrosian.com</t>
  </si>
  <si>
    <t>Persian history</t>
  </si>
  <si>
    <t>تو رفته ای با سینه ای پر از حرفهای مگو ما هم مانده ايم با سینه ای پر از حرفهای مگو دیگر چه تفاوت میان ما و تو ای یار نازنین در زمانه ای که نمی توان گفت و نوشت از؛ حرفهای مگو #سوال_از_رئیس_جمهور</t>
  </si>
  <si>
    <t>farshid khodadadian</t>
  </si>
  <si>
    <t>سخنگوی #شورای_نگهبان: درباره تکلیف نهایی سوال از #رئیس‌جمهور به طور روشن موردی مطرح نشده و درباره مصادیق استنکاف از قانون نیز هیچ تعریفی وجود ندارد. در آیین‌نامه داخلی #مجلس هم به صراحت ذکر نشده که مرجع تعریف و تعیین استنکاف از قانون درباره سوال از رئیس‌جمهور چه مرجعی است.</t>
  </si>
  <si>
    <t>دوستانی که از رهبری توقع برخورد با #روحانی رو دارنو به اصل هشتاد و نه قانون اساسی ارجاع میدم #گفته_نشده #خارج_از_دید #غدیری_ام</t>
  </si>
  <si>
    <t>donyae Varoone</t>
  </si>
  <si>
    <t>http://www.instagram.com/nourajfri</t>
  </si>
  <si>
    <t>‏‏‏‏‏‏‏‏خودِ خودمم شاد و شلوغ و دوربین به گردن آویخته📷❤🌹🍃 🌹🍃اردیبهشتیم! 🍃🌹 چی ازین خفن‌تر؟🐄</t>
  </si>
  <si>
    <t>آخرین کوچه‌ی بالاشهر</t>
  </si>
  <si>
    <t>دکتر #روحانی تو مرحله‌ای از بازیه که هر روز تو ذهنش به #احمدی_نژاد می‌گه: راستی محمود چطو بتو گیر ندادن؟ اونم می‌گه نی‌می‌دونم می‌تونی از خودشون بپرسی! #ایرج_ملکی</t>
  </si>
  <si>
    <t>نورنورِبابابوده</t>
  </si>
  <si>
    <t>PhD Candidate in Political Sociology ,Teaching at uni,political sociologist,Researcher كلاسيك زني و مدرنيته تني</t>
  </si>
  <si>
    <t>ديشب تو عروسي با خنده و طعنه ميگه شما با اين راي دادنتون بايد جواب بدبختي مردم رو بديد،شما مسئوليد،گفتم آخه گزينه اي مونده بود؟#روحاني خودش رو هم با آمار و گزارشاتش گول ميزنه چه برسه به مردم. نوشابه ات رو بخور برادر</t>
  </si>
  <si>
    <t>sharareh abdolhoseinzadeh شراره عبدالحسين زاده</t>
  </si>
  <si>
    <t>فعال سیاسی</t>
  </si>
  <si>
    <t>#روحانی اعتراضات دی راعامل خروج ترامپ از #برجام دانست؛حجم بلاهت ودروغ متراکم این سخن‌به‌کنار؛دی‌ماه درمحدوده رضایت وکنترل آقایان نبود؛برآشفته‌اند؛اما برای جنبش سبزچون علیه رقیب‌وبرگشت به عصرطلایی‌ویاحسین‌میرحسین بود؛همه زمینه‌های امنیتی رافراهم کردندوسرسفره‌اش نشستند #iran #مجلس</t>
  </si>
  <si>
    <t>حجت کلاشی</t>
  </si>
  <si>
    <t>http://peyghamesoroosh.parsiblog.com/</t>
  </si>
  <si>
    <t>https://pbs.twimg.com/media/DlrpN_sXcAA9xwx.jpg</t>
  </si>
  <si>
    <t>https://twitter.com/sasansai2122/status/1034395507878182912</t>
  </si>
  <si>
    <t>براستی این دوستمان #حرف_حق زده است. از این #مجلس آبی برای #مردم_ایران گرم نمی‌شود حداقل #روحاني را عزل کنند بلکه همه‌ی خاطراتی که در اذهان #مردم باقی می‌گذارند بد نباشد. #سوال_از_رییس‌جمهور #قوه_قضائیه #همه_باهمند #روحانی_خفه_شو #روحانی_برو #روحانی_استعفا RT @sasansai2122: نمیتونم قبول کنم حداقل امروزنماینده هانماینده مردم بودند! امروزهم همچون همیشه تومجلس سیرک برگزارشد! اخوی میخواستی سوال کنی درست میپرسیدی،ازفریدون میپرسیدی ازبرادر جهانگیری میپرسیدی و... سوال امروزواسه رَدگم کردن افتضاحات #قوه_قضائیه بود! #سوال_از_رییس‌جمهور #همه_باهمند</t>
  </si>
  <si>
    <t>عباس مهدوی</t>
  </si>
  <si>
    <t>برای آزادی ایران مبارزه می‌کنم وسرنگونی تمامیت نظام جنایتکار ولایت فقیه هدفم است . ورودسلطنت‌طلب وعرزشی و جیره‌خوار⛔️حساسیت دارم. مخلص براندازان واقعی هستم❤️</t>
  </si>
  <si>
    <t>اندر وصف دروغهای روحانی در مجلس 🔻یک ضرب‌المثل آمریکایی میگه اعداد هرگز دروغ نمی‌گویند. معادل فارسی آن میشه؛ اعداد هرگز دروغ نمی‌گویند مگر اینکه #روحاني از آنها استفاده کند</t>
  </si>
  <si>
    <t>daryushkohan</t>
  </si>
  <si>
    <t>آیا در همه جای دنیا برای افزایش ذخایر ارز و طلا، #دلار و #طلا را گران و نایاب میکنند و ارزش پول ملی شان را کاهش میدهند یا با بالا بردن ارزش پول ملی در برابر #دلار صرفه واردات را بر صادرات ترجیح و واریز #دلار به خزانه را افزایش میدهند؟! #سوال_از_رییس_جمهور #نهاوندیان_بسم_الله</t>
  </si>
  <si>
    <t>چالش "سنی دییلر" تنها طی یک هفته در بین کاربران ترکی زبان به اندازه ای باعث ایجاد نشاط اجتماعی شده که کمیسیون فرهنگی مجلس شورای اسلامی طی 4 سال گذشته نتوانسته به این اندازه برای نشاط جامعه قانون گذاری کند😂 #سنی_دییلر #مجلس #نماینده</t>
  </si>
  <si>
    <t>https://telegram.me/harfbzanbot?start=0Y8p1AP</t>
  </si>
  <si>
    <t>‏لباس شخصی کف خیابونی وابسته نظام ، با افتخار</t>
  </si>
  <si>
    <t>#روحانی میخواست با #کدخدا ببندد غافل از اینکه آخر کار، باید به #خدا حساب پس بدهد که در این پنج سال، چه کرده است...</t>
  </si>
  <si>
    <t>مهدی شیعه زاده</t>
  </si>
  <si>
    <t>http://akharinkhabar.ir</t>
  </si>
  <si>
    <t>AkharinKhabar is the Iran's largest professional news network on the mobile devices.</t>
  </si>
  <si>
    <t>https://pbs.twimg.com/media/Dlv9n-3W0AEGZ8X.jpg</t>
  </si>
  <si>
    <t>رییس مجلس در پاسخ به یک تذکر: سوال از #رییس_جمهور بدلیل عدم ذکر موضوع نقض قانون و استنکاف درطرح سوال، قابل ارجاع به قوه قضاییه نیست</t>
  </si>
  <si>
    <t>آخرین خبر</t>
  </si>
  <si>
    <t>https://pbs.twimg.com/media/Dlv9_I1UwAAAYpP.jpg</t>
  </si>
  <si>
    <t>به مناسبت فرارسیدن ایام سالگرد شهادت شهیدان #رجایی و #باهنر و هفته دولت، #رئیس_جمهور و اعضای هیأت #دولت، پیش از ظهر امروز، با #رهبرانقلاب دیدار میکنند #هفته_دولت #دیدار_هیأت_دولت</t>
  </si>
  <si>
    <t>اينهمه سر و صدا كه #روحانى در برابر نمايندگان پاسخ داد و قانع نشدند و ... هركس جاى اينها بود تو اين وضعيت حداقل ساكت مى بود. • لاریجانی:سوال از رییس جمهورى قابل ارجاع به قوه قضاییه نیست</t>
  </si>
  <si>
    <t>طرح #استیضاح وزیر آموزش و پرورش با ۲۰ امضا در صحن علنی مجلس اعلام وصول شد. @AkhbareFori</t>
  </si>
  <si>
    <t>هرروزداره نگرانیم بابت #مجلس بیشترمیشه.چی شده دقیقا؟مجلسی که لیست امضامیکردن ویه شبه پس میگرفتن،حالادارن امضاجمع میکنن واسه تک تک وزرا.حرفای #رییس_جمهور هم که قانعشون نکرد.مابه دنبال #مطالبه_گری بودیم وهستیم،امامن یکی قلبم طاقت تحمل این تغییرمسیرناگهانی رونداره.خداکنه چپ نکنیم!</t>
  </si>
  <si>
    <t>از قویترین دلایل ناکار آمدی دولت #روحانی همین بس که یه کاخ آرزوها و امیدها ساخت به نام برجام که تهش به روابط خوب با امریکا میرسید که در نهایت با یک لَغَت پَرانیه ترامپ خراب شد</t>
  </si>
  <si>
    <t>‏‏‏‏‏‏‏Little chemistry, little environment, little politic. Middle East, EU. Mainly in Farsi. اصلاح‌طلب به رسم سیدمحمد خاتمی -:- اصولگرا به رسم میرحسین موسوی</t>
  </si>
  <si>
    <t>فرق #ایران با بسیاری کشورهای دیگر منطقه؟ دو وزیر دولت منتخب توسط مجلس منتخب به #مجلس فرا خوانده می‌شوند و در پایان برکنار می‌شوند پینوشت: البته که نظارت استصوابی هست، منتها قیاس با سوئد نیست، با کشورهای دیگر منطقه است</t>
  </si>
  <si>
    <t>Farshad</t>
  </si>
  <si>
    <t>زمان که بگذرد دیگر مسئله‏ی اصلی خیانت معشوقه نیست، مهم‏ترین چیز شکست دادن رقیب است</t>
  </si>
  <si>
    <t>#ایران از #آمریکا به دادکاه #لاهه شکایت کرده . مبنی شکایت ، #عهدنامه_مودت بوده که شاه در سال 1334 با آمریکا امضا کرده. یکی به من بگه ، ما با آمریکا دوستیم یا دشمن؟ #سوال_از_رئیس‌جمهور #سوال_از_رئیس_جمهور</t>
  </si>
  <si>
    <t>Mahdizzzzz</t>
  </si>
  <si>
    <t>از علاقمندى ها،دغدغه ها،ذهنيت ودلتنگى هايم مينويسم-ايران وايرانيان رابسياردوست ميدارم-شعارم صلح وآرامش ومهرودوستى است- دل نگران وضعیت کشور و مردم ایرانم...</t>
  </si>
  <si>
    <t>تهران-Tehran-Iran</t>
  </si>
  <si>
    <t>#استیضاح وزرای ؛ کار،اقتصاد،مسکن، آموزش و پرورش،نفت و... هیچ گره‌ای از مشکلات درهم پیچیده کشور و مردم باز نمیکند، وضعیت کنونی کشور و جامعه، حاصل ۴۰ سال #سیاست_گذاری و #مدیریت اشتباه و بکارگیری مدیران و نیروهای غیرمتخصص و کم_تجربه در عرصه داخلی وخارجی و سرشاخ شدن با جهان است...</t>
  </si>
  <si>
    <t>رضا شريف زاده🇮🇷-Reza Sharifzadeh</t>
  </si>
  <si>
    <t>https://pbs.twimg.com/media/Dlv-wTGXsAEODVN.jpg</t>
  </si>
  <si>
    <t>وال استریت ژورنال:‌ اعضاي مجلس از توضیحات #روحاني در مورد وضعیت اقتصادی متقاعد نشدند. افت ارزش ريال به ناآرامي اجتماعي دامن زده‌، هزينه سفر به خارج را افزايش داده، قيمت واردات را بيش از ۲برابر کرده و تورم را تشديد کرده، اینها عواملی در شكل‌گيري #تظاهرات‌هاي خودجوش بوده‌است</t>
  </si>
  <si>
    <t>Journaliste et documentariste iranien réside en France</t>
  </si>
  <si>
    <t>Ivry-sur-Seine, France</t>
  </si>
  <si>
    <t>نه تنها نمایندگان مجلس بلکه مردم و افکار عمومی هم قانع نشدند ، به نظرم وجدان خودش هم قانع نشد و یکبار دیگر این سناریوی مسخره و نخ نما شده " بیان حقایق ناگفته و افشای پشت پرده ها " که بیشتر کلک و فریبی برای فرار از مسئولیت و ناکارآمدی است رسوا شد. #سوال_از_رئیس‌جمهور #روحاني</t>
  </si>
  <si>
    <t>Seraj Mirdamadi</t>
  </si>
  <si>
    <t>نماینده ها دیروز یه سئوال از روحانی نپرسیدن اونم این بود که حسین فریدون برادرت کجاست؟ #سوال_از_رئیس_جمهور</t>
  </si>
  <si>
    <t>https://pbs.twimg.com/media/Dlv_fX6X4AEL6w8.jpg</t>
  </si>
  <si>
    <t>🔻پوستر منتشر شده در رسانه‌های خود رژیم! -آش بحرانها آنقدر شوره : زیراب «آمار درمانی» #روحانی رئیس‌جمهور نظام را اینگونه می‌زنند! #روحانی_خفه_شو #براندازم #ايران #IranRegimeChange #ايران_را_پس_ميگيريم</t>
  </si>
  <si>
    <t>رسد ادمی به جائی که به جز خدا نبیند بنگر که تا چه حد است مقام ادمیت----------------- برا فالو بازی نیومدم !</t>
  </si>
  <si>
    <t>آقای #روحاني #مثل_شرق_دروغ_میگی</t>
  </si>
  <si>
    <t>مرتضی</t>
  </si>
  <si>
    <t>https://pbs.twimg.com/media/DlwAdiQXsAEciba.jpg</t>
  </si>
  <si>
    <t>آقای #روحانی لطف بفرمایید کولر شخصیتان را که در مجلس جا گذاشته اید را ببرید</t>
  </si>
  <si>
    <t>http://forsategoftan.wordpress.com</t>
  </si>
  <si>
    <t>‏‏‏‏‏کارگر آبکاری- روزنامه نگار سابق</t>
  </si>
  <si>
    <t>الان بزرگترین دغدغه تیم روابط عمومی دولت اینه که #روحانی با خودش پنکه نبرده مجلس.</t>
  </si>
  <si>
    <t>Milad Fadai Asl</t>
  </si>
  <si>
    <t>‏‏‏‏‏‏‏‏‏‏‏‏‏‏‏‎‎‎‎‎‎‎‎‎‎‎‎#جانم_فدای_ایران ‎‎‎‎‎‎‎‎#جانم_فدای_رهبر دانشجوی مترجمی زبان انگلیسی</t>
  </si>
  <si>
    <t>منم موافقم که همه چیز از دیماه شروع شد،منتهی از ۹ دی ۱۳۲۷ اونم تو سرخه! #روحانی</t>
  </si>
  <si>
    <t>Zahra Zarei🇮🇷</t>
  </si>
  <si>
    <t>Composer / Setar player</t>
  </si>
  <si>
    <t>Los Angeles, CA</t>
  </si>
  <si>
    <t>دلم می‌خواد به صحبت‌های #روحانی واکنش نشون بدم. واکنش من : #واکنش</t>
  </si>
  <si>
    <t>Masoud Rezaei</t>
  </si>
  <si>
    <t>دولت @Rouhani_ir كه تشكيل شده از تجار و دلالان هست يعني نميداند كه براي ادامه كسب و تجارت خوشنامي مهمترين فاكتور است؟ اين همه گند و بدنامي برايتان گران تمام ميشود! #دولت_ناکارآمد #سوال_از_رئيس_جمهور</t>
  </si>
  <si>
    <t>مـ يـــــثـــــ مـ</t>
  </si>
  <si>
    <t>‏آنچه هرگز نتوان شرح کرد؛ حال من است…</t>
  </si>
  <si>
    <t>🔵🔵 کلیات #لایحه ایجاد 8 #منطقه_آزاد و 12 #منطقه_ویژه_اقتصادی جدید تصویب شد در جلسه #مجلس که در روز چهارشنبه 7 شهریورماه 97 به ریاست #علی_لاریجانی و با حضور دکتر #مرتضی_بانک مشاور رییس جمهور و دبیر #مناطق_آزاد برگزار شد؛ لایحه ایجاد 8 منطقه آزاد و 12 منطقه ویژه جدید تصویب شد.</t>
  </si>
  <si>
    <t>hany sabbaghan</t>
  </si>
  <si>
    <t>https://twitter.com/a_gholhaki/status/1034162295063162886</t>
  </si>
  <si>
    <t>دروغ آخر و عاقبت نخواهد داشت. چه #شرق باشه، چه #روحانی و یا حتی #دوگانه_سوز... RT @a_gholhaki: رئیسی بعد از مناظره سوم گفت، "آنهایی که به امام رضا(ع)توهین کردند، روزی سیلیِ کارِ خود را می‌خورند" اولین سیلی، خروج ترامپ از برجام و فروریختن سقف دولت روحانی و سقوط آزاد محبوبیت دولتش بود حالا چه زمانی روزنامه #شرق، سیلی تهمت خود به زوار و مردم مشهدالرضا را بخورد، خدا عالمه</t>
  </si>
  <si>
    <t>http://eranico.com</t>
  </si>
  <si>
    <t>حساب رسمی سایت #ارانیکو - Eranico: آخرین اخبار روز + اعلام نوسانات قیمت ارز، سکه و طلا http://fb.com/eranico &amp; http://google.com/+eranico</t>
  </si>
  <si>
    <t>https://pbs.twimg.com/media/DlwB6N9WwAUBiQS.jpg</t>
  </si>
  <si>
    <t>♨️ سوال #مجلس از #ظریف هم اعلام وصول شد 🔹سوال امیرآبادی فراهانی عضو هیات رئیسه مجلس از وزیر خارجه درباره‌ علت عدم ارائه گزارش به موقع مذاکرات #برجام اعلام وصول شد. @JZarif</t>
  </si>
  <si>
    <t>Eranico News</t>
  </si>
  <si>
    <t>_________انقلاب_________</t>
  </si>
  <si>
    <t>دوستان به انتقال سوالات نمایندگان مجلس به قوه قضائیه امیدوار هستند. اما به آن ها می گویم که علی #لاریجانی عمرا بگذارد چنین اتفاقی بیفتد. #لاریجانی و #روحانی گوشت هم را بخورند، استخوان یکدیگر را دور نمی اندازند. سوال دیروز هم شوآف مجلس برای انتخابات 98 بود. زیاد جدی نگیرید...</t>
  </si>
  <si>
    <t>Seyed Sadreddin Sadjadi</t>
  </si>
  <si>
    <t>🇮🇷 ‏‏سعی ما بُوَد بهر آبادی این سامان</t>
  </si>
  <si>
    <t>#علی_لاریجانی : سوال از رییس جمهور قابل ارجاع به قوه قضاییه نیست رییس مجلس شورای اسلامی گفت: سوال از رییس جمهور به دلیل عدم ذکر موضوع نقض قانون و استنکاف در طرح سوال، قابل ارجاع به قوه قضاییه نیست. #سوال_از_رئیس‌جمهور</t>
  </si>
  <si>
    <t>shabnamnezami</t>
  </si>
  <si>
    <t>آقاى #روحانى آقاى #ظريف دخترها را در مشهد اجاره مى دهيد يا اجازه؟! من اَن دارم آدرس يك تپه اى كه در آن تو اين سالها نريديد و مى خوام ممنون.</t>
  </si>
  <si>
    <t>سگِ بورخس</t>
  </si>
  <si>
    <t>برای جوانی که به سن ازدواج رسیده، #شغل نداره، ابتدایی ترین نیازها براش آرزو شده، پدر و مادر بیمارش شب و روز دست به دعا غصه میخورن، چطور از نظام و #انقلاب و آرمان‌های امام بگم تا قانع بشه تو همین صراط پایدار بمونه #روحانی #رئیس_جمهور #رئیس‌جمهور #انقلابی_ام #جمهوري_اسلامي</t>
  </si>
  <si>
    <t>https://pbs.twimg.com/media/DlwDIq0X0AA6N9h.jpg</t>
  </si>
  <si>
    <t>#پنكه_روحانى كه ديروز عكسش تو مجلس رو اعتماد منتشر كرد، از سرى فن هاى بى صداست كه كمپانى بريتانيايى دايسون (dyson) توليدش مى كنه. گفته شده رئيس جمهورى هرجا مى ره اين پنكه رو با خودش مى بره. قيمت: حدود ٣ ميليون و ١٥٠ هزار تومان به ارزش الان پوند. #روحانى #مجلس</t>
  </si>
  <si>
    <t>https://pbs.twimg.com/media/DlwDWAgWsAAnjfK.jpg</t>
  </si>
  <si>
    <t>حالا اون مانتورو خونک نکنی نمیشه حسن! #روحاني #این_انتخاب_من_نیست</t>
  </si>
  <si>
    <t>«اُنْظُرْ الی مَا قَالَ، و لا تَنْظُر إِلَی مَنْ قَالَ» انقلابی واقعی یک نقاد و فساد ستیز است نه یک ماله کش و مجیز گوی قدرت</t>
  </si>
  <si>
    <t>https://pbs.twimg.com/media/DlwDXyVWwAAgR0b.jpg</t>
  </si>
  <si>
    <t>من: چطور #مردم_بیچاره با این #گرانی ها سر میکنند؟! او: چطور جرات کردند #رئیس_جمهور را تهدید کنند؟! #شهید_رجائی: #جهنم یک جایی دارد برابر با عذاب 36 میلیون نفر! #تجربه_فریب #بیدرد</t>
  </si>
  <si>
    <t>Mbttwitt</t>
  </si>
  <si>
    <t>به بوسه های تو در خوابِ احتمالیه من...</t>
  </si>
  <si>
    <t>درست وسط بحث داغ جلسه مجلس راجع به #سوال_از_رئیس_جمهور چون تعداد نمایندگان از ۱۴۸ پایین بود،جلسه تعطیل شد و زنگ تفریحشون زده شده! یعنی چه دلیل قانع کننده ای میتونه وجود داشته باشه که حضرات نمایندگان ترجیح دادند تو جلسه نباشند؟!</t>
  </si>
  <si>
    <t>کمپوتِ خیار</t>
  </si>
  <si>
    <t>pic.twitter.com/Ku77Xa1Qsw</t>
  </si>
  <si>
    <t>فیلم/ شباهت عجیب کنایه‌های #روحانی و #احمدی‌نژاد در مجلس و پاسخ مشابه #لاریجانی!</t>
  </si>
  <si>
    <t>https://pbs.twimg.com/media/DlwEtiFW4AAaPKc.jpg</t>
  </si>
  <si>
    <t>#رئیس_فراکسیون_امید #عارف در شلوغترین روزهای #مجلس حرفی برای گفتن ندارد و استراحت می کند</t>
  </si>
  <si>
    <t>‏🔸کارشناس ارشد پژوهش علوم اجتماعی 🔸فعال اجتماعی و سیاسی اصلاح‌طلب 🔸دبیر دفتر اجتماعی حزب اعتماد ملی</t>
  </si>
  <si>
    <t>روحانی باز هم به مردم پشت کرد سکوت کرد البته ارزش سکوتش پس از انتخابات سال 1400 مشخص خواهد شد. اما به رئیس دولت تدبیر و امید، امید مردم را ناامید کرد. #روحانی #سکوت #مردم #ناامیدی</t>
  </si>
  <si>
    <t>Sajjad Shool</t>
  </si>
  <si>
    <t>https://pbs.twimg.com/media/DlwE30KVAAACMBw.jpg</t>
  </si>
  <si>
    <t>آقای #روحانی فرصتهای زیادی را از دست دادید...</t>
  </si>
  <si>
    <t>برای برقراری آزادی ودمکراسی در ایران فعالیت می کنم. چوایران نباشد تن من مباد</t>
  </si>
  <si>
    <t>https://twitter.com/simayazaditv/status/1034401494475399169</t>
  </si>
  <si>
    <t>به #روحاني شیاد باید گفت دوران شما بسرآمده وهیچ برون رفتی درمقابل شرایط کنونی وخشم مردم ومقاومت ندارید وسرنگون شدنتان به دست مردم ومقاومت #ایران نزدیک است.#تظاهرات_سراسرى #قيام_تا_سرنگوني RT @simayazaditv: اظهارات #روحاني در #مجلس مبين تعميق بن بست و بحران و تشديد جنگ قدرت است که هيچ برون رفتي در مقابل خشم و نفرت عموم مردم و قيام سراسري آنان ندارد دبيرخانه شوراي ملي مقاومت ايران ۶شهريور۱۳۹۷(۲۸ اوت۲۰۱۸) متن اطلاعیه ضمیمه است</t>
  </si>
  <si>
    <t>اسفندیار</t>
  </si>
  <si>
    <t>https://www.farsnews.com/news/13970607000128/%d8%b3%d9%88%d8%a7%d9%84-%d8%a7%d8%b2-%d8%b1%d8%a6%db%8c%d8%b3%e2%80%8c%d8%ac%d9%85%d9%87%d9%88%d8%b1-%d9%82%d8%a7%d8%a8%d9%84-%d8%a7%d8%b1%d8%ac%d8%a7%d8%b9-%d8%a8%d9%87-%d9%82%d9%88%d9%87-%d9%82%d8%b6%d8%a7%db%8c%db%8c%d9%87-%d9%86%db%8c%d8%b3%d8%aa</t>
  </si>
  <si>
    <t>کثیف تر از #روحانی #لاریجانی هست که شده عمله و ماله کش شیطان،این انگل تا کی میخواد مقابل خواست ملت بایستد!؟</t>
  </si>
  <si>
    <t>‏‏خائن برای آمریکا، قهرمان برای بشریت</t>
  </si>
  <si>
    <t>https://pbs.twimg.com/media/DlwFOSvXgAAitVU.jpg</t>
  </si>
  <si>
    <t>خیار ثمره میده، شما چطور رئیس جمهور. #سوال_از_رییس‌جمهور #ایران #روحاني #فقط_به_عشق_علی #من_کنت_مولاه_فهذا_علی_مولاه #کلیدخیارفروش</t>
  </si>
  <si>
    <t>Edward Joseph Snowden</t>
  </si>
  <si>
    <t>علی لاریجانی: چون موضوع هیچ کدام از سؤالات، نقض قانون و یا استنکاف نبود، مسئله، به قوه ی قضاییه، ارسال نمی شود! و من الله التوفیق! #سوال_از_رییس‌جمهور!</t>
  </si>
  <si>
    <t>https://pbs.twimg.com/media/DlwF1fmUUAA1aju.jpg</t>
  </si>
  <si>
    <t>قطعا كارنامه ٥ساله #اصلاحات بيشتر از محتويات اين عكس نيست اما جالب اين است كه با اثبات كارامد نبود اين دوش همچنان بزرگان اصلاحات خواهان ادامه اين روش هستند و جاي سوال ساده از هم فكرانشان راهم نميدهند #احمدی_نژاد #سوال_از_رییس‌جمهور #روزنامه_شرق</t>
  </si>
  <si>
    <t>https://pbs.twimg.com/media/DlwF8cTXsAEB1Ag.jpg</t>
  </si>
  <si>
    <t>http://tn.ai/1815294</t>
  </si>
  <si>
    <t>#افشانی از #شهرداری_تهران رفتنی شد/ با تصمیم #مجلس و اصلاحیه #قانون_منع_بکارگیری_بازنشستگان، شرایط برای ادامه حضور افشانی در #شهرداری پیچیده شد و با این وضعیت افشانی یک قدم دیگر برای رفتن از شهرداری تهران نزدیک‌تر شد</t>
  </si>
  <si>
    <t>IRIBNEWS is the News Agency Of The (IRIB) Islamic Republic of Iran Broadcasting</t>
  </si>
  <si>
    <t>#ظریف برای پاسخ به سوالات زیر به #مجلس فراخوانده شد: - عدم ارائه به موقع گزارش مذاکرات #برجام به مجلس - گزارش اقدامات دیپلماتیک در راستای رفع تهدیدات علیه ایران - علت عدم جلوگیری از سدسازی های غیرقانونی در منطقه - شایعه اعطای حق شهروندی به مقامات و فرزندان آنها درجریان برجام</t>
  </si>
  <si>
    <t>خبرگزاری صداوسیما</t>
  </si>
  <si>
    <t>انصار امام مهدی ع ♥</t>
  </si>
  <si>
    <t>Iran,Tehran</t>
  </si>
  <si>
    <t>https://www.instagram.com/p/BnDg_bBF4EK/?utm_source=ig_twitter_share&amp;igshid=15pr8y34u2bcq</t>
  </si>
  <si>
    <t>#سوال ما از #مردم . با اینکه مدام تو تاریخ خوندیم و شنیدیم که آدمهای به اصطلاح #روحانی هر قوم ( شایدم #قم 😊) در شناخت حجت خدا #شکست خوردند؛ . باز سوالی که پیش میاد اینه که چرا باز یه…</t>
  </si>
  <si>
    <t>ام وصی</t>
  </si>
  <si>
    <t>#روانشناس #مشاور #Psychologist and family #counselor P.H.D student psychology پاسخگویی در تلگرام: https://t.me/dr_mahdiyar مشاوره برای تدوین پایان نامه</t>
  </si>
  <si>
    <t>Azerbaijan</t>
  </si>
  <si>
    <t>https://pbs.twimg.com/media/DlwGdvgWwAAVF09.jpg</t>
  </si>
  <si>
    <t>در اولین مسابقه ای که مربیگری میکردم، دعا میکردم و از خدا میخواستم که برنده باشم اما نبردیم فهمیدم تیم مقابلم خدا دارد پس از آن به بعد تلاش کردم. #پرسپوليس #استقلال #روحاني</t>
  </si>
  <si>
    <t>روانشناس</t>
  </si>
  <si>
    <t>‏‏اون روزی که بفهمی هر کسی که کنار اسمش پرچم ایران گذاشته، الزاما ارزشی نیست، اون روز روزِ خوبیه، خعلی روز خوبیه.</t>
  </si>
  <si>
    <t>خیلی برای روحانی ناراحتم با شرایط سختی که از هرطرف دشمنان دولت و کشور تعمدا واسش درست میکنن. تنها کاری که به عنوان یک شهروند معمولی ازم ساخته هست اینه که همچنان ازش حمایت، و همچنان تو انتخابات شرکت کنم. #روحانی</t>
  </si>
  <si>
    <t>TaraH.🇮🇷</t>
  </si>
  <si>
    <t>‏‏چون تو را نوح است کشتیبان ز طوفان غم مخور...</t>
  </si>
  <si>
    <t>اقای نقوی حسینی گفتند #سوال_از_رئیس_جمهور تمرین دموکراسی بود!! یکی نیست بگه بزرگوار! روزی چند صد میلیون تومان از بیت المال هزینه نمیشه که شما تمرین دموکراسی بکنید! قراره مشکلات گره خورده ایران بحران زده حل بشه! مجلس جای خاله بازی نیست! @dr_naghavy</t>
  </si>
  <si>
    <t>میرزاتقی خان🇮🇷</t>
  </si>
  <si>
    <t>https://pbs.twimg.com/media/DlwGpWGUwAA6X7x.jpg</t>
  </si>
  <si>
    <t>موج #استيضاح وزاي كابينه #روحاني بي شباهت نيست به اخراج يا تعويض بازيكنان فوتبال در لحظات پاياني بازي و در حاليكه اميدي به ورود نيروهاي جديد نيست. مربي و هيئت مديره تيمي كه در زمان عقد قرارداد هوشيار نباشد براي جبران اشتباهات در ميدان بازي فرصتي نخواهد داشت.</t>
  </si>
  <si>
    <t>اقای #هاشمی میتوانست در سال ۸۸ با شکستن سکوتش نقشی بهتر را در تاریخ ایران ایفا کند و عاقبت سیاسی کاریهایش را دیدیم،اقای #روحانی هم در همان مسیر قرار گرفته و اگر دولت در ایران به دست نظامیان بیفتد کم بیگناه نخواهد بود</t>
  </si>
  <si>
    <t>https://pbs.twimg.com/media/DlwG8UlU4AEFJwm.jpg</t>
  </si>
  <si>
    <t>موج #استيضاح وزراي كابينه #روحاني بي شباهت نيست به اخراج يا تعويض بازيكنان فوتبال در لحظات پاياني بازي و در حاليكه اميدي به ورود نيروهاي جديد نيست. مربي و هيئت مديره تيمي كه در زمان عقد قرارداد هوشيار نباشد براي جبران اشتباهات در ميدان بازي فرصتي نخواهد داشت.</t>
  </si>
  <si>
    <t>اين بازي مسخره استيضاح مجلسي ها هم ديگه از حد گذشته شده، ملت دارن از سختي زندگي گلايه ميكنن مجلسي ها وزير استضاح ميكنن، رو هوا بردن وزارتخونه ها راحته راست ميگيد راه حل ارائه كنيد #استيضاح #مجلس #وزير #كابينه #معيشت #تحريم #تباني #روحاني</t>
  </si>
  <si>
    <t>Nargesrasouli</t>
  </si>
  <si>
    <t>‏ز پوچ جهان هیچ اگر دوست دارم تو را ای کهن بوم و بر دوست دارم. ( مدیریت رسانه +اقتصاد نظری)</t>
  </si>
  <si>
    <t>بنظرم #روحانی باید با حمایت بقیه مهره ها سرباز رو به آخر برساند تا وزیر شود. اگر دنبال پات باشد مات می شود.</t>
  </si>
  <si>
    <t>Ehsan.M</t>
  </si>
  <si>
    <t>نیم نگاهی به وقایع اتفاقیه! نه نگاه روزمره و نزدیک و نه نگاه کلان و دور! کانال تلگرام: @nim_negah</t>
  </si>
  <si>
    <t>#سوال_از_رئیس‌جمهور به جا و مودبانه بود هیچ اتفاق بدی نمی افته اگر مسائل به جا و قانونی مطرح بشه ... که اتفاق های خوب هم می افته</t>
  </si>
  <si>
    <t>نیم نگاه</t>
  </si>
  <si>
    <t>‏با خدا باش پادشاهی کن ‏‏دکترى مديريت کسب و کار / دکترى مهندسی مالى</t>
  </si>
  <si>
    <t>رئیس #مجلس: #شهردار هم شامل مصوبه ممنوعیت به کارگیری #بازنشستگان می شود #تهران و سه شهردار طی یک سال. افتخاری دیگر برای #لیست_امید #شهرداری_تهران #نجفی #افشانی #شورای_شهر</t>
  </si>
  <si>
    <t>Haddadi Peyman</t>
  </si>
  <si>
    <t>http://afkarnews.ir/</t>
  </si>
  <si>
    <t>Best news in afkarnews</t>
  </si>
  <si>
    <t>🔹بادامچی: ۲۰ میلیون جوان بیکار هستند رییس فراکسیون کار و کارآفرینی مجلس شورای اسلامی از حضور معاون اشتغال وزارت کار در جلسه فراکسیون کار مجلس خبر داد و گفت: این جلسه با هدف بررسی توسعه مشاغل خانگی برگزار شد. #بیکاری #اقتصاد #ایران #مجلس #دولت</t>
  </si>
  <si>
    <t>afkarnews</t>
  </si>
  <si>
    <t>سوال مجلس از رئیس جمهور، هشدار از طرف دلواپسان و روزنامه کیهان برای عدم افشای اسرار و توصیه های رهبر قبل از جلسه که چه بگوید و چه‌نگوید. در آخر هم قانع نشدن نمایندگان و شکایت از رئیس جمهور به قوه قضائیه! #جمهوریت #مجلس #رهبر</t>
  </si>
  <si>
    <t>Sibilo_man</t>
  </si>
  <si>
    <t>‏‏‏‏بجنگ در برابر چشمانش ... (( و عاشقانه بمیر ))</t>
  </si>
  <si>
    <t>الان از #روحانی سوال پرسیدن تهش چی شد گفتن قانع نشدیم و برگشتن سر خونه زندگیشون ؟ سیرکه مگه ؟</t>
  </si>
  <si>
    <t>امیرحسینم دیگه</t>
  </si>
  <si>
    <t>‏‏خواهم که به خلوت کده ای از همه دور من باشم و من باشم و من باشم و من</t>
  </si>
  <si>
    <t>https://pbs.twimg.com/media/DlwIdQ_X0AE08RB.jpg</t>
  </si>
  <si>
    <t>تا #۱۴۰۰ چقد مونده؟ #روحانی #استیضاح_روحانی</t>
  </si>
  <si>
    <t>مُختَلِس هستم 😊</t>
  </si>
  <si>
    <t>دقت کردید دیروز روحانی دوباره یه جمله قصار گفت!! «تخریب خرابی می آورد» چندبار خواستم هضمش کنم مسموم شدم #سوال_از_رییس‌جمهور</t>
  </si>
  <si>
    <t>https://pbs.twimg.com/media/DlwImVfXsAA7W30.jpg</t>
  </si>
  <si>
    <t>من حیون ندارم می تونم #روحانی رو ببرم تحویلشون بدم ؟؟؟ #روحانی_خفه_شو</t>
  </si>
  <si>
    <t>Sam i</t>
  </si>
  <si>
    <t>https://pbs.twimg.com/media/DlsF04_WsAEZouZ.jpg</t>
  </si>
  <si>
    <t>https://twitter.com/MFamilian/status/1034426959458185216</t>
  </si>
  <si>
    <t>شیخ مون دوسیب لازم شده... #سوال_از_رئیس‌جمهور RT @MFamilian: بذار تو حال خودم باشم می‌خوام چند روزی تنهاشم #سوال_از_رییس‌جمهور</t>
  </si>
  <si>
    <t>#نمایندگان_مجلس رفتن تو فاز دوی سرعت در زمینه #استیضاح و #سوال از وزرا! یا خوششان اومده از این دوره می های مجلس و دولت! #بطحایی #ظریف</t>
  </si>
  <si>
    <t>بستگی به نوع وابستگی #رئیس_جمهور به کدام باند #رژیم #جمهوري_اسلامي باشد تفسیر از #قانون فرق میکند... همانند تفسیر آیات تازی نامه ( #قرآن )؟!!!حال اگر #احمدي_نژاد بود ...#شما اینگونه توجیه میکردید...مسلماً خیر. #ایران_را_پس_میگیریم #IslamicRegimeMustGo #IRGCTerrorists #براندازم RT @mah_sadeghi: طبق تبصره م ۲۱۳ آیین‌نامه داخلی چنانچه اکثریت از پاسخ رئیس جمهور قانع نشوند و موضوع مورد سؤال نقض قانون یا استنکاف از قانون محسوب شود، آن سؤال به قوه قضاییه ارسال می‌شود. به نظر میرسد باتوجه به اینکه موضوع سؤال‌ها نقض یا استنکاف از قانون نبود ارسال به قوه قضاییه موضوعیت ندارد.</t>
  </si>
  <si>
    <t>دانشجوی علوم ورزشی/مربی ورزش/ورزش دوست/تا اطلاع ثانوی با "ممنوعیت ورود بانوان به ورزشگاه" موافقم</t>
  </si>
  <si>
    <t>https://pbs.twimg.com/media/Dlrrz1QWsAAOlSS.jpg</t>
  </si>
  <si>
    <t>https://twitter.com/EsmaeiliParviz/status/1034398367776944130</t>
  </si>
  <si>
    <t>ای بابا!! فهمیدیم از مشکلات اقتصادی و گرونی و تنگدستی، مشکلات مهمتر و بزرگتری هم وجود داره!! خدا مشکلات همه رو رفع کنه...آمین جناب اسماعیلی به آ روحانی سلام برسون بگو غصه نخوره...یه وخت بدون پنکه جایی نره .. یه وقت داغ نکنه!! خدای نکرده رییس جمهوره!! #سوال_از_رئیس‌_جمهور RT @EsmaeiliParviz: علاوه بر پخش زنده، صدها دوربین سخنان امروز #رئیس_جمهور در #مجلس را از همه زوایا پوشش دادند. اما فقط یک #رسانه پنکه ای را دیده که نه مردم، نه عکاسان و تصویر برداران شریف، و نه هيچ كدام از حاضران در مجلس ندیده اند. #دروغ #اعتماد را از مردم می گیرد.</t>
  </si>
  <si>
    <t>میم میم</t>
  </si>
  <si>
    <t>دوستانی که اصلاح‌طلب می‌باشند فالو کنند تا با همگرایی در توییتر از این آرمان دفاع کنیم . درخواست ما رفع حصر و رهبر ما خاتمی 💚است . قدم بقیه هم روی چشم🙏🏻</t>
  </si>
  <si>
    <t>https://twitter.com/sbiabanaki47/status/1034690356778958848</t>
  </si>
  <si>
    <t>ایراد #روحانی از #دولت_دوم آغاز شد که بجای صلابت در رای خصوصا در مورد ترکیب وزرا، همانطور که #مردم و #اصلاح_طلبان انتظار داشتند به ارکان قدرت متوصل شد. دیروز نیز همین اتفاق افتاد. روحانی دستور به سکوت گرفته بود و #نمایندگان پایداری دستور به فریاد! RT @sbiabanaki47: من یکی توی کتم نمی رود مقصر همه مشکلات اقتصادی کشور روحانی باشد....نمی دانم چرا؟ شما چطور؟</t>
  </si>
  <si>
    <t>Abolfazl🇮🇷</t>
  </si>
  <si>
    <t>گاهی به برخی باید گفت #خفه_شو #شیلا_خداداد #سوال_از_رئیس_جمهور</t>
  </si>
  <si>
    <t>https://pbs.twimg.com/media/DlwKRkiXsAAwOWA.jpg</t>
  </si>
  <si>
    <t>🔴توجه : باور کنید #بطحایی به هیچ کدام از سوالات زیر نمیتونه جواب بده و مثل #روحانی شروع به دور زدن خواهد کرد 😅😂😂 #IranRegimeChange</t>
  </si>
  <si>
    <t>حالا بیایم حرص بخوریم لابیجانی باز چی وز وز کرده امروز؟! بیخیال بابا ، یک ملت رو مسخره ی خودشون کردن، طلبکارم میشن که میگی استخر فرح در انتظارتون، آخرش که میمیری آقای لابیجانی #سوال_از_رئیس‌جمهور</t>
  </si>
  <si>
    <t>اتفاقات دیروز گرچه شبیه سناریویی از پیش نوشته شده بود، ولی در همین حدش هم عالی بود...همه نقش خودشان را خوب بازی کردند...😉 آقایان فکر نکنند نفهم بودیم #رئیس_جمهور #استیضاح_روحانی #مجلس</t>
  </si>
  <si>
    <t>کسانی بہ امامِ زمانشان خواهند رسید که اهل سرعت باشند ، و اِلّا تاریخ کربلا نشان داده، قافلہ حسینے معطل ڪسے نمے ماند ♥️ دانشجوی دکترا (هذا من فضل ربّی🙏)</t>
  </si>
  <si>
    <t>IRI,Tehran</t>
  </si>
  <si>
    <t>دقت کردین کم پیدام🤔 والا بعد از سخنان روحانی و نرخ جدید ارز و سکه و خودرو، رفتم توی افق خودم محو شدم😐 #سوال_از_رئيس_جمهور</t>
  </si>
  <si>
    <t>m.vesal</t>
  </si>
  <si>
    <t>وكيل دادگستری</t>
  </si>
  <si>
    <t>ارجاع موضوع #سئوال_از_رئيس_جمهور به #دیوانعالی_کشور در صورت قانع نشدن #نمايندگان در صورتی است که موضوع مربوط به نقض #قانون يا استنکاف از آن باشد در موضوع ديروز به نظر، نمايندگان مخالف از #روحانی بيشتر به دنبال کسب آتو‌بودند تا داشتن اراده جدی ارجاع موضوع به #قوه_قضائیه</t>
  </si>
  <si>
    <t>سيدعلی مجتهدزاده</t>
  </si>
  <si>
    <t>+ لاریجانی: #سوال_از_رییس‌جمهور کار عبثی نبوده ،اما قانونا نمی توان اقدامی کرد. - مارو باش فکر کردیم نماینده ها بیدار شدن زهی خیال باطل #روحانی #نمایندگان_مجلس</t>
  </si>
  <si>
    <t>تنها کشوری و نظامی که مسئولان آن همیشه قصد گفتن یا بگم، واقعیات و حقایق رو دارند.. ایران است. البته در نهایت چون مردم در پایین ترین و بی ارزش ترین جایگاه اجتماعی از دید اقایان قرار دارند هیچ وقت در جریان حقیقت قرار نمیگیره. #روحاني #من_انتخاب_نکردم #اعتراضات_سراسری #ظریف</t>
  </si>
  <si>
    <t>هادی سامع - خبرنگار پارلمانی/ توئیت‌ها دیدگاه شخصی من هستند و در قبال کامنت‌ها مسئولیتی ندارم</t>
  </si>
  <si>
    <t>https://pbs.twimg.com/media/DlwMNOTVAAAjjcq.jpg</t>
  </si>
  <si>
    <t>فتحی نماینده تهران: آقای #روحانی تا زمان باقی است منصوبان خود را غربال کنید. هر کسی را که با سفارش نمایندگان منصوب شده است را کنار بگذارید. شما مقصرید، بزرگترین تقصیر شما این است که دیروز از تقصیر دیگران حرفی نزدید. کاش از میزان تقصیر نظام قانون‌گذاری در ایجاد این وضعیت می‌گفتید.</t>
  </si>
  <si>
    <t>هادی سامع</t>
  </si>
  <si>
    <t>http://ilamiyan.ir</t>
  </si>
  <si>
    <t>رسانه مجازى مردم ايلام</t>
  </si>
  <si>
    <t>کلیات لایحه ۸ #منطقه_آزاد در #مجلس تصویب شد. #مهران هم جز این مناطق است</t>
  </si>
  <si>
    <t>ilamiyan</t>
  </si>
  <si>
    <t>‏عشق، فقط حـ↑ـسین</t>
  </si>
  <si>
    <t>بعد از #سوال_از_رئیس_جمهور یکی کشید پایین و یکی کشید بالا. های های های، دارم بازار و بورس رو میگم (لف و نشر مشوش رو هم لحاظ کردم)</t>
  </si>
  <si>
    <t>☫ بَحرانی، اِحسان ☫</t>
  </si>
  <si>
    <t>‏‏‏معلم هستم</t>
  </si>
  <si>
    <t>💢 #استیضاح سید محمد بطحایی، وزیر آموزش و پرورش از سوی هیئت رییسه مجلس اعلام وصول شد. #از_معلم_بگو</t>
  </si>
  <si>
    <t>با دل آفتابی</t>
  </si>
  <si>
    <t>https://pbs.twimg.com/media/DlwNRVVUUAEIDtn.jpg</t>
  </si>
  <si>
    <t>دیروز دقیقا داشتم همین رو به بابام توضیح میدادم که #سوال_از_رئیس_جمهور قابل ارجاع به قوه قضاییه نیست.</t>
  </si>
  <si>
    <t>یکی از نکات اصلی سخنان #روحانی این بود: کافیه فقط به رئیس بانک مرکزی بگم مثل پارسال عمل کن، ظرف ۲هفته قیمت ارز می‌افته در حد قبل، ولی داریم اقدام احتیاطی میکنیم برای آینده! این یعنی داریم تعمدی #شوک_درمانی اقتصادی میکنیم و با توجه به اینکه رهبر هم قطعا در جریان است پس لطفا ساکت!</t>
  </si>
  <si>
    <t>http://t.me/radioomidtr</t>
  </si>
  <si>
    <t>رادیوامید</t>
  </si>
  <si>
    <t>Ankara, Türkiye</t>
  </si>
  <si>
    <t>https://pbs.twimg.com/media/DlwNrImW4AAB_kR.jpg</t>
  </si>
  <si>
    <t>طرح #استیضاح #سیدمحمد_بطحایی #وزیر_آموزش_وپرورش با ۲۰ امضا در صحن علنی #مجلس اعلام وصول شد.</t>
  </si>
  <si>
    <t>Radioomid</t>
  </si>
  <si>
    <t>https://pbs.twimg.com/media/DlwN9mgU0AEAXcB.jpg</t>
  </si>
  <si>
    <t>#لاريجاني سوال از رییس‌جمهور را فقط سوال و جواب عادي تلقي كرده است و آنرا قابل ارجاع به قوه قضاییه نمي داند! وقتي سوال از ريس جمهور، نه جنبه حقوقي و قضايي دارد و نه جنبه الزام اجرايي، هدف از اين #نمايش_سياسي و دستاوردهاي آن براي #مردم و #نظام چيست؟ #سوال_از_رئیس‌جمهور</t>
  </si>
  <si>
    <t>http://www.hadisharifi.ir</t>
  </si>
  <si>
    <t>Journalist &amp; writer @Tasnimnews_fa . مسئول سازمان رسانه های نوین (شبکه های اجتماعی) در خبرگزاری تسنیم/ " خون نوشت " و " غنچه یاس کبود " در انتشارات نیستان</t>
  </si>
  <si>
    <t>https://pbs.twimg.com/media/DlwORt0X4AAMxpf.jpg</t>
  </si>
  <si>
    <t>دیروز موقع سوال مجلس از #روحانی یاد جلسه افتضاح سوال از #احمدی_نژاد افتادم که روز بعدش نماینده های #اصولگرا در نامه ای اعلام کردند اظهارات احمدی نژاد وهن #جمهوری_اسلامی بود. با تمام انتقاداتی که از روحانی هست به نظرم هنوز نتونسته رکورد احمدی نژاد رو در #ابتذال_سیاسی بشکنه</t>
  </si>
  <si>
    <t>Hadi Sharifi</t>
  </si>
  <si>
    <t>https://pbs.twimg.com/media/DlwOsB8WwAAN9_F.jpg</t>
  </si>
  <si>
    <t>https://www.radiozamaneh.com/409788</t>
  </si>
  <si>
    <t>#بهروز_نعمتی، عضو هیأت رئیسه #مجلس شورای اسلامی: #محمد_علی_افشانی، #شهردار_تهران باید بازنشسته شود -</t>
  </si>
  <si>
    <t>قشنگ یاد کاهنای معبد عامون افتادم , ثروت دوزی پشت دین فقط نمیدونم این یوزرسیف چرا دیگه نمیاد ! #ایران #دولت #روحانی</t>
  </si>
  <si>
    <t xml:space="preserve">Majid </t>
  </si>
  <si>
    <t>#ظریف : ما خودمان انتخاب کرده ایم جور دیگری زندگی کنیم. #روحانی : اول مسأله است، بعد تبدیل می‌شود به آسیب، بعد تبدیل می‌شود به تهدید و بعد به بحران تبدیل می‌شود. ما فعلا در مرحله مساله هستیم. یعنی این اول راه است ؛ منتظر آسیب و تهدید و بحران باقی مانده است #قحطی #تحریم #گرانی</t>
  </si>
  <si>
    <t>Content marketer Animal lover Travel lover</t>
  </si>
  <si>
    <t>اقای #رئیس_جمهور خودت و ناراحت نکن رفتی #مجلس شیرینی نیاوردن برات تو #هفته_دولت. اونا رسم مهمون داری بلد نیستن. شما به ریدمانت ببخشید چیدمانت ادامه بده!</t>
  </si>
  <si>
    <t>Zeinab</t>
  </si>
  <si>
    <t>اخبار علم فن آوری سازمان‌های غیرانتفاعی مقامات و سازمان‌های دولتی</t>
  </si>
  <si>
    <t>https://pbs.twimg.com/media/DlwPV3TXcAAGy7k.jpg</t>
  </si>
  <si>
    <t>قبل از این هم گفتم ضرب المثل قدیمی دم کدخدا رو ببین ده بچاب . نمایندگان اگر قصد تغیر در امور را دارید اول لاریجانی عوض کنید وگرنه هر چه میکوبید به در بسته میکوبید . #شفافیت #لاریجانی #ناکارمدی دولت #روحانی</t>
  </si>
  <si>
    <t>سید محمد موسوی</t>
  </si>
  <si>
    <t>journalist روزنامه نگار -دبیراقتصادی روزنامه نوآوران</t>
  </si>
  <si>
    <t>اصلا امکان نداره این #وزرا با اینهمه هنرمایی در این یکسال و اندی وزارت استعفا بدن و محترمانه کنار برن حتما باید #استیضاح بشن</t>
  </si>
  <si>
    <t>masoud eradatmand مسعود ارادتمند</t>
  </si>
  <si>
    <t>http://ayandeh.blog.ir</t>
  </si>
  <si>
    <t>.....کارشناس ارشد مدیریت رسانه...... .....کارشناس مدیریت استراتژیک...........</t>
  </si>
  <si>
    <t>https://pbs.twimg.com/media/DlwPGocXsAAoe9H.jpg</t>
  </si>
  <si>
    <t>http://rahrahtanz.ir/13447/%d8%b1%d8%a7%d9%87-%d8%b1%d8%a7%d9%87-%db%b5%db%b1</t>
  </si>
  <si>
    <t>پنجاه و یکمین شماره ضمیمه #طنز #راه_راه در #روزنامه #وطن_امروز، چهارشنبه هفتم شهریور ۱۳۹۷، منتشر شد. ⭕ قضای حاجتِ اُکازیون دورِ یقه! #سلبریتی #مجلس #استیضاح_روحانی #سوال_از_رئیس‌جمهور #خانه_موزه_هاشمی #ورزش #زهرا_نعمتی #دانلود #رایگان</t>
  </si>
  <si>
    <t>بهزاد توفیق فر(Twizzer)</t>
  </si>
  <si>
    <t>http://instagram.com/danial.esfandiare</t>
  </si>
  <si>
    <t>graphic design / photograph</t>
  </si>
  <si>
    <t>https://pbs.twimg.com/media/DlwQfgIXcAAHmy-.jpg</t>
  </si>
  <si>
    <t>خوابشم شیرینه !!! #اقتصاد #ایران #پراید_چهل_میلیونی #پراید #روحاني #پرويز #سوریلند</t>
  </si>
  <si>
    <t>danial esfandiare</t>
  </si>
  <si>
    <t>https://taaoo.ir</t>
  </si>
  <si>
    <t>‏‏‏‏‏‏‏‏‏‏‏‏‏چگونه خود را برسانم؟ وقتی که آمدم در اندیشه بازگشت نبودم!|مدیر کانال خبری تحلیلی نُهِ دَه|بازداشتىِ وزارت اطلاعات دولت روحانی بدليل انتشار حقیقت</t>
  </si>
  <si>
    <t>https://pbs.twimg.com/media/DlwQpGAXsAEklHC.jpg</t>
  </si>
  <si>
    <t>این دستاورد بزرگ رو به نام دولت #روحانی ثبت می کنیم که در #هفته_دولت به جای افتتاح راهها، جاده ها، آب آشامیدنی، برق و گاز رسانی و پرتاب ماهواره و ... افتتاح سُرسُره رو هم تجربه كرديم. قارونها خسته نباشید!</t>
  </si>
  <si>
    <t>حسن خسروآبادی</t>
  </si>
  <si>
    <t>http://werg.ir</t>
  </si>
  <si>
    <t>من سیاهم ولی یک رنگم</t>
  </si>
  <si>
    <t>امروز که بیشتر فکر میکنم میبینم #روحانی اون حرفا رو دیروز برای بالارفتن فالوورهای اینستاگرامش زد :|</t>
  </si>
  <si>
    <t>وِرگ</t>
  </si>
  <si>
    <t>‏‏قاتل اسرائیل</t>
  </si>
  <si>
    <t>https://pbs.twimg.com/media/DlwQtSfXcAEZgtG.jpg</t>
  </si>
  <si>
    <t>آفرین بر استاد شجاع و دلیر (سردار جنگ نرم) .... #روحانی_خفه_شو #استیضاح #شجاعت #رائفی_پور</t>
  </si>
  <si>
    <t>چاقوی گلوی اسرائیل🔪</t>
  </si>
  <si>
    <t>https://twitter.com/siamakfarid/status/1034716074506379265</t>
  </si>
  <si>
    <t>اینکه الان سوال می شه خوب اگر #ميرحسين_موسوي #رئیس_جمهور می شد و از اونجایی که رئیس جمهور در ایران قدرت کافی نداره چه اتفاقی ممکن بود بیافته اینه که به نظر من مقاومت در برابر #دیکتاتور به سطحی بالاتر از آنچه هست ارتقا پیدا می کرد RT @siamakfarid: @surmelina_aidin @MirSpreader سلام به خوب نکته ای اشاره کردی منتهی #ميرحسين_موسوي از همان اول نشان داد که زیر بار فرامین رهبری نمی رود وگرنه مثل آون یارو #بیناموس قبول می کرد که امر امر #رهبر است</t>
  </si>
  <si>
    <t>https://pbs.twimg.com/media/DlwRGUtX4AABTXF.jpg</t>
  </si>
  <si>
    <t>به اینک #روحاني بدون پنکش جایی نمیره و حتی حاضر نیست یک ذره گرما را تحمل کنه کاری ندارم اما مگه پنکه سه تا پره نداشت قبلا این پنکه چرا پره نداره !!!!! #پنكه</t>
  </si>
  <si>
    <t>تا دیروز میگفتن لاریجانی تو جلسه سوال از رئیس جمهور ازش حمایت نکرد. امروز لاریجانی میگه نمیشه طرح سوال رو بدون استنکاف فرستاد قوه قضاییه. نمیدونم دوست دارم چه اتفاقی بیافته، فقط تموم کنید این بازی کثیفو. #سوال_از_رئیس_جمهور #لاریجانی #قوه_قضاییه #روحانی</t>
  </si>
  <si>
    <t>bright.ze</t>
  </si>
  <si>
    <t>در نداشتن تحليل سياسي مردم همين بس ك صداي كدخدا هم از سوءمديريت دولت تزوير درآمد ! اما هنوز عده اي معتقدند رييس جمهور هيچ كاره است 😏 وكيل آمريكا؛ كاهش ارزش ريال ايران ب دليل سوءمديريت داخليست و ربطي ب تحريمها ندارد! #سوال_از_رئیس‌جمهور❗️</t>
  </si>
  <si>
    <t>https://pbs.twimg.com/media/DlwRa_uXcAA6cgM.jpg</t>
  </si>
  <si>
    <t>هر کی بتونه #کولر_روحانی رو تو این عکس پیدا کنه جایزه داره #روحاني</t>
  </si>
  <si>
    <t>‏‏‏‏‏‏‏‏‏‏‏⁦🇮🇷⁩🚹⁦🏗️⁩💻📖⁦🎞️⁩🚴 ⚽🏐🎮⁦🍟🍕🍦🍩 دریافت‌فالوبک»»ریت‌توییت‌پین هرچندوقت‌آنفالویاب‌فعال‌میشود.</t>
  </si>
  <si>
    <t>خونمون</t>
  </si>
  <si>
    <t>یادمه بچه بودم معلم از ما سوال میپرسید بلد نبودیم می‌فرستاد پیش ناظم الان طرح #سوال_از_رییس‌جمهور داشتن جواب قانع کننده هم نداده بعد گفتن بیخیال برو سراغ کارت #روحانی RT @mah_sadeghi: طبق تبصره م ۲۱۳ آیین‌نامه داخلی چنانچه اکثریت از پاسخ رئیس جمهور قانع نشوند و موضوع مورد سؤال نقض قانون یا استنکاف از قانون محسوب شود، آن سؤال به قوه قضاییه ارسال می‌شود. به نظر میرسد باتوجه به اینکه موضوع سؤال‌ها نقض یا استنکاف از قانون نبود ارسال به قوه قضاییه موضوعیت ندارد.</t>
  </si>
  <si>
    <t>Entezar 🗣️</t>
  </si>
  <si>
    <t>https://coinclass.ir/</t>
  </si>
  <si>
    <t>مرجع آموزش ارزهای دیجیتال</t>
  </si>
  <si>
    <t>وضعیت #بیت_کوین هفته آینده در #مجلس بررسی می‌شود. #ارزدیجیتال</t>
  </si>
  <si>
    <t>coinclass</t>
  </si>
  <si>
    <t>من يك مشتاق آزادي هستم و براي مردم و حقوق بشر كار مي كنم و اين كه آزادي را براي مردم ايران بياورم</t>
  </si>
  <si>
    <t>من به دنبال آزادي و مشتاق حقوق مدني هستم</t>
  </si>
  <si>
    <t>اعضای مجلس #خامنه ای از 4 جواب #روحانی به سوالاتشان قانع نشدند و تنها جواب روحانی به یک سوال برای آنها قانع کننده بود با توجه به این موضوع احتمال #استیضاح روحانی و کله پا کردنش توسط #خامنه‌ای بالاست #براندازم #ايران #Iran #IranRegimeChange #ايران_را_پس_ميگيريم #قيام</t>
  </si>
  <si>
    <t>banafshazadi</t>
  </si>
  <si>
    <t>https://pbs.twimg.com/media/DlwSCtUW0AE5UGk.jpg</t>
  </si>
  <si>
    <t>شب انتخابات داشت سر و دست می‌شکوند که #روحانی رأی بیاره، دیروز استوری گذاشته که همزمان با صحبت‌های طرف دلار بالا می‌رفته! همون که بعد از پیروزی!!! نوشت: "شیرینی‌ش نوش جونتون، دست هر کس که من تاثیری روی رأی‌ش گذاشتم رو می‌بوسم..." #اینفلوئنسر یا آفتاب‌پرست؟</t>
  </si>
  <si>
    <t>https://twitter.com/bohloleshirazi/status/1034718473404985344</t>
  </si>
  <si>
    <t>کم کم روحانی می آید و مستقیم می گوید : خیلی ملت خری داریم. مرگ بر این ملت دولت فریب بابا یک کاری بکنید تا بدبخت نشدید. #قحطی #گرانی #روحانی #ظریف #Iran #IranRegimeChange #ترامپ #تحریم RT @bohloleshirazi: #ظریف : ما خودمان انتخاب کرده ایم جور دیگری زندگی کنیم. #روحانی : اول مسأله است، بعد تبدیل می‌شود به آسیب، بعد تبدیل می‌شود به تهدید و بعد به بحران تبدیل می‌شود. ما فعلا در مرحله مساله هستیم. یعنی این اول راه است ؛ منتظر آسیب و تهدید و بحران باقی مانده است #قحطی #تحریم #گرانی</t>
  </si>
  <si>
    <t>https://www.instagram.com/vakilulroaya</t>
  </si>
  <si>
    <t>{#وکیل و #وصی مردم ! }مسئولیت تمام توییتام را هم قبول ندارم - #برانداز و #مجاهدین بدانید عفو #امیرالمونین نیز شامل حالتان است.</t>
  </si>
  <si>
    <t>فردوس</t>
  </si>
  <si>
    <t>"فتنه های اخرزمان کودک را هم پیر میکند" #غدیری_ام #سوال_از_رئیس_جمهور #نمایندگان_مجلس #سانسور_رهبری #مشهد_تايلندتشيع #روحاني</t>
  </si>
  <si>
    <t>«وَکُیَلِ اُلُـــُرعُایَا»</t>
  </si>
  <si>
    <t>تا حالا دقت کردی وقتی میخوایی دروغ بگی، دستات عرق می‌کنه و شروع می‌کنه به لرزیدن؟! #حسن_روحانی هم موقع حرف زدن دقیقا تو همین حالت ترین ممکن بود... #سوال_از_رئیس‌جمهور</t>
  </si>
  <si>
    <t>mosi</t>
  </si>
  <si>
    <t>معیشت مردم گروگان گرفته شده تا کسی مزاحم براندازی با شیب تند شون نشه #سوال_از_رییس‌جمهور</t>
  </si>
  <si>
    <t>کل کابینه جناب #روحانی گویا قرار عوض بشه. با لیست جناب رییسی تاخت نخوره صلوات!</t>
  </si>
  <si>
    <t>ايرانارشيست و براندازم</t>
  </si>
  <si>
    <t>#لاریجانی #رییس_مجلس: سوال از #رییس_جمهور به دلیل عدم ذکر موضوع نقض قانون و استنکاف در طرح سوال، قابل ارجاع به #قوه_قضاییه نیست! 40 سال #مامردم بدجوری سرکاریم و نباید دیگر از #رژیم_مافیایی_ج_ا بازی بخوریم! #چالش_دعوت_به_عملیات #براندازنما نباشیم! #تز_ایرانارشیسم #براندازم</t>
  </si>
  <si>
    <t>خه بات</t>
  </si>
  <si>
    <t>https://twitter.com/surmelina_aidin/status/1034710158306365440</t>
  </si>
  <si>
    <t>تنها #رئیس_جمهور ی می توانست کاره ای باشه که به رای مردم مثل #ميرحسين_موسوي اتکا می کرد و نه قرار گرفتن زیر سایه #دیکتاتور_پیر . #موسوی به همه نشون داد که نه از حرف خود و نه از رای مردم نمی گذره . این فرق اساسی بین موسوی و #روحانی ست RT @surmelina_aidin: اگر رئیس جمهور کاره ای نیست و فقط اجرای فرامین رهبریه پس دیگه برای چی کاندید میارید، تبلیغ میکنید و رای میدید؟ چرا برای به کرسی نشستن میرحسین با 11 میلیون رای مملکت رو اتیش زدید. مگر نه میرحسین هم که میومد ک تهش باید میومد فرامین رهبری رو اجرا میکرد ، پس زیر علم کی سینه میزنید؟</t>
  </si>
  <si>
    <t>‏مسلمانم کارشناس روان شناسی علاقه مند به شعر و ادبیات داستانی</t>
  </si>
  <si>
    <t>کار تباه و بیهوده: گفته ها و نگفته های روحانی در مجلس رو تحلیل می کنن! حقیقت اینه که بدنه ی اجتماعی و فعال اصلاحات فریب خورده."نداشتن گزینه ی بهتر در 96 "و "نداشتن راه دیگه"، این فریب خوردن رو نه توجیه می کنه و نه قابل کتمان. حقیقت تلخی که براتون سخته بپذیرید. #روحانی</t>
  </si>
  <si>
    <t>Mostafa sad</t>
  </si>
  <si>
    <t>http://Instagram.com/m.amin_313</t>
  </si>
  <si>
    <t>‏‏‏‏‏‏‏‏‏‏‏‏‏‏‏‏‏‏‏‏‏‏‏‏‏‏دانشجو علوم سیاسی.. فعال رسانه‌✌️⁩ به روایتی مدیر ‎‎‎‎‎‎#مصیر_تی_وی</t>
  </si>
  <si>
    <t>از دیروز فکر می کنم چرا #روحانی بعد از اعتراض به #فیضیه گفت عده ای من رو تهدید به ترور کردند؟ منظورش این بود #رفسنجانی ترور شده؟😐</t>
  </si>
  <si>
    <t>mohammad amin asadi⁦ 🇮🇷⁩</t>
  </si>
  <si>
    <t>https://pbs.twimg.com/media/DlwTwU_X4AYn2LV.jpg</t>
  </si>
  <si>
    <t>چرا قانع نشدن؟ چرا قانع نشدن؟ چرا قانع نشدن؟ شاید بخاطر همین اخلاقمه که قانع نمیشن شاید بخاطر همین اخلاقمه که قانع نمیشن شاید بخاطر همین اخلاقمه که قانع نمیشن #سوال_از_رئیس‌جمهور</t>
  </si>
  <si>
    <t>جناب لاریجانی: خیالتان راحت. سوال از رئیس جمهور به قوه قضائیه نمیرود. صرفا یه شوخی پشت وانتی بود #روحانی #استیضاح #لاریجانی</t>
  </si>
  <si>
    <t>https://pbs.twimg.com/media/DlwUJ_6XcAEbkqu.jpg</t>
  </si>
  <si>
    <t>همزمان با هفته ی #دولت و در آستانه سالروز شهادت شهیدان #رجایی و #باهنر #رئیس_جمهور و اعضای هیئت دولت با #رهبر_انقلاب دیدار کردند.</t>
  </si>
  <si>
    <t>گفتار نيك پندار نيك كردار نيك</t>
  </si>
  <si>
    <t>دولتي ها مجلسي ها قضايي ها همه زبانِ هم را مي فهمند! نميدانم چرا ملّت زبان آن ها را نمي فهمند!؟ #روحانی #مجلس</t>
  </si>
  <si>
    <t>تهمينه ايراني🏳</t>
  </si>
  <si>
    <t>‏‏‏‏‏‏‏مخالف هرگونه هیجان طلبی</t>
  </si>
  <si>
    <t>https://pbs.twimg.com/media/DlwUpQAWsAEaPsE.jpg</t>
  </si>
  <si>
    <t>دکتر مصطفی معین به جای #روحانی خیلی خوب جواب سوالات نماینده های مجلس رو داده #سوال_از_رئیس‌جمهور</t>
  </si>
  <si>
    <t>محمد جهانگرد🇮🇷</t>
  </si>
  <si>
    <t>‏یک سرباز تازه کار جبهه انقلاب دغدغه هایم را مینویسم ...</t>
  </si>
  <si>
    <t>https://pbs.twimg.com/media/DlwUrN5XoAAp30c.jpg</t>
  </si>
  <si>
    <t>امروز با مادر رفتیم یکی از این هایپر مارکتهای سطح شهر که با تخفیف های 1درصدی مواجه شدیم!! #مجلس #دولت #اقتصاد #تولید_داخل #وزرای_خسته</t>
  </si>
  <si>
    <t>مجتبی صالحی</t>
  </si>
  <si>
    <t>فریدون حسنوند، رئیس­ کمیسیون انرژی #مجلس: وزیر به نمایندگی #دولت و من به نمایندگی مردم­ می گوییم که تا امروز هیچ تصمیمی برای گران شدن­ #بنزین گرفته نشده است.</t>
  </si>
  <si>
    <t>http://www.hajk1.ir</t>
  </si>
  <si>
    <t>@Java Certified Developer ☕️, @TechLead @ DPI , @opensource enthusiast, Chess, Swimming 🏊‍♂️</t>
  </si>
  <si>
    <t>https://twitter.com/BBCBastani/status/1034429233995702272</t>
  </si>
  <si>
    <t>پشت پرده حضور #روحانی در #مجلس چی بوده؟ RT @BBCBastani: مهمترین بخش صحبت‌های امروز حسن #روحانی در #مجلس، این بود: "امیدوارم که بتوانم نقاط مورد نظر مقام معظم رهبری را که در توصیه‌هایی که نسبت به جلسه امروز به من فرمودند، دقیقا مراعات کنیم."/ به نظر می رسد برای "تحلیل" جنس صحبت آقای روحانی در مجلس، همین یک جمله کفایت می‌کند.</t>
  </si>
  <si>
    <t>Kayvan Tehrani ☕👨‍💻 🐧</t>
  </si>
  <si>
    <t>همسر | فعال دانشجویی we will destroy israel soon</t>
  </si>
  <si>
    <t>من کجام ؟</t>
  </si>
  <si>
    <t>https://twitter.com/KarimiGhodousi/status/1034351136709468160</t>
  </si>
  <si>
    <t>ما را به #شوآف های #مجلس چشم امیدی نیست! RT @KarimiGhodousi: #مجلس شورای اسلامی در حال بیدار شدن از خواب زمستانی است. هوشیاری نمایندگان در رأی به عدم قانع شدن از پاسخ‌های #رئیس_جمهور و دو استیضاح گذشته و استیضاح وزیر صمت و راه و ترابری در روزهای آینده ملت را به توانایی مجلس امیدوار می‌کند. #سوال_از_رئیس‌جمهور</t>
  </si>
  <si>
    <t>jalal.ad</t>
  </si>
  <si>
    <t>فعال زیست محیطی و علاقه مند به رسانه</t>
  </si>
  <si>
    <t>از همین تریبون اعلام می کنم که از امروز دهانِ احتکارکنندگان گوشت (با ارز 3.800 تومانی) موردِ نوازش قرار گرفته است. ان شالله شاهد ورود صدها تُن گوشت به بازار مصرفی با قیمت 28.000 تومان باشیم. مدیونید فکر کنید تاثیر #سوال_از_رییس‌جمهور هست:/</t>
  </si>
  <si>
    <t>صفا</t>
  </si>
  <si>
    <t>https://pbs.twimg.com/media/DlwVg6hXsAAG6cf.jpg</t>
  </si>
  <si>
    <t>سوال امیرآبادی فراهانی عضو هیات رئیسه #مجلس از وزیر خارجه درباره‌ علت عدم ارائه گزارش به موقع مذاکرات #برجام اعلام وصول شد.</t>
  </si>
  <si>
    <t>amin-razavi</t>
  </si>
  <si>
    <t>https://pbs.twimg.com/media/DlwVwQwXcAA5mEH.jpg</t>
  </si>
  <si>
    <t>https://www.yjc.ir/00RtrY</t>
  </si>
  <si>
    <t>زمان #استیضاح کرباسیان مناسب نبود/نباید همه مشکلات را به گردن دولت بیاندازیم عضو فراکسیون امید گفت: درست نیست تمام مشکلات را به گردن دولت و رئیس جمهور بیاندازیم و خودمان را کنار بکشیم</t>
  </si>
  <si>
    <t>‏‏‏‏دختربختیاری</t>
  </si>
  <si>
    <t>با این وضعیت استیضاح وزرا، باید بگیم؛ آقای روحانی تیم خود را از زمین بکشین بیرون... #دولت #استیضاح #هفته_دولت</t>
  </si>
  <si>
    <t>دُنگُل</t>
  </si>
  <si>
    <t>http://jjo.ir/bsgeasyn</t>
  </si>
  <si>
    <t>نظر سخنگوی شورای نگهبان درباره سرانجام #سوال_از_رئیس_جمهور سخنگوی شورای نگهبان با اشاره به طرح سوال از رئیس‌جمهور در مجلس و تعیین تکلیف نهایی آن، گفت: آیین‌نامه مجلس درباره سوال از رئیس‌جمهور ابهام دارد.</t>
  </si>
  <si>
    <t>ایران وطنم آزادت خواهیم کرد</t>
  </si>
  <si>
    <t>pic.twitter.com/jffYINGS3a</t>
  </si>
  <si>
    <t>🎥🎤🔴 #ترانه انیمیشن وعده های دروغ #روحانی دولت شکست و ناامیدی😉 #نه_شیاد_نه_جلاد 👍</t>
  </si>
  <si>
    <t>homasadat9</t>
  </si>
  <si>
    <t>‏‏‏‏‏انقلابی بودن خاله بازی نیست/کارشناسی ارشد علوم اجتماعی/پدر دو کودک که یکیشون خیلی نق میزنه</t>
  </si>
  <si>
    <t>آذربایجان جان</t>
  </si>
  <si>
    <t>#روحاني:اینقدر پشت تریبون ها نگویید دچار بحران شده‌ایم. ولی اگه پشت تریبون ها بگید خزانه مملکت خالیه اشکالی نداره #سوال_از_رییس‌جمهور</t>
  </si>
  <si>
    <t>علی مهتدی</t>
  </si>
  <si>
    <t>من یک کرد ضد فرقه گرایی و خواهان نظام دمکراتیک وسکولار در ایران هستم. تکواندو تو خونمه، شۆڕشگەرێکی کوردم</t>
  </si>
  <si>
    <t>pic.twitter.com/9MkTYYL9Lb</t>
  </si>
  <si>
    <t>کلیپ جدیدی که وزارت خارجه #أمريكا در مورد رونمایی #روحانی از جنگنده #كوثر منتشر کرده و انرا از قول کاربران توییتر به سخره گرفته اس #براندازم #IranRegimeChange @DOTArabic</t>
  </si>
  <si>
    <t>navid belbas</t>
  </si>
  <si>
    <t>http://www.ilna.ir</t>
  </si>
  <si>
    <t>Iranian Labor news Agency</t>
  </si>
  <si>
    <t>https://pbs.twimg.com/media/DlwW5EYUcAAy9kx.jpg</t>
  </si>
  <si>
    <t>https://www.ilna.ir/fa/tiny/news-662423</t>
  </si>
  <si>
    <t>فتحی در نطق میان‌دستور:آقای #روحانی برخی انتصابات شما تقدم اراذل به افاضل است/ از اتاق رئیس دفترتان نسبت به تصفیه افراد اقدام کنید</t>
  </si>
  <si>
    <t>ILNA/خبرگزاری ایلنا</t>
  </si>
  <si>
    <t>‏‏دانشجو حقوق جزا و جرم شناسی (مدافع حقوق و صلح جهانی با نگاه اسلامی)</t>
  </si>
  <si>
    <t>https://pbs.twimg.com/media/DlwW6i_W0AAY_2s.jpg</t>
  </si>
  <si>
    <t>نمیدونم #استیضاح در حال حاضر، دردی از درد های جامعه کم میکنه یا نه؟ اما به طور قطع میدونم علت بزرگ مشکلات کشور، نبود قوانین مناسبِ اوضاع و احوال کشور است که، مرجع تصویب این قوانین مجلسه... به جای استیضاح قوانین خوب تصویب کنید #سوال_از_رییس‌جمهور #مجلس</t>
  </si>
  <si>
    <t>سید حسن هاشمی</t>
  </si>
  <si>
    <t>nuclear power plant engineer,political&amp;historical researcher🇮🇷</t>
  </si>
  <si>
    <t>Iran(Islamic Republic of)</t>
  </si>
  <si>
    <t>امروز جناب رئیس پارلمان با عرایض گوهر بارش میخواست بگه شما نماینده ها خیلی غلط کردید از رئیس جمهور سوال کردید ،مردم شما هم بی خود فکر کردید ما تغییر کردیم همون عتیقه‌ای که بودیم هستیم #سوال_از_رئیس‌جمهور</t>
  </si>
  <si>
    <t>بختیاری(رسولی)🇮🇷</t>
  </si>
  <si>
    <t>https://pbs.twimg.com/media/DlwXAJmXoAEkaZu.jpg</t>
  </si>
  <si>
    <t>#تصویرنمایه‌جدید #جاده #مرد #تنهایی #مردم #کنایه #روحانی از این جاده ها زیاده ولی توانی برای طی کردن نمونده (کنایه)</t>
  </si>
  <si>
    <t>Mr_Ardalani</t>
  </si>
  <si>
    <t>ما دست از بازی نمیکشیم چون پیر میشیم ما پیر میشیم چون دست از بازی میکشیم Formula1 lover Univesity of TEHRAN</t>
  </si>
  <si>
    <t>میگم به جا اینکه وزرا رو یکی یکی استیضاح کنن یهو برن #روحانی رو #استیضاح کنن تموم شه بره دیگه</t>
  </si>
  <si>
    <t>Majid Mohammadi</t>
  </si>
  <si>
    <t>«قانونا نمی‌توان سؤال از رئیس‌جمهور را به قوه قضائیه ارجاع داد» رئیس مجلس: اگر در عناوینی که نمایندگان به‌عنوان سؤال مطرح کردند، کلمه‌ای به‌عنوان استنکاف و نقض قانون ذکر می‌کردند، مجلس می‌توانست چنین اقدامی انجام دهد اما در حال حاضر چنین عنوانی ذکر نشده #روحانی</t>
  </si>
  <si>
    <t>مسلمانِ معتقدِ متعهدِ منتقدِ میهن دوست کارشناس ارشد مهندسی سیستم های انرژی امام علی ع : اُنْظُرْ الی مَا قَالَ، و لا تَنْظُر إِلَی مَنْ قَالَ</t>
  </si>
  <si>
    <t>من مطمئنم دکتر #روحانی این سه سال رو هم با برنامه ریزی دقیق و به خوبی و خوشی به پایان می‌رسونه. بعد از اون چراغ ها رو خاموش و در ایران رو قفل می‌کنه و به ما در خارج از کشور ملحق می‌شه.</t>
  </si>
  <si>
    <t>🇮🇷 سید محمد🇮🇷</t>
  </si>
  <si>
    <t>https://pbs.twimg.com/media/DlwXeDKU8AAgVhC.jpg</t>
  </si>
  <si>
    <t>https://www.ilna.ir/fa/tiny/news-662402</t>
  </si>
  <si>
    <t>نماینده شبستر در #مجلس :نقد دولت موجب سرگیجه مسئولان می‌شود/ دشمن بدون هزینه،خاکریزهای اقتصادی‌مان را فتح می‌کند/ پرسش‌کنندگان #رئیس_جمهور تهدیدها را به بحران تبدیل می‌کنند</t>
  </si>
  <si>
    <t>‏فان حزب الله هم الغالبون حزب فقط حزب علی / رهبر فقط سید علی</t>
  </si>
  <si>
    <t>بجنورد سیتی</t>
  </si>
  <si>
    <t>https://pbs.twimg.com/media/DlwXoRfXsAAmciN.jpg</t>
  </si>
  <si>
    <t>دادستان با دروغ پراکن برخورد کند روزنامه شرق تیتر یک را به افشاگری اختصاص می دهد، آبروی افراد را می‌برد ولی بعد که گزارشش دروغ از آب در می آید یک عذرخواهی را در گوشه صفحه خود منتشر می‌کند #انقلاب_برای_انقلاب #رسانه_کذاب_دادستان_خواب #مثل_شرق_دروغ_میگی #سوال_از_رییس‌جمهور</t>
  </si>
  <si>
    <t>حامد</t>
  </si>
  <si>
    <t>من که میمیرم چراباعشق وباایمان نمیرم وزبرای سرزمینم،میهنم،ایران نمیرم. جمهوریخواه</t>
  </si>
  <si>
    <t>https://pbs.twimg.com/media/DlwXt8EWsAAZ5_x.jpg</t>
  </si>
  <si>
    <t>#آخوند روحانی در #مجلس: مردم #امید داشته باشن، #اقتصاد ما حل خواهد شد!</t>
  </si>
  <si>
    <t>behdad</t>
  </si>
  <si>
    <t>دانشجوی دکترای اقتصاد بین الملل (ارز، تجارت) مدرس اقتصاد، آمار، ریاضی و اقتصادسنجی علاقمند به تاریخ، شعر، رمان، فلسفه علم و کلام instagram: hsnhasankhani</t>
  </si>
  <si>
    <t>https://pbs.twimg.com/media/DlwYGaZWwAEQjXd.jpg</t>
  </si>
  <si>
    <t>چرا مجلس قانع نشد؟ واقعا چرا؟؟؟ #سوال_از_رئیس_جمهور</t>
  </si>
  <si>
    <t>حسن حسن خانی</t>
  </si>
  <si>
    <t>https://www.t.me/ramin_fakhari</t>
  </si>
  <si>
    <t>‏روزنامه نگار و وبلاگ نویس</t>
  </si>
  <si>
    <t>https://pbs.twimg.com/media/DlwYGeeWsAEzwG7.jpg</t>
  </si>
  <si>
    <t>آقای نماینده ای که کل وقت امروزت را رفتی تریبون #مجلس شعر اخوان ثالث خواندی؛ می دونستی هر دقیقه حضور تو آنجا سیصد میلیون از بیت المال هزینه میبره؟ @j_mohebinia</t>
  </si>
  <si>
    <t>رامین فخاری</t>
  </si>
  <si>
    <t>https://pbs.twimg.com/media/DlwPWUeUYAA41Nj.jpg</t>
  </si>
  <si>
    <t>https://twitter.com/shahramrafizade/status/1034718897482678272</t>
  </si>
  <si>
    <t>وقتی این روزنامه ها مانند سگهای وحشی به جان دکتر #روحانی #رئیس_جمهور افتاده اند، از این نمایندگان خود فروخته با #کیف_ترامپی و #رهبر_واداده چه انتظاری میتوان داشت. RT @ShahramRafizade: تیتر یک #ابتکار : «حسن» سخن نگفت! -باور کنید فتوشاپ نیست،واقعیه</t>
  </si>
  <si>
    <t>pic.twitter.com/nWE0CXcGeY</t>
  </si>
  <si>
    <t>https://twitter.com/pessarbad/status/1034683425431674880</t>
  </si>
  <si>
    <t>همش تقصیر #عمه محترم بندس !!! #روحانی وقیح #ماله_کشان #سلبریتی RT @pessarbad: وقتی مرزهای ماله کشی و وقاحت با هم جا به جا میشود. #سلبریدی_حکومتی #شاخص_فلاکت #دیگه_تمومه_ماجرا</t>
  </si>
  <si>
    <t>⚪🔴 #Türk Takımı #Tiraxtur Fanı 🔴⚪</t>
  </si>
  <si>
    <t>Başı Belalı Tebriz</t>
  </si>
  <si>
    <t>https://pbs.twimg.com/media/DlwYwDGWsAEHvRj.jpg</t>
  </si>
  <si>
    <t>این خبر "خیر" قراره 16شهریور97 اتفاق بیفته :))) #روحاني #اردوغان #تبریز_مبارک_اردوغان #ایران</t>
  </si>
  <si>
    <t>kimsesiz</t>
  </si>
  <si>
    <t>http://sobhe-no.ir/</t>
  </si>
  <si>
    <t>Assistant professor of cultural policy| Founder of @sobhe_no</t>
  </si>
  <si>
    <t>این‌که کارگزاران که توو دولت حضور دارن، علیه اون بیانیه می‌ده و رسانه‌ها و کنش‌گران سیاسی دوم‌خردادی (که حامی و موتلف دولت هستن) نسبت به پاسخ روحانی در #سوال_از_رئیس‌جمهور واکنش منفی داشتن، اصلن معنیش این نیس که می‌خوان از پاسخ‌گویی درباره افتضاحی که ایجاد کردن، فرار کنن.</t>
  </si>
  <si>
    <t>فرشاد مهدی‌پور</t>
  </si>
  <si>
    <t>http://Instagram.com/alii_abbasi</t>
  </si>
  <si>
    <t>امید دارم. ضرر نداره...</t>
  </si>
  <si>
    <t>https://twitter.com/ir_aref/status/1034688984306405376</t>
  </si>
  <si>
    <t>انتظار از اصلاح طلبان و #لیست_امید بیش از عملکرد فعلی ایشان است که با حمایت مفتحضانه از وزرای ناکارامد در جریان #استیضاح بیش از این امید مردم را ناامید نکنند. RT @ir_aref: انتظار اصلاح‌طلبان از آقای روحانی بیش از عملکرد فعلی ایشان بود که امیدواریم در سال دوم به بعد شتاب فعالیت‌های دولت بیشتر شود</t>
  </si>
  <si>
    <t>Ali Abbasi</t>
  </si>
  <si>
    <t>کمیته ۷ نفره موارد نقض قانون رئیس جمهوری را تدوین کردند عضو کمیسیون قضایی مجلس: طراحان سوال از رئیس جمهور موارد نقض قانون در عملکرد حسن #روحانی پیرامون سوالات مطروحه را پیش از این تهیه کرده بودند؛ لذا برای جمع بندی دقیق‌تر جهت ارائه به قوه قضائیه مجددا تشکیل جلسه می‌دهد</t>
  </si>
  <si>
    <t>https://t.me/PastoNews</t>
  </si>
  <si>
    <t>چون میروداین کشتی سرگشته که آخر/جان برسرآن گوهریکدانه نهادیم AtLast,how goeth this battered bark theBody/In desire of which peerless jewel,ourLife weHave placed</t>
  </si>
  <si>
    <t>✋We are iranian✋</t>
  </si>
  <si>
    <t>https://pbs.twimg.com/media/DlwWlWmW4AAD6Eh.jpg</t>
  </si>
  <si>
    <t>https://twitter.com/ReStart66th/status/1034726855818047490</t>
  </si>
  <si>
    <t>🚨اشاره آشکار #روحانی: آتش زنندگان برجام و بحران سازان کنونی👇 ری‌استارتی ها و چالش آتش آنها برجام را سوزاند و این بحران له کننده را برای نظام درست کرد #interview_Restartleader RT @ReStart66th: بفهم اپوزیسیون و قدرت مردم کمر نظام را شکست و باعث شد آمریکا روی براندازی سریع فوکوس هدفمند کند تنها راه نجات جمهوری اسلامی قبول شروط ۱۲ گانه پمپئو و مذاکره با امریکاست پایان روحانی تیر خلاص نظامِ له شده خواهد بود</t>
  </si>
  <si>
    <t>✋ما ایرانی هستیم✋</t>
  </si>
  <si>
    <t>مجتبی #ذوالنور تلویحا گفته؛ می‌دونم که اگر بخواهیم مثل #سوئیس باشیم خیلی افراد؛ قوانین باید تغییر کنه؛ از جمله خود من ؛ اگر بخواهیم #مثل_سوئیس شویم قاعدتاً باید مردمی داشته باشیم که به آدمی مثل من برای ورود به #مجلس شان رای ندهند:))) سوئیس الگوی #پایدارچی #برجام آتیش‌زن:) RT @zonnour: آقای روحانی! شما رییس جمهور سوییس هستید یا ایران؟</t>
  </si>
  <si>
    <t>mostafa</t>
  </si>
  <si>
    <t>https://pbs.twimg.com/media/DlwZ5pBXgAA41YF.jpg</t>
  </si>
  <si>
    <t>اثبات راستگوئی روحانی درمجلس به روایت سند👇 خالص اشتغال دولت‌ نهم و دهم 4.5 برابر خالص اشتغال دولت یازدهم درحالیکه روحانی اشتغال دولت قبل را10000 و اشتغال دولت خودش را27000 شغل اعلام کرد پ ن:حسن آقابعضی چیزا رو نمیشه...😎 #روحاني #رجل_مذهبی #دولت_راستگویان</t>
  </si>
  <si>
    <t>Love hussein</t>
  </si>
  <si>
    <t>https://pbs.twimg.com/media/DlwaKOnWwAA6e6O.jpg</t>
  </si>
  <si>
    <t>👤تعداد نمایندگانی که طرح #شفافیت_آراء_نمایندگان را امضا کرده اند به ١۴٠ نفر رسید 🔺پیگیر نماینده شهر خود باشید #شفافیت_آراء_نمایندگان #رسانه_کذاب_دادستان_خواب #سوال_از_رییس‌جمهور</t>
  </si>
  <si>
    <t>shia🇮🇷</t>
  </si>
  <si>
    <t>#استیضاح وزیر آموزش و پرورش اعلام وصول شد عضو هیات رئیسه مجلس: استیضاح آقای بطحایی، وزیر آموزش و پرورش، با امضای ۲۰ تن از نمایندگان به هیات رئیسه مجلس تحویل داده شد. وزیر حداکثر طی ۱۰ روز موظف است تا با حضور در جلسه علنی مجلس به نمایندگان توضیح دهد</t>
  </si>
  <si>
    <t>خدا رو شکر کسی نیستم....هیچم اما پوچ نیستم ؛</t>
  </si>
  <si>
    <t>رضا بزی</t>
  </si>
  <si>
    <t>تلاشگر برای زندگی بهتر</t>
  </si>
  <si>
    <t>Baran</t>
  </si>
  <si>
    <t>عاشق مبارزه با صهيونيست אניאוהבאתהמאבקנגדהציונ Political science student👨🏻‍🎓</t>
  </si>
  <si>
    <t>اينايي كه تو بچگياشون با #لاريجاني تيله بازي كردن، معني كار امروزش رو از همه بهتر ميفهمن.. ما هم تو بچه محلامون داشتيم، #بي_انصاف هر وقت بازي به نفعش جلو نمي رفت، دستشوييش مي گرفت. كلاً مي زد زير ميز. حيوونكي ميخواست بگه #مجلس هست، ولي نميدونست اينجوري جدي ميشه...</t>
  </si>
  <si>
    <t>پسرِ انقلابي</t>
  </si>
  <si>
    <t>https://pbs.twimg.com/media/DlwbOsLX0AEZrUy.jpg</t>
  </si>
  <si>
    <t>!!!و حااالا چه مییییکنه این بازیکن #لاریجانی #استیضاح</t>
  </si>
  <si>
    <t>‏‏‏‏‏هنوز مونده که انقلاب از لوث وجود بعضی ها خلاص بشه...</t>
  </si>
  <si>
    <t>#لاريجاني: سوال از رییس جمهور قابل ارجاع به قوه قضاییه نیست با این حرف میتونم بگم آمار اشتغال تو این دولت ۸۰ میلیون شد. یعنی کل ملت رو گذاشتن سرکار. آیا شکر نمیکنید؟؟ ^_______^ #مجلس_الدوله #سوال_از_رئیس_جمهور</t>
  </si>
  <si>
    <t>سید امیر🇮🇷</t>
  </si>
  <si>
    <t>‏ایران</t>
  </si>
  <si>
    <t>نشست سه جانبه #ایران #روسیه #ترکیه هشدار به مقامات ودستگاهای اطلاعاتی و امنیتی جریان ضدایرانی #پانترکیسم قصد بهربرداری تبلیغاتی به نفع #اردوغان رادارد اشتباه سال۸۹نبایدتکرار شود #یاشاسین_ایران #اولوم_اولسون_پانترکلر #من_آذریم_ترک_ددندی #روحانی #پوتین #اردوغان #نه_به_پانترکیسم</t>
  </si>
  <si>
    <t>آذریم تبریزی ایرانیم</t>
  </si>
  <si>
    <t>اقاى روحانى مردم از استرس گرونى و بيكارى شرمنده زن وبچه هاشونن اونوقت تو رفتى مجلس شيرينى ميخواى كام شماها شيرينو زندگى مردم تلخ باشه به چه قيمتى اخه عراقى هابيان بريزن بپاشن مردمه ماتو حسرت زندگى عراقى هاى جنگ زده باشن اينه عزتى كه شما دم ميزنين #روحانی</t>
  </si>
  <si>
    <t>M.A. on Management of Leadership | Analysis &amp; Theoretician</t>
  </si>
  <si>
    <t>Sarajevo</t>
  </si>
  <si>
    <t>#مجلس حتی اگر همه وزرای #روحانی را هم #استیضاح کند، دولت تغییری در رویه خود نمی‌دهد چرا که چشم به راه انتخابات کنگره امریکا است تا شاید بتواند از آن طریق جلوی تحریم‌ها را بگیرند، پس دوستان به خودتون فشار نیارید این دولت چشم به راه غرب است.</t>
  </si>
  <si>
    <t>Reza Arya</t>
  </si>
  <si>
    <t>کارشناس ارشد علوم سیاسی،فعال سیاسی و رسانه‌ای</t>
  </si>
  <si>
    <t>آیا نمایش سوال نمایندگان مجلس از #رئیس_جمهور در رسیدن به هدف خود که همانا جلب #اعتماد مردم بود موفق آمیز اجرا شد؟ #سوال #سناریو</t>
  </si>
  <si>
    <t>مرتضی عسگری</t>
  </si>
  <si>
    <t>http://instagram.com/yasser.babaei.m</t>
  </si>
  <si>
    <t>‏‏Born in Quchan, Kurd, Electrical Engineer عضو هیچ‌گروهی نیستم.</t>
  </si>
  <si>
    <t>تو این ماجرای طرح سوال از #رئیس_جمهور برنده واقعی کی بود؟ رئیس جمهور با جواباش یا نمایندگان #مجلس؟ مهم نیست کدوم حزب یا گروه برنده شد، مهم اینه #مردم برنده نشدن. مثل همیشه. کسایی که باید همه چی به نفع اونا تموم بشه ولی همیشه برعکس. همیشه همه چی به ضرر مردم بوده.</t>
  </si>
  <si>
    <t>Yasser Babaei</t>
  </si>
  <si>
    <t>I'm seeking Freedom &amp; Democracy</t>
  </si>
  <si>
    <t>https://pbs.twimg.com/media/DlwdZ82W4AAOAx3.jpg</t>
  </si>
  <si>
    <t>حوزهٔ قم ونشانه هایی از عمق بحران واقعه مدرسه فیضیه قم این قضیه را تبدیل به بحرانی کرده درپلاکاردی که گروهی ازآخوندها و طلاب قم بلند کرده بودند با اشاره به #قتل #رفسنجانی #روحانی نیزتهدید شده بود ، که به همان شیوه سربه نیست خواهد شد،</t>
  </si>
  <si>
    <t>Javad Akhani</t>
  </si>
  <si>
    <t>‏زخم ما رشد میکند به درون.... ((دانشجوی مهندسی مکانیک))</t>
  </si>
  <si>
    <t>جناب #روحانی فرمودند هنوز به بحران نرسیدیم و داخل مرحله ی #آسیب هستیم... با این وضعی که ما الآن داریم فکر کنم اگه به مرحله ی بحران برسیم دیگه خود خدا #ظهور میکنه....</t>
  </si>
  <si>
    <t>Yasin Moradian</t>
  </si>
  <si>
    <t>https://twitter.com/hsnhasankhani/status/1034728527785066496</t>
  </si>
  <si>
    <t>شيب بالآي نرخ ارز در دوره #روحاني قابل توجيه و يا پنهان كردن نيست. RT @hsnhasankhani: چرا مجلس قانع نشد؟ واقعا چرا؟؟؟ #سوال_از_رئیس_جمهور</t>
  </si>
  <si>
    <t>‏دانشجو‌معلم سابق و آموزگار امروز</t>
  </si>
  <si>
    <t>https://pbs.twimg.com/media/Dlv-8-2WsAIGvh1.jpg</t>
  </si>
  <si>
    <t>https://twitter.com/SharghDaily/status/1034700872138334209</t>
  </si>
  <si>
    <t>#استیضاح احساسی در آستانه بازگشایی مدارس استیضاح آقای #بطحایی کمکی به اوضاع کشور و آموزش وپرورش نمی‌کنه RT @SharghDaily: استیضاح بطحایی، وزیر آموزش و پرورش با ۲۰ امضا در صحن علنی مجلس اعلام وصول شد.</t>
  </si>
  <si>
    <t>محمد مهدی یوسفی</t>
  </si>
  <si>
    <t>https://pbs.twimg.com/media/DlwdzBWX4AAXYCT.jpg</t>
  </si>
  <si>
    <t>در جلسه #سوال_از_رئیس‌جمهور حضرت #عارف چنین فرمودند:....</t>
  </si>
  <si>
    <t>http://www.jaaar.com</t>
  </si>
  <si>
    <t>کیوسک دیجیتالی مطبوعات</t>
  </si>
  <si>
    <t>https://pbs.twimg.com/media/DlweJmNXcAEsd0H.jpg</t>
  </si>
  <si>
    <t>حرافی و صرافی منبع: بی قانون #جار #کیوسک_جار #طنز #دلار #روحانی</t>
  </si>
  <si>
    <t>Jaaar | جار</t>
  </si>
  <si>
    <t>فعلاًازاین #روزنامه_شرق واین #روحانی پپه بکشیدبیرون آقا؛ #عیدالله_الاکبر ه!!!! تبلیغ غدیرواجب تره!! #سوال_از_رییس‌جمهور #رسانه_کذاب_دادستان_خواب #مثل_شرق_دروغ_میگی #غدير_خم #غدیری_ام #عید_غدیر #به_عشق_علی</t>
  </si>
  <si>
    <t>با صحبت های امروز #لاریجانی در مورد عدم امکان ارجاع سوال از #روحانی به قوه قضاییه، مشخص شد که این جلسه هم مانند دادگاههای متهمان اقتصادی، یک نمایش مسخره ی از پیش هماهنگ شده و یک خیمه شب بازی عوامفریبانه برای انحراف افکار عمومی بود ک تنها خروجی آن بالا رفتن قیمت سکه و دلار بود.</t>
  </si>
  <si>
    <t>‏‏‏‏‏‏‏‏ عشق یعنی لافتی الا علی عشق یعنی رهبرم سید علی 🇮🇷🇮🇷🇮🇷 کارشناس حقوقی و امور گمرکی/ فعال رسانه ای / درسکوت عملگرا ‌/ دوست دار اهل فن</t>
  </si>
  <si>
    <t>mashad</t>
  </si>
  <si>
    <t>https://pbs.twimg.com/media/DlweZA9X4AAvLIL.jpg</t>
  </si>
  <si>
    <t>🔴 رییس #مجلس: سوال از #رییس_جمهور به دلیل عدم ذکر موضوع نقض قانون و استنکاف در طرح سوال، قابل ارجاع به قوه قضاییه نیست. جالبه مگه میشه نماینده های مردم که قانون گذار هستن از این جریان خبر نداشته باشن؟!!! آیا #رئیس_مجلس خودش قبلش این طرح سوال رو مطالعه نکردند؟!! مگه میشه؟؟!!!</t>
  </si>
  <si>
    <t>امیر عبدی</t>
  </si>
  <si>
    <t>https://pbs.twimg.com/media/DlwRR8iUcAAztqD.jpg</t>
  </si>
  <si>
    <t>https://twitter.com/isna_farsi/status/1034721051111030784
http://www.isna.ir/news/97060703564</t>
  </si>
  <si>
    <t>تو مسکن چرا #روحانی و #احمدینژآد رو مقایسه نمی کنید ؟ بخش ایجاد کار ؟ ورشکستگی کارخانه ها نابودی ریال ؟ افزایش افسارگسیخته طلا ؟ برجام ؟ چیه روحانی شبیه دکتر هست ؟ ولی اینجا که رسیده اقایون مقایسه میخوان بکنن البته اقایون بیجا کردن ! RT @isna_farsi: تیتر کیهان فردای سوال از احمدی‌نژاد و روحانی</t>
  </si>
  <si>
    <t>pic.twitter.com/yNw0tovC76</t>
  </si>
  <si>
    <t>https://www.aparat.com/v/k4guX</t>
  </si>
  <si>
    <t>ویدیو کامل در آدرس زیر  (حتما ببین)صحبت های استادرائفی پوردرموردطرح شفافیت آرا نمایندگان #شفافیت_آراء_نمایندگان #شفافیت #رائفی_پور #مجلس #قانون #حسن_روحانى #دولت #رای</t>
  </si>
  <si>
    <t>ekenghelabi</t>
  </si>
  <si>
    <t>‏‏‏‏عضو شورای مرکزی حزب اعتماد ملی خوزستان/ مسئول شاخه جوانان و دانشجویان اعتماد ملی خوزستان/ مشاور جوان فرماندار بهبهان/ کارشناس ارشد مهندسی عمران/</t>
  </si>
  <si>
    <t>آنطرف وقایع دیروز مجلس رو هم وزیر #جوان و #شجاع ارتباطات بیان نمود، انصاف نیست از نجابت روحانی و تلاشش برای آرام نگه داشتن فضای کشور در شرایط کنونی و پیروی از تذکرات #رهبر_انقلاب، عده ای سو برداشت به ضعف یا مقصر همه چیز بودن،کنند/ #آدرس_اشتباهی_دادن #روحانی</t>
  </si>
  <si>
    <t>Mehdi.Amoozian_ir</t>
  </si>
  <si>
    <t>#لاريجاني گفته سوال ديروز از #رئيس_جمهور قابل ارجاع به قوه قضائيه نيست. خيلي عالي اما بي زحمت بشينيد اين ابهام مزخرف آئين نامه رو رفع كنيد چرا كه اينطوري مجلس مي تونه روساي جمهور رو با راه ساده تر سوال نسبت به استيضاح بندازه در حالي كه طرح مسئوليت قانوني در اختيارش نيست</t>
  </si>
  <si>
    <t>۴۰ ساله یا #دشمن داره دهن ما رو سرویس میکنه یا #دلال ، #فاسد . مدیونید فکر کنید مشکل از #مسئولین ه ... #حسن_روحانى #روحانی #حکومت #نظام #رهبری</t>
  </si>
  <si>
    <t>استیضاح #رییس_جمهور در این شرایط یعنی:کبریت زدن به انبار باروت.این کار اصلا به نفع کشور نیست.رهبر خود گفته است که دولت باید تا آخرین روز کاریش٬سر کار بماند.والسلام. #سانسور_رهبری</t>
  </si>
  <si>
    <t>Mrjalili1997</t>
  </si>
  <si>
    <t>https://twitter.com/tavakoli1367/status/1034698144511082496</t>
  </si>
  <si>
    <t>همه به #روحانی پشت کرده اند. این #تاریکترین_زمان در #جمهوري_اسلامي است. دقیقا چیزی که #براندازاللهی ها و محور #SAILUS بدنبال آن هستند. RT @tavakoli1367: از بیانیه‌ی حزب کارگزاران: دولت روحانی نه به لوازم «اقتصاد آزاد» پای‌بند است و نه از نسخه‌های «اقتصاد ارشادی» پیروی می‌کند. دولتی سرگشته در میان مکاتب و اندیشه‌های اقتصادی است.</t>
  </si>
  <si>
    <t>http://jebal.mihanblog.com</t>
  </si>
  <si>
    <t>مهندس فناوری اطلاعات/ فعال و مشاور فرهنگی/ آلوده کار رسانه ای از رادیوی دهه هفتاد تا وب امروز!</t>
  </si>
  <si>
    <t>#روحانی در #مجلس گفت: آیا اگر تورم در طول ۴ سال که در جمع حدود شصت و چند درصد شد، حقوق کارمند را به ۲ برابر افزایش ندادیم؟ آقای #دولت! شما فقط در برابر #کارمند وظیفه داری؟ سایر مردم مال این کشور نیستند؟ کاسب جزء که نه بیمه دارد و نه بازنشستگی و #مالیات هم می دهد، باید چه کند؟</t>
  </si>
  <si>
    <t>مهدی ساغری زاده</t>
  </si>
  <si>
    <t>اگر دین ندارید ، آزاده باشید</t>
  </si>
  <si>
    <t>در دوره هشت ساله #ریاست_جمهوری آقای #احمدی_نژاد فقط ۱۰۰۰۰ #شغل ایجاد شد . اما در پنج سال ریاست جمهوری آقای #روحانی ۲۷۰۰۰۰۰ شغل ایجاد شد . آقای روحانی #مردم احمق نیستند ، خودتان را مسخره کرده اید یا ملت #ایران را ؟ با چه آتشی خواهی سوخت نمی دانم !!!</t>
  </si>
  <si>
    <t>Mostafa Hashemi</t>
  </si>
  <si>
    <t>https://pbs.twimg.com/media/DlwgvF8XgAAseJ6.jpg</t>
  </si>
  <si>
    <t>ظاهراً به جای روحانی و پنکش باید بگیم : پنکه و روحانیش!😂 #سوال_از_رییس‌جمهور</t>
  </si>
  <si>
    <t>فتحی در نطق میان‌دستور: آقای #روحانی برخی انتصابات شما تقدم اراذل به افاضل است؛ و مابقی انتصابات شما هم تقدم دارایان به دانایان است.</t>
  </si>
  <si>
    <t>http://kafaeealireza.wordpress.com/</t>
  </si>
  <si>
    <t>IRAN-GACHSARAN</t>
  </si>
  <si>
    <t>گچساران</t>
  </si>
  <si>
    <t>https://www.instagram.com/p/BnDud1hH5f6/?utm_source=ig_twitter_share&amp;igshid=aj1mywijegap</t>
  </si>
  <si>
    <t>📝 اگر پرسش نمایندگان مجلس شورا از #رئیس‌جمهور و #پاسخگویی علنی او از نشانه‌های #دموکراسی است که هست، چرا نمایندگان مجلس خبرگان درباره وظایف #رهبر از او سوال نمی‌کنند و جواب ایشان مستقیما…</t>
  </si>
  <si>
    <t>علیرضا کفایی</t>
  </si>
  <si>
    <t>‏‏‏‏‏خبرنگار /نه اصولگرا نه اصلاح طلب) ما از کسی هزینه نمی کنیم ولی برای انقلاب هزینه می دهیم</t>
  </si>
  <si>
    <t>جهان وطنی</t>
  </si>
  <si>
    <t>اینکه دستان #رئیس_جمهور بدجور میلرزه یعنی می دونه تو امتحان رفوزه هستش ! بیشتر نباید شرمنده تر کرد ایشونو! #سوال_از_رییس‌جمهور</t>
  </si>
  <si>
    <t>⁦🇮🇷⁩آه مظلوم...⁦⁦🇮🇷⁩</t>
  </si>
  <si>
    <t>Passionate about economics in particular and social issues in general</t>
  </si>
  <si>
    <t>برج بلند دموكراسى</t>
  </si>
  <si>
    <t>موندم من که حتی سر سوزنی امید به بهبود اوضاع ندارم برای چی نشستم جلسه سؤال از #رئیس_جمهور رو از اول تا آخر دیدم؟! دیگه بدتر از این چی می‌خواد بشه؟ مگه با یه مشت حرف تکراری چیزی درست میشه؟!</t>
  </si>
  <si>
    <t>FormerLondoner</t>
  </si>
  <si>
    <t>https://pbs.twimg.com/media/Dlwhi3zWwAA4dJH.jpg</t>
  </si>
  <si>
    <t>طرف گفته : پنکه مال روحانی نیست! -دمش گرمی عجب پنکه با معرفتیه ، هر جا می‌ره روحانی رو هم با خودش می‌بره!😂 #سوال_از_رییس‌جمهور خدارو چه دیدی ، شاید وقتی خواست برگرده کشور سازنده ، روحانی رو هم با خودش ببره!😉</t>
  </si>
  <si>
    <t>Baku</t>
  </si>
  <si>
    <t>http://fa.trend.az/news/politics/2571496.html</t>
  </si>
  <si>
    <t>اعلام وصول #استیضاح وزیر آموزش و پرورش، بی‌توجهی به زبان‌های مادری از محورهای استیضاح  #زبان_مادری</t>
  </si>
  <si>
    <t>Umid Niayesh</t>
  </si>
  <si>
    <t>https://t.me/Tell4Me_bot?start=355669521</t>
  </si>
  <si>
    <t>‏‏‏‏‏‏‏ کوی آذر پلاک ۳🍃 ‏‏</t>
  </si>
  <si>
    <t>urmia</t>
  </si>
  <si>
    <t>یکی از افتخارات سال ۹۶م رای ندادن به #روحانی بود!!😅✋</t>
  </si>
  <si>
    <t>آسِن :)</t>
  </si>
  <si>
    <t>‏‏‏‏با افتخار انقلابی/ کارشناس HSE/ ژان ژاک راسو: ... به امید روزی که اصول ایمنی در کلیه شئونات اجتماعی، فرهنگی، سیاسی و ورزشی رعایت شود!</t>
  </si>
  <si>
    <t>https://pbs.twimg.com/media/DlwiFkSXoAUlvxP.jpg</t>
  </si>
  <si>
    <t>نظر سنجی سایت (انتخاب) سایت حامی #روحانی : قاعدتا اکثربت مخاطبان این سایت،اصلاح‌طلب و حامی دولت هستند. آش بی تدبیری دولت انقدر شور شده که پاسخ روحانی در مجلس حامیان خود را نیز قانع نکرد!!!! #سوال_از_رئیس‌جمهور</t>
  </si>
  <si>
    <t>آقوی ایمنی</t>
  </si>
  <si>
    <t>شب و روزم شده توییتر.به جون بردیام فالوم کنین.مرسی از همتون.</t>
  </si>
  <si>
    <t>قضیه روحانی و پنکش که یهو تکذیب میشه تو #مجلس و سوال از رییس جمهور دقیقا چیه؟؟😂آرایشش تو گرما بهم میریزه پنکه واجبه😅 #سوال_از_رییس‌جمهور #پنکه_و_روحانیش #روحانی_و_پنکش</t>
  </si>
  <si>
    <t>bardiya</t>
  </si>
  <si>
    <t>بابا این گرونی ها به #رئیس_جمهور هم فشار آورده ! ندید رنگ ریش ایشون لایت اورجینال نبود! #سوال_از_رییس‌جمهور</t>
  </si>
  <si>
    <t>https://pbs.twimg.com/media/DlwikMPXsAAcqIu.jpg</t>
  </si>
  <si>
    <t>با این میزان علاقه ای که روحانی به پنکش داره ، ممکنه یه روز صبح از خواب بیدار بشه و بگه : من مش حسن نیستم ، من پنکه مش حسنم ! 😂 #سوال_از_رییس‌جمهور #پنکه_مش_حسن</t>
  </si>
  <si>
    <t>pic.twitter.com/an7prmJz7L</t>
  </si>
  <si>
    <t>#اسحاق_جهانگیری، بهار ۹۶: کسی که می‌گوید چند میلیون #شغل ایجاد می‌کنم می‌خواهد مردم را فریب دهد. حسن روحانی ۷ شهریور ۹۷: #اشتغال خالص ما در پنج سال ۲ میلیون و ۷۰۰ هزار نفر است. نظر شما چیست؟ #سوال_از_رئیس_جمهور</t>
  </si>
  <si>
    <t>http://sharghdaily.ir</t>
  </si>
  <si>
    <t>#Iranian #Journalist @sharghdaily &amp; #Film_Critic RTs,Likes,Replies are not endorsement/Opinions are my own</t>
  </si>
  <si>
    <t>س:یکی از وعده‌های #روحانی به‌کارگیری #زنان در بخش‌های مختلف مدیریتی بود و وزارت زنان به سرانجام نرسید! اما چرا در سطوح مدیریتی پایین‌تر از زنان دعوت نکردید؟ ج:شخصاعلاقه‌مندوپیگیر این موضوع بودم.اماشرایط این دوره به‌گونه‌ای است...باید سعی می‌کردم شرایط را بسامان کنم@S_A_Salehi</t>
  </si>
  <si>
    <t>Faranak Arta</t>
  </si>
  <si>
    <t>در اهدافمان بیشتر تفکر کنیم</t>
  </si>
  <si>
    <t>روحانی رو نباید گذاشت کنار. روحانی هم حاضر نیست تیم اقتصادی و تفکر اقتصادی رو #تغییر بده. #مجلس هم فقط میتونه #استیضاح بکنه، نمیتونه تغییر در تفکرات اقتصادی #روحانی بده. مردم هم که زیر فشارن. احزاب سیاسی هم که در عمل اختلاف دارن. اونوقت چطور میخایم وضعیت رو درست کنیم؟؟</t>
  </si>
  <si>
    <t>استاد،آماده</t>
  </si>
  <si>
    <t>روانشناسي خوندم، علوم سياسي ميخونم، ميخوام براي دكتري روانشناسي سياسي بخونم/فعال مدني</t>
  </si>
  <si>
    <t xml:space="preserve">tehran </t>
  </si>
  <si>
    <t>https://pbs.twimg.com/media/DlwjIsXW0AA4XCq.jpg</t>
  </si>
  <si>
    <t>جيب خالي وزارتخانه، پز عالي #نمايندگان (١) در آستانه #استيضاح و سهم خواهي نمايندگان از #سيدمحمدبطحائي اين #رشتو تعدادي از فعاليت هاي وزير #آموزش_و_پرورش است كه به علت ضعف رسانه ها و مديريت روابط عمومي وزارتخانه متبوع به سمع و بصر مردم قرار نگرفت. (ريپلاي ها را بخوانيد)</t>
  </si>
  <si>
    <t>محسن محبي</t>
  </si>
  <si>
    <t>درباره #روحانی و پنکش که تو جلسات با خودش میبره یه هشتگ خوب پیشنهاد بدین منتظر هشتگهای خفن شما هستیم #سوال_از_رئیس‌جمهور #روحانی_و_پنکش</t>
  </si>
  <si>
    <t>برخورد تند برخی از دوستان #اصلاح_طلب در قبال مردم و شباهتشان به حرکت #گله_وار، آن هم به دلیل عدم دفاع از #رییس_جمهور، من را یاد این سخنان محمد علی شاه قاجار انداخت: رعیت را چه به آزادی! به جهنم که نان ندارید، کار ندارید، سرپناه ندارید، آب ندارید،</t>
  </si>
  <si>
    <t>mehrvash</t>
  </si>
  <si>
    <t>https://pbs.twimg.com/media/Dlwj162W0AASJST.jpg</t>
  </si>
  <si>
    <t>واکنشها جالب به دروغهای روحانی خون آشامِ بنفش در مجلس آخوندی : روحانی گفته تو پنج سال ۲ میلیون و ۵۰۰ هزار شغل ایجاد کرده. فکر کنم هر کی بهش فحش داده رو شاغل محسوب کرده اگه از دروغ های #روحانی میشد برق تولید کرد ما الان جزو صادرکنندهای برتر برق در دنیا بودیم #ايران #قیام_سراسری</t>
  </si>
  <si>
    <t>Karezma Ezadi</t>
  </si>
  <si>
    <t>http://safinews.ir</t>
  </si>
  <si>
    <t>پایگاه خبری صافی در آذر ماه ۱۳۹۵ شروع به کار کرد.</t>
  </si>
  <si>
    <t>رهبر انقلاب صبح امروز در دیدار #رئیس_جمهور و اعضای #هیئت_دولت : 🔹شاخصهای حکومت علوی یعنی عدالت، پارسایی، مردمی و پاکدامن بودن معیار ارزیابی مسئولان است 🔹در زمینه #اقتصاد باید قوی، پرحجم و باکیفیت کار کرد و مسئولان اقتصادی در حل مشکلات باید شب و روز نشناسند</t>
  </si>
  <si>
    <t>پایگاه خبری صافی</t>
  </si>
  <si>
    <t>روحانی رو نباید گذاشت کنار. روحانی هم حاضر نیست تفکر اقتصادی خودش رو #تغییر بده. #مجلس هم که فقط میتونه #استیضاح کنه. احزاب سیاسی هم در عمل #متحد نیستن. مردمم زیر فشار اقتصادین. بنظرتون چجوری اوضاع درست میشه؟</t>
  </si>
  <si>
    <t>‏‏‏‏‏‏‏‏حرف است فراوان</t>
  </si>
  <si>
    <t>Kurdistan</t>
  </si>
  <si>
    <t>چشم تو مجلس بود و من وزیر بدبخت دولت روحانی #استیضاح</t>
  </si>
  <si>
    <t>Najmadin</t>
  </si>
  <si>
    <t>#سوال_از_رئیس_جمهور جمهوریت نظام را تقویت کرد و #مجلس این بار نمایندگی افکار عمومی را در پذیرش سخنان رییس جمهور، درست بر عهده گرفت و امیدوارم خوب به سرانجام برساند و #قوه_قضائیه نیز بتواند در رسیدگی به استنکاف، در تراز ملت بزرگ ایران ظاهر شود.</t>
  </si>
  <si>
    <t>🚩#رهبر انقلاب صبح امروز در دیدار #رئیس‌جمهور و اعضای هیئت دولت: 🔹شاخصهای حکومت علوی یعنی عدالت، پارسایی، مردمی و پاکدامن بودن معیار ارزیابی مسئولان است 🔹در زمینه اقتصاد باید قوی، پرحجم و باکیفیت کار کرد و مسئولان اقتصادی در حل مشکلات باید شب و روز نشناسند @AkhbareFori</t>
  </si>
  <si>
    <t>#سوال_از_رئیس‌جمهور که دیروز برگزار شد و نماینده ها قانع نشدند قاعدتا باید یک دستاوردی داشته باشه. اگر نداره چرا وقت #ملت هدر میدید.</t>
  </si>
  <si>
    <t>ARIAN DADGAR</t>
  </si>
  <si>
    <t>🔸سوال از رییس جمهور قابل ارجاع به قوه قضاییه نیست علی لاریجانی: 🔹سوال از #رئیس_جمهور به دلیل عدم ذکر موضوع نقض #قانون و استنکاف در طرح سوال، قابل ارجاع به #قوه_قضاییه نیست. من میگم این مجلس اینکاره نیست شما بگین نه. فعلا هر سه قوا در حال سر کار گذاشتن ملت تشریف دارن #روحانی</t>
  </si>
  <si>
    <t>خبرنگار غیر وابسته 🚫مردم خط قرمزم هستند🚫</t>
  </si>
  <si>
    <t>وقتی #روحانی میتواند رئیس جمهور بشه پس #دلار هم میشه که بیست و پنج هزار تومان بشه!</t>
  </si>
  <si>
    <t>عمو رجب</t>
  </si>
  <si>
    <t>https://pbs.twimg.com/media/DlwmmTKXcAAF5zZ.jpg</t>
  </si>
  <si>
    <t>الان که #مجلس رو دور #استیضاح و #قانع_نشدیم ه اگه #آخوندی بتونه از این مجلس برای بار چهارم رأی اعتماد بگیره🔻</t>
  </si>
  <si>
    <t>http://www.bpi.ir</t>
  </si>
  <si>
    <t>Bank Pasargad is a major banking establishment, founded in 2005 in Iran.</t>
  </si>
  <si>
    <t>https://bit.ly/2wwqEGT</t>
  </si>
  <si>
    <t>۲۵ نماینده #مجلس طرحی را ارایه کرده‌اند که طی آن #بانک_مرکزی مکلف می شود سود ارزی سپرده‌های ارزی را تضمین کند؛ در عین حال این بانک در روزهای اخیر دستورالعملی را با تاکید بر تضمین دولت ابلاغ کرده است. #ارز</t>
  </si>
  <si>
    <t>Bank Pasargad®</t>
  </si>
  <si>
    <t>https://bit.ly/2BXRy0B</t>
  </si>
  <si>
    <t>سخنان روز سه‌شنبه حسن روحانی در مجلس شورای اسلامی واکنش شماری از کاربران شبکه‌های اجتماعی را به دنبال داشت و بیشتر کاربران با استفاده از هشتگ‌ #روحانی یا هشتگ #سوال_از_رئیس‌جمهور، به انتقاد از حسن روحانی پرداختند. مهتاب وحیدی‌راد گزارش می‌دهد:</t>
  </si>
  <si>
    <t>‏‏...(و زمانی خواهد رسید که آفتاب از غرب طلوع کند و از مسلمانان پیشی گیرند علی (ع</t>
  </si>
  <si>
    <t>ماسمالیزاسیون چیست ؟؟ بازی با وقت و اعصاب مردم و #سوال_از_رییس‌جمهور و عدم ارجاع آن به شورای نگهبان شاید از ترس استیضاح رییس جمهور بیست و چهار میلیونی و همچنان ادامه می‌دهیم دوران #روحانی_مچکریم رو</t>
  </si>
  <si>
    <t>سید مظلوم</t>
  </si>
  <si>
    <t>Advent is near</t>
  </si>
  <si>
    <t>اوج #ذلت مردم ایران را در این سخن #رئیس_جمهور ببینید: «قیمت‌ها در بسیاری از موارد که در ارتباط با دولت بوده از جمله در بخش آب، برق، گاز، سوخت و حمل و نقل تغییری نکرده بخاطر اینکه مردم در رفاه بیشتر و شرایط بهتر باشند.»</t>
  </si>
  <si>
    <t>abbas tarkhan</t>
  </si>
  <si>
    <t>‏‏پیامبر اکرم (ص) : دنیا به پایان نمی‌رسد تا اینکه مردی از اهل‌بیت من که هم نام من است، سلطنت کند. (کتاب الملاحم والفتن، ص۱۵۴)</t>
  </si>
  <si>
    <t>نیلی مشاور اقتصادی روحانی گفته بود که دلار باید افزایش پیدا کنه ! روحانی (در مجلس) : اگر من به بانک مرکزی بگم مثل پارسال عمل کن قیمت ارز مثل پارسال میشه ! دلیلشم گفته ما احتیاطی داریم عمل میکنبم! احتیاط برای کی؟ برای چی؟ به نفع کی؟ بازی دادن مردم برای چیه؟ #سوال_از_رییس‌جمهور</t>
  </si>
  <si>
    <t>ابراهیم</t>
  </si>
  <si>
    <t>فکر کنم #روحانی الان رفته پیش #آخوندی میگه روشای من دیگ جواب نمیده تو راه های دور زدن #استیضاح رو به من نشون بده #کارت_زرد_مجلس_به_روحانی</t>
  </si>
  <si>
    <t>Alireza_hashemi</t>
  </si>
  <si>
    <t>‏‏‏خداوند حزبی ندارد جناحی ندارد دارو دسته ای ندارد خداوند خدای همه است فارغ ازنام و نشان و مرام و این انسان است که خدای خودرا در قالب نام ها و نشان ها محدود می</t>
  </si>
  <si>
    <t>مردم براي #معيشت به حرف نياز ندارند به مرغ گوشت لبنيات ميوه حبوبات دارو خودرو مسکن نيازدارند جناب #دولت اين را بفهم #دولت_بي_تدبير #فصل_عمل #معيشت #روحاني</t>
  </si>
  <si>
    <t>https://pbs.twimg.com/media/DlwolvhXgAErmi3.jpg</t>
  </si>
  <si>
    <t>میگم اینجا برای #روحانی پنکه اینا نمیذارن؟ 😁 #شایعه</t>
  </si>
  <si>
    <t>اینکه #روحانی اول صحبت‌هاش توی #مجلس بگه؛ امیدوارم بتونم به توصیه‌هایی که #رهبری در مورد این جلسه داشتند، عمل کنم، یعنی خلاصه حواستون جمع باشه که منو عصبانی نکنین! #سوال_از_رییس‌جمهور</t>
  </si>
  <si>
    <t>http://Instagram.com/maed.amini</t>
  </si>
  <si>
    <t>روزنامه‌نگارم. در سرزمینی که نه با کفر، بلکه با ظلم ابقا شده ‌است.</t>
  </si>
  <si>
    <t>اینکه از اصلاح‌طلبان گلایه می‌کنم به این معنی نیست که از احترامی که برای خاتمی قائل بودم کم شده یا از رای به #روحانی پشیمانم. این فکرهای بچه‌گانه و این نتیجه‌گیری‌های زود هنگام احساسی مال همان محافل خانوادگی و غر غر تاکسی های سبز و زرد است. تحلیل مبتنی بر تحقیق داشته باشیم.</t>
  </si>
  <si>
    <t>Maede Amini</t>
  </si>
  <si>
    <t>مُمِنت من منطقی, آینده نگر ،بی دین هستم. دوست دار مسافرت و خوشگذرانی</t>
  </si>
  <si>
    <t>Dubai, United Arab Emirates</t>
  </si>
  <si>
    <t>https://pbs.twimg.com/media/DlwpGSIXcAElGOT.jpg</t>
  </si>
  <si>
    <t>#رئیس‌جمهور و اعضای #دولت به دیدار #رهبری رفتند. تصویر در زیر. همیشه برام سوال بوده چرا خطی میشینن. کسی دلیلشو میدونه؟؟ شاید دولت واقعی روبروی همه اینا میشینه</t>
  </si>
  <si>
    <t>شازده اسداله</t>
  </si>
  <si>
    <t>[ يا حَسَنَ بْنَ عَلِي ] براي من اين تقسيمات اصولگرا و اصلاح طلب مطرح نيست؛ امّا روي مسئله #فتنه حسّاسم...</t>
  </si>
  <si>
    <t>https://pbs.twimg.com/media/DlwpVpGX4AAkYOp.jpg</t>
  </si>
  <si>
    <t>حسن #روحانی در خانه علی #لاریجانی: “کاخ سفید فکر نکند از پایان جلسه امروز خوشحال خواهد بود.” مهم کاخ #باکینگهام است که بسی خوشحال خواهد بود...</t>
  </si>
  <si>
    <t>مَهدی</t>
  </si>
  <si>
    <t>Economics Graduate | Technology Management Student | Interested in economic and political issues of #Iran | Coffeeholic | Never kidding when the topic is Iran!</t>
  </si>
  <si>
    <t>الان ما دقیقا چرا در مورد #روحانی لالمونی گرفتیم؟! یا باید بگیم به فلان دلایل داره خوب میره جلو یا بگیم داره اشتباه میکنه! این سکوت و نگاه کردن صرف به دهان بزرگانمون اصلا علامت خوبی نیست و نشون میده ما بیش از اینکه #منافع_ملی واسمون مهم باشه، سیاهی لشگر یک جناح هستیم!</t>
  </si>
  <si>
    <t>Hamed Mirzahosseini 🇮🇷</t>
  </si>
  <si>
    <t>شاعر و نویسنده ،دل شکسته و غمگین،امیدوار و خسته،با خودکاری نیمه تمام</t>
  </si>
  <si>
    <t>به عمل کار بر آید به سخنرانی نیست عمل و حرف یکی ?صحبت آسانی نیست #سوال_از_رئیس‌جمهور #پراید_چهل_میلیونی</t>
  </si>
  <si>
    <t>Hashem Mortazavi</t>
  </si>
  <si>
    <t>مجلس شورای اسلامی مشتی نمونه خروار ازساختارهای ناکارآمدوفرسوده جمهوری اسلامی است، عمق فاجعه راباید آنجا دیدی که بعد از۴۰سال می گویید نهاد قانونگذاری مملکت آیین نامه داخلی اش که خودش تدوین و تصویب می کند ابهام دارد.. آیازمان بازنگری دراین ساختارهانرسیده است #سوال_از_رییس‌جمهور</t>
  </si>
  <si>
    <t>‏‏‏‏‏‏‏‏چتـر بـرایمـان چـرا...خـیـال کـه خـیس نمۍ شـود ‏‏‏‏‏‏‏</t>
  </si>
  <si>
    <t>تهـران</t>
  </si>
  <si>
    <t>https://pbs.twimg.com/media/DlwqZzOXcAAixne.jpg</t>
  </si>
  <si>
    <t>دِ لامصب ۵دیقه بدون پنکه نمیتونی دووم بیاری بعد برقِ مردم رو ۲ساعت۲ساعت قطع میکردی؟ #روحانی #پنكه</t>
  </si>
  <si>
    <t>رفیقِ خُـدا🇮🇷</t>
  </si>
  <si>
    <t>‏‏‏‏‏‏‏خیلی از پیری مردند ولی می‌شد از جوانی هم مرد. ‎#بیژن_الهی</t>
  </si>
  <si>
    <t>https://pbs.twimg.com/media/DlwrP9HX4AAMOLg.jpg</t>
  </si>
  <si>
    <t>اقای #روحانی مثلا #رئیس_جمهور ما تو مملکت #بحران نداریم؟؟ بحران شماهایین</t>
  </si>
  <si>
    <t>ماهی</t>
  </si>
  <si>
    <t>آقای مجلس اگه میخولی شوعاف بزاری چرا وزرای بخ بخ رو استیضاح میکنی؟! اگه هم دنبال نفع مردمی اصل کار رئیس پرزیدنت ن وزرا 😊 #سوال_از_رئیس‌جمهور</t>
  </si>
  <si>
    <t>اینکه بعضی از نماینده‌های #مجلس حاضر نشدن رای دیروز مجلس، شفاف به افکارعمومی عرضه بشه یحتمل بخاطر اینه که #نهاوندیان بعد از جلسه بهشون نگه؛ خیلی نامرد و نمک نشناسین! #سوال_از_رئیس‌جمهور</t>
  </si>
  <si>
    <t>Amsterdam, Nederland</t>
  </si>
  <si>
    <t>چی شد از #براندازی رسیدیم به پنکه #روحانی ؟؟؟؟ خود ما نمیدونیم چی میخواهیم وگرنه ج ا میدونه چی میخواد!! بله میخواد حکومت کنه از نوع ظالمانه #شوراى_همبستگى_براندازان #ایران_را_پس_میگیریم #RaminHosseinPanahi #تبعیض_جنسیتی #این_انتخاب_من_نیست</t>
  </si>
  <si>
    <t>عصبانی نیستم</t>
  </si>
  <si>
    <t>Retired journalist</t>
  </si>
  <si>
    <t>در حالی که این روز ها همه نهاد ها و ارگان های کشور ، حرف از لزوم اتحاد و #وحدت ملی می زنند ! این حرکت برخی از نمایندگان محترم #مجلس در #استیضاح وزرای خدوم ، آنهم در #هفته #دولت ، چه معنایی می تواند داشته باشد !؟</t>
  </si>
  <si>
    <t>Ali Mohtashami</t>
  </si>
  <si>
    <t>https://pbs.twimg.com/media/DlwtC8WXsAARvYb.jpg</t>
  </si>
  <si>
    <t>اظهار نظر تأمل برانگیز وکیل آمریکا در #دادگاه_لاهه:کاهش ارزش #ریال ایران به دلیل سوءمدیریت‌های داخلی است و ارتباطی با تحریم‌های آمریکا ندارد. #روحانی #سوال_از_رییس‌جمهور</t>
  </si>
  <si>
    <t>Adel Norouziyan</t>
  </si>
  <si>
    <t>https://pbs.twimg.com/media/DlwtYFOX4AEGehi.jpg</t>
  </si>
  <si>
    <t>من بودم، حاجی نصرت، رضا پونصد، علی فرصت، آره و اینا خیلی بودیم، پنکمونم بود. -پنکه ! کدوم پنکه ؟ پنکه خارجیه، می‌شناسیش! #سوال_از_رییس‌جمهور</t>
  </si>
  <si>
    <t>واقعا راضی کردن مردم تو ایران خیلی راحته من جای #روحانی بودم یه مدت حقوق ها رو هم قطع می‌کردم، بعد چند ماه دوباره می‌ریختم واسشون مردم کلی خوشحال می‌شدن ✋😊😂 #سوال_از_رییس‌جمهور #سانسور_رهبری</t>
  </si>
  <si>
    <t>‏‏‏دانشجوی پرستاری علوم پزشکی هرمزگان دبیرسیاسی انجمن اسلامی *تحکیم وحدت*</t>
  </si>
  <si>
    <t>📢سوال از #رئیس_جمهور به #قوه_قضاییه نمیرود. ای نشسته صف اول به عدالت برخیز مانده برشانه توبارامانت برخیز علم دادبرافرازکه ملت هستن دل به شاهین ترازوی عدالت بستن آقایون نماینده رأی هایی که مابه شمادادیم امانته،این رسم امانتداری نیست میترسیم فردا #fatf روهمینقدر راحت قبول کنید</t>
  </si>
  <si>
    <t>فاطمه صحرانشین</t>
  </si>
  <si>
    <t>Journalist- IRAN</t>
  </si>
  <si>
    <t>https://pbs.twimg.com/media/DlwuO_7XcAEzmnD.jpg</t>
  </si>
  <si>
    <t>نتیجه سوال‌وجواب دیروز مجلس با #روحاني هرچه باشد مهم نیست، مهم این تیتر بینظیر و تاریخی روزنامه ایران است که یک دنیا حرف دارد. از #جواد_دلیری #سردبیر_روزنامه_ایران که خون تازه‌ای به تن "ایران" دمیده تشکر می‌کنم. چندماه پیش نوشته‌بودم جوادجان باهوش است و روزنامه را تکانی می‌دهد.</t>
  </si>
  <si>
    <t>f.seyedaghaei</t>
  </si>
  <si>
    <t>#لاریجانی #روحانی را هم چون #احمدی_نژاد به قربانگاه برد. #روحانی شیخ دیپلمات و سیاستمدار کهنه کار حتی ذره ای در آن سالها از #هاشمی مکار درس نگرفته بود. عمر سیاسیش برای همیشه به سر آمد هر چند این روزها بیشتر نگران عمر دنیاییش است.</t>
  </si>
  <si>
    <t>‏بچه ی پایین</t>
  </si>
  <si>
    <t>حالا که #نماینده ها قانع نشدن بنظرم #رییس_جمهور باید کمی توی انتخاب شام و دسر دقت بیشتری کنه #روحانی #دلار #استیضاح</t>
  </si>
  <si>
    <t>pizzaPolo</t>
  </si>
  <si>
    <t>آقای #روحانی جناب اقای #رهبر ی چرا این کشور با این همه منابع طبیعی و درآمد بالا و این همه ثروت باید به بدترین شکل ممکن اداره بشه. #فساد #تبعیض #بی_عدالتی #سو_مدیریت @Rouhani_ir @alimotahari_ir @sadeghZibakalam @mah_sadeghi @Jafarzadeh_ir @Eshaq_jahangiri @azarijahromi</t>
  </si>
  <si>
    <t>http://www.iribnews.ir/fa/news/2215047</t>
  </si>
  <si>
    <t>#ایران #تهران #فوری درادامه #اعتراضات #مردم #روحانی :با عنایات صاحب⌚️بی بی #سوریه با کرامات خفیه #رهبرفرزانه از عالم غیب سربازان گمنام #دولت اهل بیت ال عبا #رهبر_انقلاب وشرکا در #اختلاس #فساد شب و روز می شناسند #کذب است</t>
  </si>
  <si>
    <t>http://t.me/meysammottei</t>
  </si>
  <si>
    <t>استاد دانشگاه #امام_صادق/عضو هيت علمي دانشگاه /نگاهي به سياست هاي كلي نظام اسلامي/دكتراي تخصصي علوم قران وحديث/مداح أهل بيت/أين صفحه منتسب به اقاي مطيعي ميباشد.</t>
  </si>
  <si>
    <t>از نظر من جلسه #سوال_از_رئیس‌جمهور یک سناریو از قبل چیده شده بود ! جواب های بی منطق بانکی همه رو قانع کرد یعنی باید #پالرمو #FATF رو حتما .</t>
  </si>
  <si>
    <t>ميثم مطيعي</t>
  </si>
  <si>
    <t>وجدانی بیدار،طرف حق و معتقد به عالم پس از مرگ</t>
  </si>
  <si>
    <t>کره زمین.روح همه جا هست</t>
  </si>
  <si>
    <t>آقایون خانمها یه شاخ اقتصادی پیدا کنید غیر از #اقتصاد_مقاومتی و تقویت #تولیدملی راه کار دیگه ای ارائه کنه برای برون رفت از این وضعیت خراب اقتصادی.ما هم ریت بزنیم همه راهکار را بدانند.کسی گوش به حرف #رهبر نمیده که و از روحانی بطور عمد، آبی گرم نمیشه ها #روحانی #اقتصاد_مقاومتی</t>
  </si>
  <si>
    <t>وجدان شما</t>
  </si>
  <si>
    <t>‏‏با افتخار #انقلابیم</t>
  </si>
  <si>
    <t>https://pbs.twimg.com/media/DlwwDqpUUAAH-IP.jpg</t>
  </si>
  <si>
    <t>از اون روزی که از #مجلس برگشتم دیگه نمیتونم بخوابم استرس دارم نکنه #استیضاح بشم</t>
  </si>
  <si>
    <t>Amirabas</t>
  </si>
  <si>
    <t>وقاحتی که دیروز تو حرفهای #روحانی دیدم توی #احمدي_نژاد هم حتی ندیده بودم و وقاحتی که امروز تو حرفهای #رائفی_پور دیدم توی روحانی هم حتی ندیدم</t>
  </si>
  <si>
    <t>دلا بسوز كه سوز تو كارها بكند. نياز نيم شبي دفع صد بلا بكند!!! رزمنده سابق،دل خسته امروز</t>
  </si>
  <si>
    <t>عامل فشل شدن و.صمت ،و.اقتصاد و ب. مرکزی حلقه مشاوران اقتصادی #روحانی (نهاوندیان،واعظی و نوبخت) تئوریسین های مسیر ناکجا آباد و فارغ از دردهای جامعه هستند. نشان بارز این امر تراکم کالا در گمرکات، صدور بخشنامه های پی درپی که موجب کمبود کالا در بازار و معطل شدن سرمایه مردم شده است</t>
  </si>
  <si>
    <t>مخلص</t>
  </si>
  <si>
    <t>من اصلا از رای دادن به #روحانی #پشیمان_نیستم، چرا که اگر رای نداده بودم و دیگری رئیس جمهور میشد مدام عذاب وجدان داشتم که اگر رای داده بودیم این اوضاعمون نبود #جنگ #تحریم و امثالهم ممنونم جناب روحانی که آب پاکی را ریختید. #براندازم #رفراندوم #انتخاب_من_نیست</t>
  </si>
  <si>
    <t>سًرمًد اسپایدر</t>
  </si>
  <si>
    <t>قبل از رفتن به مجلس و جواب دادن به سوالات میره بیت رهبری و جواب ها رو میگیره که خیال آقا آزرده نشه #روحانی_خفه_شو #رهبری #مجلس</t>
  </si>
  <si>
    <t>ElChe</t>
  </si>
  <si>
    <t>https://www.majazi.ir</t>
  </si>
  <si>
    <t>‏‏‏‏‏‏‏‏‏‏الهی...! آن خواهم که هیچ نخواهم(نحن ابناء الحیدر کرار)</t>
  </si>
  <si>
    <t>🔸رهبر انقلاب صبح امروز در دیدار رئیس جمهور و اعضای هیئت دولت: 🔹شاخصهای حکومت علوی یعنی عدالت، پارسایی، مردمی و پاکدامن بودن معیار ارزیابی مسئولان است 🔹در زمینه اقتصاد باید قوی، پرحجم و باکیفیت کار کرد و مسئولان اقتصادی در حل مشکلات باید شب و روز نشناسند #رهبر #رئیس_جمهور</t>
  </si>
  <si>
    <t>مجازی🇮🇷</t>
  </si>
  <si>
    <t>وكيل پايه يك دادگستري/ Nobody is coming</t>
  </si>
  <si>
    <t>فکر کن دوران ریاست جمهوری بابات اتریش باشی . آن کشور ارزش زیستن دارد ؟ سوء تفاهم نشه ایوانکا ترامپ مورد نظر بود .#فرزندت_کجاست #روحانی</t>
  </si>
  <si>
    <t>shadi Rassadi</t>
  </si>
  <si>
    <t>تا ۱۴۰۰ پراید ۹۰ میلیون تومان #تا_۱۴۰۰ #روحانی</t>
  </si>
  <si>
    <t>روانکاو</t>
  </si>
  <si>
    <t>http://www.exportcampaign.com</t>
  </si>
  <si>
    <t>International Business Developer, CEO of AHT &amp; Founder of THE PEACEFUL WORLD National Brand+ExportCampaign+IRAN DriedFruit Center 4 R&amp;D+TEA TIME 4 Entrepreneurs</t>
  </si>
  <si>
    <t>#رييس_جمهور محترم، جناب #روحاني، تقاضاي شفاف يك صادركننده: دستوردهيدشرايطي يكسان براي #صادرات به همه بازارهاي صادراتي تدوين گردد،مانندشرايط عراق و افغانستان. صادركنندگان سرمايه هاي اقتصادي و اجتماعي كشورهستند،هرچه #بازار دورتر،زحمات و دغدغه ها بيشتر،آنان را دريابيد @Rouhani_ir</t>
  </si>
  <si>
    <t>محمدامین حاج کاظمیان</t>
  </si>
  <si>
    <t>اگر پرسش نمایندگان مجلس شورا از #رئیس‌جمهور و #پاسخگویی علنی او از نشانه‌های #دموکراسی است که هست، چرا نمایندگان مجلس خبرگان درباره وظایف #رهبر از او سوال نمی‌کنند و جواب ایشان مستقیما از #صداوسیما پخش نمی‌شود؟ چرا خبرگان نتوانند درمورد توضیحات رهبر رای دهند؟</t>
  </si>
  <si>
    <t>مصطفی تاجزاده</t>
  </si>
  <si>
    <t>‏‏‏‏‏‏‏‏‏‏‏‏‏خبرنگار سیاسی خبرگزاری فارس (صفحه خصوصی )</t>
  </si>
  <si>
    <t>https://pbs.twimg.com/media/DlwzSl5XcAAXG6n.jpg</t>
  </si>
  <si>
    <t>وقتی نمایندگان کمیسیون امنیت ملی #مجلس نوبتی سوار #دستاوردهای_دفاعی می شوند و خوشحالی می‌کنند!</t>
  </si>
  <si>
    <t>k.shirazi</t>
  </si>
  <si>
    <t>http://instgrm.me/h_iphop</t>
  </si>
  <si>
    <t>‏‏‏‏‏‏‏‏‏‏‏‏این واسه اون ک به هر سرکشی گفت ''نه'' جام زهر و دیدو سر نکشیدو گفت ''جنگ''</t>
  </si>
  <si>
    <t>#روحانی: کارنامه خوبی داشته این دولت، اما مردم ما قانع نیستند... دوستان مثل اینکه یه چیزیم بدهکار شدیم:|||</t>
  </si>
  <si>
    <t>کاپیتان لیوآی</t>
  </si>
  <si>
    <t>نیافتاده ام هنوز… درمانده در سیاست، بازمانده از تاریخ و آشفته در مجاز " تمام مسئولیت های توییت ها بر عهده خودم است" " قاعدتا مسئولیت منشن ها با من نیست!!! "</t>
  </si>
  <si>
    <t>پاسخ #روحانی به فراکسیون امید مجلس: "مهم نیست رای ندهند"</t>
  </si>
  <si>
    <t>علی بازگشا | AliBazgosha</t>
  </si>
  <si>
    <t>یکی از دوستان پرایدصفرگرفته نه پخش داره نه زه روی درب که آپشن هستن باید پول بیشتر بدی تا برات زه بزارن. اینجور که داره پیش میره شرکت خودرو سازی سایپا چهارحلقه لاستیک میدن میگن بقیه اش آپشنه میخوایی بزاریم روش. #سوال_از_رییس‌جمهور #پراید #پراید_چهل_میلیونی #دولت</t>
  </si>
  <si>
    <t>#روحانی در مجلس از راه سوم برای برجام نیز خبر داد ولی گفت راه ما اعتدال است یعنی نمی خواهیم حرف هایمان هزینه درست کند و انقلابی باشیم راه سومی که شاید بعد از تحرکات اروپا و له قول روحانی سنگ تمام گذاشتن انها به تعویق افتاده</t>
  </si>
  <si>
    <t>برانداز خشونت طلب نیست.براندازان از عاشقترین انسانها هستند.نظام ظلم و فساد و اعدام را برمی اندازیم و نظام عشق و برابری و آزادی را جایگزینش میکنیم. #براندازم</t>
  </si>
  <si>
    <t>#۲۴_میلیون رأی به روحانی = #دروغ_بزرگ چطور دوستانی که این نظام رو تمامیت خواه و عوامفریب میدانند به آمار اعلام شده توسط وزارت کشور دولت امنیتی #روحانی باور دارند و دائماً هم تَکرار میکنند «که ای مردم نادان خود کرده را تدبیر نیست»! دست از این نقش پلید بردارید.</t>
  </si>
  <si>
    <t>Idin_Persian</t>
  </si>
  <si>
    <t>‏‏‏‏‏‏‏‏‏‏‏‏‏‏اَلسَّلامُ عَلَيْكِ يا رُقَیـّـِه بِنْتَ الْحُسَيْنِ الشَّهيدِ چیزی که به پیشرفت کشورکمک می کند،آزادی واقعیِ فکرهاست</t>
  </si>
  <si>
    <t>وقتی #ذوالنور در پاسخ به آمارهای آرمانی و عجیب ِ #روحانی با تمسخر گفت : "شما رئیس جمهور #سوئیس هستید یا جمهوری اسلامی؟!" با خودم گفتم : چه اعتراف تلخیست که پس از سالها حتی نمایندگانمان ، آمارهای آرمانی را تنها در #غرب تحقق یافته میدانند نه در جمهوری اسلامی! #شهدا_شرمنده_ایم</t>
  </si>
  <si>
    <t>علی دانشمند</t>
  </si>
  <si>
    <t>خب ینی نماینده ها همین جوری عشقی گفتن رای بگیریم ببینیم قانع شدیم یا نه :))))) اگه نشدیمم فدای سر #روحانی @mah_sadeghi RT @mah_sadeghi: طبق تبصره م ۲۱۳ آیین‌نامه داخلی چنانچه اکثریت از پاسخ رئیس جمهور قانع نشوند و موضوع مورد سؤال نقض قانون یا استنکاف از قانون محسوب شود، آن سؤال به قوه قضاییه ارسال می‌شود. به نظر میرسد باتوجه به اینکه موضوع سؤال‌ها نقض یا استنکاف از قانون نبود ارسال به قوه قضاییه موضوعیت ندارد.</t>
  </si>
  <si>
    <t>https://pbs.twimg.com/media/Dlw2JkRWwAEyb94.jpg</t>
  </si>
  <si>
    <t>.. اگرررر آزمون جبرانی اززززم بگیرید یه شب، به صرف شام حتماً جبراااان می کنم😋💰 #سوال_از_رییس‌جمهور</t>
  </si>
  <si>
    <t>http://iranfreedom.org/fa/</t>
  </si>
  <si>
    <t>برای یک ایران آزاد و دمکراتیک و غیر اتمی</t>
  </si>
  <si>
    <t>ایران -زیباترین وطن</t>
  </si>
  <si>
    <t>https://t.me/IranAzadie/29489</t>
  </si>
  <si>
    <t>📌یادداشت روز ❌احضار #روحانی به مجلس ؛ عمق بن‌بست و بحران و جنگ قدرت در فاز پایانی نظام ! دوستان گرامی به‌دنبال ماهها کشمکش و جنگ قدرت در درون رژیم و پس از عزل وزیران... #IranRegimeChange #براندازم #تظاهرات_سراسری ادامه مطلب درکانال ایران آزادی⬇️</t>
  </si>
  <si>
    <t>ایران آزادی</t>
  </si>
  <si>
    <t>https://pbs.twimg.com/media/Dlw2srzW0AARcf_.jpg</t>
  </si>
  <si>
    <t>♨️ رهبر انقلاب در دیدار رئیس جمهور و اعضای هیئت دولت: 🔹دشمن از جلسه دیروز #مجلس به‌دنبال اهداف دیگری بود. 🔹جلسه بسیار خوب دیروز هم رئیس‌جمهور و هم مجلس را تقویت می کند و زمینه ساز همکاری‌های بیشتر و نزدیک تر شدن دیدگاهها خواهد شد.</t>
  </si>
  <si>
    <t>https://pbs.twimg.com/media/Dlw2S0mW0AAPchM.jpg</t>
  </si>
  <si>
    <t>https://twitter.com/isna_farsi/status/1034761721859252225
http://www.isna.ir/news/97060703553</t>
  </si>
  <si>
    <t>ولی اون گرمای اون پروژکتور بالای سر #روحانی احتمالا خیلی اذیتش کنه آقای رسایی پوشه حاوی کولر ر.ج کو؟ @hamidrasaee RT @isna_farsi: رهبر انقلاب در دیدار با اعضای هیئت دولت: *جلسه بسیار خوب دیروز هم رئیس‌جمهور و هم مجلس را تقویت می‌کند *وظیفه دولت، مدیریت اقتصادی است *مسئولان اقتصادی در حل مشکلات مردم شب و روز نشناسند</t>
  </si>
  <si>
    <t>#رهبرانقلاب امروز شاخص‌های حکومت علوی را عدالت، پاکدامنی، پارسایی و با مردم بودن معرفی کردند و اینها را ملاک ارزیابی مسئولان دانستند. چقدر سخت است نمره دادن به دولت آقای #روحانی با این شاخص ها.</t>
  </si>
  <si>
    <t>https://pbs.twimg.com/media/Dlw3iUHWwAEZT4m.jpg</t>
  </si>
  <si>
    <t>خوب ۴ جمله جلوی پس‌لرزه‌های بهارستان رو بخونید. من جز تهدید چیزی نمی‌فهمم. #سوال_از_رییس‌جمهور</t>
  </si>
  <si>
    <t>https://pbs.twimg.com/media/Dlw3iiJWsAA_y7g.jpg</t>
  </si>
  <si>
    <t>بیماری روحانی چیست که حتما باید پنکه باد خنک بزند؟! لرزش دست وی ربطی به خنکی هوا هم دارد؟! #سوال_از_رییس‌جمهور</t>
  </si>
  <si>
    <t>نماینده ها اگر قانونی ملموس برای نجات از این اوضاع بدون شفافیت و نظارت و پر از رانت و دروغ و وعده پوچ تصویب نکنند، تنها نشون دادند که این حرکاتشون جو سازی سیاسی برای انتخابات اسفنده وگرنه سوال خالی به چه دردی می خوره #روحانی #سوال_از_رئیس_جمهور #شفافیت_آراء_نمایندگان</t>
  </si>
  <si>
    <t>m.r.cheraghpour</t>
  </si>
  <si>
    <t>#سوال_از_رییس‌جمهور بود یا تطهیر نمایندگان اصلاحاتی و سرگرم کردن مردم؟</t>
  </si>
  <si>
    <t>‏روزنامه‌نگار | عضو حزب اتحاد ملت ایران اسلامی | دانشجوی دکتری عمران | فعال سیاسی</t>
  </si>
  <si>
    <t>https://pbs.twimg.com/media/Dlw4Sy3VAAAqcdz.jpg</t>
  </si>
  <si>
    <t>آهاى نمايندگان شجاعى! كه ديروز براى له كردن #رييس‌جمهور از هم پيشى مى‌گرفتید! آیا در برابر #دولت_پنهان که علت‌العلل وضع بحرانی کنونی است هم شجاع‌اید؟ #وکیل_الحکومه</t>
  </si>
  <si>
    <t>Reza Bahrami</t>
  </si>
  <si>
    <t>http://www.instagram.com/amirrrajabi</t>
  </si>
  <si>
    <t>‏خدایگان جلسه، ‏‏‏‏بازاریاب پروژه‌های بدون پول، سانسورچی ‎‎‎‎‎‎#شبکه_پویا، ‎‎#پدر_نمونه</t>
  </si>
  <si>
    <t>زیر پونز نقشه‌ی تهران</t>
  </si>
  <si>
    <t>https://twitter.com/Tasnimnews_Fa/status/1034693553857941504
http://tn.ai/1815094</t>
  </si>
  <si>
    <t>عاخ من چقدر حرص خوردم اون روز. یعنی همش الکی بود؟ #سوال_از_رییس‌جمهور RT @Tasnimnews_Fa: سخنگوی #شورای_نگهبان:آیین‌نامه #مجلس درباره #سوال_از_رئیس‌جمهور ابهام دارد/مجلس باید درباره سوال ازرئیس‌جمهور تکلیف نهایی رامشخص کند/درباره تکلیف نهایی سوال از رئیس‌جمهور بطور روشن موردی مطرح نشده و درباره مصادیق استنکاف از قانون نیز هیچ تعریفی وجود ندارد</t>
  </si>
  <si>
    <t>امیرِ بی‌گزند 🇮🇷</t>
  </si>
  <si>
    <t>#مقام_معظم_رهبری: - دشمن از جلسه دیروز #مجلس به‌دنبال اهداف دیگری بود - جلسه بسیار خوب دیروز هم #رئیس‌جمهور و هم مجلس را تقویت می کند و زمینه ساز همکاری‌های بیشتر و نزدیک تر شدن دیدگاهها خواهد شد.</t>
  </si>
  <si>
    <t>قابل توجه آقای لاریجانی سوال از آقای رییس جمهور نقض قانون نیست و موضوعیت هم دارد دلیلشم همون ۴ سوالی بود که رییس جمهور پاسخ نداد هرکدوم به تنهایی یک موضوع می باشد #لاریجانی #روحانی</t>
  </si>
  <si>
    <t>Javadrahimi</t>
  </si>
  <si>
    <t>Journalist روزنامه‌نگار و فعال ملی ـ مذهبی</t>
  </si>
  <si>
    <t>الحمدلله كه اگر اكثريت ايرانيان از جلسه دیروز #مجلس راضى نيستند، «رئيس» رضايت دارد. #رهبرى: خداوند به آقاى #رئیس_جمهور و قوه مقننه خير بدهد كه ديروز مشتركا نمايشى از اقتدار و ثبات جمهورى اسلامى نشان دادند. #روحانی پاداش ارجاع به «توصیه‌های رهبری» و مدارا با مخالفان را زود گرفت.</t>
  </si>
  <si>
    <t>morteza kazemian</t>
  </si>
  <si>
    <t>https://telegram.me/HarfBeManBot?start=NTY4MzY5MTAz</t>
  </si>
  <si>
    <t>‏‏‏‏‏‏‏‏‏‏‏‏‏‏‏‏‏‏سخته قطره مسیر رود رو عوض کنه ... | شاعر سابق مرگ بر دشمن ایران</t>
  </si>
  <si>
    <t>وطنم</t>
  </si>
  <si>
    <t>هیچ فرقی بین اصولگرایی که میگه هیس اعتراض نکنید اینجا میشه #سوریه و #روحانی که میگه هیس صداتون در نیاد دلار گرون میشه نیست #شیادان #استیضاح_روحانی</t>
  </si>
  <si>
    <t>محی الدین رحمانی</t>
  </si>
  <si>
    <t>http://farsi.Khamenei.ir</t>
  </si>
  <si>
    <t>اخبار، پیام‌ها و بیانات رهبر انقلاب اسلامی، آیت‌الله سید علی خامنه‌ای | 📝 زن و خانواده: @khameneireyhan</t>
  </si>
  <si>
    <t>https://pbs.twimg.com/media/Dlw3T8jW4AMw1os.jpg</t>
  </si>
  <si>
    <t>جلسه دیروز #مجلس،نمایش اقتدار و ثبات جمهوری اسلامی بود.خداوند به آقای رئیس جمهور و قوه مقننه خیر بدهد که مشترکا چنین اقتداری را نشان دادند. دشمن از جلسه دیروز بدنبال اهداف دیگری بود. البته میان انتظارات نمایندگان و واقعیات موجود شکافی وجود دارد که باید پر شود. #سوال_از_رئیس‌جمهور</t>
  </si>
  <si>
    <t>KHAMENEI.IR(farsi)</t>
  </si>
  <si>
    <t>https://telegram.me/harfbzanbot?start=j0dZd8q</t>
  </si>
  <si>
    <t>کجا بیوم؟</t>
  </si>
  <si>
    <t>برکه</t>
  </si>
  <si>
    <t>#روحانی نتونست #مجلس رو ارضا کنه... خداییش گنگ‌بنگ برای پیرمرد سنگینه.</t>
  </si>
  <si>
    <t>اردک کون‌نشور</t>
  </si>
  <si>
    <t>https://pbs.twimg.com/media/Dlw5_2wX0AIFDsS.jpg</t>
  </si>
  <si>
    <t>صدارت و صداقت و کار آمدی کامل از وزیری که یکی از مهمترین بخش های اجرایی و خدماتی را در کشور عهده دارست وزیری تمام عیار .. اگر جای اتهام زنی به فکر انجام امور مربوط به خود نیستید؟ راه باز و.... #روحاني</t>
  </si>
  <si>
    <t>Davood Mehr mand</t>
  </si>
  <si>
    <t>http://www.irna.ir</t>
  </si>
  <si>
    <t>خبرنگار ايرنا- مسولیتی در قبال نظرات ذیل توییتهایم ندارم. RT≠endorsement</t>
  </si>
  <si>
    <t>https://twitter.com/zhojabri_n/status/1034319095385219073</t>
  </si>
  <si>
    <t>رهبری دردیدار هیات دولت:جلسه دیروز #مجلس،نمایش اقتدار و ثبات جمهوری اسلامی بود.خداوند به آقای رئیس جمهورو قوه مقننه خیر بدهد که مشترکا چنین اقتداری رانشان دادند.دشمن ازجلسه دیروز بدنبال اهداف دیگری بود. البته میان انتظارات نمایندگان و واقعیات موجود شکافی وجود دارد که باید پر شود. RT @zhojabri_n: نمایندگان مجلس فقط از یک پاسخ رئیس جمهوری به یکی از 5 سوال خود قانع شدند نمایندگان از پاسخهای روحانی به سوالات خود درباره کنترل قاچاق ارز، بیکاری، رکود، کاهش ارزش قیمت پول ملی و افزایش قیمت ارز قانع نشدند و فقط از پاسخ رئیس جمهوری درباره استمرار تحریم های بانکی قانع شدند.</t>
  </si>
  <si>
    <t>🇮🇷زهرا هژبری</t>
  </si>
  <si>
    <t>‏‏‏‏‏‏‏‏‏‏‏‏‏‏‏مترجم_دبیر_اصلاح طلب</t>
  </si>
  <si>
    <t>#رهبری‌:#دشمن ازجلسه دیروز #مجلس به‌دنبال اهداف دیگری بودجلسه بسیارخوب دیروز،رئیس‌جمهورومجلس راتقویت میکندوزمینه سازهمکاری‌های بیشترونزدیک ترشدن دیدگاههاخواهدشد پ ن:پس تکلیف مردم شریف ایران با گرانی فقر بیکاری تورم اختلاس رانت خواری فسادسیستماتیک چه خواهدشد؟</t>
  </si>
  <si>
    <t>مهدیه</t>
  </si>
  <si>
    <t>‏‏‏فعال اجتماعی/سیاسی</t>
  </si>
  <si>
    <t>#روحاني در جلسه روز سه‌شنبه ۵شهریور در پاسخ به سوالات نمایندگان مجلس گفت: «ما هر وقت #وزرا را کار داریم اکثر اوقات می‌گویند #مجلس هستند». لاریجانی در پاسخ گفت: «ولی ما اینجا آن‌ها را نمی‌بینیم، ببینید کجا هستند؟»</t>
  </si>
  <si>
    <t>Reza ZamaniPour</t>
  </si>
  <si>
    <t>حالا #مقاومت ما #کاوه و #آرش و #سیاوش را در خود زنده کرده است. آنقدر از آتش می‌گذرد آن قدر جان بی‌تابش را بر چله کمان خواهدگذاشت تا بندها در #دماوند از هم بگسلد</t>
  </si>
  <si>
    <t>شهسوار</t>
  </si>
  <si>
    <t>https://news.mojahedin.org/i/%D8%A2%D8%B3%D9%88%D8%B4%DB%8C%D8%AA%D8%AF%D9%BE%D8%B1%D8%B3-%D8%AA%D8%B8%D8%A7%D9%87%D8%B1%D8%A7%D8%AA-%D8%AF%DB%8C%D9%85%D8%A7%D9%87-%D8%A7%DB%8C%D8%B1%D8%A7%D9%86-%D9%84%D8%B1%D8%B2%D9%87-%D8%A7%D9%86%D8%AF%D8%A7%D8%AE%D8%AA</t>
  </si>
  <si>
    <t>آسوشیتدپرس با اشاره به اظهارات آخوند #روحانی در مجلس #رژیم در روز ۶شهریور نوشت: #تظاهرات دیماه۹۶ #ایران را به لرزه انداخت.</t>
  </si>
  <si>
    <t>bahar irani</t>
  </si>
  <si>
    <t>Iran loreStan kuohdasht Bonlar... 20/1/1985</t>
  </si>
  <si>
    <t>اگر #پرسش نمایندگان از #رئیس_جمهور و پاسخ #علنی او نشانه #دموکراسی است؛ پس چرا نمایندگان مجلس خبرگان از #رهبر و وظایف او سوال نمیکنند و #پاسخگویی او را از #صداوسیما پخش نمیکنند؟!</t>
  </si>
  <si>
    <t>ARASH SADEGHI(yas)</t>
  </si>
  <si>
    <t>وقتی #سوال_از_رییس‌جمهور شدکه در موردبیکاری چیکارکردی که دلم میخواست اونجا بودم و میگفتم" #مثل_شرق_دروغ_میگی #شهروند_جنسی #جنسی_آنلاین</t>
  </si>
  <si>
    <t>مهناز</t>
  </si>
  <si>
    <t>‏مثلا ‏‏‏‏شیمیست/به کار نیا/همپای داروین/دُمبال هِمِدانیای توییتر/ورود عرزشی،مجاهد،سلطنت طلب و هکسره ممنوع</t>
  </si>
  <si>
    <t>هِمِدان شهره مِنه</t>
  </si>
  <si>
    <t>https://twitter.com/Spinooza/status/1034514512341127168</t>
  </si>
  <si>
    <t>بین سه گانه‌ی عدم مشارکت، #روحانی و رییسی قطعا از رأیم دفاع میکنم ولی این به معنی تایید صرف و بی عیب نقص بودن سیستم و نا آگاه بودن از شرایط موجود نیست، مصلحت بود از دید من،توی اون شرایط بهترین تصمیم همون بود، الانم همونه با وجود تمام مشکلات RT @Spinooza: یک تک رای داشتم که به روحانی دادم و هنوز هم با تمام انتقادات ازش دفاع میکنم.</t>
  </si>
  <si>
    <t>والتر وایت</t>
  </si>
  <si>
    <t>https://pbs.twimg.com/media/Dlw8eZbVAAEIvm-.jpg</t>
  </si>
  <si>
    <t>تا الان به اینجای مردم رسیده ی کم تلاش کنیم جونشون به لبشون میرسه #روحانی #سوال_از_رئیس‌جمهور</t>
  </si>
  <si>
    <t>‏‏‏‏‏یک نفر مانده از این قوم که برمیگردد.../ آرتیست</t>
  </si>
  <si>
    <t>البته راستم میگنا، اقتصاد وضعش خوب شده؛ اما برای دولتیا، نه برای مردم #سوال_از_رئیس‌جمهور #سوال_از_رییس‌جمهور</t>
  </si>
  <si>
    <t>مَلِکآ</t>
  </si>
  <si>
    <t>http://www.nabaapress.ir</t>
  </si>
  <si>
    <t>خبرهای ویژه و فوری نبأ را در این صفحه دنبال کنید Nabaa Press Agency 🇮🇷 https://t.me/nabaapressyq https://www.instagram.com/nabaapress.ir/xg</t>
  </si>
  <si>
    <t>https://pbs.twimg.com/media/Dlw9bSDW0AARAy2.jpg</t>
  </si>
  <si>
    <t>http://nabaapress.ir/?option=com_k2&amp;view=item&amp;id=2161</t>
  </si>
  <si>
    <t>🔻#امام‌خامنه‌ای در دیدار #هیئت #دولت: مسئولان #اقتصادی شب و روز نشناسند/ #رئیس‌جمهور و #مجلس در جلسه دیروز ثبات #جمهوری‌اسلامی را نشان دادند 🔗 #نبأپرس</t>
  </si>
  <si>
    <t>پایگاه خبری تحلیلی نبأپرس  🇮🇷</t>
  </si>
  <si>
    <t>http://farsnews.com/politics/defense</t>
  </si>
  <si>
    <t>خبرنگار گروه دفاعی خبرگزاری فارس Journalist FarsNews Agency [صفحه شخصی است]</t>
  </si>
  <si>
    <t>https://pbs.twimg.com/media/Dlw943yX0AAMqpg.jpg</t>
  </si>
  <si>
    <t>تا خرابش نکن ول کن نیستن آخه #جنگنده که اسباب بازی نیست بازدید اعضای کمیسیون امنیت #مجلس از جنگنده کوثر و #عکس_یادگاری در کابین!!!</t>
  </si>
  <si>
    <t>m.mahdi yazdi</t>
  </si>
  <si>
    <t>‏‏‏‏‏‏‏‏‏‏‏‏‏‏یک مشت حرف حساب :اگر دین ندارید لااقل آزاده باشید ((ضد اولیگارشی؛ضد ویژه خواری؛چشم انتظار بهار؛همین))</t>
  </si>
  <si>
    <t>https://pbs.twimg.com/media/Dlw-J5DXoAAXmic.jpg</t>
  </si>
  <si>
    <t>دیروز توی مجلس بهش گفتن بالای چشمت ابرویی میبینیم امروز بدو بدو اومده شکایتِ #بازی_در_پازل_دشمن رو به #رهبری بکنه! چقدر به موقع و هماهنگ ترتیب اثر میدی آغای جمهوری اسلامی! #روحانی</t>
  </si>
  <si>
    <t>🔇HoSeN🔊</t>
  </si>
  <si>
    <t>http://Meraatnews.com</t>
  </si>
  <si>
    <t>‏‏‏‏فعال رسانه و خبر___ سیاست را دوست ندارم ولی از سکولاریسم متنفرم _به زودی #راهیان_نور ما #قدس خواهد بود</t>
  </si>
  <si>
    <t>https://pbs.twimg.com/media/Dlw-bcfX4AI8di4.jpg</t>
  </si>
  <si>
    <t>رهبر انقلاب ظهر امروز در ديدار #رئیس_جمهور و اعضاي هيئت #دولت: شاخص‌هاي حكومت علوي يعني عدالت، پارسايي، مردمي و پاك‌دامن بودن معيار ارزيابي مسئولان است در زمينه اقتصاد بايد قوي، پرحجم و باكيفيت كاركرد و مسئولان اقتصادي در حل مشكلات بايد شب و روز نشناسند.</t>
  </si>
  <si>
    <t>Mohamad_ebrahim_se</t>
  </si>
  <si>
    <t>https://www.facebook.com/a.mazaheri</t>
  </si>
  <si>
    <t>چنديست دلم يكدله با فتنه گران است</t>
  </si>
  <si>
    <t>لاریجانی:#سوال_از_رئیس_جمهور به دلیل عدم ذکر موضوع نقض قانون و استنکاف در طرح سوال، قابل ارجاع به قوه قضاییه نیست بعد از این بر وطن و بوم و برش باید رید به چنین مجلس و بر کر و فرش باید رید به حقیقت در عدل ار در این بام و بر است به چنین عدل و به دیوار و درش باید رید #میرزاده_عشقی</t>
  </si>
  <si>
    <t>Ahmad Mazaheri 🇮🇷</t>
  </si>
  <si>
    <t>یادآر ز شمع مرده یادآر</t>
  </si>
  <si>
    <t>#خامنه‌ای : #دولت در حل مشکلات اقتصادی شب و روز نشناسد فکر کنم بدبخت شدیم تا حالا فقط روزا کار می‌کردن وضعمون این شد. قراره از این به بعد شبا هم کار کنن #روحانی</t>
  </si>
  <si>
    <t>دهخدا</t>
  </si>
  <si>
    <t>pic.twitter.com/FlT9RjGEUk</t>
  </si>
  <si>
    <t>#مرور_وعده در هفته دولت وعده برنامه 100 روزه توسط #روحانی در زمان تبلیغات انتخابات 96 چه خبر از برنامه 100 روزه‌تان جناب پرزیدنت</t>
  </si>
  <si>
    <t>‏‏‏حساب توییتر کانال خبری اختر - منبع قابل اعتماد اخبار</t>
  </si>
  <si>
    <t>https://pbs.twimg.com/media/Dlw-20bUwAEaNY2.jpg</t>
  </si>
  <si>
    <t>واکنش روحانی به شرط #فراکسیون_امید برای حمایت: مهم نیست مطهری به #روحانی پیام داده بود که «فراکسیون امید تصمیم گرفته اگر رئیس‌جمهور صریح و شفاف درباره موانع و مشکلات و دست‌های پنهان در شرایط امروز سخن نگوید به پاسخ‌های او رای ندهد» پاسخ رئیس‌جمهوری این بود: «#مهم_نیست رای ندهند»</t>
  </si>
  <si>
    <t>اختر</t>
  </si>
  <si>
    <t>سید محمد صادق بهشتیان ‏عضو کوچکی از خانواده بخش خصوصی و فعال در حوزه فناوری اطلاعات</t>
  </si>
  <si>
    <t>آقای #رئیس_جمهور با مردم صادق باشید صحبتهای شما در مجلس یک شوخی تلخ بود . بفرمایید با چه هدفی فشار اقتصادی روی مردم گذاشتید !! مگر در چند ماهه گذشته چه بلایی سر ذخایر ارزی کشور آمده که ارزش پول ملی سه برابر کاهش یافته !! @Rouhani_ir @hesamodin1 @Eshaq_jahangiri @JZarif</t>
  </si>
  <si>
    <t>Seyed Mohammad Sadegh Beheshtian</t>
  </si>
  <si>
    <t>https://pbs.twimg.com/media/Dlw_XpIWsAA7Ipg.jpg</t>
  </si>
  <si>
    <t>🔻آخوند #روحانی در #مجلس: مردم امید داشته باشن، اقتصاد ما حل خواهد شد!</t>
  </si>
  <si>
    <t>#الیاس_حضرتی از #فراکسیون_امید استعفاء داده! در کمال احترام عرض میکنم ایشون شکر زیادی خورده! در لیست امید و رای لیستی وارد #مجلس شده خیلی بیجا میکنه از فراکسیون میره بیرون! خیلی ناراحته باید از مجلس استعفا بده اگر خواست در دور بعدی از جای دیگری کاندیدا بشه! ضمنا خاک بر سر #عارف</t>
  </si>
  <si>
    <t>Hamid Lotfi</t>
  </si>
  <si>
    <t>https://twitter.com/beeman93397010/status/1034677298946031616</t>
  </si>
  <si>
    <t>در اوستا آمده است: "هيچيك از شما نبايد به سخنان و فرمان دروغگو گوش كند، چرا كه او خانمان شهرياري و شهر و كشور را تباه ميكند و ميميراند." #روحاني RT @Beeman93397010: در تاریخ بشریت کدام رییس جمهور تلی از ویرانه را تحویل گرفته و با بی سابقه ترین حملات و کارشکنیها و خیانتها مواجه شده و توانسته است کارنامه گل و بلبل از خود بجا بگذارد. انتقاد فراوان دارم اما چشمانم را بروی واقعیتها نمیبندم. #روحاني @EhsanBodaghi @teriboun1</t>
  </si>
  <si>
    <t>امير آقاجاني</t>
  </si>
  <si>
    <t>‏‏‏‏‏‏‏توییت پاک می‌کنم.</t>
  </si>
  <si>
    <t>۴ سال پیش در دولت اول #روحانی ضرب و شتم زندانیان #بند۳۵۰ اوین اتفاق افتاد، دیروز هم #حمله_گارد_زندان فشافویه به #دراویش. ۴ سال پیش سخنگوی دولت گفت تیمی از سوی دولت برای بررسی وقایع تشکیل شده و پس بررسی‌های لازم، گزارش مربوطه را منتشر خواهیم کرد. هرگز گزارشی منتشر نشد.</t>
  </si>
  <si>
    <t>ehsan</t>
  </si>
  <si>
    <t>#ایران #تهران #فوری درادامه #اعتراضات #مردم #روحانی :با عنایات امام پنهان #جمکران کرامات خفیه #اشتباه کردم این #رهبرفرزانه لذا #خداقوت به سربازان گمنام #دولت اهل بیت ال عبا #رهبر_انقلاب وشرکا لاکن در #اختلاس #فساد #بازار # و #ارز بی‌توجهی و غفلت مدیریتی نیز رخ داده است</t>
  </si>
  <si>
    <t>از نیمه راه برگشتگانیم به سوی مقصد، مقصدی که همه اش مکتب ماست</t>
  </si>
  <si>
    <t>خب خداروشکر روحانی بعد از جلسه #سوال_از_رئیس_جمهور حاشیه درست نکرد. و ما باید از ایشون ممنون باشیم. اوضاع اقتصادی هم یه چی میشه دیگه، اینا حاشیه س</t>
  </si>
  <si>
    <t>Kamran zarei</t>
  </si>
  <si>
    <t>بالإحسان تملك القلوب، بالسّخاء تستر العيوب</t>
  </si>
  <si>
    <t>إيران</t>
  </si>
  <si>
    <t>https://pbs.twimg.com/media/DlxBScfU0AAf6w-.jpg</t>
  </si>
  <si>
    <t>جلسه دیروز #مجلس،نمایش اقتدار و ثبات جمهوری اسلامی بود.خداوند به آقای رئیس جمهور و قوه مقننه خیر بدهد که مشترکا چنین اقتداری را نشان دادند. دشمن از جلسه دیروز بدنبال اهداف دیگری بود. البته میان انتظارات نمایندگان و واقعیات موجود شکافی وجود دارد که باید پر شود.…</t>
  </si>
  <si>
    <t>المقاومة الإسلامية</t>
  </si>
  <si>
    <t>رحمان رحمت زهي___(اعتدال و توسعه)---مشاور مدير عامل و عضو شوراي ورزش سازمان منطقه ازاد چابهار_ _____عضو هيات مديره موسسه فرهنگي و ورزشي منطقه ازاد چابهار</t>
  </si>
  <si>
    <t>ابراز رضايت #رهبري_معظم_انقلاب_اسلامي از پاسخگويي #رئيس_جمهور در مجلس حاوي پيام پدرانه براي تمامي طيف هاي سياسي بود،اميد است فصل الخطاب همه قرار بگيرد #جمهوري_اسلامي_ايران #منافع_ملي #دولت_ملت #اعتدال #وحدت</t>
  </si>
  <si>
    <t>r_rahmatzehi</t>
  </si>
  <si>
    <t>‏‏‏‏‏‏‏من سقیفه ای نیستم من غدیری ام لعن علی عدوک یا علی انا افتَخِر فی حِزبی ولایَت فقیه</t>
  </si>
  <si>
    <t>pic.twitter.com/DSm1UA5Npl</t>
  </si>
  <si>
    <t>#سوال_از_رییس‌جمهور به روایت تصویر</t>
  </si>
  <si>
    <t>حمیدرضا عبدالمنافی(تا غدیر ۱ روزمانده)</t>
  </si>
  <si>
    <t>روزنامه نگار و مستندساز</t>
  </si>
  <si>
    <t>پيشنهاد حزب كارگزاران به #روحانى : دولت تازه براى #شرايط_تازه</t>
  </si>
  <si>
    <t>حسن محمدى</t>
  </si>
  <si>
    <t>https://www.facebook.com/DastNeveshte.Hamid.Taheri</t>
  </si>
  <si>
    <t>شاعری که می خواست با خودکار دیوانه اش پای سیم خاردارها شعر انفجار را بنویسد و دور تر داد بکشد... بوم... ولی اینجا اصلا ربطی به شاعری ندارد</t>
  </si>
  <si>
    <t>علی از عثمان پرسید به نظرت نامه رو کی نوشته؟ گفت خود ِ تو! آقای #روحانی چی می گی؟ به جز #برجام و "اف ای تی اف" گفتید که برنامه ای نیست و اشتغال هم به سرمایه گذاری خارجی و شل کردن ِ داخلی نیاز دارد. خب این یعنی برنامه ای نیست. عامل روانی #سیاسی یا اقتصادی یا هرچی، کار #ننه من نیس</t>
  </si>
  <si>
    <t>Hamid Taheri</t>
  </si>
  <si>
    <t>https://pbs.twimg.com/media/DlxC4URUUAAf5AQ.jpg</t>
  </si>
  <si>
    <t>یادتونه #روحانی تو مجلس چقدر سوال پرسید حالا #رهبری در دیداری که داشته یه جمله‌ای رو فرمود که جواب بیشتر سوال‌های جناب پرزیدنت بوده... #دولت باید #اقتصاد را مدیریت کند آقای روحانی شما که مدیریت خوبی در تشویش اذهان عمومی هستی، آیا مدیر لایقی هم در اقتصاد هستی جناب دکتر؟</t>
  </si>
  <si>
    <t>https://goo.gl/3JYu8v</t>
  </si>
  <si>
    <t>#رادیوامید: #تبریز میزبان نشست مهم سه #رییس_جمهور در 16 #شهریور</t>
  </si>
  <si>
    <t>‏‏اللهم عجل لولیک الفرج دانشجوی مهندسی نرم افزار(kiau) پرسپولیس😍😍😍</t>
  </si>
  <si>
    <t>روحانی گفت "مردمی که ۴ سال رونق دیدند، ناگهان تعجب کردند که چه شده است؟" چهارسال اول شما رونق دیدید؟؟؟ یعنی من ایران نبودم یا #روحانی؟</t>
  </si>
  <si>
    <t>حسن پهلوان</t>
  </si>
  <si>
    <t>https://pbs.twimg.com/media/DlxDQgaWsAAFqiW.jpg</t>
  </si>
  <si>
    <t>واکنش #روحانی به شرط #فراکسیون_امید برای حمایت: #مهم_نیست ؛ #رای_ندهند 🔹دیروز نمایندگان برای #حسن_روحانی شرط گذاشتند که فقط درصورتیکه #شفافسازی کنی و از موانع و پشت پرده‌ها سخن بگویی از تو #حمایت میکنیم و ‌روحانی‌ پاسخ داده «مهم نیست؛ حمایت نکنید» #سوال_از_رئیس‌جمهور</t>
  </si>
  <si>
    <t>در میان بحثها درباره #سوال_از_رئیس‌جمهور و استیضاح وزرا، نمایندگان مجلس با 127 رأی مثبت با کلیات لایحه ایجاد ۸ منطقه آزاد تجاری و 12 منطقه ویژه اقتصادی موافقت کردند تجربه سایر مناطق آزاد تجاری و مناطق ویژه اقتصادی را بخوانید تا ببینید چه اتفاق ناگواری دارد برای کشور می ‌افتد</t>
  </si>
  <si>
    <t>‏‏‏‏‏‏‏‏‏‏‏‏‏سعدیا،مرد نکونام نمیرد هرگز/مرده آنست که نامش به نکویی نبرند⛔همه مغزفندقی هاو جیره خواران 👈آنجا که خِرَد هست،آخوند نیست.آنجا که آخوند هست،خِرَد نی</t>
  </si>
  <si>
    <t>آکادمی</t>
  </si>
  <si>
    <t>https://twitter.com/Rouhani_ir/status/1018170221868306432
http://president.ir/fa/105278</t>
  </si>
  <si>
    <t>زیباکلام به #روحانی: چرا به مردم نمی‌گویید جایگاه #مجلس که در رأس نظام است بواسطه #نظارت_استصوابی به قعر سقوط کرده؟ نوری زاد: جناب #زیباکلام، چرا از نقش #رهبر و #سپاه نمی گویید که ام الفساد کشورند؟ RT @Rouhani_ir: با گزارش وزارت اطلاعات، یک فساد هماهنگ از طریق مشارکت چند نفر از کارکنان دولتی، کارشناسان یک شرکت رایانه‌ای پشتیبانی‌کننده سامانه ثبت سفارشات و چند شرکت واردکننده خودرو آشکار شد؛ که با همه مقصرین و متخلفین مطابق قانون برخورد خواهد شد. #گزارش_به_مردم</t>
  </si>
  <si>
    <t>اُمیدالمُلک</t>
  </si>
  <si>
    <t>https://pbs.twimg.com/media/DlxE_GQWwAAGCQn.jpg</t>
  </si>
  <si>
    <t>روز گذشته #علی_مطهری قبل از حضور #روحانی در مجلس، با او دیدار داشته و پیام فراکسیون امید را به وی منتقل کرده اما روحانی در جواب گفته؛ "مهم نیست رای ندهند" پیام فراکسیون این بود که اگر رییس جمهور اگر شفاف درباره مشکلات کشور و دست های پنهان حرفی نزند به او رای نخواهند داد/سازندگی</t>
  </si>
  <si>
    <t>یه حسی بهم میگه جلسه دیروز مجلس"سئوال از رئیس جمهور" سیاه بازی بیش نبود. فقط میخواستن وانمود کنن که ما به وظایفمون عمل می کنیم. #سوال_از_رییس‌جمهور #مثل_شرق_دروغ_میگی</t>
  </si>
  <si>
    <t>http://www.khooger.com</t>
  </si>
  <si>
    <t>سه رَنْگِ اَصْلى | #گْلْيْچْْ | بازیگری که ساز میزنه و آواز میخونه</t>
  </si>
  <si>
    <t>خزر حتا كُلِّش هم مال ما بود نميتونست اين همه گُه رو بشوره ببره. #گْلْيْچْ #خزر #گه #روحانى #عجب #وضعى #شده</t>
  </si>
  <si>
    <t>Pooyan.mahmoudi</t>
  </si>
  <si>
    <t>https://shenoto.com/Corner</t>
  </si>
  <si>
    <t>نویسنده و کارگردان تئاتر و فیلم کوتاه</t>
  </si>
  <si>
    <t>نمایش اقتدار و ثبات جمهوری اسلامی یعنی #روحانی حرف نزن و نماینده #مجلس رای پنهانت رو بر علیه رییس جمهور بده تا با این اقتدار به اروپا خوشبین نباشیم و به آمریکا هم اصلا رخ نشان ندهیم. کاش یکی ژانر این نمایش رو به ما جوانان نمایش ندیده بگه تا به پایان های الکی دلخوش نباشیم</t>
  </si>
  <si>
    <t>Mohamad Nazemi</t>
  </si>
  <si>
    <t>نبرد تا مرگ ضحاک</t>
  </si>
  <si>
    <t>ایران آینده</t>
  </si>
  <si>
    <t>ایت الله خامنه ای به روحانی توصیه کرده شما بنا به قراری که داشتی افشاگری نکن، من هم اجازه نمی دهم مجلس رأی عدم کفایت تورا بدهد. فساد و کثافت کاری بین رهبر و رئیس جمهور! #روحانی #مجلس #خامنه_ای #فساد</t>
  </si>
  <si>
    <t>کاوۀ آهنگر</t>
  </si>
  <si>
    <t>‏‏‏‏‏فرزند، دانشجوی دکتری برق، مهندس، اصلاح طلب، پرسپولیسی،/مجهز به آنفالویاب/</t>
  </si>
  <si>
    <t>#روحانی امروز رفت جایزه سکوتش در #مجلس رو گرفت. چون همه چی رو توافق کرده بود به مطهری گفت مهم نیست رای ندهند. #</t>
  </si>
  <si>
    <t>Abbaskomijani</t>
  </si>
  <si>
    <t>https://pbs.twimg.com/media/DlxGYCvXsAACxkZ.jpg</t>
  </si>
  <si>
    <t>حمایت #رانت از #رانت ‼️ 🔹معرفی #مهرداد_بذرپاش به عنوان کاندیدای #ریاست‌جمهوری ۱۴۰۰:‼️ 🔹داماد #وزیر_صنعت‌ #روحانی برای #بذرپاش معاون پیشین #احمدی‌نژاد تبلیغات انتخاباتی را شروع کرد/قانون #بورسیه_معدل۱۲ اگر احمدی‌نژاد نبود الان بذرپاش هم مثل هزاران جوان دیگر دنبال کار بود</t>
  </si>
  <si>
    <t>رهبر : حسن آقا کژژژ نده روحانی : چی به ما میرسه؟ رهبر : من هم به اونها میگم کژژژ ندهند روحانی : باشه پس من هم کش نمیدهم رهبر : آورین آورین #روحانی #مجلس #استیضاح #رهبر #فسادسیستماتیک</t>
  </si>
  <si>
    <t>‏‏شاید یک خبرنگار نریشن خوان و تولید پادکست مجازی حق با انسانیت است گاهی اصلاح طلب بیشتر تغییر طلب</t>
  </si>
  <si>
    <t>https://pbs.twimg.com/media/DlxG6hNXoAEWR4G.jpg</t>
  </si>
  <si>
    <t>🔘واکنش روحانی به شرط فراکسیون امید برای حمایت: مهم نیست رای ندهند ️علی مطهری نماینده تهران در مجلس قبل از حضور روحانی در مجلس، با رئیس جمهوری دیدار داشته و پیام فراکسیون امید را به وی منتقل کرده بود اما پاسخ روحانی غیرمنتظره بوده/انتخاب (مهم نیست رای ندهند) #روحانی @onlinpars</t>
  </si>
  <si>
    <t>Hanie Ahmadi</t>
  </si>
  <si>
    <t>http://www.irna.ir/fa/News/82430717</t>
  </si>
  <si>
    <t>#ایران #تهران #فوری درادامه #اعتراضات #مردم #روحانی :با عنایات صاحب⏳ در راستای تحقق مطالبات #دولت #اختلاس #فساد اهل بیت ال عبا #رهبر_انقلاب وشرکا لاکن #حراج #کتاب فتوای #ظریف #برجام 💲💰💲هسته ای #رهبرفرزانه در ولایات #دشمن #امریکا</t>
  </si>
  <si>
    <t>‏‏آدمیزادی که دوست داره انسان بشه</t>
  </si>
  <si>
    <t>هر جا که خاک این سرزمین هستش</t>
  </si>
  <si>
    <t>https://pbs.twimg.com/media/DlxGzvzUcAE6ro3.jpg</t>
  </si>
  <si>
    <t>علی مطهری به #روحانی گفته که"فراکسیون امید تصمیم گرفته اگر رئیس جمهور صریح و شفاف درباره موانع و مشکلات و دست های پنهان در شرایط امروز سخن نگوید به پاسخ های او رای ندهد" روحانی هم جواب داده"مهم نیست رای ندهند" واعظی برای روحانی «توهم» بردن انتخابات بدون کمک رو به «باور» تبدیل کرد</t>
  </si>
  <si>
    <t>علی 🇮🇷 ‏‏🎗️</t>
  </si>
  <si>
    <t>https://pbs.twimg.com/media/DlxIp3GW0AY7Gwz.jpg</t>
  </si>
  <si>
    <t>طرح #استیضاح وزیر آموزش و پرورش در ادامه درگیریهای باندی، طرح استیضاح محمد #بطحایی وزیر آموزش و پرورش کابینه #روحانی صبح روز چهارشنبه با امضای ۲۰ عضو مجلس اعلام وصول شد. جعل تاریخ در کتب درسی و اجرایی نشدن نظام رتبه‌بندی معلمان" از جمله محورهای طرح استیضاح بطحایی است</t>
  </si>
  <si>
    <t>https://pbs.twimg.com/media/DlxIvaCVAAAnRh6.jpg</t>
  </si>
  <si>
    <t>https://www.ilna.ir/fa/tiny/news-662547</t>
  </si>
  <si>
    <t>گزارش #روحانی در حضور #رهبر_انقلاب:در شرایط امروز راه حل سیاسی پیش روی ما نیست/ می‌توانیم تا پایان سال در تولید #بنزین نیز به خودکفایی برسیم</t>
  </si>
  <si>
    <t>English-Persian Translator, Technology Reasercher MSc Information Technology Management | Shahid Beheshty University</t>
  </si>
  <si>
    <t>نمایش محافظه کارانه و موزیانه #روحانی در مجلس در روزهایی که مردم #ایران ، هراسان، شاهد بی ارزش شدن خود و دارایی خود و رنگ باختن امید و آینده خود هستند، بیش از پیش نشان داد که ظاهرا در این کشور تنها حفظ نظام و ناظمانش در راس امور است و بس مردم دراین جنگ قدرت، محلی از اعراب ندارند</t>
  </si>
  <si>
    <t>Toufan Azizi</t>
  </si>
  <si>
    <t>زمان #استیضاح «بطحایی» در مجلس مشخص شد یوسف‌نژاد عضو هیئت‌رئیسه مجلس: 🔹 براساس مکاتباتی که با معاون پارلمانی وزیر آموزش و پرورش از سوی هیئت‌رئیسه مجلس داشته‌ام، مقرر شد نشست استیضاح آقای بطحایی وزیر آموزش و پرورش، سه‌شنبه هفته آینده (۱۳ شهریور) برگزار شود.</t>
  </si>
  <si>
    <t>Entrepreneur, Turkmen horse lover.</t>
  </si>
  <si>
    <t>آورده اند که در زمان امیرالمومنین علی (ع) کشمش در مکه #گران شد. یاران نامه نوشتند به امیر المومنین در کوفه که کشمش گران شده است. امیرالمؤمنین در جواب نامه نوشت که "#نخرید ش" و در عوض خرما بخرید. #گرانی #گران #گران_نخرید #کمپین_نخرید #علی_کریمی #بحران_اقتصادی #روحانی</t>
  </si>
  <si>
    <t>Sheraf Samandar</t>
  </si>
  <si>
    <t>https://telegram.me/HarfBeManBot?start=MTg5NjYxNTQ4</t>
  </si>
  <si>
    <t>روسونری دو آتیشه ، پیروی مکتب هدایت ، مصدق و بختیار و چِستِر #استقلال</t>
  </si>
  <si>
    <t>مَشَد</t>
  </si>
  <si>
    <t>واکنش #روحانی به شرط فراکسیون امید برای حمایت : مهم نیست ! روزنامه سازندگی خبر داد علی #مطهری دیروز به روحانی پیام #فراکسیون_امید را انتقال داد فراکسیون امید تصمیم گرفته اگر رییس جمهور صریح و شفاف از موانع و دست های پنهان در شرایط امروز سخن نگوید به پاسخ های او رای ندهد</t>
  </si>
  <si>
    <t>مِهدی مَلِک</t>
  </si>
  <si>
    <t>از #استیضاح وزیر آموزش پرورش بوی مافیای #آموزشی میاد منبع درآمدشون به خطر افتاده انگار</t>
  </si>
  <si>
    <t>بد بلای سر مردم آوردی #روحانی یلاخره آه یکی از ما دامنتو می گیره و بنیادتو از بین می بره .شب و روز دعا میکنم قبل از مرگم خاریتو ببینم هون جوری که تو باعث خاری ما شدی.</t>
  </si>
  <si>
    <t>نعمتی، نماینده تهران: جلسه #استیضاح بطحائی وزیر آموزش و پرورش سه‌شنبه هفته آینده (۱۳ شهریور ۹۷) در صحن علنی مجلس برگزار می‌شود. RT @FarsNews_Agency: طرح #استیضاح بطحایی وزیر آموزش و پرورش با ۲۰ امضا در مجلس اعلام وصول شد.</t>
  </si>
  <si>
    <t>https://pbs.twimg.com/media/DlxK5G2XgAAhCHl.jpg</t>
  </si>
  <si>
    <t>http://khabarfarsi.com/u/58781271?utm_source=khabarfarsi_channel&amp;utm_medium=twitter&amp;utm_campaign=hodhod#redirect=2</t>
  </si>
  <si>
    <t>کد مورد اشاره روحانی چه بود؟ برخلاف بسیاری که می پندارند رئیس جمهوری دیروز در م #ایران #ترامپ #روحانی #مجلس #رئیس_جمهوری #مردم</t>
  </si>
  <si>
    <t>یه سئوال: مگه قرار نبود سئوالهایی که نماینده ها از روحانی پرسیدند به ق.ق فرستاده بشه چرا امروز لاریجانی گفت که منتفی شده و فرستاده نمیشه؟ باور کنید برای لایک و ریت و منشن نیست. این حجم ماست مالی برام قابل درک نیست. #سوال_از_رییس‌جمهور</t>
  </si>
  <si>
    <t>https://pbs.twimg.com/media/DlxLzzVWwAEhfEZ.jpg</t>
  </si>
  <si>
    <t>کد مورد اشاره روحانی چه بود؟ برخلاف بسیاری که می پندارند #ایران #ترامپ #روحانی #مجلس #رئیس_جمهوری #مردم &lt;a href=""&gt;ادامه خبر&amp;lt;/a&amp;gt;</t>
  </si>
  <si>
    <t>کابینه آقای #روحانی آکنده از «بوروکرات»‌هایی است که جز به حفظ نظام ناکارآمد اداری موجود کشور و ارائه گزارش‌های مثبت از نهادهای پایین‌دست به نهادهای بالادست نمی‌اندیشند. (بیانیه #حزب کارگزاران خطاب به #رئیس_جمهور)</t>
  </si>
  <si>
    <t>مرتضی علیزاده</t>
  </si>
  <si>
    <t>https://pbs.twimg.com/media/DlxMbUaW4AA_PNU.jpg</t>
  </si>
  <si>
    <t>مگه نباید این حلقه رو آتیش بزنن #روحانی از توش بپره؟؟؟؟!!! من خودم توی سیرک دیدم! پس مسخره بازی #پنكه چیه راه انداختید؟! #سوال_از_رییس‌جمهور</t>
  </si>
  <si>
    <t>#روحانی تضعیف شده بدست #مجلس بهترین عیدی برای #رهبر بود طلبکارتر از همیشه هرچه خواست به دولت تاخت،هشدار داد،توبیخ کرد و بری از هرگونه مسئولیتی مشتی شعار پوچ تحویل داد. بخور روحانی جان که حقت را کف دستت میگذارد.</t>
  </si>
  <si>
    <t>آقای لابیجانی والا ملت هم از مجلسی که شما رئیسش باشی نه انتظار #سوال_از_رییس‌جمهور داشت و نه انتظار قانع نشدن از پاسخ روحانی ، همونی که هستید باشید والا سنگین ترید.</t>
  </si>
  <si>
    <t>https://twitter.com/SAqasi/status/1034521860132810753</t>
  </si>
  <si>
    <t>اگر #مجلس بتواند کمی از کف هرم مازلو بالاتر رفته مطالبات متعالی‌تر را پیگیری کند در اولین گام استیضاح #وزیر_آپ به خاطر اظهار نظرات اشتباهش در راستای ممانعت از تدریس #زبان_مادری ایرانیان غیرفارس زبان محقق خواهدشد. RT @SAqasi: #وزیر_آپ سخنان سخیف خود را در باب ممنوعیت تکلم به زبان فارسی تکرار کرده است. این گستاخی او صرفا نتیجه ضعف اعتراض ما غیر فارس‌زبان‌ها نیست بلکه کم‌مایگی و بی‌اصالتی فضای روشنفکری ما ایرانی‌ها را به بهترین حالت نشان می‌دهد. توجه بفرمایید که وزیر از ممنوعیت تکلم گفته نه حتی آموزش...</t>
  </si>
  <si>
    <t>Amin Fazli</t>
  </si>
  <si>
    <t>دروغ کنار رویا یا حقیقتو گوش مالیش ؟</t>
  </si>
  <si>
    <t>#علی_لاریجانی چه مانوری داد رو موضوع #سوال_از_رئیس_جمهور و گفته نشون میده چه دموکراسی قوی ای داریم در مقایسه با کشورای منطقه. آقای لاریجانی خودت خنده ات نگرفت انصافا؟</t>
  </si>
  <si>
    <t>Ali Mak</t>
  </si>
  <si>
    <t>‏دانشجوی دکتری مدیریت مالی دولتی؛ مدرس دانشگاه</t>
  </si>
  <si>
    <t>کلیپ شباهت سخنرانی #احمدی‌نژاد و #روحانی رو دیدم. واقعیت اینه که ساختار بر رفتار تاثیر مستقیم داره و هر کسی در این جایگاه قرار بگیره بعد از ۶ سال همین رفتار رو تکرار خواهد کرد. ساختار نه تنها فسادپرور که فاسدپرور هم هست. #علی_برکت_الله</t>
  </si>
  <si>
    <t>مجید پاک سیما</t>
  </si>
  <si>
    <t>مثل برجی خسته، برجی رو‌ به ویرانی نهاده ...</t>
  </si>
  <si>
    <t>همین نزدیکی</t>
  </si>
  <si>
    <t>سوال کردند و قانع هم نشدند خوب بعدش چی؟ وقتی اخرش هیچی پس چرا اینقدر کش و قوس برای اعلام وصول #سوال_از_رئیس‌جمهور و اینهمه رجز و تهدید برای شرکت در جلسه مجلس و ... یه روزه اعلام وصول کنند فرداش هم جلسه خطابه برگزار شود دیگه ...</t>
  </si>
  <si>
    <t>Mohsen Fattahi</t>
  </si>
  <si>
    <t>🔴 🔴 🔴 خبر فوری قیمت آجیل و خشکبار امروز ۳۰ درصد افزایش پیدا کرد #گرانی #ایران #گزارشگر #روحانی</t>
  </si>
  <si>
    <t>مجلس برای حل #بحران_اقتصادی وزیر آموزش پرورش را #استيضاح می کند</t>
  </si>
  <si>
    <t>علی اکرمی</t>
  </si>
  <si>
    <t>https://pbs.twimg.com/media/DlwboMjX4AA2l9i.jpg</t>
  </si>
  <si>
    <t>https://twitter.com/liea_abnos/status/1034732403158384642</t>
  </si>
  <si>
    <t>انگار براي ديدن #ساده_زيستي_مسولان تلاش زيادي هم لازم نيست اميدواركننده بود. زندگي من از رهبر مملكت كه سالها #رئیس_جمهور هم بودند بهتر است. RT @liea_abnos: #سانسور_رهبری فقط اونجاش که به خبرنگار گفتند: از منزل گزارش تهیه کنید،عیبی ندارد ولی یادتان باشد که گفتم کسی باور نمیکند...</t>
  </si>
  <si>
    <t>https://pbs.twimg.com/media/DlxPBc5XsAAc0Ud.jpg</t>
  </si>
  <si>
    <t>پلویز: اومدم #مجلس_الوزراء میگن جای خوبیه واسه خوابیدن،شانس بدم #روحانی هم اومده همش ازش سوال میکنن بنده خدا اذیت میشه،اون پنکشم از زیر میخوره بهم یخ زدم، #سوال_از_رئیس‌جمهور #سوریلند</t>
  </si>
  <si>
    <t>من يك خبرنگار كارشناس ارشد حقوق هستم ✋🏼</t>
  </si>
  <si>
    <t>جلسه #استیضاح #وزیر #آموزش و پرورش سه شنبه ۱۳ شهریورماه برگزار می‌شود، #دولت به توپ بستن!</t>
  </si>
  <si>
    <t>Mahdiye</t>
  </si>
  <si>
    <t>‏‏‏‏‏‏‏‏‏‏‏‏گر تو گرفتارم کنی، من با گرفتاری خوشم¬¬¬ ‎‎‎‎‎‎‎‎‎‎‎#معتاد نیستم و قصد ‎‎‎‎‎‎‎‎‎‎‎#خودکشی هم ندارم¬¬¬ ‎‎‎#بسوی_بهار</t>
  </si>
  <si>
    <t>آیت‌الله #خامنه‌ای: خداوند به آقای رئیس جمهور و قوه مقننه خیر بدهد که #مشترکا چنین نمایش اقتداری را نشان دادند. #سوال_از_رئیس‌جمهور #نمایش_مشترک #همه_با_همند</t>
  </si>
  <si>
    <t>علی اسدی</t>
  </si>
  <si>
    <t>خډاٰٰٰېا خۄډِِتـــ بِساږ‌ طُُُ بسازے قشڼگ تړھ “آقای من از عناوین جهان نوکرین مارا بس.”</t>
  </si>
  <si>
    <t>برای اینکه #سوال_از_رییس‌جمهور از حالت نمایشی خارج شود پس از سوال از احمدی نژاد، آیین‌نامه #مجلس تغییر کرد اما امروز با تفاسیری که مطرح میشود بنظر میرسد قرارست باز هم نمایشی بماند!! #سیاه_بازی</t>
  </si>
  <si>
    <t>Яęž.A Srbaz</t>
  </si>
  <si>
    <t>‏ما در محله مان روی رد پای پلیس میشاشیم ........................... ⛔مجاهد و عرزشی⛔ لیورپول</t>
  </si>
  <si>
    <t>جهنم</t>
  </si>
  <si>
    <t>نه #روحانی نه #احمدی_نژاد نه #خاتمی نه حتی #رییسی و نه هیچ رییس‌جمهور دیگه قرار نبود نجات دهنده باشد چون فقط یه عروسک خیمه شب بازی بیش نیستند اگه فریاد میزنید سر عروسک گردان بزنید نه عروسک #براندازم</t>
  </si>
  <si>
    <t>smoking</t>
  </si>
  <si>
    <t>‏‏‏اگر طرفدار ۲ آتیشه فردی هستی جز همفکر خودت رو فالو نکن. اگر نمیتونی اون فرد رو نقد کنی دیگری رو فالو نکن</t>
  </si>
  <si>
    <t>بعد از جواب دیروز #روحانی به #فراکسیون #امید که گفته بود مهم نیست حمایت کنید یا نه. در فکر این بودم روحانی کم آورده یا با بالایی بسته امروز مشخص شد که بسته و احتمالا به #مجلس نیازی نداره گرچه روی فرد بدی قمار کرده</t>
  </si>
  <si>
    <t>⁦🇮🇷⁩⁦ ahmad p 📖</t>
  </si>
  <si>
    <t>SoClose</t>
  </si>
  <si>
    <t>نظر #رهبر_انقلاب درباره جلسه سوال از #رئیس‌جمهور جلسه مجلس نمایش اقتدار و ثبات جمهوری اسلامی ایران بود ! #دیبی #کلاه_قرمزی</t>
  </si>
  <si>
    <t>Shayan</t>
  </si>
  <si>
    <t>https://t.me/houshdar</t>
  </si>
  <si>
    <t>‏‏اگر در آنچه میگویی صادقی از خدا میخواهم که مرا بیامرزد و اگر کاذبی از خدا میخواهم که تو را بیامرزد. #عالم_بی_عمل_نباشیم کَمثَل الحمار یَحمل اَسفاراً</t>
  </si>
  <si>
    <t>سرزمین منتظران ظهور مهدی(عج)</t>
  </si>
  <si>
    <t>https://pbs.twimg.com/media/DlxQw6_X0AEEr0f.jpg</t>
  </si>
  <si>
    <t>نقل قول سازندگی از پاسخ دیروز #روحانی به شروط حمایت #فراکسیون_امید از او: "مهم نیست، رأی ندهند!" اثرات آن #رأی_حرام... #یادآر</t>
  </si>
  <si>
    <t>امید نیکو</t>
  </si>
  <si>
    <t>http://plus.google.com/+fatemehdanaei</t>
  </si>
  <si>
    <t>خواهری که هم رزم ودلسوزبود و با ظلم سرسازگاری نداشت برای آزادی میهن جان خود را فدا کرد https://t.me/MohammadDanai</t>
  </si>
  <si>
    <t>غربت</t>
  </si>
  <si>
    <t>https://pbs.twimg.com/media/DlxSGv0XcAAY7wV.jpg</t>
  </si>
  <si>
    <t>روحانی اقتصاد #ایران را به کجا میبرد آخوند #روحانی در مجلس: مردم امید داشته باشن، اقتصاد ما حل خواهد شد! #IranRegimeChange #براندازم</t>
  </si>
  <si>
    <t>fatemeh danaei</t>
  </si>
  <si>
    <t>تاریخ راگروهای کوچکی رقم میزنن برای هرکاری هرچقدرکوچکن برای آزادی من از هواداران سازمان مجاهدین خلق هستم</t>
  </si>
  <si>
    <t>pic.twitter.com/gyvUJZYYGv</t>
  </si>
  <si>
    <t>🎥🎤🔴 #ترانه انیمیشن وعده های دروغ #روحانی دولت شکست و ناامیدی😉 #نه_شیاد_نه_جلاد 👍 قسمت دوم</t>
  </si>
  <si>
    <t>alireza azarabadegan</t>
  </si>
  <si>
    <t>Phd Condidate of Human Resource Management</t>
  </si>
  <si>
    <t>اي كاش همانطور كه #وزرا و #رئيس دولت قابل #استيضاح هستند خود نمايندگان هم توسط يك ارگاني استيضاح مي‌شدند. فكر كنم يكساله همه #نمايندگان استيضاح و بركنار مي‌شدند.</t>
  </si>
  <si>
    <t>Alirezakameli</t>
  </si>
  <si>
    <t>به لطف #روحانی ضرب المثل برو پولتو پس انداز کن و انقدر آت آشغال نخر کارایی نداره چون هر آشغالی بخری از پس انداز بهتره</t>
  </si>
  <si>
    <t>چه پرزیدنت پر رویی داریم ما! #روحانی #گفته_نشده RT @DaryaKavoos: نِه بابا، نِه</t>
  </si>
  <si>
    <t>بازی با واژه‌ها کار امروز سیاست مدارها #مجلس #رئیس_جمهور</t>
  </si>
  <si>
    <t>معتقدم اگر در کشور قانون به معنای واقعی حکفرما بود ... اول از همه شخص آقای #روحانی باید محاکمه میشد ... بدلیل فریب مردم و عمل نکردن به وعده های خود ... از همه مهمتر دروغهای شاخداری که امروز هم نزد حضرت آقا تکرارش کرد (کاهش تورم و رشد اقتصادی و خود کفایی ! )</t>
  </si>
  <si>
    <t>http://instagram.com/moiengraph</t>
  </si>
  <si>
    <t>‏‏‏دلتنگ و دلگیر معاصر . ‏‏‏‏یکمی گرافیست یکمی هم برنامه نویس!</t>
  </si>
  <si>
    <t>https://twitter.com/Khamenei_fa/status/1034765384325496832</t>
  </si>
  <si>
    <t>"البته میان انتظارات نمایندگان و واقعیات موجود شکافی وجود دارد که باید پر شود." #حق_مطلب #سوال_از_رئیس_جمهور RT @Khamenei_fa: جلسه دیروز #مجلس،نمایش اقتدار و ثبات جمهوری اسلامی بود.خداوند به آقای رئیس جمهور و قوه مقننه خیر بدهد که مشترکا چنین اقتداری را نشان دادند. دشمن از جلسه دیروز بدنبال اهداف دیگری بود. البته میان انتظارات نمایندگان و واقعیات موجود شکافی وجود دارد که باید پر شود. #سوال_از_رئیس‌جمهور</t>
  </si>
  <si>
    <t>MoienGraph 🇮🇷🎗</t>
  </si>
  <si>
    <t>بعد از صحبت های امروز #رهبری در مورد جلسه دیروز #سوال_از_رئیس‌جمهور مخالفین روحانی رفتن نشستن یه گوشه دارن یه قل دوقل بازی میکنن #روحاني</t>
  </si>
  <si>
    <t>‏‏‏همشهری میرزاکوچولو ☘🍃 ♣️🀄 تشویشگر اذهان عمومی</t>
  </si>
  <si>
    <t>خودمونی‌ما، ضربه‌ای که کشور از سمنانی‌ها خورده ، از هیج قوم و قبیله و عشیره و نژاد و بشری نخورده! برای نمونه : #احمدي_نژاد #روحانی</t>
  </si>
  <si>
    <t>اَمیرَم، اَبَرشَهر</t>
  </si>
  <si>
    <t>https://twitter.com/MohsenH84/status/1034766058165596160</t>
  </si>
  <si>
    <t>به نظرم این جمله‌ی رهبری نشانگر زاویه‌ی دید متفاوت ایشان به امور است. #ثبات_سیاسی و آرامش برای ایشان اهمیت زیادی دارد و همین که مسئولان در #مجلس به جان هم نیافتادند از آن‌ها تشکر می‌کنند! #سوال_از_رئیس‌جمهور RT @MohsenH84: ️نظر رهبر انقلاب درباره جلسه سوال از رئیس‌جمهور: میان انتظارات نمایندگان و واقعیات موجود، شکافی وجود دارد که باید پر شود. مهم آن است که آنچه اتفاق افتاد، #یک_نمایش با شکوه از قدرت جمهوری اسلامی و اعتماد به نفس مسئولان بود. ...... واقعاً نمایش بود و نه واقعیت.‌</t>
  </si>
  <si>
    <t>http://instagram.com/thisisalirostami</t>
  </si>
  <si>
    <t>‏‏‏‏‏‏‏‏‏‏‏‏ی مهندس‌شیمیِ شمالیِ انقـــــلابی🇮🇷/ی آدم ‎‎‎#بی_شکل که فقط میخواسته شکل خودش باشه/چاوُشیست♥️‌/‎‎#ترجیحاً سیاسی‌نویس</t>
  </si>
  <si>
    <t>pic.twitter.com/bPnpUPgSxx</t>
  </si>
  <si>
    <t>مردم درست انتخاب نمیکنند؛ نه #نماینده درست و حسابی نه #رئیس_جمهور درست و حسابی بدلیل ناآگاهی بدلیل کم کاری آگاه‌ها در آگاه کردن ملت</t>
  </si>
  <si>
    <t>علیاقـا🇮🇷</t>
  </si>
  <si>
    <t>#والله که مادچار ..... هستیم،زمانی که #اموال و #دارایی و #قدرت خریدمان از بین میرود.اگر این #بحران نیست ،پس چیست؟؟ #روحانی #مجلس #مردم #واکنش</t>
  </si>
  <si>
    <t>saeideh_sadeghi</t>
  </si>
  <si>
    <t>فعال سیاسی برای آزادی ودموکراسی</t>
  </si>
  <si>
    <t>Belgium</t>
  </si>
  <si>
    <t>https://pbs.twimg.com/media/DlxWgBjW0AArIKt.jpg</t>
  </si>
  <si>
    <t>روحانی اقتصاد #ایران را به کجا میبرد آخوند #روحانی در مجلس: مردم امید داشته باشن، اقتصاد ما حل خواهد شد! بروروبا گور تو گم کن ، دیگر مسخره عام وخاص شدی..... #اعتراضات_سراسری #براندازم</t>
  </si>
  <si>
    <t>alimovahedi</t>
  </si>
  <si>
    <t>‏‏‏‏‏آن زمانی که رئیس دولت ایران شدی در میان چشم این نامردمان پنهان شدی چون تمامی وجودت خدمت برخلق بوداستخوانی درگلوی این حرام خواران شدی کمی شاعر</t>
  </si>
  <si>
    <t>https://pbs.twimg.com/media/DlxWlXsWsAAZADI.jpg</t>
  </si>
  <si>
    <t>از اقتدار دیروز #روحانی و #لاریجانی فقط یک چیز آشکار بود هرچه میخواهی بکن اما نَبَر نام کسی گویا تهدیدهای #آشنا و #مولاوردی خوب جواب داد که برگ چغندری مانند روحانی مایه افتخار شد حتی عرازشه هم سانسورش کردند #گورپدرمردم</t>
  </si>
  <si>
    <t>عرفان شایگان</t>
  </si>
  <si>
    <t>نقشه جالبی بود: مجلس به دولت حمله کنه که هم یه آبرویی داشته باشن برای انتخابات بعدی و هم یه نمایشی اجرا کنن که ما به فکر مردم هستیم. دولت هم که خیالش تخته مجلس کبریت بی خطره خیلی دست و پا نزد. ارجاع به قوه قضاییه هم که مالیده!! #سوال_از_رییس‌جمهور</t>
  </si>
  <si>
    <t>مرا هزار امید است و هر هزار تویی // کارشناس ارشد مدیریت بازرگانی بین الملل</t>
  </si>
  <si>
    <t>https://twitter.com/aliakrami6/status/1034788813837463552</t>
  </si>
  <si>
    <t>ظاهرا معیار ها عوض شده!هرکی به فساد گیر بده #استیضاح میشه.اون از #ربیعی اینم از این بنده خدا که به مافیای کنکور گیر داده! RT @aliakrami6: مجلس برای حل #بحران_اقتصادی وزیر آموزش پرورش را #استيضاح می کند</t>
  </si>
  <si>
    <t>🇮🇷Hossein tavangar 🎗️</t>
  </si>
  <si>
    <t>#روحانی در دیدار با #رهبر_انقلاب: تا پایان سال در تولید بنزین خودکفا می‌شویم 🔹همه روستاهای بالای 10 خانوار دارای برق هستند و بسیاری از روستاها به شبکه گاز و شبکه ارتباطی کشور متصل شده‌اند. 🔹کشور در زمینه تولید گاز و گازوئیل خودکفا شده و تا پایان سال در بنزین خودکفایی می شویم</t>
  </si>
  <si>
    <t>با این وضعیتی که من میبینم اگر نظام بتونه از این گردنه عبور کنه به اوج خواهد رسید ولی اگر نتونه اونوقت مردم از گردنه نظام عبور خواهند کرد! از ما گفتن بود #مقام_رهبری #روحانی #قوه_قضاییه #مجلس</t>
  </si>
  <si>
    <t>‏‏دانشجوی کارگردانی . کمی تاقسمتی روزنامه نگار</t>
  </si>
  <si>
    <t>سوال از رئیس جمهور استیضاح وزرا گلو جردادن های خنده دار نمایندگان همگی نمایشی کودکانه به خاطر نزدیکی انتخابات و پیدا کردن وجهه نداشته بهارستان است. #استیضاح #روحانی #اصلاح_طلبان</t>
  </si>
  <si>
    <t>Dani</t>
  </si>
  <si>
    <t>طرف در سایت ایران اینترنشنال درباره مرگ پسر #روحانی مقاله نوشته و در آنجا گفته پسر روحانی در زمان مرگ دانشجوی خلبانی بوده و....؛فقط من مانده ام یک دانش‌آموخته علوم انسانی مدرسه فرهنگ چگونه می تواند به دانشگاه شهید ستاری برود و دوره خلبانی ببیند(حداقل درست؛خالی ببند)</t>
  </si>
  <si>
    <t>آنچه كه ما را به نا بود ي گشاند از قرا ر است سيا ست دبدون شرافت لذت بدون وجدان علم بدون تشحصيت كاندي درود بر شهدای قیام ۸۸ از نداد تا محمد مختاری و همه شهد ا</t>
  </si>
  <si>
    <t>https://pbs.twimg.com/media/DlxZaVHU4AU46Fa.jpg</t>
  </si>
  <si>
    <t>🔻#روحانی-پینوکیو، روباه مکار و وعده درخت سکه! 🔸بدون شرح 🔻روزنامه کیهان خامنه‌ای-۶شهریور۹۷:</t>
  </si>
  <si>
    <t>golshan</t>
  </si>
  <si>
    <t>https://pbs.twimg.com/media/Dlxal3PW4AAuqs5.jpg</t>
  </si>
  <si>
    <t>#زاویه_دید_کنونی همین الان درشهرپرزیدنت کذاب سرخه ای چقدر آدم میتونه خود شیفته باشه روی یه بیلبورد ۳ تا بنر از خودش زده . زشته بخدا آدم اینقدر خودشیفته باشه. #روحانی #رئیس_جمهور</t>
  </si>
  <si>
    <t>‏‏‏‏امید بذر هویت ماست...</t>
  </si>
  <si>
    <t>روحانی: "امیدوارم که بتوانم نقاط مورد نظر مقام معظم رهبری را که در توصیه‌هایی که نسبت به جلسه امروز به من فرمودند، دقیقا مراعات کنیم." یک روز بعد.. خامنه‌ای: جلسه #سوال_از_رئیس_جمهور نمایش اقتدار و ثبات بود و رئیس جمهور با خونسردی و متانت به نمایندگان پاسخ داد.</t>
  </si>
  <si>
    <t>Fa Teme🌱🇮🇷</t>
  </si>
  <si>
    <t>می روی و می بری همراه خود جان مرا... صبر کن یارم! ببین حال پریشان مرا...</t>
  </si>
  <si>
    <t>کرج آقا</t>
  </si>
  <si>
    <t>درواقع اینجوری باید گفت: #مجلس از سوال های رئیس جمهور راضی نشد #سوال_از_رئیس‌_جمهور</t>
  </si>
  <si>
    <t>مِیتی (محب مولا علی)</t>
  </si>
  <si>
    <t>https://pbs.twimg.com/media/DlxbUzyWsAA6Gbn.jpg</t>
  </si>
  <si>
    <t>من کی رئیس جمهور شدم؟🤔😱 😂😂😂😂 #رئیس_جمهور #روحانی #روحانی_بجنب #سوال_از_رییس‌جمهور</t>
  </si>
  <si>
    <t>#رهبر_انقلاب در دیدار #رئیس_جمهور و اعضای هیئت دولت: "... در زمینه #اقتصاد باید قوی، پرحجم و باکیفیت کار کرد و(*مسئولان اقتصادی در حل مشکلات باید شب و روز نشناسند*)...." دقیقا👌... مسئولین ماهم شب وروز رو نمیشناسن... قبول ندارید؟؟؟؟....</t>
  </si>
  <si>
    <t>دامپزشكي شغلم و زندگي در دنياي حيوانات عادتم.</t>
  </si>
  <si>
    <t>اوج بدبختي ملت اونجايي شروع ميشه كه به #مشكلات_اقتصادي ميخندن؛اين نشون ميده چقدر سريع عادي ميشه همچي برامون! #گراني #روحاني #دلار۱۲۰۰۰تومنی #پراید_چهل_میلیونی</t>
  </si>
  <si>
    <t>Abolfazl.dvm</t>
  </si>
  <si>
    <t>https://pbs.twimg.com/media/DlxcL3BWwAAwfd-.jpg</t>
  </si>
  <si>
    <t>حرافی و صرافی #سوال_از_رییس‌جمهور #روحاني</t>
  </si>
  <si>
    <t>رسیدن از اقتدارِ موشکی به دغدغه ی پوشکی توصیفِ حالِ ما در دورانِ #روحانی‌مچکریم است. #اصلاح‌طلبان #روحانی #خاندان‌لاریجانی #لیست‌امید #جمنا #شورای‌نگهبان #بیت #حوزه #قوای‌فاسده</t>
  </si>
  <si>
    <t>Cane Of Moses</t>
  </si>
  <si>
    <t>‏‏دائما در حال یادگیری همه چیز</t>
  </si>
  <si>
    <t>Toronto, Ontario</t>
  </si>
  <si>
    <t>میگن چرا به #روحاني رای دادید. میگیم واسه اینکه مدیریتش تو دور اول خوب بود بعدم گزینه ی بهتری مگه داشتیم؟ میگن حداقل رای نمیدادید #رئیسی میومد تا اوضاع خراب تر بشه بلکه این نظام بپوکه. میگم خب الان اوضاع داغونه و به خواسته تون رسیدید, دیگه از چی شاکی هستین؟</t>
  </si>
  <si>
    <t>دال.نون</t>
  </si>
  <si>
    <t>‏‏‏هنوز هیچی!</t>
  </si>
  <si>
    <t>چرا که نه گاییدن اخوند هم یه عملیات هست #چالش_دعوت_به_عملیات #تز_ایرانارشیسم #براندازنما #صیغه_یعنی_جندگی #روحانی #مشهد_تايلندتشيع #یاامام_مکان</t>
  </si>
  <si>
    <t>Rozhban Iranarchist</t>
  </si>
  <si>
    <t>بزرگترین دست آورد دولت #روحانی چرخش و تغییر جهت مردم از احترام به حضرت شاه عبدالعظیم و سایر حضرات به سمت.....؟ حضرت #لندکروز و حضرت #بنز و سایر حضرات از این دست بوده که به عقیده من تحولی بزرگ در مردم بود .</t>
  </si>
  <si>
    <t>Reza.Em</t>
  </si>
  <si>
    <t>اون بیست تا نماینده ایی که دیروز در جلسه ی طرح سوال رییس جمهور ،غایب بودند ،چه کسانی بودند و چه کار مهم تری داشتند ؟ #سوال_از_رییس‌جمهور</t>
  </si>
  <si>
    <t>‏‏‏‏‏ادیبی معاصر با شما که سیاست را دنبال میکنم اما سیاسی کاری نه I'm a contemporary literary with you that i keep track of politics But I do not deceive anyon</t>
  </si>
  <si>
    <t>https://twitter.com/isfahan_sa/status/1034802994422931456</t>
  </si>
  <si>
    <t>رهبری #مبارزه_با_مفسد و بستن منافذ فساد را نیازمند هوشمندی مدیران دستگاههای دولتی دانستند و با اشاره به قضایای ماههای اخیر بازارسکه و ارز خاطرنشان کردند: اگرچه درخصوص این قضایا توجیهاتی بیان شد اما به هرحال بی‌توجهی و غفلت مدیریتی نیز رخ داده است. #ساکتین_مجلس #سوال_از_رئیس‌جمهور RT @isfahan_sa: رهبری در تبیین مدیریت اقتصادی: «باز کردن میدان برای فعالان سالمِ اقتصادی و جوانان مبتکر و پرتلاش و برطرف کردن موانع و بهبود فضای کسب و کار» و همچنین «بستن منافذ فساد و برخورد با مفسد» دو رکن مهم مدیریت اقتصادی کشور است. +حضرات #ساکتین_مجلس، اگه دولت رو اینکاره نمی بینن، برخوردکنن</t>
  </si>
  <si>
    <t>🇮🇷مهرسانا🇮🇷</t>
  </si>
  <si>
    <t>https://t.me/solidarity_ir</t>
  </si>
  <si>
    <t>‏‏همبستگی یعنی جمع شدن کنار هم در یک نقطه،نه دسته دسته شدن در گروه های مختلف که البته همه یک هدف دارند و آنهم آزادی ایران است. ‎‎#همبستگی_ملی هدف ماست</t>
  </si>
  <si>
    <t>iran.qom</t>
  </si>
  <si>
    <t>https://pbs.twimg.com/media/DlxejsjU0AEr-6S.jpg</t>
  </si>
  <si>
    <t>یارو دو ماه تفریحی میزنه، معتاد میشه. شما از دی ماه پارسال دارید تفریحی #براندازی میکنید، ولی هنوز معتاد و #براندازم نشدید. فعلا دارید تفریح میکنید. #روحانی زر میزنه عکس العمل نشون میدید. وزیر جاکش ...مفت میخوره عکس العمل نشون میدی. #شما_اهل_عکس_العملید_نه_عمل</t>
  </si>
  <si>
    <t>انجمن ملی همبستگی ایران</t>
  </si>
  <si>
    <t>رسانه ای، علاقمند به مطالعات جامعه شناختی/ يَا مَنْ قَرَّبَني وَ أَدْناني</t>
  </si>
  <si>
    <t>نظر #روحانی در خصوص نوسانات قیمت #ارز و سکه و طلا و اجناس: مشکل عدم مشورت، خودشیفتگی، عدم استفاده از ابزار علمی برای اداره کشور و بی‌ثباتی‌ها است.</t>
  </si>
  <si>
    <t>دونده</t>
  </si>
  <si>
    <t>https://roozportal.com/?p=17429</t>
  </si>
  <si>
    <t>آیت الله #خامنه_ای از #دولت خواست در #برجام و اقتصاد از #اروپا قطع امید کند  #روحانی #تحریم #اتحادیه_اروپا</t>
  </si>
  <si>
    <t>‏‏‏‏Photographer Religious Lawyer Editor in Chief Follow=follow</t>
  </si>
  <si>
    <t>ثوابِ محبوبتون چیه؟ #من_کنت_مولاه_فهذا_علی_مولاه #به_عشق_علی #سانسور_رهبری #سوال_از_رییس‌جمهور</t>
  </si>
  <si>
    <t>nimche</t>
  </si>
  <si>
    <t>https://twitter.com/Pardis1998/status/1034340328369741824</t>
  </si>
  <si>
    <t>و اینگونه بود که تندیس #ماله_بلورین بالای سر بعضی فضله های ملت به پرواز در اومد! (شرمسارم) #سوال_از_رییس‌جمهور RT @Pardis1998: مظنه کنترات یه ساعته "احسنت" چند؟؟؟ #سوال_از_رئیس_جمهور</t>
  </si>
  <si>
    <t>‏‏‏﷽ ‏‏یه طلبه... .فقط همین</t>
  </si>
  <si>
    <t>Poriya996</t>
  </si>
  <si>
    <t>معتقد به جمهوری اسلامیم رهبربایدهرده سال با رفراندم ابقا بشه لزومی نداره رهبرنایب!باشه دشمن مجاهدهای خاین اصولگراهای وحشی وعرزشی های احمقم هرکس هم مراممه فیوکنه</t>
  </si>
  <si>
    <t>Minneapolis, MN</t>
  </si>
  <si>
    <t>شنیدین نهایتا اقای #بطحایی روز سه شنبه قراره #استیضاح بشن از مجلس میخواهیم به روابط وزیر مربوطه با کشور و سفیر روسیه هم رسیدگی کنن و به علت عشق و علاقه ایشان به کشور مذکور رو پیدا کنن وزیر نام برده #ایران اونقدر عاشق روس و زبان روسی هستند که گویا دست نشانده و اجیرشده اجنبی هستش</t>
  </si>
  <si>
    <t>barbarossa</t>
  </si>
  <si>
    <t>مرا بخوان به كاكتوس ماندن....🌵🌵🌵 وي اصلاح طلب سرسختي بود كه اكنون هيچ اميدي به اصلاح ندارد. ورود براي عموم به جز مجاهدين، بلامانع مي باشد.</t>
  </si>
  <si>
    <t>زیر سایه برج بلند دموکراسی</t>
  </si>
  <si>
    <t>به نظر من،مجلسى ها به جاى #سوال_از_رئيس_جمهور و عملكرد يك سال گذشته، بايد روح خمينى رو احضار مى كردن و درباره اين ٤٠ سال نكبتى ازش سوال مى پرسيدن!</t>
  </si>
  <si>
    <t>ذليل الرعايا</t>
  </si>
  <si>
    <t>https://pbs.twimg.com/media/DlxgPsfX0AAF1FO.jpg</t>
  </si>
  <si>
    <t>دوستان عزیز دلتون بسوزه یکجا اینهمه پراید ۴۰ میلیونی دیده بودید. فعلا که باید آرزو داشتنشو بگور ببرم. #پراید #پراید_چهل_میلیونی #دولت #سوال_از_رییس‌جمهور</t>
  </si>
  <si>
    <t>✌</t>
  </si>
  <si>
    <t>علوی وزیر اطلاعات از مدیریت دو تابعیتی ها جلوگیری کردیم اگر مدیر دو تابعیتی بشناسیم برای برکناری او اقدام میکنیم.ده ها #جاسوس را در نهاد های مختلف شناسایی کرده ایم.در کابینه یکی از دشمنانمان ما #جاسوس داشتیم. قربون دستت یه سر هم به #روحانی بزن</t>
  </si>
  <si>
    <t>👣</t>
  </si>
  <si>
    <t>اون روز داشتیم داخل خروشان باعراقی ها انگلیسی صحبت میکردیم میگفتن iran’s money like shit ای خاعک تو سر #روحانی همینقد تباهیم</t>
  </si>
  <si>
    <t>‏مرغ باغ ملکوتم نی ام از عالم خاک چندروزیست قفسی ساخته اند از بدنم</t>
  </si>
  <si>
    <t>_مسولان اقتصادی در حل مشکلات شب روز نشناسند . پیرو این رهنمود، اولین تدبیر مسولان کمپین نخریدن خودرو و طلا و ارز است . بله درست حدس زدید این هم کار خودشونه. #سوال_از_رئیس‌جمهور</t>
  </si>
  <si>
    <t>Unbeliever</t>
  </si>
  <si>
    <t>https://pbs.twimg.com/media/DlxhOCTW4AAMe33.jpg</t>
  </si>
  <si>
    <t>قرار بود هم چرخ سانتریفیوژ بچرخد هم چرخ زندگی مردم #سوال_از_رئیس‌جمهور #روحانی</t>
  </si>
  <si>
    <t>#لاریجانی بازیگری نیست که به این راحتی ها ببازد و #روحانی نیز رییس جمهوری نیست که لاریجانی ها بتوانند خللی به او وارد کنند. بازنده کسانی اند که در حال سقوط از رسیمانی که یک سرش قبلا دست لاریجانی بوده دارند به پایان یک بازی را نگاه میکنند. #ایران_آینده</t>
  </si>
  <si>
    <t>در آوردگاه زمین چاره ای جز مبارزه نیست، گاهی به خون گاهی به قلم</t>
  </si>
  <si>
    <t>https://pbs.twimg.com/media/DlxhzC9X4AIVyEe.jpg</t>
  </si>
  <si>
    <t>بعد از کاپشن #احمدی_نژادی در دولت از #پنکه ی #روحانی رونمایی شد. یک #رییس_جمهور همیشه کاپشن می پوشید یک ربیس جمهور همیشه پنکه همراه داره.</t>
  </si>
  <si>
    <t>ساراس جنگاوری بدوی</t>
  </si>
  <si>
    <t>إنني هداني ربي إلى صراط مستقيم دينا قيما ملة إبراهيم حنيفا وما كان من المشركين...ان صلاتی و نسکی و محیای و مماتی لله رب العالمین</t>
  </si>
  <si>
    <t>#بانک_مرکزی #همتی اعلام کرده که #اجاره بهای #مسکن در #تهران از مرداد پارسال تا مرداد امسال ۱۴.۱ % افزایش یافته است.از دادن فحش های رکیک متناسب به این #دروغ گویان در اینجا معذوریم.خودتان اگر تنها هستید هر فحشی میخواهید نثار همتی و #سیف اختلاسچی و #روحانی عهدشکن و #خامنه ای... کنید</t>
  </si>
  <si>
    <t>Arash Hooshmand</t>
  </si>
  <si>
    <t>یک پوستی ساده</t>
  </si>
  <si>
    <t>سوال یک:آیاحسن روزانه ریشهاشورنگ میکنه؟درصورت مثبت بودن پاسخ روزانه چقدرزمان صرف این پروسه میکنه؟(دونمره) #روحاني</t>
  </si>
  <si>
    <t>Afshin Sadighha</t>
  </si>
  <si>
    <t>pic.twitter.com/T8VaeOoDjg</t>
  </si>
  <si>
    <t>🎥فیلم/ واکنش ها در توییتر به سخنان #روحانی در #مجلس 🔹کلیشه ای و بی نتیجه برای مردم قسمت اول</t>
  </si>
  <si>
    <t>موقع جلسه دیروز مجلس همش منتظر بودم یکی دیگه از دختران مظلوم وزرا و وکلای ملت رونمایی بشه که نشد #سوال_از_رئیس‌جمهور</t>
  </si>
  <si>
    <t>باریستایی خسته، آشپزی نیمه وقت،روزنامه نگار سابق، عکاسی بی چشم انداز . عرزشی⛔️.فدایی⛔️.برانداز ⛔️ اعصاب ندارم</t>
  </si>
  <si>
    <t xml:space="preserve">پشتتم بر نگرد </t>
  </si>
  <si>
    <t>https://twitter.com/yaghma_fashkham/status/1034777875617120257</t>
  </si>
  <si>
    <t>اگر این موضوع صحت داشته باشد چقدر #رییس_جمهور #دموکراسی را خوب بلد است و چقدر «#مجلس در راس همه امور است» خدا روشکر که #اصلاح_طلب هستم والا خودم را از جای بلندی به پایین پرت می کردم #من_انتخاب_نکردم RT @yaghma_fashkham: روز گذشته #علی_مطهری قبل از حضور #روحانی در مجلس، با او دیدار داشته و پیام فراکسیون امید را به وی منتقل کرده اما روحانی در جواب گفته؛ "مهم نیست رای ندهند" پیام فراکسیون این بود که اگر رییس جمهور اگر شفاف درباره مشکلات کشور و دست های پنهان حرفی نزند به او رای نخواهند داد/سازندگی</t>
  </si>
  <si>
    <t>ابوالمشاغل خسته</t>
  </si>
  <si>
    <t>#مطهری خطاب به #روحانی درباره جلسه سوال از رئیس جمهور گفته #فراکسیون_امید تصمیم گرفته اگر رئیس جمهور صریح و شفاف درباره موانع و مشکلات و دست های پنهان در شرایط امروز سخن نگه به پاسخ هاش رای نده پاسخ رئیس جمهوری این بود: مهم نیست رای ندهند همینقد دایورت چرا؟ #علی_لاریجانی ^__^</t>
  </si>
  <si>
    <t>#روحاني در مجلس:امیدوارم بتوانم توصیه هایه رهبری را رعایت کنم. روحانی درمجلس درجواب شرط فراکسیون امید(نماینده مردم)برای حمایت:مهم نیست رای ندهند اهمیت مردم و رایشونو کاملا میشه درون سخنان رییس جمهور درک کرد.</t>
  </si>
  <si>
    <t>#خامنه‌ای گفته جلسه نمایش اقتدار بوده. آقای @mah_sadeghi صادقی تشریف بیارید در مورد جلسه با #روحانی کژژ بدید. من شخصاً #دلار در‌پاکت می‌دهم به نماینده‌ای که جرأت داشته باشه کژژ بده از این لحظه به بعد...</t>
  </si>
  <si>
    <t>#روحاني روحانی: ۸۴ تا ۹۱ اشتغال خالص ما ۱۰,۰۰۰ نفر بوده و در طول ۵ سال گذشته ۲.۵۰۰.۰۰۰ نفر است! حسن به شعورآدم هاتوهین نکن،حسن خطرناکه</t>
  </si>
  <si>
    <t>‏اهل هنر-فیلم-رسانه و ورزش</t>
  </si>
  <si>
    <t>https://pbs.twimg.com/media/DlxjjuHWwAAgWqO.jpg</t>
  </si>
  <si>
    <t>معلومه #روحانی از اونایی بوده که بچگی هاش باباش نمی گذاشته دست به کلید کولر بزنه الان هرجا میره با# پنکه میره</t>
  </si>
  <si>
    <t>ali_mirzadeh</t>
  </si>
  <si>
    <t>اینجور که مقام معظمتون از #روحانی دفاع کرد یکجورایی منظورش این بود که #دلار دوازده هزار تومانی و گرانی و چهار برابر شدن قیمت برخی اجناس اصلن اهمیتی نداشت براش. #خامنه‌ای ملت دارن میمیرن</t>
  </si>
  <si>
    <t>در مسیر اربعین...</t>
  </si>
  <si>
    <t>امروز تو #مجلس بحث مناطق ازاد به میان آمد ما الان چندتا منطقه ازاد داریم؟ آیا به اهدافمون در این مناطق قبلی رسیدیم که میخواییم مناطق جدید افتتاح کنیم قصد انتقال علم و فناوری از این مناطق بود اما الان بیشتر جنس بدون گمرک تو چشمه #مناطق_آزاد</t>
  </si>
  <si>
    <t>خانم مُفرد</t>
  </si>
  <si>
    <t>بعضی نمایندگان #مجلس شده‌اند مثل بچه‌ای که تازه دکمه بالا و پایین شیشه ماشین را یاد گرفته است. خوششان آمده و پشت سر هم دکمه #استیضاح را فشار می‌دهند. به جز #بطحایی که استیضاحش اعلام وصول شد عده‌ای برای استیضاح #رحمانی‌فضلی، #شریعتمداری و #آخوندی هم تلاش می‌کنند.</t>
  </si>
  <si>
    <t>Hossein mehrzad</t>
  </si>
  <si>
    <t>‏آنکه بی باده کند جان مرا مست کجاست؟</t>
  </si>
  <si>
    <t>ISF, I. R. Iran</t>
  </si>
  <si>
    <t>میدونی معنی دقیق دو هفته ای میتونم درستش کنم اما نمی کنم چیه؟ یعنی دو هفته ای بدترش هم میتونم بکنم... پس خیلی به پر و پام نپیچین #سوال_از_رییس‌جمهور @Rouhani_ir @HassanRouhani</t>
  </si>
  <si>
    <t>M.Milani</t>
  </si>
  <si>
    <t>‏‏‏‏‏‏‏‏‏‏‏‏‏‏‏‏‏‏گور پدر نشئگیِ بعد التماس⁦</t>
  </si>
  <si>
    <t>مکان دارم</t>
  </si>
  <si>
    <t>معظم له در دیدار امروز با هیات دولت جلسه علنی مجلس و #سوال_از_رئیس‌جمهور و قانع نشدن نمایندگان رو بسیار خوب و «اوج اقتدار نظام» دانستند، حالا که اینطوره چطوره برای نشان دادن عظمت و اقتدار هر چه بیشتر نظام خودشون هم به مجلس برن و در مورد عملکرد ۴۰ سالشون پاسخگو باشن.</t>
  </si>
  <si>
    <t>شوهرآهوخانم</t>
  </si>
  <si>
    <t>اصلاحطلب/زخمی۸۸/عاشق وطن/دنبال حقیقت و بحث منطقی/ ‏‏دنیای سیاست و اقتصاد ثابت نیست حرکت نکردن و یاد نگرفتن یعنی حذف شدن/ دکمه فالو گازت نمی گیره رفیق</t>
  </si>
  <si>
    <t>https://pbs.twimg.com/media/DlxnDsYXgAEBsCj.jpg</t>
  </si>
  <si>
    <t>ز غوغای جهان فارغ #عارف #روحانی #اصلاح_طلبان</t>
  </si>
  <si>
    <t>🇮🇷 تحلیل گر بانک گرینگاتز</t>
  </si>
  <si>
    <t>Do you believe in love at first sight or do I have to walk by again??</t>
  </si>
  <si>
    <t>https://pbs.twimg.com/media/DlxnPGlWsAYf3Nm.jpg</t>
  </si>
  <si>
    <t>⚠️ صحبت بر سر حسن روحاني نيست. سوال اين است اين چه جرياني است كه همواره #منتخبين_ملت را تحقير ميكند و آرزويش #گرسنگي_ملت است تا جمهوريت، دموكراسي و اراده ملت در اين كشور هرگز قدرت نگيرد! #ایران #Iran #ازادی #مجلس #عدالت #دولت_پنهان #دموکراسی</t>
  </si>
  <si>
    <t>My❤Love</t>
  </si>
  <si>
    <t>شخصیت محبوب ومبارز مردم دلیر فارس که تا به آخر جنگید ودر 25بهمن 62به شهادت رسید #براندازم</t>
  </si>
  <si>
    <t>semirom</t>
  </si>
  <si>
    <t>جهانگیری</t>
  </si>
  <si>
    <t>https://pbs.twimg.com/media/Dlxn6_6WwAAAkwp.jpg</t>
  </si>
  <si>
    <t>. بدون اپوزوسیون میلیونی #ری_استارت رژیم عوض نخواهد شد... #روحاني #استیضاح #جنگ #ری_استارت_تنها_راه_نجات #interview_Restartleader #Seyed_Mohammad_Hosseini #Restart_Opposition @restartleader</t>
  </si>
  <si>
    <t>شگرد روباه بنفش آخوند #روحانی دربکارگیری «آمار درمانی» و شانتاژ برای سرپوش گذاشتن بر سر بحرانهای نظام آخوندی برای پاسخ گویی به باندهای رقیب در مجلس آخوندی به اعتراف ناگزیربه ریشه بحران که بحران سرنگونی در شعله‌ورشدن قیام دیماه ۹۶بود #قیام_تاسرنگونی #ايران #براندازم</t>
  </si>
  <si>
    <t>ahang_baharmast</t>
  </si>
  <si>
    <t>Ernesto Che Guevara</t>
  </si>
  <si>
    <t>Finland</t>
  </si>
  <si>
    <t>یه حس غریبی به من میگه #رهبر هم از تضعیف #روحانی بدش نمیاد. نه به خاطر مردم ، بلکه #رهبری_آینده هم خودش جای بحث داره. فقط یه جا هنوز برام گنگ هست : (( فاصله توقعات #مجلس با شرایط #دولت خیلی زیاده))</t>
  </si>
  <si>
    <t>کلبه تنهایی</t>
  </si>
  <si>
    <t>https://pbs.twimg.com/media/DlxqL7cUYAAZjW7.jpg</t>
  </si>
  <si>
    <t>اوج ذلت است #منتخب_ملت عنان اختيار را به دست #نماينده_دوم_شهرستان_قم داده و او هم به هر طريق که بخواهد بازيش دهد #روحانی #لاريجانی</t>
  </si>
  <si>
    <t>https://hesamfatemi.blogspot.nl/</t>
  </si>
  <si>
    <t>‏‏‏‏‏‏ ‏Mechanic Engineer/ Researcher/Always learning/ به علم و صلح باور دارم و از آن ها لذت می برم</t>
  </si>
  <si>
    <t>pic.twitter.com/FWICePcFmg</t>
  </si>
  <si>
    <t>وزیر محترم آقای @azarijahromi شما چندین بار اعلام کرده اید که مسئله ی فیلترینگ از اختیارات شما خارج است . آیا در زمانی که آقای #روحاني در کنار شما در حال فریاد زدن بود که دست شما روی #فیلترینگ نخواهد رفت ؛ از اختیارات قانونی خود اطلاع نداشته اید؟!!! #شفافیت</t>
  </si>
  <si>
    <t>Hesam Fatemi</t>
  </si>
  <si>
    <t>عضو ‏حزب اعتماد ملی</t>
  </si>
  <si>
    <t>روحانی گفته حمایت فراکسیون امید را نمی خواهد. او در پاسخ به مطهری که حامل پیام فراکسیون به عنوان شرط حمایت از او در مجلس بوده می‌گوید "مهم نیست" گویا #روحانی هم نا امید شده!</t>
  </si>
  <si>
    <t>محمدرضا ابراهیمی</t>
  </si>
  <si>
    <t>http://www.factnameh.com/</t>
  </si>
  <si>
    <t>Iran's first political #factchecking website | فکت‌نامه اولین سایت #درستی‌سنجی سیاسی با تمرکز بر ایران است. | http://t.me/factnameh</t>
  </si>
  <si>
    <t>https://pbs.twimg.com/media/DlxrmyvXgAADSEL.jpg</t>
  </si>
  <si>
    <t>https://factnameh.com/fact-checks/2018-08-29-rouhani-jobs.html</t>
  </si>
  <si>
    <t>اگرچه ارقام ارائه شده از سوی حسن #روحانی، چندان دور از آمارهای رسمی نیستند، اما توجه به جزئیات نشان می‌دهد این آمار دقیق نیستند. گفته‌ی: «در طول ۵سال گذشته آمار اشتغال خالص، ۲ میلیون و ۷۰۰هزار شغل بوده است» نشان نادرست می‌گیرد👇  @Rouhani_ir @PadDolat</t>
  </si>
  <si>
    <t>FactNameh | فکت‌نامه</t>
  </si>
  <si>
    <t>آیت‌الله خامنه‌ای فرموده‌اند که جلسۀ سؤال از رئیس جمهور نمایش اقتدار و ثبات بود. بله! حقیقتاً نمایش بود. نمایشی از وقاحت در معنای واقعی کلمه! #سوال_از_رئیس_جمهور #روحاني</t>
  </si>
  <si>
    <t>Der Butt</t>
  </si>
  <si>
    <t>https://pbs.twimg.com/media/Dlxsu7WU0AEwkev.jpg</t>
  </si>
  <si>
    <t>وقتی که حرفهای روحانی حرص آدم را در می آورد . #اصلاحات #روحانی #دروغگو #دروغ</t>
  </si>
  <si>
    <t>Seyed Ali Mahmoody</t>
  </si>
  <si>
    <t>کارشناس شیلات،دانشجوی مهندسی اجرایی عمران،جانبازوعضو فعال اعتدالگران ،ریاست ستادجوانان روحانی،عضو کمیسیون محیط زیست شورای شهر،دبیر کانون دوستداران محیط زیست شهر</t>
  </si>
  <si>
    <t>سنگ زیرین آسیاب #انقلاب_خط_امام به نوبت شهید #مظلوم_بهشتی شهید #هاشمی_رفسجانی دکتر #روحانی #روحانی_تنها_نیست</t>
  </si>
  <si>
    <t>ferdos amirkhanloo</t>
  </si>
  <si>
    <t>http://www.rouberou.ir</t>
  </si>
  <si>
    <t>#علی_لاریجانی : حرکت از نظام ریاستی به سوی #نظام_پارلمانی به نوعی منظم تر شدن ساختار کشور است، البته وضع موجود هم محسنات زیادی دارد و اشکالی ندارد خبرگزاری مهر/۳۰ مهر ۱۳۹۰ #استیضاح</t>
  </si>
  <si>
    <t>nima raad</t>
  </si>
  <si>
    <t>‏‏‏آی تی مَن، برنامه نویس، طراح جواهر، سبزی هم پاک می کنم. آذری هستم نه تُرک.</t>
  </si>
  <si>
    <t>همین الان که این متنو میخونید، توی تهرانی که آقای #روحانی زندگی میکنه امواج دریا بیداد میکنه و دمای هوا 15درجه سانتیگرادِ، دلار هم 1000 تومنه.</t>
  </si>
  <si>
    <t>Emir Salehi</t>
  </si>
  <si>
    <t>رهبری با انتقاد از بی رغبتی دولت به استفاده گسترده از ظرفیت وسیع بخش خصوصی گفتند: اجرای صحیح و کامل سیاستهای اصل ۴۴ و استفاده از تجار، تولیدگران، صنعتگران، قطعه سازان و دیگر اجزای بخش خصوصی در مدیریت اقتصادی و پیشرفت کشور قطعاً مؤثر خواهد بود. #سوال_از_رئیس‌جمهور #ساکتین_مجلس</t>
  </si>
  <si>
    <t>زندگي فاصله آمدن و رفتن ماست شايد آن خنده كه انروز دريغش كرديم آخرين فرصت خنديدن ماست زندگي همهمه مبهمي از رد شدن خاطره هاست هر كجا خنديديم، زندگي آنجاست...</t>
  </si>
  <si>
    <t>pic.twitter.com/WMBxFycTn5</t>
  </si>
  <si>
    <t>⭕️کلیپ جدیدی که #وزارت_خارجه_آمریکا در مورد رونمایی #روحانی از #جنگنده_کوثر منتشر کرده و انرا از قول کاربران #توییتر به سخره گرفته است.</t>
  </si>
  <si>
    <t>Yasmin</t>
  </si>
  <si>
    <t>‏‏‏‏مرد باش فالو کن توییت کنم بفرستمت به شقراهه اینجا ساخته ی کصشعرای ذهن خودمه</t>
  </si>
  <si>
    <t>https://pbs.twimg.com/media/Dlxu9HlX4AAdbHy.jpg</t>
  </si>
  <si>
    <t>تو بچه بودی ماچت می کردم حالا واسه من شاخ شدی پلشت #علی_مطهری #مجلس</t>
  </si>
  <si>
    <t>شقناک</t>
  </si>
  <si>
    <t>آقای #روحانی با سخنرانی خود در #مجلس (6 شهریور 1397) نشان داد نه تنها از تهدید شدن به #ترور واهمه دارد، بلکه نگران است تا بعد از تمام شدن دوران ریاست جمهوری اش، به مهره ی سوخته ای در این #نظام سراسر نکبت تبدیل شود.</t>
  </si>
  <si>
    <t>Amirhosein Zahedi</t>
  </si>
  <si>
    <t>http://instagram.com/shoma.rasane</t>
  </si>
  <si>
    <t>‏‏‏‏‏‏‏‏‏‏پایگاه خبری «شمارسانه» / ‏با یک تلفن هوشمند «شما» بزرگترین «رسانه» جهانید / ‎‎‎‎‎‎‎‎#اجتماعی ‎‎‎‎‎‎‎‎‎‎‎‎‎#محیط‌زیست #اقتصادی</t>
  </si>
  <si>
    <t>https://pbs.twimg.com/media/Dlxv9N8WsAA-zsc.jpg</t>
  </si>
  <si>
    <t>#شمارسانه «قیمت اقلام اساسی در برخی از شهرهای ایران و درصد تغییرات نسبت به روز گذشته» امروز هفتم شهریور ۹۷ سکه بهار آزادی با افزایش مجدد قیمت به چهارمیلیون و پنجاه هزار تومان رسید و مرغ هم گرانتر شد. دلار نیز یازده هزارتومان است. #تورم #روحانی</t>
  </si>
  <si>
    <t>شمارسانه</t>
  </si>
  <si>
    <t>مهندس برق || الکترونیک و مخابرات دیجیتال || مازندرانی || خردادی || ناسیونال-سوسیالیست</t>
  </si>
  <si>
    <t>بعضی‌‌ها بر چه اساس و مبنایی انتظار افشاگری از #روحانی داشتند؟ چه پیش خود فکر میکنند؟ این شخص و تیم کارگزاران‌اش تا امروز اساسن چه قدم مثبتی برای ملت برداشته؟ یک نمونه فقط؟ ایشان و برادران‌شان هرچه ثروت و مقام و نفوذ دارند از بهره‌ی همین وضعیت موجود دارند، چرا باید خرابش کنند؟</t>
  </si>
  <si>
    <t>علی شباهنگ</t>
  </si>
  <si>
    <t>Ontario, Canada</t>
  </si>
  <si>
    <t>اقای روحانی شما که میگید میشه وضعیت دلار را درست کنید پس چرا انجام نمی دهید باید مردم بهتون التماس کنن یا اینکه نمیگذارن درستش کنید چون یک عده دارن پول به جیب میزنن مردم جواب می خواهند ونیازمند عمل کردن هستن نه وعده ووعید #روحانی</t>
  </si>
  <si>
    <t>Mary</t>
  </si>
  <si>
    <t>‏‏insta: nouri.seyamak ‏‏کاشکی زود تموم شه این حال بد یا با بردن یا با مردن... http://t.me/xHarfBot?start‎‎…‎</t>
  </si>
  <si>
    <t>tehran iran</t>
  </si>
  <si>
    <t>https://pbs.twimg.com/media/DlxxTfNXcAAG7z9.jpg</t>
  </si>
  <si>
    <t>بهت کارت قرمز میدم که دفعه بعد درست جواب بدی 😒😒 #روحاني</t>
  </si>
  <si>
    <t>Seyamak</t>
  </si>
  <si>
    <t>انان که به سر مستی ما طعنه زنانند بگذار بمانند به خماری که زما هیچ ندانند.</t>
  </si>
  <si>
    <t>حمایت امروز رهبری از دولت به معنی تایید دولت نیست بلکه احترام و پاسداری از رای ملت است. هیچکس به اندازه رهبران شیعه(از رسول الله و علی گرفته تا امروز) به خواست ملت در عمل احترام نگذاشته مابقی فقط حرف اش را زده اند. #سوال_از_رئیس‌جمهور</t>
  </si>
  <si>
    <t>سید داوود</t>
  </si>
  <si>
    <t>یاابالفضل العباس،یاقمربنی هاشم بدادمون برس،حسن گفته :" دولت استوارتر از همیشه به خدمت ادامه خواهد داد".یعنی رسمابدبخت شدیم متاسفانه استوارترازهمیشه،میفهمید؟ #روحاني</t>
  </si>
  <si>
    <t>http://www.voisfarsi.com</t>
  </si>
  <si>
    <t>‏توییتر رسمی صدای اسرائیل</t>
  </si>
  <si>
    <t>ישראל</t>
  </si>
  <si>
    <t>در #مجلس شورای اسلامی، دعوا بر سر اینکه آیا باید پرونده سؤال از رییس جمهوری به قوه قضاییه فرستاده شود یا خیر، ادامه داشت</t>
  </si>
  <si>
    <t>صدای اسرائیل</t>
  </si>
  <si>
    <t>طرح #استیضاح وزیر آموزش و پرورش روحانی اعلام وصول شد. در یک ماه گذشته دو وزیر کابینه استیضاح و از کار برکنار شده‌اند و قرار است وزیر صنعت، معدن و تجارت نیز در روزهای آینده استیضاح شود. در کنار این‌ها، محمدجواد ظریف نیز قرار است برای پاسخ به سؤالات نمایندگان در مجلس حاضر شود</t>
  </si>
  <si>
    <t>https://pbs.twimg.com/media/DkegT1KWsAAJJvN.jpg</t>
  </si>
  <si>
    <t>https://twitter.com/ali_akbari_ilya/status/1028967313733771264</t>
  </si>
  <si>
    <t>اگه بارون رو نزول بدبختی و بیکاری و گرسنگی و .... فرض کنی ، اینجوری هم میشه گفت که اونهایی که تو حاکمیت هستند رفتن زیر حفاظ و هرچه بارون بلا هست رو سر ملت نازل میشه. #ایران #جنگ #روحانی #خلیج_فارس #خزر #میرسدروزحساب #iran RT @ali_akbari_ilya: #حقیقت #ایران #جنگ #روحانی #خلیج_فارس #خزر #iran #war #شطرنج #شاه #گدا #مردم #دفاع #سرباز #ارتش #برجام #ننگ #ترامپ #مردم #مردم_ایران #مردم_علیه_احتکار #ایرانی #مقدس #ترس #مسئولین #نظام #بازی #مرگ</t>
  </si>
  <si>
    <t>homayoni</t>
  </si>
  <si>
    <t>https://pbs.twimg.com/media/Dlxz-DmWsAIeUIj.jpg</t>
  </si>
  <si>
    <t>رای روحانی تو مجلس از ابوطالب هم کمتر بود... #سوال_از_رییس‌جمهور</t>
  </si>
  <si>
    <t>Narges_parsa</t>
  </si>
  <si>
    <t>قوي ترين تخيل در بهترين وضعيت اين است ؛ #رهبري به دنبال مهار #روحاني در حال از دست دادن جبهه ي #مردمي. شكافي كه بعد از هر سخنراني عميق تر ميشود. چيزي شبيه به انچه غرب گرايان خوش باور به ان اعتقاد دارند ، تمجيد از كدخدا در بستر مهار امريكا!!!!</t>
  </si>
  <si>
    <t>ژِسوس خِسوس</t>
  </si>
  <si>
    <t>رهبر: میان انتظارات نمایندگان و واقعیات موجود، شکاف وجود دارد و باید پر شود، مهم آن است که آنچه اتفاق افتاد نمایشی با شکوه از قدرت جمهوری اسلامی و اعتماد به نفس مسئولان بود. دشمن از جلسه دیروز به دنبال اهداف دیگری بود، جلسه بسیار خوب #سوال_از_رئیس‌جمهور #ساکتین_مجلس</t>
  </si>
  <si>
    <t>http://Instagram.com/vahid_viator</t>
  </si>
  <si>
    <t>یا رب نفس بده</t>
  </si>
  <si>
    <t>آسمان مال من است</t>
  </si>
  <si>
    <t>https://pbs.twimg.com/media/Dlx1nJVX0AMbBh_.jpg</t>
  </si>
  <si>
    <t>ما تو خونمون #استخر داریم!! عمو جون مایو تو بیار یه تنی به #آب بزنیم😏 . #حسن_روحانى #علی_برکت_الله #لاریجانی #مجلس #استخرِ_فرح</t>
  </si>
  <si>
    <t>Vahiidb</t>
  </si>
  <si>
    <t>بنظرم کسانی که معتقدند #رهبری سیاست نمیدونه ، سخت در اشتباهند، چراکه ایشان در دو حرکت #روحانی رو #ضربه_فنی کردند؛ درحالی که دیروز به روحانی توصیه فرمودند که در #مجلس به پشت پرده علل و عوامل #فرادولتی #فساد و #قاچاق، نپردازند، امروز هم خودشون از عملکرد اقتصادی #دولت انتقاد کردند</t>
  </si>
  <si>
    <t>ماندانا پارسی نژاد</t>
  </si>
  <si>
    <t>همه باهم متفاوتیم🥂 از پشت کوه اومدم و متهیر از زندگی شما شهری‌ها هستم</t>
  </si>
  <si>
    <t>دروغ‌ آباد</t>
  </si>
  <si>
    <t>سلطان حوصله‌اش سر رفته بود...امر فرمودند سیرک میپسندند و آن شد که بر وزیر و وزرا لباس دلقک پوشانیدند و سیرک بسی بی مفهوم اجرا شد، سلطان هم که زمانش سپری شده بود، از مجریان سیرک تشکر نمود. #استیضاح #روحانی_خفه_شو #نمایندگان_مجلس</t>
  </si>
  <si>
    <t>⚜️ صدفم ⚜️</t>
  </si>
  <si>
    <t>http://etemadnewspaper.ir/</t>
  </si>
  <si>
    <t>فعلا خبرنگار ایلنا و روزنامه اعتماد هستم اما اونچه اینجا می‌نویسم، صرفا نظرات شخصی‌ست. correspondent at @ilnanews and @EtemadDaily</t>
  </si>
  <si>
    <t>https://pbs.twimg.com/media/Df_MkomXkAAgXV7.jpg</t>
  </si>
  <si>
    <t>https://twitter.com/KianpourAlireza/status/1008750354320814080</t>
  </si>
  <si>
    <t>نطق #فتحی که درآن #روحانی رابخاطرعدم افشای نقش #قوه_قضائیه ومقننه درمشکلات ونقش نمایندگان و #واعظی درانتصابات مقصردانسته بود،ناتمام ماند. دربخش«قرائت نشده»به نقش #دلواپسان_خراسانی در دی۹۶،#روحانیت،#مداحان وخطبای #نمازجمعه،شورایعالی انقلاب فرهنگی،#صداوسيما ،#نظامیان{و...}اشاره شده RT @KianpourAlireza: #فتحی كه دراعتراض به تبصره ماده۴۸آیین دادرسی(لیست۲۰نفره وكلای موردتایید رییس #قوه_قضائیه ) ازنمایندگی استعفاكرده،ازسال اول بافشار #لاریجانی ازعضویت دركمیسیون آموزش بازماند دراجلاسیه دوم بادرخواست تغییركمیسیونش مخالف شد پس ازمخالفت بااین درخواست درسال سوم،ازكمیسیون استعفا كرده بود</t>
  </si>
  <si>
    <t>Alireza Kianpour🇯🇵</t>
  </si>
  <si>
    <t>pic.twitter.com/B6v7AeS2Kp</t>
  </si>
  <si>
    <t>آیت‌الله خامنه‌ای: حضور روز گذشته حسن #روحانی در مجلس، نمایش اقتدار و ثبات جمهوری اسلامی بود</t>
  </si>
  <si>
    <t>اصولن ما طی هر فعالیت سیاسی، حتی وقتی پایمان را دراز می‌کنیم یا در حال بردن زباله‌ها دم درب هستیم، #اقتدار نظام را به نمایش گذاشته‌ایم ! #ایران #دولت_پنهان #ملت #رئیس‌جمهور</t>
  </si>
  <si>
    <t>‏‏‏‏‏‏‏‏‏‏‏‏‏گر تو گرفتارم کنی، من با گرفتاری خوشم¬¬¬ ‎‎‎‎‎‎‎‎‎‎‎‎#معتاد نیستم و قصد ‎‎‎‎‎‎‎‎‎‎‎‎#خودکشی هم ندارم¬¬¬ ‎‎‎‎#بسوی_بهار</t>
  </si>
  <si>
    <t>https://pbs.twimg.com/media/Dlx3KlkWwAA3tVx.jpg</t>
  </si>
  <si>
    <t>نمیدونم چرا اغلب مردم #نمایش_مشترک #سوال_از_رئیس‌جمهور در مجلس رو بسیار بد میدونن اما برخی اون رو #نمایش_اقتدار! کسی میدونه چرا 🤔</t>
  </si>
  <si>
    <t>معاون #روحانى در امور بين الملل در #دادگاه_لاهه بصورت تلويحى اذعان كرد كه ما گُه خورديم گفتيم #تحريمها اثرى نداره!!</t>
  </si>
  <si>
    <t>I am nothing, whitout he! **** Ph.D. student of public policy</t>
  </si>
  <si>
    <t>یکی به من بگه نتیجه ۵ سوال اقتصادی از رییس جمهوری دیروز در مجلس چه بود؟ چه سود و چه سودا! #سوال_از_رئیس‌جمهور</t>
  </si>
  <si>
    <t>⁦🇮🇷⁩ Dr.Ali Mohtashami</t>
  </si>
  <si>
    <t>تفاوت ديدگاه بين دو كشور تا كجا ... ترامپ ميگه اگه منو #استیضاح كنيد سهام سقوط خواهد كرد .... خامنه اى سوال از #روحانى رو كه در واقع باعث افزايش قيمت #ارز هم شد رو نشانه اقتدار نظام ميدونه !!!!! #اتاق_خبر</t>
  </si>
  <si>
    <t>https://www.jamaran.ir/fa/tiny/news-1000436</t>
  </si>
  <si>
    <t>کُد مهمی که #روحانی در جلسه مجلس به همه داد، چه بود؟</t>
  </si>
  <si>
    <t>در امید دیدن ایرانی شاد✌️ ایران رو پس میگیریم. #روحت_شاد_رضاشاه</t>
  </si>
  <si>
    <t>Denver, CO</t>
  </si>
  <si>
    <t>سال ۹۶: سطح استدلال این بود که با انتخاب #روحانی تو دهنی به بیت رهبری زده‌اند :)) روحانی هم آغاز حرفش گفت اومده توصیه‌های خامنه‌ای رو تاکید کنه :))</t>
  </si>
  <si>
    <t>🏳️Sharry (براندازم)</t>
  </si>
  <si>
    <t>در جوانی مارکسیست بودم ولی فهمیدم وعده ساختن بهشت، نتیجه ای جز دوزخ نخواهد داشت</t>
  </si>
  <si>
    <t>معاون پارلمانی #شهرداری_تهران با مجلس در مورد بازنشستگی #افشانی در حال مذاکره است. به گفته ایشان #شهردار_تهران در ردیف وزرا و معاونین #رییس_جمهور است و شامل قانون نمی شود!</t>
  </si>
  <si>
    <t>Reza Moshiry</t>
  </si>
  <si>
    <t>‏‏‏‏‏‏‏‏‏‏‏‏Student of Political Science ـ Follow=Follow توهیـــــــــن= بلــــــــــــاک</t>
  </si>
  <si>
    <t>دختر وزیر قبلی صنعت و معدن هم که به جرم #احتکار_دارو توسط دادستانی تهران احضار و بازداشت شده. #شبنم_نعمت_زاده دختر وزیر صنعت در دوره اول #روحانی بازداشت شده.این دولت مقصر اصلی همه بحرانهای اقتصادی #ایران در چندسال اخیره.به دارو هم رحم نمیکنن! سواستفاده انقد اخه؟!!</t>
  </si>
  <si>
    <t>Farhad</t>
  </si>
  <si>
    <t>#روحانی در تلاش برای حفظ #برجام است و رهبر‌ایران (#خامنه‌ای) می‌خواهد از افشاگری‌های روحانی و به وجودآمدن تنش جلوگیری کند روحانی خواستار‌ حمایت رهبر از برجام است و خامنه‌ای هم خواستار سکوت روحانی در برابر اقدامات نهادهای تحت‌‌نظارت‌ش مانند #سپاه است. در این میان مردم قربانی هستند</t>
  </si>
  <si>
    <t>https://pbs.twimg.com/media/Dlx7xfnXcAAw9LV.jpg</t>
  </si>
  <si>
    <t>https://rouhanimeter.com/2018/08/rouhani-jobs/</t>
  </si>
  <si>
    <t>درستی‌سنجی:‌ بررسی آمار حسن #روحانی درباره اشتغال خالص در طول پنج‌سال گذشته👇</t>
  </si>
  <si>
    <t>#استیضاح #وزیر_آموزش_و_پرورش، فقط آدرس غلطی‌ست که داده می‌شود. استیضاحی که اصلن در برنامه نبود و در بدترین زمان، قبل از شروع سال تحصیلی و زودتر از استیضاح وزرای #سمت و #راه_و_شهرسازی کلید خورد.شک نکنید با یک فرمان از دستور خارج میشود و همچنان شر دو وزیر بی‌لیاقت، رهایمان نمیکند</t>
  </si>
  <si>
    <t>Amin Amini</t>
  </si>
  <si>
    <t>#استنکاف_از_قانون یا #نقض_قانون یعنی فقط اگر لفظش در سوال بیاد قابل پیگیری توسط ق.ق خواهد بود؟!!! واقعاً اگر اینطور هست که خاک بر سر نظام دیوانسالاری کشور کنم که در آن هر نطفه خرابی هر بلایی بخواد سر مردم درمیاره و .... #سوال_از_رئيس_جمهور #لاریجانی #قوه_قضائیه</t>
  </si>
  <si>
    <t>‏‏امیدوار به نابودی تمام دیکتاتوری های دنیا ..</t>
  </si>
  <si>
    <t>توی مجلس یه قید قرعه وزیر #استیضاح می کنن؟ وزیر آموزش و پرورش؟! توی این شرایط اقتصادی؟!</t>
  </si>
  <si>
    <t>⁦🇮🇷⁩ فِرِنچ مَن ⁦🇫🇷⁩</t>
  </si>
  <si>
    <t>#روحانی به #مجلسی_ها گفت همه ما باهمیم!!!بله ما میدونستیم همتون باهمید بهت رای دادیم که ثابت بشه همتون باهمید. دیروز قابل ترحم بودی وقتی که دیدم برای بقا چه زردچوبه ای به خودت مالیدی و رنگ عوض کردی! اتفاقا باید بگم چون همتون باهمید باعث شدید ماهم به فکر بیفتیم که هممون باهم باشیم</t>
  </si>
  <si>
    <t>taher agaei</t>
  </si>
  <si>
    <t>هیچ و پوچ!</t>
  </si>
  <si>
    <t>سوال: آخوند خوب هم داریم؟ جواب: آره، قصاب طرفدار حقوق حیوانات هم داریم، نازی یهودی هم داریم، کوکلاس کلان سیاه پوست هم داریم. #روحانی</t>
  </si>
  <si>
    <t>نگاتیو</t>
  </si>
  <si>
    <t>روزنامه سازندگی خبر داده است که علی مطهری نماینده تهران در مجلس قبل از حضور روحانی در مجلس، با رئیس جمهوری دیدار داشته و پیام فراکسیون امید را به وی منتقل کرده بود اما پاسخ روحانی غیرمنتظره بوده. #مثل_شرق_دروغ_میگی #سوال_از_رییس‌جمهور #رشتو</t>
  </si>
  <si>
    <t>‏استان ‏‏‏سمنان</t>
  </si>
  <si>
    <t>استان سمنان</t>
  </si>
  <si>
    <t>عزیزانی که با هشتگ #سوال_از_رییس‌جمهور مزّه پَرونی کردید، تحویل بگیرید RT @Khamenei_fa: جلسه دیروز #مجلس،نمایش اقتدار و ثبات جمهوری اسلامی بود.خداوند به آقای رئیس جمهور و قوه مقننه خیر بدهد که مشترکا چنین اقتداری را نشان دادند. دشمن از جلسه دیروز بدنبال اهداف دیگری بود. البته میان انتظارات نمایندگان و واقعیات موجود شکافی وجود دارد که باید پر شود. #سوال_از_رئیس‌جمهور</t>
  </si>
  <si>
    <t>ریتوئیتر استان سمنان</t>
  </si>
  <si>
    <t>https://pbs.twimg.com/media/Dlx-J1sU8AAZVwp.jpg</t>
  </si>
  <si>
    <t>تو چهره #روحاني چي مي بينيد(لطفا نظرتون رو بنويسيد) !؟ #تظاهرات_سراسری #چالش_دعوت_به_تظاهرات #چالش_دعوت_به_عملیات #سانسور_رهبری #رهبری #تز_ايرانارشيسم #غدیری_ام #براندازم #براندازيم #اعتصابات_سراسری #ايران #ایران_را_پس_میگیریم #خارج_از_دید #گفته_نشده #به_عشق_علی</t>
  </si>
  <si>
    <t>https://instagram.com/ebrahimeskafi</t>
  </si>
  <si>
    <t>‏‏‏‏‏‏‏دانشجوی زبان‌شناسی مترجم، ویراستار و گاهی صفحه‌آرا و طراح جلد نشر شیرازه کتاب ما</t>
  </si>
  <si>
    <t>#روحانی پیشتر گفته بود #دانشگاه_پادگان_نیست اما بتدریج احکام سنگین برای دانشجویان عادی شد و نظامیان با لباس رسمی در نشست‌های سیاسی دانشگاه شرکت می‌کنند. دانشگاه عملاً پادگان شده است. به #بازداشت_دانشجویان معترضیم. #دانشجو_مجرم_نیست</t>
  </si>
  <si>
    <t>ابراهیم اسکافی</t>
  </si>
  <si>
    <t>روزنامه نگار، فعال فرهنگي و اجتماعي، دوستدار جامعه شناسي و محيط زيست و در گذشته مربي و واليباليست</t>
  </si>
  <si>
    <t>این هم از عجایب کشور ماست موضوع اصلی کشور حل مسائل اقتصادی است اما در آستانه بازگشایی مدارس وزیر آموزش و‌پرورش را #استیضاح میکنند #مافیای_کنکور RT @aliakrami6: مجلس برای حل #بحران_اقتصادی وزیر آموزش پرورش را #استيضاح می کند</t>
  </si>
  <si>
    <t>محمدرضا زمردیان</t>
  </si>
  <si>
    <t>#جمهوری_اسلامی و مسوولین آن مرگ بر شما مستولی شود ولی نه مرگ عادی. #روحانی #لاریجانی #خامنه‌ای #سپاه #فساد #فقر</t>
  </si>
  <si>
    <t>http://www.koosheh.com</t>
  </si>
  <si>
    <t>‏‏‏‏‏دانشجوی دکتری مهندسی عمران، مدیرعامل کوشه سازان مانا، و یک دلنگران، اما نه از جنس دلواپسی</t>
  </si>
  <si>
    <t xml:space="preserve">isfahan </t>
  </si>
  <si>
    <t>مجلس وزرا را #استیضاح میکند تا به مخاطب القا کند در بحرانهای اخیر نقشی نداشته است بهتر نیست به جای استیضاح و سوال، نمایندگان قوانین دست و پاگیر را حذف و قوانین ضد فساد وضع کنند؟ پ.ن از اتاق فرمان اشاره میکنند اقدام سلبی (استیضاح) راحت تر از اقدام ایجابی است! و البته کم‌اثرتر!!</t>
  </si>
  <si>
    <t>Mohsen Amoushahi</t>
  </si>
  <si>
    <t>امیدوار باش، تاریکی شب رفتنی است... در آرزوی ایرانی آزاد و مردمی با افکار آزاد.. براندازم. ✌️🏳️‍🌈</t>
  </si>
  <si>
    <t>ساکن رویای ناگزیرِ برابری و آزادی</t>
  </si>
  <si>
    <t>#یابو_سلیمانی مرید #روحانی شده. رهبر و روحانی نون به هم قرض میدن. چه خبره؟! یه سر به میوه‌فروشی و سوپرمارکت محل بزنیم همه چیز دستمون میاد! همه چیز 2 برابر چند هفته قبل! قیمتها سرسام آوره و توی شرایطی که دشمنان ما دست به دست هم دادن ما هنوز مرددیم! وقت یه کار اساسیه. #دیگر_بس_است</t>
  </si>
  <si>
    <t>شبپوش</t>
  </si>
  <si>
    <t>#خامنه‌ای یجور حرف میزنه که انگار ما نمیفهمیم بخاطر #اتحاد بین تندرو و میانه رو داره از #روحانی تعریف میکنه ابله هرکی ندونه ما میدونیم که شما چندوقت پیش تمام تیکه های دنیارو به روحانی مینداختی مثل مخاطب بایدها به تندروها میگفتی اتش به اختیارترسیدی گفتی بزار ازش تعریف کنم بگا نرم؟</t>
  </si>
  <si>
    <t>آخرین تانگو در ایران</t>
  </si>
  <si>
    <t>‏‏‏#‏‏‏امید_بذر_هویت_ما_ست 💚 تو ‎قاف قرار من و من ‎عین عبورم</t>
  </si>
  <si>
    <t>آقای #روحانی ببین چقدر آش رو شور کردی که صدای استاد #عارف رو هم در آوردی لامصب. به کجا چنین خرامان؟ @Rouhani_ir RT @ir_aref: انتظار اصلاح‌طلبان از آقای روحانی بیش از عملکرد فعلی ایشان بود که امیدواریم در سال دوم به بعد شتاب فعالیت‌های دولت بیشتر شود</t>
  </si>
  <si>
    <t>🇮🇷 عین قاف 🇮🇷</t>
  </si>
  <si>
    <t>https://pbs.twimg.com/media/DlyEHqxXsAEbzuJ.jpg</t>
  </si>
  <si>
    <t>پاسخ های #حسن_روحانی در #مجلس به #قوه_ی_قضاییه #ایران ارسال می شود. . روحانى #تهران #رژیم_ایرانی #استان #شهر #لاریجانی #فرسان_خبر</t>
  </si>
  <si>
    <t>گاهی #شاعر، گاهی نویسنده، گاهی #روزنامه‌نگار، گاهی اهل عرفان، گاهی سیاسی، گاهی دانشجو، بیشتر اوقات هم #دیوونه / دانشجوی علوم سیاسی دانشگاه فردوسی #شاهد_بنی_اسدی</t>
  </si>
  <si>
    <t>دختر وزیر سابق صنعت #روحانی هم بازداشت شد. جرم: #احتکار_دارو وقتی از اطرافیان #رانتخوار و #فاسد روحانی صحبت میکنیم از چه میگوییم؟</t>
  </si>
  <si>
    <t>شاهد بنی اسدی</t>
  </si>
  <si>
    <t>‏‏‏‏‏‏‏‏‏‏‏‏‏‏‏‏‏‏‏‏يك انسان ايرانى كه واسش مهمه اطرافش چه خبره.جواب خزعبل سکوت نیست، حتی خزعبل شما دوست گرامی.محترمى تا زمانى كه عقايدت رو به زور بهم تحميل نکن</t>
  </si>
  <si>
    <t>#رهبر_حقیر_عنقلاب : اینکه #روحانی می‌تواند بگوزد، از نشانه‌های #اقتدار_نظام است!</t>
  </si>
  <si>
    <t>⚐پرژن هيومن⚐</t>
  </si>
  <si>
    <t>آیت‌الله خامنه‌ای فرموده‌اند که جلسۀ سؤال از رئیس جمهور نمایش اقتدار و ثبات بود. بله! حقیقتاً نمایش بود. #سوال_از_رئیس_جمهور #روحاني</t>
  </si>
  <si>
    <t>مخالف براندازی، مخالف جنگ، منتقد حاکمیت</t>
  </si>
  <si>
    <t>استيضاح #بطحائي وزير آموزش و پرورش هم اعلام وصول شد! #روحاني: اينقدر #استيضاح كنيد كه استيضاح دونتون پاره بشه!</t>
  </si>
  <si>
    <t>نه به جنگ!</t>
  </si>
  <si>
    <t>♦️بیانیه کارگزاران خطاب به روحانی: 🔹مردم ایران گرچه همیشه آماده‌ی دفاع و مقاومت هستند اما همان‌طور که رئیس‌جمهور گفت «نه جنگ می‌خواهند و نه قحطی»./جماران پ.ن پیام های جهت دار هماهنگ ، ظاهرا موج جدیدی در راه است #مثل_شرق_دروغ_میگی #سوال_از_رییس‌جمهور</t>
  </si>
  <si>
    <t>‏‏‏‏‏خوب ببینم بدون ابا ریت می‌کنم. حق جو باشم بهتر است.</t>
  </si>
  <si>
    <t>ایران اسلامی</t>
  </si>
  <si>
    <t>جالبه روحانی می‌گفت، خود آقای روحانی که آب تو آسیاب دشمن میریزند... (جدا از تائید یا رد قضیه) یادش رفته چقدر امتیاز داده... #روحانی #فیضیه #مجلس</t>
  </si>
  <si>
    <t>سیدرضا</t>
  </si>
  <si>
    <t>•••«قولای بعضیام فقط آلودگی صوتیه😹💋»••• بله درست فهمیدین منظورم #روحانی بود🤣 #سوال_از_رییس‌جمهور</t>
  </si>
  <si>
    <t>زمان #استیضاح «بطحایی» در مجلس مشخص شد ‌ یوسف‌نژاد عضو هیئت‌رئیسه #مجلس: براساس مکاتباتی که با معاون پارلمانی وزیر آموزش و پرورش از سوی هیئت‌رئیسه مجلس داشته‌ام، مقرر شد نشست استیضاح آقای #بطحایی وزیر آموزش و پرورش، سه‌شنبه هفته آینده (13 شهریور) برگزار شود.</t>
  </si>
  <si>
    <t>چرا میگویند مجلس قانع نشد ! عددی عقدی با کینه ورزی از تفکرامام ومردم #خاتمی #میرحسین #هاشمی تمام قدآمده بودن با تخریب #روحانی ضرب نهایی را به کلید اصلاحات بزنند !هشتاد نفر مخالف درمجلس همان تفکری است ازدوران نخست وزیری #ميرحسين درمجلس ریشه کردن که نظرامام را ارشادی میدانستند</t>
  </si>
  <si>
    <t>‏‏‏‏‏‏‏‏‏‏‏‏‏‏خبرنگار سینمایی ‎‎‎‎‎‎‎#انصاف_نیوز یک عدد فعال دانشجویی ‎‎‎‎‎‎#امید_بذر_هویت_ماست 🌱</t>
  </si>
  <si>
    <t>https://pbs.twimg.com/media/DlyIABtXgAEUlbz.jpg</t>
  </si>
  <si>
    <t>آقای روحانی ما را یادت هست؟! دانشجویانی که شبانه روز از کف خیابان چهره به چهره برایتان رای جمع کردند، تا بشوید #رئیس_جمهور :) حالا امروز همان دانشجویان در راهروهای #دادسرا قدم می‌زنند و احکام ۷ ساله می‌گیرند! @Rouhani_ir #علی_برکت‌الله #بازداشت_دانشجویان #دانشجو_مجرم_نیست</t>
  </si>
  <si>
    <t>Roozbeh tavakoli</t>
  </si>
  <si>
    <t>همواره در «فراسوی سیاست» مي توان راهی به سوی آگاهی، معنا، اندیشه ورزی، روشنگری، و رهایی جست!</t>
  </si>
  <si>
    <t>Tehran - Iran</t>
  </si>
  <si>
    <t>جدایی حسن از عارف! #علی_مطهری قبل از حضور #روحانی در مجلس، با او دیدار داشته و پیام #فراکسیون_امید را به وی منتقل کرده است. پیام فراکسیون این بود که اگر رییس جمهور به طور شفاف درباره مشکلات کشور و دست های پنهان حرفی نزند به او رای نخواهند داد! روحانی گفته: "مهم نیست؛ رای ندهند!"</t>
  </si>
  <si>
    <t>Abbas Khalaji</t>
  </si>
  <si>
    <t>گفته میشود پیغام فراکسیون‌ امید را #علی_مطهری به #روحاني داده و جواب منفی دریافت کرده ، به نظر شما دلیل این کار چیست؟</t>
  </si>
  <si>
    <t>https://pbs.twimg.com/media/DlyJGgeWsAAEk3a.jpg</t>
  </si>
  <si>
    <t>http://goo.gl/KZ33gh</t>
  </si>
  <si>
    <t>انتظار شخص اول نظام از #رئیس‌جمهور، پرداختن به اقتصاد و همسویی با خود در سیاست خارجی است. #روحانی نیز می‌کوشد حداکثر همراهی پیشه کند. او همچون #رهبری، به مذاکره به #آمریکا «نه» می‌گوید، و تأکید می‌کند: «راه‌حل سیاسی پیش روی ما نیست.» لینک یادداشت:</t>
  </si>
  <si>
    <t>https://t.me/sadollahzarei</t>
  </si>
  <si>
    <t>‏‏‏استاد علوم سیاسی دانشگاه علامه طباطبایی و كارشناس مسائل بین‌المللی رییس مؤسسه مطالعات راهبردی اندیشه‌سازان نور</t>
  </si>
  <si>
    <t>#ایران از جنبه تهدید خارجی و تهدید اجتماعی، فرهنگی و امنیتی مشکل ندارد چه رسد به اینکه بحران داشته باشد، مشکل ایران، مشکل مدیریتی است. #روحانی #فصل_عمل</t>
  </si>
  <si>
    <t>سعداله زارعی</t>
  </si>
  <si>
    <t>https://pbs.twimg.com/media/DlyJ4_IXsAAnlon.jpg</t>
  </si>
  <si>
    <t>کولر لای پوشه #روحانی خوب کار میکرده #ولایتی گفته یه چرتی توو این هوای خوب بزنیم</t>
  </si>
  <si>
    <t>pic.twitter.com/REut4WRi3y</t>
  </si>
  <si>
    <t>هی من توضیح میدم هی کارت زرد میدن باز هی من توضیح میدم هی کارت زرد میدن #روحانی #مجلس #طنز #خنده</t>
  </si>
  <si>
    <t>alireza_khorram</t>
  </si>
  <si>
    <t>سادات #مجلس منو ببخشن... ( #روحانی در حال روضه خوندن برا نماینده ها) #عید_غدیر مبارک😉</t>
  </si>
  <si>
    <t>هشتگ‌های پر‌طرفدار: - #RaminHosseinPanahi - #مجلس - #ایران</t>
  </si>
  <si>
    <t>همچون فریاد واژگون جنگلی در دریاچه ای ، آزاد و رها همچون آینه ای که تکثیرت میکند .</t>
  </si>
  <si>
    <t>این طویله #مجلس و #دولت مگه مشکل #ارز و #سکه و گوشت و مرغ و میوه و اجاره خونه رو حل کرده که میخواد به #خودرو ورود کنه ؟؟؟؟ َ اصلا تو شش ماه گذشته کاری کردین که به نتیجه رسیده باشه که این دومیش باشه ؟؟؟</t>
  </si>
  <si>
    <t>الف_الف</t>
  </si>
  <si>
    <t>ناخدا دزده هستم</t>
  </si>
  <si>
    <t>آقای #روحانی 2.5 میلیون نفر #اشتغال‌زایی نکرد 80 میلیون #شغل ایجاد کرد. همه سرکاریم.</t>
  </si>
  <si>
    <t>سفرنامه ناخدا</t>
  </si>
  <si>
    <t>https://pbs.twimg.com/media/DlyNAjAXsAAR76A.jpg</t>
  </si>
  <si>
    <t>#وزیر_آ.پ در يك سال گذشته چشم به دهان #مجلسیان داشته و از مدیران ستادی پایتخت تا مدیران کل با صلاحدید نمایندگان چیده شده‌اند. باج‌هایی که به نمایندگان داده شده اما گویی ناکافی بوده است! طرح #استيضاح محمد بطحایی تقديم هيات رييسه مجلس شد. #بطحايى هفته آینده به #بهارستان خواهد رفت.</t>
  </si>
  <si>
    <t>pic.twitter.com/E6SxIIWrm7</t>
  </si>
  <si>
    <t>♦️انتقاد شدید رهبر انقلاب از ادامه "بنگاه‌داری بانکها" غلط می کنند #سانسور_رهبری #روحاني</t>
  </si>
  <si>
    <t>از مولفه‌های خصوصی‌سازی نئولیبرالی این است که قشری فوقانی از وزرا، مدیرکل‌ها، مدیران ومعاونان صاحب ثروت میشوند وامکانات مالی به دست می‌آورند؛ همان‌هایی که بعداً فرزندان آنها مدعی میشوند که #ژن_خوب دارند وتافته جدابافته هستند ورفتارهای اشرافی نشان میدهند. #فصل_عمل #روحانی</t>
  </si>
  <si>
    <t>http://aa.com.tr/fa</t>
  </si>
  <si>
    <t>حساب رسمی بخش فارسی خبرگزاری آناتولی؛ آخرین اخبار، عکس ویدئو، گزارش و تحلیل از ترکیه، ایران، افغانستان، تاجیکستان و جهان</t>
  </si>
  <si>
    <t>İstanbul, Türkiye</t>
  </si>
  <si>
    <t>https://pbs.twimg.com/media/DlyNxn6X4AYH6zM.jpg</t>
  </si>
  <si>
    <t>http://v.aa.com.tr/1242038</t>
  </si>
  <si>
    <t>رئیس فراکسیون کار و کارآفرینی #مجلس #ایران اعلام کرد قریب 20 میلیون نفر از جوانان 15 تا 29 ساله این کشور #بیکار هستند.</t>
  </si>
  <si>
    <t>خبرگزاری آناتولی</t>
  </si>
  <si>
    <t>از #فریدون گذشت و #روحانی شد اما صد افسوس که #مردمی نشد!</t>
  </si>
  <si>
    <t>مهم نیست رای ندهند!!! #روحاني #عارف #اميد #مطهري... خاك بر سر ما كه به تو راي داديم احمق</t>
  </si>
  <si>
    <t>EslahTalab</t>
  </si>
  <si>
    <t>http://www.physicsandphilosophy.blogfa.com</t>
  </si>
  <si>
    <t>Intl. businessman, Intl. relations researcher Ph.D.</t>
  </si>
  <si>
    <t>https://pbs.twimg.com/media/DlyONCcWwAAEuMh.jpg</t>
  </si>
  <si>
    <t>ما هر چیزی رو بلد باشیم، قطعا نظم گروهی و برگزاری رو باید وارد کنیم. مراسم تدفین #مک_کین سخنرانی #رئیس جمهور در #مجلس</t>
  </si>
  <si>
    <t>Sasan Karimi</t>
  </si>
  <si>
    <t>طرف اومده اون بالا میگه نیازهای "اولیه" مردم رو تامین میکنیم ، اسمش رو گذاشتن نمایش اقتدار ! #روحاني</t>
  </si>
  <si>
    <t>Soldier Of IRAN</t>
  </si>
  <si>
    <t xml:space="preserve">Tehran IRAN </t>
  </si>
  <si>
    <t>https://pbs.twimg.com/media/DlyPDP8UUAAGg6o.jpg</t>
  </si>
  <si>
    <t>🔴 سخنان #روحانی نشان داد چاره‌ای بجز #سرنگونی نظام نیست. زندگی #مامردم تنها روزی بهبود می‌یابد که این نظام #سقوط کند. تا آن روز، فقط فقر تحمیلی ما بیشتر خواهد شد. #جریان_سوم</t>
  </si>
  <si>
    <t>FreeIRAN</t>
  </si>
  <si>
    <t>‏بگذارید این وطن دوباره وطن شود. بگذارید دوباره همان رویایی شود که بود. و در آن‌جا که آزاد است منزلگاهی بجوید. آه، این وطن هرگز برای من وطن نبود😡</t>
  </si>
  <si>
    <t>درنگ دو سوی پل مه این تحلیل آیت اله #مهاجرانی بود از عملکرد #روحانی منشن کنید به نظر شما مهاجرانی چی میزنه؟</t>
  </si>
  <si>
    <t>ملّای منقضیان</t>
  </si>
  <si>
    <t>گیرم که گرمای دنیارو با #پنکه گذروندی با اتش جهنم چه میکنی؟! #سانسور_رهبری #روحانی #استخر_فرح</t>
  </si>
  <si>
    <t>‏ایران، کشور بسیار عجیبیست</t>
  </si>
  <si>
    <t>صحبت های خامنه ای و روحانی، من رو یاد معاشقه های اول فیلم پرنوگرافی انداخت. #روحانی</t>
  </si>
  <si>
    <t>Peyman Pahlavi</t>
  </si>
  <si>
    <t>‏‏‏‏‏‏‏‏🐆عادت ندارم از رختخواب توییت کنم براندازم اما ترجیح میدم از کف خیابون هم توییت کنم هم براندازی🐆کارشناسی ارشد رشته علوم اقتصادی از دانشگاه فردوسی مشهد</t>
  </si>
  <si>
    <t>https://pbs.twimg.com/media/DlxvawCUwAARttr.jpg</t>
  </si>
  <si>
    <t>https://twitter.com/RadioFarda_/status/1034824523571376128
http://dlvr.it/QhSMlm</t>
  </si>
  <si>
    <t>از جمهوری اسلامی میخواهیم که دست به خطا بکنند و تنگه هرمز را ببندد. عاجزانه میخواهیم به اسرائیل وتنگه هرمز حمله کنند. کار براندازی را راحت کنید وحمله کنید. ما را از زندان جمهوری اسلامی رها کنید. ما دیگر تحمل جون به لب شدن را نداریم. زندگی سگی ما ایرانیان را خاتمه دهید. #روحاني RT @RadioFarda_: ایران بار دیگر درباره تنگه هرمز به آمریکا هشدار داد</t>
  </si>
  <si>
    <t>Arsalan Khamsi</t>
  </si>
  <si>
    <t>اقتدارِ نمایش بود یا نمایش اقتدار ؟؟؟؟ #روحاني #مجلس #سوال_از_رئیس‌جمهور #سؤال</t>
  </si>
  <si>
    <t>دانشجوی فیزیک شهید بهشتی |‏ دبیر سابق دفتر تحکیم وحدت</t>
  </si>
  <si>
    <t>https://pbs.twimg.com/media/DlyQlraWsAEclBS.jpg</t>
  </si>
  <si>
    <t>بعد جلسه سوال رئیس جمهور تعداد زیادی از چهره های حامی دولت از "سکوت" رئیس جمهور انتقاد کردند همان طور که قبل از جلسه هم #روحانی رو به بیان حقایق دعوت می کردند این تلاش برای مرعوب کردن طرف مقابل و غبارآلود کردن فضا چیزی نیست جز مدل ارتقاء یافته "#بگم_بگم" حربه خوبی به نظر نمیرسه!</t>
  </si>
  <si>
    <t>اسماعیل کوهی مقدم</t>
  </si>
  <si>
    <t>https://pbs.twimg.com/media/DlyQ_HiV4AEu5OD.jpg</t>
  </si>
  <si>
    <t>همزمان با فصل بازگشایی مدارس، وزیر آموزش‌وپرورش هم به لیست وزرای استیضاح شونده پیوست. #استیضاح #روحانی #مجلس #سيستان_و_بلوچستان</t>
  </si>
  <si>
    <t>It's the same old story with a different name... Death or glory, it's the "killing game" ☮️</t>
  </si>
  <si>
    <t>#روحانی گفت بحران نداریم، چه دروغ بزرگی... ولی من بیشتر این برداشت رو کردم که منظورش اینه بابا این وضعی که الان هست روز خوبمونه حالا صبر کنید تا دو ماه دیگه اون موقع از بحران حقیقی رونمایی خواهم کرد!</t>
  </si>
  <si>
    <t>Meursault</t>
  </si>
  <si>
    <t>سیاست یا واقعیت ؟؟؟</t>
  </si>
  <si>
    <t>یه ضرب المثل معروف فارسی هست که میگه ماه پشت ابر نمی مونه ... همین ضرب المثل در یکی از قومیت های کشور میگه که شلوار جلوی باد معده رو نمی گیره ... آقای #روحاني باید می دونستی بلایی که داری سرمون میاری یه روزی بوش در میاد و خودت رو مفتضح می کنه ...</t>
  </si>
  <si>
    <t>Mohammad Hossein-30YaSat</t>
  </si>
  <si>
    <t>‏‏‏‏‏ضد نظام آخوندی،شخص پرستی،مجاهدین و م ر فالوو به معنای تائید شخص نیست. 👈ایران دمکرات،سکولار و فدرال👉 تا رفراندوم با شاهزاده 💙💙💙💙 ‎#متحد_شویم</t>
  </si>
  <si>
    <t>https://pbs.twimg.com/media/DlyRN0sXsAEFvvM.jpg</t>
  </si>
  <si>
    <t>شاشیدم به دین و ایمونت مسلمون 😂که بخاطر خودتو منفعتت، اینقد راحت میتونین عکس و فیلم بگیرین و دروغ بگین! میگه دیماه ۹۶ چهل هزار #برانداز تو خیابونها بودن!🤔 #ظریف میگه امید مردم به آینده مهمترین هدف هستش ،کدوم امید و کدوم هدف بیناموس؟ #روحانی هم که ولش کن پینوکیو .</t>
  </si>
  <si>
    <t>ژن_خوب۹۷</t>
  </si>
  <si>
    <t>صحبت های خامنه ای و روحانی، من رو یاد معاشقه های اول فیلمهای پورنوگرافی انداخت. #روحانی</t>
  </si>
  <si>
    <t>#وكيل #دادگستري منتقد بوروکراسی اداری ایرانی و معتقد به حقوق ملت در برابر عُمال دولت #منتقد قوه #قضاييه اصلاح طلب مؤمن به ٢خرداد #خاتمي full time lawyer</t>
  </si>
  <si>
    <t>pic.twitter.com/YyrWGgC7oC</t>
  </si>
  <si>
    <t>https://twitter.com/afshanimedia/status/1034839426944389120</t>
  </si>
  <si>
    <t>كجا هستند طرفداران سردار دكتر خلبان محمدباقر #قاليباف ! كلمات رو از معنا خالي كردن(مديريت جهادي ) و براي #تهران ٥٥ هزار ميليارد بدهي بجا گذاشتند ! خداروشكر دوگانه #رييسي #قاليباف بهمت مرد از #صندوق_راي خارج نشد #روحاني RT @AfshaniMedia: افشانی: شهرداری را با ۵۵ هزار میلیارد تومان بدهی تحویل گرفتم. اجازه نمی‌دهم با هزینه‌های اشتباه، این بدهیِ سنگین بیشتر شود و به مرور مطالبات را پرداخت می‌کنیم.</t>
  </si>
  <si>
    <t>امين  محمد   ✌🇵🇸🇵🇸🇮🇷🇮🇷🇮🇷🇮🇷</t>
  </si>
  <si>
    <t>آقای #رئیس_جمهور #ایران جناب آقای #روحانی وقتی که از ۵ سوال ۴ تاشو جواب میدی یعنی از درخواست و سوال ۸۰ میلیون #ایرانی فقط می تونی به ۱۶ میلیون نفر جواب قانع کننده بدی ... البته فکر نکنم همونا رو هم دیگه بتونی قانع کنی</t>
  </si>
  <si>
    <t>آقای #رئیس_جمهور وقتی دستور کتبی معاون محترم تان را به #مدیرعامل تسلیم کردم پاکت نامه را،پرت کرد روی میز بزرگش بطوریکه، نامه از میز سقوط کرد چرخی به صندلی چرم قرمز مدیریتی داد و گفت : نامه تو دادی؟ بسلامت مدیران ارشد و میانی ت هنوز #نوکرمموت اند بهمین دلیل #دولت_مستعجل شدین</t>
  </si>
  <si>
    <t>http://www.farzadshalforoosh.blogfa.com</t>
  </si>
  <si>
    <t>‏‏‏‏‏‏‏‏عضو شورای مرکزی و دبیر استان تهران حزب آزادی و فعال مطبوعاتی.(کلیه توئیت ها نظر شخصی ام می باشد و ارتباطی به فعالیت حزبی ام ندارد)</t>
  </si>
  <si>
    <t>جناب #الیاس_خان_حضرتی، شما که #ژست همدردی با مردم را گرفتی و خواستار #استیضاح بخشی از دولت شدی، چرا نامت در بین امضا کنندگان استیضاح #محمد_شریعتمداری وزیر صمت نبود؟! نَکُنِه، #همدردی_با_مردم تنها شعاری است برای رسیدن به #منافع و امیال شخصیِ #سردار_سابق!!</t>
  </si>
  <si>
    <t>فرزاد شالفروش</t>
  </si>
  <si>
    <t>http://www.a-rezaei.com</t>
  </si>
  <si>
    <t>Journalist | TV news editor at IRIB channel1 | http://Tlgrm.me/shabekaviir</t>
  </si>
  <si>
    <t>حكايت #استيضاح هاي #مجلس شده مثل پاسهاي #رونالدينيو كه اينطرفو نگاه ميكرد، به اونطرف پاس مي داد!</t>
  </si>
  <si>
    <t>Abbas Rezaei Samarin</t>
  </si>
  <si>
    <t>در تکلمِ کورباشِ کلمات/چَشم‌هاي خسته‌ي مرا از من گرفته‌اند/اما من/اشاره به اشاره از حيرت ِبي باورِ شب/به تشخيصِ روشنِ روز خواهم رسيد/پس، زنده باد اميد🌱</t>
  </si>
  <si>
    <t xml:space="preserve">جمهوري اسلامي ايران </t>
  </si>
  <si>
    <t>#بطحایی چرا باید #استیضاح بشه آخه مجلسِ بلاهت؟! :))</t>
  </si>
  <si>
    <t>🇮🇷ThisisNazanin🌱</t>
  </si>
  <si>
    <t>pic.twitter.com/rcwCCCzPk6</t>
  </si>
  <si>
    <t>کلیپ جدیدی که #وزارت_خارجه_آمریکا در مورد رونمایی #روحانی از #جنگنده_کوثر منتشر کرده و انرا از قول کاربران #توییتر به سخره گرفته است.</t>
  </si>
  <si>
    <t>majidnaderi</t>
  </si>
  <si>
    <t>#مطهری خطاب به #روحانی درباره جلسه #سوال_از_رئیس‌جمهوری گفته بود که «فراکسیون #امید تصمیم گرفته اگر رئیس‌جمهور صریح و شفاف درباره موانع و مشکلات و دست‌های پنهان در شرایط امروز سخن نگوید به پاسخ‌های او رای ندهد.» پاسخ رئیس‌جمهوری این بود: « #مهم_نیست رای ندهند.»</t>
  </si>
  <si>
    <t>https://pbs.twimg.com/media/DlyTw1FX4AIItGx.jpg</t>
  </si>
  <si>
    <t>🆘 جهت اطلاع رییس ونمایندگان #مجلس و همچنین مسئولان انتظامی و امنیتی! #شهباز_حسن_پور نماینده سیرجان در مجلس ازطریق تماس بابرخی دوستان ونزدیکان من بااشاره به محله‌ای درسیرجان گفته: «اگرفلانی‌ها بلایی سرخود و‌خانواده‌اش آوردندازمن گله نکنید!!» تصاویرهم نشانگرادب فرستادگان مجازی وی!</t>
  </si>
  <si>
    <t>http://t.me/iRezaFeizi</t>
  </si>
  <si>
    <t>بر ما گذشت نیک و بد، اما تو روزگار فکری به حال خویش کن، این روزگار نیست</t>
  </si>
  <si>
    <t>#استیضاح کنندگان از #وزیر_صمت کافیست بپرسن یه کوچولو در مورد #پراید ۴۰ میلیونی توضیح بده...! برام جالبه چی می‌خواد بگه! هرچند این جماعت دست به ماله‌کشیون حرف نداره...</t>
  </si>
  <si>
    <t>رضا فیضی</t>
  </si>
  <si>
    <t>نویسنده بى قلم/برق کار ولتاژ پایین/کهنه کار در استعمال اینترنت/مدیر بر اساس رابطه/متخصص در امور مرتبط با فرصت سوزی/سردرگم در ميانه ى تاريخ/خبرنگار رها</t>
  </si>
  <si>
    <t>https://pbs.twimg.com/media/DlyUQ4KXsAE4CYd.jpg</t>
  </si>
  <si>
    <t>توی #سوال_از_رییس‌جمهور از ۲۷۱ نماینده حاضر ۱۱۷ نفر موافق ‌#شفافیت_آرا و ۱۲۶ نفر مخالف بودن. ۹ نفر هم نظرشون این بوده که زودتر بریم سر اصل مطلب(ممتنع) توجه دارید که تعداد موافقان رای گیری علنی زیاد بوده و اگر اون نه تا ... رای ممتنع نمی‌دادند؛ رای گیری علنی می‌شد. پرتغال فروش کو؟</t>
  </si>
  <si>
    <t>Ahmad Dastaran</t>
  </si>
  <si>
    <t>💍</t>
  </si>
  <si>
    <t>https://pbs.twimg.com/media/DlyUqQoXoAAtXTs.jpg</t>
  </si>
  <si>
    <t>از اون نگاه ها که حواسش نیست #روحاني</t>
  </si>
  <si>
    <t>آسمون</t>
  </si>
  <si>
    <t>اتاق جنگ اقتصادی #آمریکا علیه ایران هر روز یک ترفند علیه ثبات اقتصادی رو می‌کند. رصد این توطئه‌ها وکشف نفوذی‌های آنها در تصمیم‌سازی وتصمیم‌گیریهای داخلی فوق‌العاده مهم است. #رئیس_جمهور باید با تغییر وتحول در سیاستها ومدیریت دولت دراین‌باره به جنگ این توطئه‌ها برود. #روحانی</t>
  </si>
  <si>
    <t>‏شبکه آزادی یک شبکهٔ تلویزیونی ماهواره‌ای فارسی‌زبان با تمرکز بر برنامه‌های سیاسی است که با آغاز جنبش مردمی اخیر ایران در دی ماه ۱۳۹۶ شروع به کار کرد.</t>
  </si>
  <si>
    <t>https://pbs.twimg.com/media/DlyVo3oXcAAk39b.jpg</t>
  </si>
  <si>
    <t>جلسه #استیضاح #وزیر_آموزش_و_پرورش» سه‌شنبه هفته آینده برگزار می‌شود علی اصغر یوسف نژاد عضو هئیت رئیسه مجلس گفت: جلسه استیضاح وزیر «آموزش و پرورش» سه‌شنبه ۱۳ شهریور در مجلس برگزار می‌شود. @tvazaadi</t>
  </si>
  <si>
    <t>tvazadi</t>
  </si>
  <si>
    <t>https://sharif.edu</t>
  </si>
  <si>
    <t>‏‏‏‏دانش‌آموخته شریف، پژوهش‌گر سیستم‌های دینامیکی، فعال حوزه مکاترونیک...</t>
  </si>
  <si>
    <t>The Earth!</t>
  </si>
  <si>
    <t>https://pbs.twimg.com/media/DlyWfYiXcAYk-xM.jpg</t>
  </si>
  <si>
    <t>تجربه تبلیغات و سخنرانی‌های #روحانی در انتخابات ۹۶ ثابت کرد که روحانی در راه رسیدن به اهداف سیاسی‌اش خط قرمزی نمی‌شناسد. فرضاً هم روحانی را از گفتن ناگفته‌ها منع کرده باشند، بسیار خب! شما را که کسی منع نکرده. اگر راست میگویید ناگفته ها را شما فاش کنید #فرار_به_جلو</t>
  </si>
  <si>
    <t>داینامیسیست</t>
  </si>
  <si>
    <t>https://article.mojahedin.org/id/a17f5ac9-22ae-4ec4-badf-1fd4e0b1c742</t>
  </si>
  <si>
    <t>جلسه سؤال از #روحانی و اعتراف‌ها و ذخیره بحران #براندازم #تظاهرات_سراسرى #اعتراضات_سراسری #ایران</t>
  </si>
  <si>
    <t>يه ورزشكار بازنشسته تا زماني كه يه بازنشسته ي ورزشكار بشم</t>
  </si>
  <si>
    <t>كودتاي نرم داره پررنگتر ميشه استيضاح وزير آموزش و پرورش اعلام وصول شد بعنوان پنجمين وزير #كودتاي_نرم #استيضاح #من😐</t>
  </si>
  <si>
    <t>majid</t>
  </si>
  <si>
    <t>https://goo.gl/YOsYlV</t>
  </si>
  <si>
    <t>guitar is my life</t>
  </si>
  <si>
    <t>Hamoonja</t>
  </si>
  <si>
    <t>https://pbs.twimg.com/media/DlyXES6X4AApBSk.jpg</t>
  </si>
  <si>
    <t>-گرگمو گله میبرم +چوپون دارم نمی‌گذارم #مجلس</t>
  </si>
  <si>
    <t>موشک فینگال ۴</t>
  </si>
  <si>
    <t>#مجلس باچه ادله‌ای به #استیضاح آقای #بطحایی رسید؟! یک استیضاح درسال شاید،امااین قصه بوی بدی میدهد.زمان رأی اعتماد #نماینده‌گان کجابودند؟چه اتفاق خاصی ازسال گذشته افتاده که نیاز به استیضاح شده است؟چه زمان بساط سهم خواهی وابهامات مجلس تمام میشود؟ #حواسمان_هست #وقت_پاسخگویی_مجلس_است</t>
  </si>
  <si>
    <t>‏‏‏‏‏‏‏‏‏‏‏‏‏‏‏‏‏‏‏‏‏اینجا آبودان است، صدای مونو از مناطق جنگی می شنوید.</t>
  </si>
  <si>
    <t>Abadan, Iran</t>
  </si>
  <si>
    <t>مو #روحانی ستیز نیستوم فقط حالوم ازش به هم می خوره</t>
  </si>
  <si>
    <t>کوکا...بچه آبادان‏‎☫</t>
  </si>
  <si>
    <t>pic.twitter.com/DbyKZWbFhX</t>
  </si>
  <si>
    <t>https://twitter.com/irna_1313/status/1034799517332332546</t>
  </si>
  <si>
    <t>شوخي و بازي و گلابي بازي ميكنن بعد راي به عدم اقناع ميدن اگر همون لحظه ميگفتند چهارتا جمله مهم سخنراني رو بگو بعيد ميدونم مي تونستند ! واقعا مقايسه قابل تاملِ #مجلس #ايران RT @IRNA_1313: 📹 مجلس ما و مجلس آنها وقتی رئیس جمهور یا نخست وزیر یک کشور در میان نمایندگان مجلس سخنرانی می‌کند نمایندگان چگونه نظم جلسه را حفظ می‌کنند؟ یا چطور موافقت یا مخالفتشان را نشان می‌دهند؟ مقایسه میان مجالس ایران و دیگر کشورها در این مواقع قابل تامل است...</t>
  </si>
  <si>
    <t>https://twitter.com/khabar_fouri/status/1034766036145504256</t>
  </si>
  <si>
    <t>این یعنی همه کارخانه ها به جز موادغذایی تعطیل خواهند شد #رهبری #روحانی #قحطی #تحریم #فلاکت #انتخاب_رهبر_قحطی #انتخاب_ملت_هستی RT @khabar_fouri: همه برای جلوگیری از تعطیلی کارخانه‌ها تلاش کنید رهبرانقلاب، امروز در دیدار هیئت دولت: موضوع تولید داخل و برطرف کردن مشکلات آن یکی از مسائل مهمی است که باید در جلسه هماهنگی رؤسای سه قوه بر آن تمرکز شود. مشکلات تولید، راه حل دارد و اقتصاددانها نیز برای آن راهکار ارائه داده …</t>
  </si>
  <si>
    <t>نوازنده ويولين سل ، محروم از فعاليت. زنده به اميد روزى كه "اسلامى" كنار اسم زيباى ايران نباشد. نيم ساكن سالزبورگ نيم ساكن تهران</t>
  </si>
  <si>
    <t>Salzburg, Austria</t>
  </si>
  <si>
    <t>اونجا كه #روحانى گفت اميدوارم بتوانم رهنمون هاى #رهبرى رو كامل مراعات كنم ، يهو #مجلس قانع شد كه روحانى بهترين رئيس جمهور در منظومه شمسى هست.</t>
  </si>
  <si>
    <t>سليست جوان 🇦🇹🇧🇬</t>
  </si>
  <si>
    <t>چرا در دیدار امروز #روحانی با #رهبری ، اخم های روحانی همش در هم بود؟</t>
  </si>
  <si>
    <t>https://www.linkedin.com/in/hossein-aghaie-60552757/</t>
  </si>
  <si>
    <t>PhD-ing in IR, MSc in PolSci @liu_universitet| Editor @app_wiley | Analyst @Wikistrat | Contributor @IranIntl [Geopolitics, Turkey-Iran-Russia FP]</t>
  </si>
  <si>
    <t>https://pbs.twimg.com/media/DlyYTW1W4AIgbxg.jpg</t>
  </si>
  <si>
    <t>#خامنه‌ای خطاب به #روحانی و #ظریف در دیدار با اعضای هیئت دولت: با اروپا ادامه ارتباط باشه، اما از اینها قطع امید کنید. #اروپا جایی نیست که بتوانیم برای مسائل گوناگون خودمون از جمله مساله #برجام و مسائل اقتصادی و اینها بتونیم بهشون امید ببندیم! ما تصمیم خودمون رو جور دیگه بگیریم!</t>
  </si>
  <si>
    <t>Hossein Aghaie</t>
  </si>
  <si>
    <t>یک نظام و یک دولت بر کشور حکمرانی می کنند. یا جای نظام است یا جای دولت رئیس جمهور: 🔸حاکمیت دولت و نظام نمی‌تواند از هم فاصله داشته باشد 🔺همه با هم هستیم و ایستادگی در برابر مشکلات یک وظیفه همگانی است #روحانی #طاغوت_آخوندی #آخوندشاه #سیدعلیشاه #طاغوت_اسلامی #دولت_فرمایشی</t>
  </si>
  <si>
    <t>‏‏‏ایرانی/ انقلابی/ ولایتمدار/ احمدی نژای / عدالتخواه / کارشناس ارشد علوم سیاسی</t>
  </si>
  <si>
    <t>رهبري در مورد جلسه سوال از رييس جمهور در مجلس گفت: اين يك #نمايش بود، يك #نمايش باشكوه.. #نمایش #مجلس #روحانی</t>
  </si>
  <si>
    <t>Sajjad Moghaddam Nia</t>
  </si>
  <si>
    <t>‏یک شهروند معمولی</t>
  </si>
  <si>
    <t>سه شنبه #ذوالنور تو #مجلس اعتراف غریبی کرد. گفت:#روحانی جوری صحبت می کنه انگار #ایران #سوییسه . پس شما #مدینه #فاضلت #غربه چه خبر از از انحطاط #اقتصادی و #اجتماعی #غربی ها؟ #سوال_از_رئیس‌جمهور</t>
  </si>
  <si>
    <t>vala khan</t>
  </si>
  <si>
    <t>https://pbs.twimg.com/media/DlyZFMGWsAEuPEv.jpg</t>
  </si>
  <si>
    <t>این طرز چینش یعنی حالت جنگ و امنیت داخلی #جنگ #امنیت_ملی #تهدید #اعتراضات #قحطی #رهبری #دولت #روحانی #IranRegimeChange</t>
  </si>
  <si>
    <t>گاو مش حسن</t>
  </si>
  <si>
    <t>https://pbs.twimg.com/media/DlyZLEPW0AA2tA9.jpg</t>
  </si>
  <si>
    <t>وقتی به دولتمردان هم اعتماد ندارید برای ترور بیولوژیک این یعنی وضع خیلی خراب است خیلی #رهبری #ترور #روحانی #دولت #Iran #IranRegimeChange</t>
  </si>
  <si>
    <t>فردا "صدای دانشجویان یک ملت" را همه خواهند شنید؛ از #نماینده_مجلس تا #رئیس_جمهور و دختر مظلوم وزیر... صدای ما تا موزه لووووور خواهد رفت😂 #دکتر_سلام</t>
  </si>
  <si>
    <t>https://pbs.twimg.com/media/DlyZ2qMW0AEDVlm.jpg</t>
  </si>
  <si>
    <t>هشتگ های پرکاربرد 7 شهریور 1397 #مثل_شرق_دروغ_میگی 1592 #ایران 1322 #روحانی 1043 #رامین_حسین_پناهی 920 #براندازنما 877 #شرق 663 #علی 659 #غدیر 638 #غدیری_ام 631 #شهروند_جنسی 594  #hashtagban</t>
  </si>
  <si>
    <t>میثم مطیعی در شعر عید فطر پارسال خطاب به روحانی گفت «ای نشسته در صف اول نکنی خود را گُم» در واقع وی روحانی را به گُم کردن تهدید کرده و اخیرا هم مداح انقلابی دیگر، #حاج_منصور_ارضی روحانی رو به عاقبت به‌خیر نشدن تهدید کرد کلا #روحانی مظلومه:((</t>
  </si>
  <si>
    <t>Civil engineer, amateur photographer, Try to sing song, Science investigator.</t>
  </si>
  <si>
    <t>حکم کردن به شرکت در نماز جمعه ، حالا یه نکته پیش میاد : میفرستن ش که بده اونجا عذاب بکشه مثل زندان انگار دوران محکومیت ش رو میگذرونه. #عدالت #دادگاه_علنی #سوال_از_رئیس‌جمهور #دادگاه #مشایی #ایران #انقلاب_برای_انقلاب #این_را_به_همه_بگویید #اینترنت #آزادی</t>
  </si>
  <si>
    <t>بی حقوق و بشر نما</t>
  </si>
  <si>
    <t>دیروز تو مجلس سخنرانی کرد امروز رفت از رهبر مزد حرفهاش رو بگیره #روحانی</t>
  </si>
  <si>
    <t>‏‏‏‏‏‏‏‏‏‏‏‏‏‏‏‏‏‏‏‏‏‏‏بگو که رمز ماست ایستاده مردن ‎‎‎‎‎#براندازم_تو_پایانی_من_آغازم ‎‎‎#آنارشیست</t>
  </si>
  <si>
    <t>سرزمین اِشغالی ایران</t>
  </si>
  <si>
    <t>در حالیکه تمام واکنش ها به چرندیات #روحانی کاملا منفی بوده خامنه ای: طرح #سوال_از_رئیس‌جمهور نمایش اقتدار ج.ا بود #دیکتاتور میمیرد واقعیت نمیپذیرد !</t>
  </si>
  <si>
    <t>RADIKAL</t>
  </si>
  <si>
    <t>بال پروازم، تلاش است و خدمت به #مردم.</t>
  </si>
  <si>
    <t>IR Iran/Zion Killer's Land</t>
  </si>
  <si>
    <t>pic.twitter.com/kPJac8iPVQ</t>
  </si>
  <si>
    <t>وقتي #روحاني ميگه اوضاع خوبه:</t>
  </si>
  <si>
    <t>Abbas Namira</t>
  </si>
  <si>
    <t>امروز #رهبري با شوق و شعف جلسه #سوال_از_رئیس‌جمهور را نمایش مردم سالاری دینی وصف کردند. ایکاش شورای نگهبان هم معظم له را دعوت کرده،ایشان را بازخواست کنند تا مردم سالاری دینیمان عمیقتر و قویتر شود. @Khamenei_fa @sadeghZibakalam @mostafatajzade</t>
  </si>
  <si>
    <t>مهر که مدارس و دانشگاه ها باز میشوند چه می کنی آقای #روحانی صبر مردم تمام شده</t>
  </si>
  <si>
    <t>‏پندار ما این است که ما مانده ایم و شهدا رفته اند، اما حقیقت آن است که زمان ما را با خود برده است و شهدا مانده اند. شهید آوینی</t>
  </si>
  <si>
    <t>سخن #رهبر_انقلاب درباره بنگاه داری بانک ها کاملا درسته . هدایت سرمایه بانک مسکن بابت وام مسکن مهر به مردم در دولت #احمدي_نژاد ، بهترین نمونه از سیاست درست اقتصادی بود . البته این سیاست در دولت آقای #روحانی ادامه نیافت</t>
  </si>
  <si>
    <t>ح مولوی</t>
  </si>
  <si>
    <t>https://pbs.twimg.com/media/Dlyc-zgX0AA3l_l.jpg</t>
  </si>
  <si>
    <t>رئیس #مجلس #ایران: سوال از #رئیس_جمهور به #قوه_قضاییه ارجاع نمی شود. . مجلس #تهران #حسن_روحانی #رژِیم_ایرانی #فرسان_خبر</t>
  </si>
  <si>
    <t>‏‏‏‏‏‏‏‏گوید که زندگی رویاست. ولی من گویم زندگی حقیقتی است تلخ...</t>
  </si>
  <si>
    <t>ahvaZ</t>
  </si>
  <si>
    <t>یاد قولایی که دادی بدتر بدترم کرده #روحانی</t>
  </si>
  <si>
    <t>parniyan</t>
  </si>
  <si>
    <t>نقاشم و علاقمند به عکاسی، ادبیات، سینما، موسیقی، معماری، محیط زیست و کمی سیاست. ورزش می‌کنم و سعی می‌کنم شاد باشم و مسئولیت پذیر. ممنون میشم فالوو کنید</t>
  </si>
  <si>
    <t>اعتماد به نفس #روحانی در قیاس با اعتماد به نفس کسانی که با تحریم آمریکا پرایدشون چهل میلیون شده اما باز میخواهند کاخ سفید را حسینه کنند، یک شوخی بیشتر نیست! RT @A_Raefipour: جناب آقای دکتر #روحانی اعتماد به نفستان شگفت انگیز بود دور زدن تحریم ها پیش کش٬ ای کاش بجای احمق فرض نمودن #نمایندگان_مجلس، قدری از وزیرتان جناب #آخوندی روشهای بِروز دور زدن #استیضاح را می آموختید این حربه ها قدیمی شده #اعتماد_به_سقف @Rouhani_ir</t>
  </si>
  <si>
    <t>Atrinnaaa</t>
  </si>
  <si>
    <t>دكتراي حقوق جزا و جرم‌شناسی، عضو هيأت علمي دانشگاه علامه طباطبائي</t>
  </si>
  <si>
    <t>Tehran, IR</t>
  </si>
  <si>
    <t>#سوال_از_رئیس‌جمهور نمایشِ اقتدار و ثبات جمهوری اسلامی در پرتوي مردم‌سالاریِ دینی بود. ازاین اقتدار و ثبات با حرکت درمسیر حل مشکلات مردم وبرآورده ساختن خواسته‌های اساسیِ ایشان، حراست نماییم.</t>
  </si>
  <si>
    <t>محمدرضا رهبرپور</t>
  </si>
  <si>
    <t>شازند</t>
  </si>
  <si>
    <t>#روحانی برای پاسخ به مجلس، با #رهبر مشورت کرد! کسی که در طولِ سی سال #رهبری به یک سوال پاسخ نداده مشاورِ خوبی برای پاسخگویی نیست.</t>
  </si>
  <si>
    <t>محمدنجفی وکیل مدافع</t>
  </si>
  <si>
    <t>https://pbs.twimg.com/media/DlygiaQVAAA2CHX.jpg</t>
  </si>
  <si>
    <t>خدایا , یعنی امروز چی رو بکشم بالا ؟ چی رو بکشم پایین؟ #روحانی</t>
  </si>
  <si>
    <t>مدعی خواست که از بیخ کَند ریشه ی ما غافل از اینکه خدا هست در اندیشه ی ما</t>
  </si>
  <si>
    <t>پوشک نماد بی کفایتی دولت است! در بی لیاقتی دولت #روحانی و غربگرایان همین بس که #پوشک بچه نیز به لیست دغدغه‌های مردم اضافه شده است.</t>
  </si>
  <si>
    <t>سرمد</t>
  </si>
  <si>
    <t>https://pbs.twimg.com/media/Dlyg6HjXgAQvgTv.jpg</t>
  </si>
  <si>
    <t>چقدر اين قصه #پنكه مسخره بود! يعني واقعا سطح اعتراضات ما نسبت به دولت اينقدر پايين اومده كه به گذاشتن يه پنكه گير بديم؟! خدا شفا بده كسي كه اعتراض نسبت به اين همه مشكلات عميق اقتصادي رو رها كنه و به اين چيزاي #زرد بچسبه! #سوال_از_رئیس‌جمهور</t>
  </si>
  <si>
    <t>https://pbs.twimg.com/media/DlyhLnNWsAAaGD3.jpg</t>
  </si>
  <si>
    <t>یک زمانی روایات آخر الزمان را که میخوندم تعجب می کردم چطور میشود که با توجه به آگاهی و دانایی نسبت به امور یک عده طالب ظهور مقابل امام زمان عج قرار می گیرند و روش و منش او را نمی پذیرند و امروز می بینم چه خواهد شد #سانسور_رهبری #روحانی #فرقه_بهاریون #جلوتر_از_امام</t>
  </si>
  <si>
    <t>‏‏‏‏نماینده مردم و جوانان شریف مشهد (لیست امید) و نائب‌رئیس پنجمین دوره شورای اسلامی شهر مشهد (شهر امید، مدارا و زندگی)</t>
  </si>
  <si>
    <t>#سوال از #رئیس_جمهور فارغ ازپاسخهای اقناع کننده و یا برعکس، نشانه ای از #پویایی و #حساسیت جامعه است. گرچه ممکن است برخی از پاسخهای رئیس جمهور درخصوص کنترل #قاچاق_کالا و #ارز و #بیکاری و #رکود و #استمرار_تحریمهای_بانکی و #افزایش_نرخ_ارز صحیح هم باشد،لیکن نتوانست مردم را قانع کند !</t>
  </si>
  <si>
    <t>حمیدرضا موحدی‌زاده</t>
  </si>
  <si>
    <t>‏هدر،همان حساب کاربری قبلی و فعالم بود که تعلیق شد #کارمند_بانک_انصار #بیرجند</t>
  </si>
  <si>
    <t>این فرمایش حضرت آقا در واقع فاجعه آمیز بودن جلسه #سوال_از_رئیس‌جمهور را نشان میدهد اولاً نشان میدهد همین که جناب روحانی در مجلس تشنج ایجاد نکرده و فضا را به سمت رادیکالیسم نبرده باید خدا را شکر کرد و گرنه امید نتیجه که نبوده ثانیا اشاره لطیفی به سعه صدر منتقدان این دولت دارد RT @Khamenei_fa: جلسه دیروز #مجلس،نمایش اقتدار و ثبات جمهوری اسلامی بود.خداوند به آقای رئیس جمهور و قوه مقننه خیر بدهد که مشترکا چنین اقتداری را نشان دادند. دشمن از جلسه دیروز بدنبال اهداف دیگری بود. البته میان انتظارات نمایندگان و واقعیات موجود شکافی وجود دارد که باید پر شود. #سوال_از_رئیس‌جمهور</t>
  </si>
  <si>
    <t>حامدشبانی</t>
  </si>
  <si>
    <t>روزنامه نگار، برنامه ساز تلويزيون , journalist , Tv producer Iran</t>
  </si>
  <si>
    <t>Georgia</t>
  </si>
  <si>
    <t>pic.twitter.com/fdpZbDQSGu</t>
  </si>
  <si>
    <t>#نمايش_دروغ، #نمايش_يأس ، #نمايش_ترس_از_حقيقت ،خدا حفظ كنه آقاي#رئيس_جمهور رو كه شب قبل از رفتن به #مجلس مو به مو حرف آقاي #خامنه_ای رو گوش كرد ، #افسوس بابت اين #انتخاب . آقاي #رئيس_جمهور بعد از #سخنراني ديروز #دلار دوباره ١١ هزار تومان شد.</t>
  </si>
  <si>
    <t>Sam Allameh</t>
  </si>
  <si>
    <t>با این احضارهای پی درپی وزرا به #مجلس و سوال های پشت سرهم این بندگان خدا چطور وقت کنند کارهای اصلیشون رو انجام بدن. ما شود شده جواب پس دادن به نماینده های در پیت محصول نظام استصوابی #شورای‌نگهبان! #ایران #روحانی</t>
  </si>
  <si>
    <t>جزئيات ِ نه چندان قطعي فساد هاي دولت روحاني، وزارت خانه هايش، نزديكانش و بستگانشان را از اين طرف و آن طرف بخوانيد، احمدي نژاد و دولتش را رو سفيد كرده است. #روحاني مدتهاست فقط براي آينده اش در ساختار #قدرت بعد از #١٤٠٠ بازي ميكند.</t>
  </si>
  <si>
    <t>Mehr D</t>
  </si>
  <si>
    <t>PhD Candidate of Mech Eng</t>
  </si>
  <si>
    <t>روزگاری بود همش زمزمه میکردم: “که گفت که آن زنده جاوید بمرد؟ که گفت که آفتاب #امید بمرد؟ آن دشمن خورشید برآمد بر بام دو دیده ببست، گفت خورشید بمرد” الان جرات فکر به #امید رو هم ندارم. همین. #اصلاحات #روحاني</t>
  </si>
  <si>
    <t>Saeed Ln</t>
  </si>
  <si>
    <t>‏‏‏‏‏ بی يو هرگز :)</t>
  </si>
  <si>
    <t xml:space="preserve"> ته سيگارم</t>
  </si>
  <si>
    <t>مثل اینکه تابستون امسال قراره مد جناب روحانی #استیضاح باشه البته بر خلاف رويه تو ژانر تراژدی و اين صحبتا 😊😊😊</t>
  </si>
  <si>
    <t>معکوس</t>
  </si>
  <si>
    <t>یافتن رگه‌های مغالطه در پس اخبار سیاسی و هیجانات اجتماعی</t>
  </si>
  <si>
    <t>جلسه امروز رهبری با دولتِ ناکام از مجلس، با روحیه ضعیف و چهره‌هایی خسته؛ همراه شد با تعبیر مثبت رهبری از آن جلسه و شخصیت بخشیدن به #مجلس و #روحانى (که هیچ کس برایش نمانده است). آ. #خامنه‌ای هیچگاه به دنبال تخریب مدیرانش نیست، هر چند رسانه‌هایشان درصدد #سانسور_رهبری باشند.</t>
  </si>
  <si>
    <t>فقط دو کلمه</t>
  </si>
  <si>
    <t>درآن سرزمین کاین قدر خون کنند/در آن آزادگان خواب چون کنند کنشگرحقوق بشر و جنبش دادخواهی</t>
  </si>
  <si>
    <t>https://pbs.twimg.com/media/Dlyi9aDVsAABlcc.jpg</t>
  </si>
  <si>
    <t>#ایران -آخوند شیاد #روحانی در مجلس: مردم امید داشته باشن، #اقتصاد ما حل خواهد شد! #IranRegimeChange</t>
  </si>
  <si>
    <t>كريم صالحⓂ️</t>
  </si>
  <si>
    <t>‏‏گذر زمانه ماشه را خواهد کشید.</t>
  </si>
  <si>
    <t>کاری که #روحانی با صحبتاش میکنه داریوش با همه آهنگاش نتونسته</t>
  </si>
  <si>
    <t>عمو گرگه</t>
  </si>
  <si>
    <t>امروز وقتی #سوال_از_رییس‌جمهور شد که در مورد بیکاری و سکه و طلا و تحریم و قاچاق چیکار کردی یه جوابهایی داد که دلم میخواست اونجا بودم و بلند داد میزدم" #مثل_شرق_دروغ_میگی بلکه مردم رو بیشتر از این احمق فرض نکنه #شهروند_جنسی #جنسی_آنلاین</t>
  </si>
  <si>
    <t>Fahim</t>
  </si>
  <si>
    <t>#روحانی این روزها عجیب شبیه #احمدي_نژاد شده</t>
  </si>
  <si>
    <t>‏دانشجوی علوم سیاسی شهید بهشتی/ دبیر سیاسی دفتر تحکیم وحدت</t>
  </si>
  <si>
    <t>http://yon.ir/28cGm</t>
  </si>
  <si>
    <t>اکنون زمان آن رسیده که با فعال کردن فیلترِ #نظارت_همگانی، همزمان با #سوال_از_رئیس‌جمهور ؛ سوال از مجلس را بابت مصوباتش کلید بزنیم؛ تا خانه ملت به محلی برای ساطع شدن صدای ملت تبدیل شود. مجلس امروز #مناطق_آزاد را تصویب کرد. #قاچاقچیان_رسمی</t>
  </si>
  <si>
    <t>سارا عاقلی</t>
  </si>
  <si>
    <t>#روحانی همیشه در انتخاب #وزیر_صمت اشتباه کرده ؛ #نعمت_زاده هم خودش دزد بود و هم جمیع خاندانش ؛ امروز دختر نعمت زاده بجرم ۳۵۰ میلیارد بدهی به شبکه دارویی کشور بازداشت شد ؛ #شریعتمداری هم بدتر از قبلی</t>
  </si>
  <si>
    <t>با صحبت های امروز #لاریجانی در مورد عدم امکان ارجاع سوال از #روحانی به قوه قضاییه، مشخص شد ک این جلسه هم مانند دادگاههای متهمان اقتصادی، یک نمایش مسخره از پیش هماهنگ شده و یک خیمه شب بازی عوامفریبانه برای انحراف افکار عمومی بوده ک تنها خروجی آن افزایش نرخ سکه و دلار بود.</t>
  </si>
  <si>
    <t>آگنوستيك ،راديكاليسم ،فمنيسم ،چريك وطن</t>
  </si>
  <si>
    <t>ايرلند رضوى</t>
  </si>
  <si>
    <t>سكوت #روحانى در مجلس فقط باعث ارگاسم سياسى آن معظم له شد! انتظار افشاگرى از كسى كه نظام برايش عزيزتر شرف وناموس و فرزند است حماقت است. #IslamicRegimeMustGo</t>
  </si>
  <si>
    <t>آلبرت افشين</t>
  </si>
  <si>
    <t>اکثر وقتا بد شانسم</t>
  </si>
  <si>
    <t>In my thoughts</t>
  </si>
  <si>
    <t>سوای این که #براندازم برام خیلی خنده داره که #احمدی_نژاد بعد از ۸ سال تپه ای نبود که روش نریده بود و اونقدرام آب از آب تکون نخورد بدبخت #روحانی اومد یه سروسامونی به وضع بده ترامپ و نتانیاهو دهنشو گاییدن... همون بهتر که بیشتر هم بگان که برای مردم عوض کردن این رژیم راحت تر بشه...</t>
  </si>
  <si>
    <t>لوک خوش شانس</t>
  </si>
  <si>
    <t>http://instagram.com/mehdi_mohammadiyan</t>
  </si>
  <si>
    <t>‏‏مهدی محمدیان هستم!هر از چند گاهی یه انتقادی می کنم!با نام مسئول مجازی!!!</t>
  </si>
  <si>
    <t>pic.twitter.com/K1wbOzl1O7</t>
  </si>
  <si>
    <t>مردم را در یابیم.... #دولت #روحانی #جهانگیری #پراید #گرانی #انقلاب</t>
  </si>
  <si>
    <t>مهدی محمدیان</t>
  </si>
  <si>
    <t>‏‏‏‏‏‏‏📜 رُخداد‌ها و افکارِ روزانه 📜 فالو میکنم،خوشحال میشم بَک بدی.👀✌ از دوستدارانِ ج‌ا و مجاهدین خواهشمندم اجازه بدید این روح در آرامش بماند.</t>
  </si>
  <si>
    <t xml:space="preserve">سَرگَردان زیرِ توئیتِ ملّت </t>
  </si>
  <si>
    <t>https://pbs.twimg.com/media/DlxBp5fXgAECp2t.jpg</t>
  </si>
  <si>
    <t>https://twitter.com/Parpanchi/status/1034774212320419841</t>
  </si>
  <si>
    <t>نمایش اقتدار فقط پراید ۴۰ میلیونی نمایش ثبات هم قیمت #دلار نمایشنامه نویسم فقط خودت با اجرای هنرمندانه‌ی برادران لاریجانی و حسن #روحانی RT @Parpanchi: آیت‌الله خامنه‌ای: جلسه دیروز مجلس (طرح سوال از رئیس‌جمهوری و قانع نشدن نمایندگان از پاسخ‌های او)، نمایش اقتدار و ثبات جمهوری اسلامی ایران بود و خداوند به آقای رئیس‌جمهور و قوه مقننه خیر بدهد که مشترکاً چنین نمایش اقتداری را نشان دادند.</t>
  </si>
  <si>
    <t>👻ghost👻</t>
  </si>
  <si>
    <t>An outsider, a residue</t>
  </si>
  <si>
    <t>#روحانی شکست خورد، و با شکست او #سیاست در قالب #جمهوری_اسلامی به پایان رسید. دیگر کسی نخواهد توانست بدون گذر از #نظام از امر سیاسی صحبت کند. طرحی هوشمندانه از نظامی که اعتماد به نفس کافی برای حاکمیت به واسطه سرکوب را پیدا کرده. روزگار بلند تیره ای در پیش است.</t>
  </si>
  <si>
    <t>Anonymous</t>
  </si>
  <si>
    <t>I'm a nurse, I hope to live in a free Iran.</t>
  </si>
  <si>
    <t>https://pbs.twimg.com/media/DlynyfyXoAAVlS1.jpg</t>
  </si>
  <si>
    <t>https://bit.ly/2PLZox4</t>
  </si>
  <si>
    <t>RoyaIranian</t>
  </si>
  <si>
    <t>https://twitter.com/mehdixr/status/1000108486066429952</t>
  </si>
  <si>
    <t>اینروزها زیاد میبینم که #روحانی رو فردی دو رو و دروغگو‌ خطاب میکنن. فردی که براحتی چرخش میکنه به سمتی که به سودش هست. بنظرم این خودش یک نوع سبک رهبری و مدیریت هست. RT @MehdiXr: در عوض شاید هاشمی و دستیارش روحانی رو بشه situational leader نامید. بنی صدر در ذم هاشمی میگه هر روز بنا به شرایط رنگ عوض میکرد درحالیکه این یک مدل رهبری است. هاشمی حتی در برابر قتل دوست قدیمی خود و پدر دامادهایش سکوت کرد چون واکنش رو به مصلحت نمیدید. »</t>
  </si>
  <si>
    <t>❤💙❤💙 خدارو شکر که فقط میگذره</t>
  </si>
  <si>
    <t>https://pbs.twimg.com/media/DlyoKssXoAIHNVH.jpg</t>
  </si>
  <si>
    <t>روحانی: ما در این دوره افزایش واحدهای تولیدی داشتیم #روحانی</t>
  </si>
  <si>
    <t>علی با رضا</t>
  </si>
  <si>
    <t>اظهارات #روحاني در #مجلس مبين تعميق بن بست و بحران و تشديد جنگ قدرت است که هيچ برون رفتي در مقابل خشم و نفرت عموم مردم و قيام سراسري آنان ندارد دبيرخانه شوراي ملي مقاومت ايران ۶شهريور۱۳۹۷(۲۸ اوت۲۰۱۸) متن اطلاعیه ضمیمه است RT @simayazaditv: اظهارات #روحاني در #مجلس مبين تعميق بن بست و بحران و تشديد جنگ قدرت است که هيچ برون رفتي در مقابل خشم و نفرت عموم مردم و قيام سراسري آنان ندارد دبيرخانه شوراي ملي مقاومت ايران ۶شهريور۱۳۹۷(۲۸ اوت۲۰۱۸) متن اطلاعیه ضمیمه است</t>
  </si>
  <si>
    <t>‏‏‏‏مهندس علوم و صنایع غذایی،، مدیر کنترل کیفیت،، ‏‏ انقلابی😊 پر از شور و شوق💕☺ . . ﺷﻬﻴﺪ ﻋﺸﻖ ﺣﺴﻴﻦ ﺍﻡ ﮐﻔﻦ ﻧﻤﻲ ﺧﻮﺍﻫﻢ . ﺳﺮﻡ ﺑﻪ ﻧﻴﺰﻩ ﺑﻠﻨﺪ ﺍﺳﺖ ﺗﻦ ﻧﻤﻲ ﺧﻮﺍهم..</t>
  </si>
  <si>
    <t>طلبکار علی شدند آنانکه خود ابوموسی اشعری را انتخاب کردند!! #روحانی #غدیری_ام #گفته_نشده</t>
  </si>
  <si>
    <t>سایه</t>
  </si>
  <si>
    <t>https://mshaghad.wordpress.com/</t>
  </si>
  <si>
    <t>دانشجو و علاقه‌مند به فلسفه دین؛ پژوهشگر و دوستدار ویکی‌شیعه؛ عضو و معتقد به ندای ایرانیان؛ عضو و عاشق حلقه مطالعاتی ادیان؛</t>
  </si>
  <si>
    <t>تنها حسی که من از جلسه #روحانی در مجلس داشتم این بود: #شریک_دزد_و_رفیق_قافله</t>
  </si>
  <si>
    <t>محمدباقر حقانی‌فضل</t>
  </si>
  <si>
    <t>‏jornalist📃</t>
  </si>
  <si>
    <t>#خامنه‌ای امروز از قدرت بازیگری #روحانی و #مجلس تو نمایشی که گذاشته بودند تعریف کرد نمایشی که برای چندمین بار در طول عمر #جمهوري_اسلامي برای بازی دادن مردم به روی صحنه رفت. #جمهوری_اسلامی_انتخاب_من_نیست</t>
  </si>
  <si>
    <t>Areiamehr</t>
  </si>
  <si>
    <t>Philanthropist.... They laugh at me because i was different I laugh at them because they were the Same [Plato ]</t>
  </si>
  <si>
    <t xml:space="preserve">Nowhere and Everywhere </t>
  </si>
  <si>
    <t>ما به بهترینشون رای دادیم!!!!!! مردم نمیدونم چرا نمیخان بفهمن که مشکلات فعلی مملکت ربطی به آقای #روحانی نداره!!!!!!!!!!!!😓😓😓😓😓😓 مردم نمیدونم چرا نمیخان بفهمن....... مردم نمیدونم چرا نمیخان بفهمن....... مردم نمیدونم چرا نمیخان بفهمن....... #براندازم #سلبریدی #بی_شرف RT @pessarbad: وقتی مرزهای ماله کشی و وقاحت با هم جا به جا میشود. #سلبریدی_حکومتی #شاخص_فلاکت #دیگه_تمومه_ماجرا</t>
  </si>
  <si>
    <t>Vendetta</t>
  </si>
  <si>
    <t>https://twitter.com/mehdixr/status/1028690179656245249</t>
  </si>
  <si>
    <t>امروز در مورد #روحانی دو خط موازی رو میبینیم. یکی حمایت رهبر از روحانیه در شرایط فعلی. و دیگری فشارهای مجلس به دولته با استیضاح وزرا و سوال. یا اینا هماهنگ شده هست و یا هماهنگ نشده. هر کدوم که باشه داستانی برای خودش داره. قوه قضاییه هم‌درگیر این موضوع نیست فعلا. RT @MehdiXr: احساس میکنم که طناب رو انداختن گردن روحانی؛ مردم رو دیگه نداره، حجم وسیعی تبلیغات بر علیه‌ش هست، سایر قوا و نهادها هم دارن چاقوهاشون رو تیز میکنن براش. عنقریب شاهد قیمه قیمه شدنش خواهیم بود؟ شاید البته! شاید [پ.ن: زیدآبادی راست میگه که روحانی تنهاترین رییس جمهوره]</t>
  </si>
  <si>
    <t>https://pbs.twimg.com/media/DlyqkK-UcAA8isw.jpg</t>
  </si>
  <si>
    <t>#چرچيل ميكه: #اسلام براي مرد مانند بيماري هاري براي سگه!!! #براندازم #براندازيم #ايران #ایران_را_پس_میگیریم #ايرانارشيسم #تز_ايرانارشيسم #تظاهرات_سراسری #اعتصابات_سراسری #روحاني #چالش_دعوت_به_عملیات #سانسور_رهبری‌ #رسانه_کذاب_دادستان_خواب #گفته_نشده</t>
  </si>
  <si>
    <t>دغدغه مند</t>
  </si>
  <si>
    <t>فقط یه نفره (@Khamenei_Fra) که میتونه از دل چالش ها، پیروزی و عزت و اقتدار جمهوری اسلامی رو بکشه بیرون #سوال_از_رئیس‌جمهور #مجلس #شفافیت_آراء_نمایندگان</t>
  </si>
  <si>
    <t>محمد بابایی</t>
  </si>
  <si>
    <t>http://www.Iranwtc.org</t>
  </si>
  <si>
    <t>مرکز تجارت جهانی ایران World Trade Center Tehran - Iran</t>
  </si>
  <si>
    <t>https://youtu.be/p3rFVMbaiBE</t>
  </si>
  <si>
    <t>صفحه دو: چرا پاسخ‌های روحانی نمایندگان مجلس را قانع نکرد؟  via @YouTube تحلیل و مناظره دکتر #سبزعلیپور ریاست مرکز تجارت جهانی ایران درخصوص سخنان روز گذشته #روحانی در مجلس در برنامه #صفحۀ_دو تلویزیون #بی_بی_سی</t>
  </si>
  <si>
    <t>WTC Tehran - Iran</t>
  </si>
  <si>
    <t>یکی از وزرایی که یا باید مجلس برش داره یا خود روحانی. قطع به یقین وزیر صمت (صنعت معدن تجارت) است. #استیضاح #ترمیم_کابینه</t>
  </si>
  <si>
    <t>The meaning of peace is the absence of opposition to socialism. “中国特色社会主义”的意思就是“共匪特色资本主义”。</t>
  </si>
  <si>
    <t>Brandenburg, Germany</t>
  </si>
  <si>
    <t>در تأئید سخنان #خامنه‌ای جلسه دیروز #مجلس یک نمایش بود، ولی نه نمایش اقتدار و ثبات ج. ا.، بلکه شوی سیاسی ارکان ج. ا. و جدلی نمایشی میان آنها. نمایش دیروز در صحن مجلس بار دیگر اثبات نمود، که رژیم ج. ا. اصلاح شدنی نیست و تنها راه حل مشکلات، نابودی نظام فاسد حاکم بر کشور می باشد.</t>
  </si>
  <si>
    <t>Shahram4Freedom</t>
  </si>
  <si>
    <t>از اول امروز که آشفته و مستیم / آشفته بگوییم که آشفته شدستیم</t>
  </si>
  <si>
    <t>tehran/toronto</t>
  </si>
  <si>
    <t>مسئله اینه که شکست #روحانی، شکست ایده‌ی صندوق رأیه، و این خطرناکه #اخبار_ایران #هیات_منصفه_مردمی</t>
  </si>
  <si>
    <t>هَک فین</t>
  </si>
  <si>
    <t>هیچی هیچی‏‏‏</t>
  </si>
  <si>
    <t>با این قیمت دلار هم عزت و هم آبروی ایران و ایرانی رفت بر باد رباخواری دولت و ملت، ایران رو به خاک سیاه نشوند #ایران روحانی #روحانی دلار سکه #مشهد</t>
  </si>
  <si>
    <t>شریف صحرایی</t>
  </si>
  <si>
    <t>http://facebook.com/ebi.tarkeshi.94</t>
  </si>
  <si>
    <t>https://plus.google.com/u/0/+EbiTarkeshi/about http://www.youtube.com/user/Tarkeshi https://telegram.me/EbiTarkeshi https://www.instagram.com/tarkeshiebi/</t>
  </si>
  <si>
    <t>https://pbs.twimg.com/media/DlsT3vOU4AcLjDL.jpg</t>
  </si>
  <si>
    <t>https://twitter.com/bbcpersian/status/1034442393813045253</t>
  </si>
  <si>
    <t>بازتاب پاسخ‌های #روحانی به #سوال_از_رئیس_جمهور در #مجلس، در شبکه‌های اجتماعی فرن تقی‌زاده گزارش می‌دهد:Translate Tweet  RT @bbcpersian: بازتاب پاسخ‌های #روحانی به #سوال_از_رئیس_جمهور در #مجلس، در شبکه‌های اجتماعی فرن تقی‌زاده گزارش می‌دهد:</t>
  </si>
  <si>
    <t>Ebi Tarkeshi  🎻</t>
  </si>
  <si>
    <t>https://pbs.twimg.com/media/Dlyu2nHXsAAYvTv.jpg</t>
  </si>
  <si>
    <t>🎋 #ایران -آخوند شیاد #روحانی در مجلس: مردم امید داشته باشن، #اقتصاد ما حل خواهد شد! #براندازم 👊هزارارشرف @HezarAshraf</t>
  </si>
  <si>
    <t>‏‏‏‏‏‏‏‏‏‏‏‏‏‏‏‏‏‏‏شما هیچ وقت به جوک ها و شوخی های من نمی خندین.! ولی من به همتون می خندم. Tehran University. Fine arts 🃏☠ monarchist Ⓐ</t>
  </si>
  <si>
    <t>سیرک جهنم ☠</t>
  </si>
  <si>
    <t>https://pbs.twimg.com/media/DlyvdZeXcAE3tjI.jpg</t>
  </si>
  <si>
    <t>راستی محمود، چطو به تو گیر ندادن.؟ #احمق_ها_به_بهشت_نمیروند #روحانی #احمدی_نژاد #ایران #ایرج_ملکی</t>
  </si>
  <si>
    <t>او کسی که دلقک بود</t>
  </si>
  <si>
    <t>https://pbs.twimg.com/media/Dlyv9euXcAEwGqS.jpg</t>
  </si>
  <si>
    <t>https://twitter.com/hasanasadiz/status/1034864514435563520</t>
  </si>
  <si>
    <t>وقتی نماینده یک لاقبای مجلس اینگونه و علنا ، شهروندی را تهدید به قتل می کند ، تصور بفرمایید در پشت پرده و خفا به چه کارهایی دست می زند. #شهباز_حسن_پور #حسن_اسدی #مجلس #عوضش_امنیت_داریم #مجلس RT @hasanasadiz: 🆘 جهت اطلاع رییس ونمایندگان #مجلس و همچنین مسئولان انتظامی و امنیتی! #شهباز_حسن_پور نماینده سیرجان در مجلس ازطریق تماس بابرخی دوستان ونزدیکان من بااشاره به محله‌ای درسیرجان گفته: «اگرفلانی‌ها بلایی سرخود و‌خانواده‌اش آوردندازمن گله نکنید!!» تصاویرهم نشانگرادب فرستادگان مجازی وی!</t>
  </si>
  <si>
    <t>https://pbs.twimg.com/media/DlywfNNWwAEsufu.jpg</t>
  </si>
  <si>
    <t>هنوزم میگن اگه نمی‌دادم بدتر میشد!!! #روحانی</t>
  </si>
  <si>
    <t>نظريه پرداز سناريوهاي غيرممكن - عاشق خسته دلي كه نمي دونه چه كنه تا به معبودش برسه حالا اين معبود ممكنه در كباب باشه ممكنه در كتاب</t>
  </si>
  <si>
    <t>Tabriz, Iran</t>
  </si>
  <si>
    <t>پس از صحبت هاي آقاي #روحاني در مجلس، حال اون هواداري رو دارم كه ٩٠ دقيقه تو استاديوم به اميد پيروزي تيم بودم اما حالا فقط ١٠ دقيقه وقت اضافه مونده و ٣ هيچ عقب هستيم، اميدي نمونده ولي كاري هم نمي تونم بكنم جز الكي خوش بودن</t>
  </si>
  <si>
    <t>AMoronPhilosofer</t>
  </si>
  <si>
    <t>ﻣﺮﺩﻙ! ﺑﻪ #روحاني ﺭاﻱ ﺩاﺩﻳﻢ ﻛﻪ ﺟﻠﻮﻱ ﺳﺒﻚ ﺗﺤﻤﻴﻠﻲ #ﺳﭙﺎﻩ و #ﺑﻴﺖ_ﺭﻫﺒﺮﻱ ﺑﻪ ﻣﺮﺩﻡ ﺭا ﺑﮕﻴﺮد.ﺣﺎﻻ اﺭاﺟﻴﻒ ﻫﻤﺎﻧﻬﺎ ﺭا ﺑﻪ ﻣﺎ ﺗﺤﻮﻳﻞ ﻣﻴﺪﻫﻲ?! ﺑﺎﻻﺧﺮﻩ ﺩﺳﺘﻤﺎﻥ ﺑﻪ ﺷﻤﺎ ﺧﻮاﻫﺪ ﺭﺳﻴﺪ! #من_انتخاب_نکردم</t>
  </si>
  <si>
    <t>Arji</t>
  </si>
  <si>
    <t>دانشجوی پزشکی 👨🏻‍⚕️</t>
  </si>
  <si>
    <t>https://pbs.twimg.com/media/DlyxtyHWsAIdbvM.jpg</t>
  </si>
  <si>
    <t>#روحانی راستی #محمود ، چطور به تو گیر ندادن 😂😂</t>
  </si>
  <si>
    <t>کورش</t>
  </si>
  <si>
    <t>آقا امروز جوری حرف میزد انگار ملت بدهکارن به این نظام در پیتی #دیگه_تمومه_ماجرا #رهبری #روحانی</t>
  </si>
  <si>
    <t>برنج شاه شمال</t>
  </si>
  <si>
    <t>از مقربین و عُرَفای بلند مرتبه ی مسلک خُسْران | فالوبک ندهنده | متخصص همه چیز | اهل سائوپائولو و ساکن آبودان(برزیلتون)</t>
  </si>
  <si>
    <t>برزیل ایران</t>
  </si>
  <si>
    <t>به گزارش روزنامه شرق: #روحانی چنان رونق اقتصادی ایجاد کرده که خود مردم اصن به این ۴۵ تومن نیازی ندارن</t>
  </si>
  <si>
    <t>میم ابن میم</t>
  </si>
  <si>
    <t>https://pbs.twimg.com/media/Dly01N8X4AAkcXW.jpg</t>
  </si>
  <si>
    <t>#امام_علی (ع): از خدا بترسید درباره بندگان او و سرزمینهایش ؛ زیرا شما حتى نسبت به قطعه هاى زمین ها و چارپایان نیز باید پاسخگو باشید . از خدا اطاعت کنید و نافرمانى او نکنید . #به_عشق_علی #غدیری_ام #روحاني #مسئولیت_پذیری</t>
  </si>
  <si>
    <t>#مجلس.بیناموسیداگه مشگل اقتصادی مردمو بزودی پیگیری ورفع نکنید.بااینکه ازمجلس فرمایشی هیچ انتظاری نمیتوان داشت.بازم فرصتی داریدکه جبران کنید</t>
  </si>
  <si>
    <t>روزنامه‌نگار و کارشناس ارشد ارتباطات. خیلی دلم میخواد یه روز خوب بیاد!روزی که تبعیض و دروغ نباشه و ایران مال همه باشه</t>
  </si>
  <si>
    <t>https://twitter.com/irannews8857/status/1034806136464179203</t>
  </si>
  <si>
    <t>گندشو درآورده این مجلس! یکی بیاد خودشونو زیر سئوال ببره که چقدر ... هستن در طرح این موضوع! طرف میچسبه به وزیر که یه امضا برا اشناش بگیره! #استیضاح #استحضاح #مجلس #دولت RT @irannews8857: مجلس كه استيضاح مى كند همه را در همه عُمر، چه كسى مجلسيان را استيضاح مى كند؟ #تيمور_لنگ</t>
  </si>
  <si>
    <t>حمیدرضا طهماسبی‌پور</t>
  </si>
  <si>
    <t>https://twitter.com/eslahghera/status/1034890832900308992</t>
  </si>
  <si>
    <t>*ملت #ایران دچار سوختگی نشدند بلکه روزبه رزو اگاه تر میشوند و این درنهایت برای امثال شما هاست که سوختگی میاره *این نمایش بدبختی این نظام و رهبرش #خامنه‌ای نشان میده که میاد میگه نمایش خوبی از #دموکراسی بود! عر #عرزشی #مدیریت30ساله_خامنه‌ای #انتخاب_من_نیست #سوال_از_رئیس‌جمهور RT @eslahghera: @Nightingale_SA و احساس سوختگی عمیق شماها</t>
  </si>
  <si>
    <t>‏‏خواستم تكوني به مملكت بدم، زدم تو كار سياست، ديدم فايده نداره رفتم سياستگذاري خوندم، ديدم نون توش نيست، رفتم بازاريابي ديجيتال كار كردم..</t>
  </si>
  <si>
    <t>اگه #هاشمي به جاي سازندگي، #خاتمي به جاي توسعه_سياسي، #احمدي_نژاد به جاي عدالت و #روحاني به جاي سياست خارجه رو #آموزش_و_پرورش تاكيد ميكردند.. اوضاع خيلي بهتر ميشد.. #بطحايى</t>
  </si>
  <si>
    <t>نیما پروین</t>
  </si>
  <si>
    <t>https://pbs.twimg.com/media/Dly2p-EWsAE8f5Q.jpg</t>
  </si>
  <si>
    <t>به توپ بست #مجلس #روحانی رو!! #غدیری_ام #گفته_نشده #خارج_از_دید #مثل_شرق_دروغ_میگی #شهروند_جنسی #جنسی_آنلاین #ایران #رهبری #از_هر_گوشه #کاریکاتور #طنز #karikator #کاریکاتیر #azhargushe #فساد</t>
  </si>
  <si>
    <t>Ahmad Akbari</t>
  </si>
  <si>
    <t>‏علاقه‌مند فلسفه، ادبیات و سیاست</t>
  </si>
  <si>
    <t>https://pbs.twimg.com/media/Dly3JZ0XcAArn23.jpg</t>
  </si>
  <si>
    <t>روحانی رئیس جمهور ایرانه یا سوئیس؟! من اهل ایرانم یا سوئیس؟! (در حاشیه حرفهای روحانی تو مجلس😪) #روحانی #مجلس</t>
  </si>
  <si>
    <t>alirezarasooli</t>
  </si>
  <si>
    <t>https://pbs.twimg.com/media/Dly3KzfXsAAln9N.jpg</t>
  </si>
  <si>
    <t>احضار روحانی و اعتراف به قیام گفتگو با حسین ربوبی س:چی شد که #روحانی به مجلس رفت ؟ اینا که همیشه میگن «همه تو یک کشتی نشستیم و اگه سوراخ بشه همه غرق می‌شیم!‌» پس چرا روحانی رو بردن مجلس که درد مردم تازه بشه؟ ج: روحانی خودش نرفت بلکه برای اولین بار در عمر ۳۹ ساله نظام...</t>
  </si>
  <si>
    <t>کانال رسمی ایرانیان دانمارک</t>
  </si>
  <si>
    <t xml:space="preserve">دانمارک </t>
  </si>
  <si>
    <t>https://pbs.twimg.com/media/Dly3scmX4AArE4C.jpg</t>
  </si>
  <si>
    <t>امانوئل #مکرون، #رئیس_جمهور #فرانسه در حاشیه سفر به #دانمارک به همراه «لارس لوکه راسموسن»، نخست وزیر دانمارک در خیابان های #کپنهاگ به دوچرخه سواری پرداخت.</t>
  </si>
  <si>
    <t>ایرانیان دانمارک</t>
  </si>
  <si>
    <t>خبرنگار @JameenoDaily و #صدای_نو دیلی</t>
  </si>
  <si>
    <t>#روحانی در نامه به #لاریجانی اعلام کرد که ایجاد #تنش یکی از گزینه‌هایش است.بر سر همین هم معامله کرد و در مجلس، بین تنش و آرامش دومی را گزید و اعلام کرد که توصیه‌های رهبری را رعایت می‌کند؛یعنی من #خودمی ام. امروز البته یک آفرین گرفت و بس. #سوال_از_رئیس‌جمهور #منم_تحلیل_سیاسی_بلدم</t>
  </si>
  <si>
    <t>علی دانشیان</t>
  </si>
  <si>
    <t>اعتمادبنفس</t>
  </si>
  <si>
    <t>#مجلس.اینکه حسن اقا سوال نمایند گان رابه تخم چپش هم حساب نکرد وفقط به چندتابایدیک قصه ویک شوخی تمام کردمعنی اش میشود شماهادرقدوقواره ای نیستیدکه از رانتخوری وبیکاری وسقوط ارزش پول ملی ولیچارگی کارگرومردم واگذاری 80درصدخزروسپردن صیادی خلیج به اجنبی وقاچاق و....سوال کنیدو....</t>
  </si>
  <si>
    <t>jacobnadar7</t>
  </si>
  <si>
    <t>https://pbs.twimg.com/media/Dly57l-UUAACHfQ.jpg</t>
  </si>
  <si>
    <t>#کاریکاتور باز نشدن قفل سوالات #مجلس از #رئیس_جمهور خبرگزاری فارس</t>
  </si>
  <si>
    <t>http://Instagram.com/zohdi_maryam</t>
  </si>
  <si>
    <t>BBC Persian Journalist. Views expressed are personal. Retweeting is not endorsement. https://t.me/maryamzohdi</t>
  </si>
  <si>
    <t>pic.twitter.com/vNheKqc177</t>
  </si>
  <si>
    <t>#احمدی‌نژاد تحریم‌ها و خس و خاشاک. #لقمه خیلی گُله :)) #محمد_لقمانیان #روحانی</t>
  </si>
  <si>
    <t>Maryam Zohdi</t>
  </si>
  <si>
    <t>این راضی، اون راضی، گور پدر ناراضی (که مردم باشن) :) #آقا_خوشش_آمد #سوال_از_رئیس‌جمهور</t>
  </si>
  <si>
    <t>http://sapp.ir/alefhamim</t>
  </si>
  <si>
    <t>‏‏‏‏فعال دانشجویی | دانشجوی پزشکی | مسئول بسیج دانشجویی دانشگاه علوم پزشکی شیراز | °تا آزادی قدس خواهیم جنگید...°</t>
  </si>
  <si>
    <t>تغییر رویه #مجلس نسبت به #دولت ، که باید پنج سال قبل آغاز می‌شد، ماهیتی انفصالی دارد تا اصلاحی! یعنی حساب ما را از دولت جدا کنید، یعنی در اشتباهات دولت دخیل نیستیم، یعنی دیگر ما را همسو ننامید، یعنی #عبور_از_روحانی... #تلاشی_برای_فرار</t>
  </si>
  <si>
    <t>امیرحسین محسن زاده</t>
  </si>
  <si>
    <t>وکیل پایه یک دادگستری/دانشجوی دکتری حقوق/نایب ریس سابق کانون وکلای دادگستری استان همدان</t>
  </si>
  <si>
    <t>برخی عزیزان خرده میگیرند که چرا به #روحاني رای دادی وتشویق کردی که انگار روحانی در حال مبارزه با#ماهتیر_محمد بود روحانی منتخب #استصواب بود</t>
  </si>
  <si>
    <t>saied ainehvand</t>
  </si>
  <si>
    <t>خبرنگار سیاسی ایسنا | Reporter at ISNA khorasan / اصلاح طلب 🌱 /</t>
  </si>
  <si>
    <t>#مجلس حواسش باشد، بحران زا نشود. جنگ اقتصادی را درک کند. RT @aliakrami6: مجلس برای حل #بحران_اقتصادی وزیر آموزش پرورش را #استيضاح می کند</t>
  </si>
  <si>
    <t>iArasH 🇮🇷</t>
  </si>
  <si>
    <t>یادتونه میگفت چنان رونق اقتصادی ایجاد کنم که مردم خودشون به این 45هزار تومن احتیاج نداشته باشند. #دروغ #فریب #حماقت #بدبختی #روحانی</t>
  </si>
  <si>
    <t>#من_کنت_مولا</t>
  </si>
  <si>
    <t>https://pbs.twimg.com/media/Dly6wIaX0AMvr6S.jpg</t>
  </si>
  <si>
    <t>ببین #روحانی چه کرده که در اتفاقی نادر تیتر سه روزنامه #شرق غربگرا، رسالت اصولگرا و جوان انقلابی دقیقا یکی شده. از هر انگشت شیخ حسن یه هنر می افته. آیا این برای شما کافی نیست؟</t>
  </si>
  <si>
    <t>هیلاکی ڕەنجێکم کە ڕەنجی من نییە/ عطر در هاون می کوبم</t>
  </si>
  <si>
    <t>وکلای ایران در #لاهه دارند وضعیت و شرایط زندگی در ایران رو شرح میدن میگن مردم برای تامین غدا مشکل پیدا کردن. بعد وکیل #آمريكا میگه ما تحقیق کردیم دیروز #رئیس_جمهور ایران در مجلس گفته که هیچ مشکلی وجود ندارد.</t>
  </si>
  <si>
    <t>تاهـیـر</t>
  </si>
  <si>
    <t>یک مهندس، فارغ‌التحصیل شریف. شیرازی‌الاصل</t>
  </si>
  <si>
    <t>https://pbs.twimg.com/media/Dly6fUOVAAAqPIS.jpg</t>
  </si>
  <si>
    <t>وسیله‌ای که #روحانی با خودش همه جا می‌بره در واقع چشم مرحوم #هاشمی هست که به دنبال کالبدی می‌گرده که با کمک اون به عالم سیاست برگرده. تنها راه از بین بردنش اینه که دستبند سبز فریبنده رو بندازیم توی چاه. (بر گرفته از داستان ارباب حلقه‌ها) #پنكه</t>
  </si>
  <si>
    <t>Echo Papa</t>
  </si>
  <si>
    <t>#یادتونه میگفت من میخوام هم چرخ #اقتصاد بچرخه هم چرخ #سانتربفیوژها #سکه #دلار #پراید #خواربار #دروغ #روحانی</t>
  </si>
  <si>
    <t>#مجلس.مجلس میتواندعدم کفایت رییس چمهوررا تصویب کندخاصه که سوالات نماینگان رابی جواب گذاشت عده ای هم خوشحال شدنداماباریاست علی لاریجانی حتی تصوران هم غلط است! #لاتیگری رییس</t>
  </si>
  <si>
    <t>‏‏‏‏دانشجوی دکتری فلسفه علم و فناوری با پرسش از نسبت دین، علم و فلسفه|دانش‌آموزِ مسائل ایران، توسعه و آینده تمدنیِ ایران|</t>
  </si>
  <si>
    <t>حمایت رهبری از رییس‌جمهور بابت پاسخگویی همراه با متانت در مجلس، نشان داد که خوشحالی #اصولگرایان از باختن #روحانی و ناراحتی #اصلاحطلبان برای نگفتن پشت پرده‌ها!! چقدر به دور از منافع ملی است و چقدر این دو از برخی نظرها شبیه هم هستند؛ دو روی یک سکه...</t>
  </si>
  <si>
    <t>محسن دنیوی</t>
  </si>
  <si>
    <t>‏‏‏‏‏‏‏‏‏‏‏‏چه فریادها مرده در وطن چه شدّادها رفته بر منصب __________________________________________ کارشناس ارشد روابط بین الملل|فعال سیاسی|منتقد وضع موجود</t>
  </si>
  <si>
    <t>https://twitter.com/ebrahimiavval/status/1025620759287410693?s=19
https://twitter.com/ebrahimiavval/status/1034903556648853504</t>
  </si>
  <si>
    <t>حسین آقا در مورد آقای دکتر حجت الاسلام #روحانی موضع خودت را مشخص کن. روحانی را به #احمدي_نژاد ترجیح بده، اما بنده خدا حداقل در نظرات و عقایدت ثبات قدم داشته باش. RT @ebrahimiavval: روحانی هر چی هست به نصیحت آقا درباره جلسه مجلس گوش داد و آقا با یک بیان رضایتمندانه ای امروز تشکر کردند اما احمدی نژاد بارها ثابت کرد که به نصیحت های خصوصی و پشت بلندگوی آقا گوش نمیده؛ اینو برای کسایی گفتم که هنوز احمدی نژاد رو به روحانی ترجیح میدن!</t>
  </si>
  <si>
    <t>Abolfazl Norani</t>
  </si>
  <si>
    <t>#یادتونه میگفت من #عزت وبه #پاسپورت #ایرانی بر میگردونم #دروغ #فریب #حماقت #روحانی</t>
  </si>
  <si>
    <t>https://pbs.twimg.com/media/Dly-pKQUcAUVA3x.jpg</t>
  </si>
  <si>
    <t>امروز هشت شهریور سالروز شهادت شهید #رجایی آموزگار و رئیس جمهور مردمی. /عکس اول دیدار رجایی با آوارگان جنگ دزفول. عکس دوم دیدار دکتر #روحانی با زلزله زدگان کرمانشاه</t>
  </si>
  <si>
    <t>به عقب برنمی گردیم فقط اونجاش که #پراید میشه چهل میلیون و مردم مجبور میشن به دوران اشتر سواری برگردن #روحانی</t>
  </si>
  <si>
    <t>‏‏‏‏‏‏عیالشونم 💍 مادرشم و طراح وبشونم متاهل و دارای یک دختر، بیناموسی=بلاک</t>
  </si>
  <si>
    <t>بسیجی میره داروخانه میگه ببخشید دکتر شربت #شهادت دارید دکتر میگه نه عزیزم اون مال اوایل جنگ بود الان شیاف #مقاومت داریم ببراستفاده کن اگردیدی هم میسوزی وهم میگوزی به همت دولت #روحانی دوگانه سوز شدی ...... #جک 😹😹😹😹😹</t>
  </si>
  <si>
    <t>lady7sea</t>
  </si>
  <si>
    <t>https://unikanews.com</t>
  </si>
  <si>
    <t>پایگاه خبرپراکنی مجازی "یونیکا"</t>
  </si>
  <si>
    <t>https://youtu.be/7e6aRQoPn5c</t>
  </si>
  <si>
    <t>آیا خامنه ای دستور خروج از برجام را صادر کرده است؟ جور دیگه عمل کنیم او چه معنایی دارد؟ #علی_خامنه_ای در دیدار امروز خود با اعضای دولت #روحانی گفته است: “در خصوص #برجام باید از اروپا قطع امید کنیم و تصمیم خود را جور دیگه ای بگیریم”</t>
  </si>
  <si>
    <t>Unika News</t>
  </si>
  <si>
    <t>http://www.nigc.ir/Portal/Home/</t>
  </si>
  <si>
    <t>گوشم با شماست</t>
  </si>
  <si>
    <t>https://twitter.com/ir_aref/status/1034688703581642753</t>
  </si>
  <si>
    <t>نماینده های مجلس متاسفانه احساس مسئولیت مشترک نسبت به رفتار یکدیگر ندارند و این یکی از ضعف های مجلس است که حتما نماینده پر سکوت با سکوت های خود باید برای آن چاره اندیشی کند. #استیضاح_بطحایی #استیضاح #مجلس_الوزراء RT @ir_aref: وزرای دولت متاسفانه احساس مسئولیت مشترک نسبت به رفتار یکدیگر ندارند و این یکی از ضعف‌های دولت است که حتما رییس‌جمهور باید برای آن چاره‌اندیشی کند</t>
  </si>
  <si>
    <t>گازى هستم</t>
  </si>
  <si>
    <t>‏‏‏‏‏یک همسر, مادر و فعال رسانه‌ای</t>
  </si>
  <si>
    <t>https://pbs.twimg.com/media/DlzBUkyWsAALLcP.jpg</t>
  </si>
  <si>
    <t>یه "دقیقا تا اینجا توی گِل گیر کردیمِ" خاصی توی این عکس مووووج میزنه😂😂 #سیاست #روحانی #مجلس #سوال_از_رئیس‌جمهور</t>
  </si>
  <si>
    <t>z.mirakhori</t>
  </si>
  <si>
    <t>#مجلس.نمایندگان مجلس یک امکان اساسی دراختیار دارندهمه وزرای پخمه وبی عرضه ورانتبازرا استیضاح وعزل کنندتاحسن اقاراواداربه اوردن وزرای سالم کاردان ودلسوزبابرنامه وجوابگوبه مردم کنندغیرازاین راه دیگری نیست! #عزل وزرای بی عرضه</t>
  </si>
  <si>
    <t>كارآفرين|داراى مدارك دانشگاهى در مهندسى و مديريت از كانادا| محافظه كار به معناى مدرنش|علاقه مند به سياست،تاريخ،اقتصاد|عاشق ايران و متنفر از جمهورى اسلامى</t>
  </si>
  <si>
    <t>تهران با تمام بزرگيش</t>
  </si>
  <si>
    <t>اگه به #روحاني راى نداده بودين حداقل الان ديگه #دارو گير ميومد. #نعمت_زاده #دختر_مظلوم_وزیر پ.ن: جمهورى اسلامى از صدر تا ذيلش جرثومه فساد است، شهرام و بهرام هم ندارد.</t>
  </si>
  <si>
    <t>لیبرال ضد چپ</t>
  </si>
  <si>
    <t>http://instagram.com/jonbesh_sabz_88</t>
  </si>
  <si>
    <t>‏‏‏‏‏‏‏‏فتنه اي نيست ب جز عشق وطن در سرما☘️☘️ ‎#میر_حسینیم/ اصلاح طلب/عضو جمعیت امام علی/عضوحزب اتحاد ملت ایران</t>
  </si>
  <si>
    <t>این حجم از وقاحت واقعا مثال زدنیه !!! اقای #روحانی اگر #اصلاح_طلبان نبودن جنابعالی الان توو مسند #رییس_جمهور ی بودین؟؟؟ @Rouhani_ir RT @yaghma_fashkham: روز گذشته #علی_مطهری قبل از حضور #روحانی در مجلس، با او دیدار داشته و پیام فراکسیون امید را به وی منتقل کرده اما روحانی در جواب گفته؛ "مهم نیست رای ندهند" پیام فراکسیون این بود که اگر رییس جمهور اگر شفاف درباره مشکلات کشور و دست های پنهان حرفی نزند به او رای نخواهند داد/سازندگی</t>
  </si>
  <si>
    <t>samane fakuri🇮🇷</t>
  </si>
  <si>
    <t>Hardware/Software designer</t>
  </si>
  <si>
    <t>کلاه گشادی که بر سر #بابک_زنجانی در دادگاه رفت و حرف نزد سر #روحاني هم گذاشتند</t>
  </si>
  <si>
    <t>nima rzn</t>
  </si>
  <si>
    <t>‏‏‏‏‏‏‏‏‏‏‏‏‏اروندی هستم، همان که براندازان می‌گویند: (عَر)وند!</t>
  </si>
  <si>
    <t>سرم را به پای وطن می‌دهم...</t>
  </si>
  <si>
    <t>https://pbs.twimg.com/media/DlzFFv6W4AgLAYV.jpg</t>
  </si>
  <si>
    <t>غوغای #روحانی نگر ، سیلاب طوفانی نگر... @Rouhani_ir @hesamodin1</t>
  </si>
  <si>
    <t>⁦🇮🇷⁩ مهرانمحسن🎗</t>
  </si>
  <si>
    <t>‏‏‏‏مواظب باش قورباغه آبپز نشی . . .</t>
  </si>
  <si>
    <t>کاش اون خرسه که با دیکاپریو هم بازی بود رو با #روحانی توی یه قفس بندازن ببینیم کدومشون قویترن. 🤔</t>
  </si>
  <si>
    <t>⁦🏴بدخواه⁦</t>
  </si>
  <si>
    <t>#مجلس فشاری که به #احمدی_نژاد وارد کرد رو به #روحانی وارد نساخت!</t>
  </si>
  <si>
    <t>omid</t>
  </si>
  <si>
    <t>hamid.balkhi</t>
  </si>
  <si>
    <t>امشب در جلسه ای از #رئیس_جمهور بیست و سه میلیونی بسیار تعریف شد. نشان داده شد که چقدر روحانی خواسته های آن #بیست_وسه_میلیون نفر را دنبال کرده است در این یک سال!!! #روحانی_خیلی_متشکریم #روحانی_رییس_جمهور_یک_نفر</t>
  </si>
  <si>
    <t>hamidreza balkhi</t>
  </si>
  <si>
    <t>مرا ببوس و به اتاقت ببر!</t>
  </si>
  <si>
    <t>فهمیدنش اینقدر سخته؟ که #روحانی مترسکی بیش نیست یکی باید خط مقدم باشه که همه کاسه کوزه ها سرش خرد بشه، این وسط رهبری، روسای قوه قضاییه و مقننه، سپاه، ارتش، خبرگان،مافیای اقتصادی چه کسی یقه اینها رو میگیره؟</t>
  </si>
  <si>
    <t>حزب جفرسون دانا، برترین وبزرگترین حزب است زیرا؛هرکس داناست از ماست</t>
  </si>
  <si>
    <t>https://pbs.twimg.com/media/DlzIQH-WsAErPFn.jpg</t>
  </si>
  <si>
    <t>حزب باد! «کاری از آرش شایسته» (دومین توییت از فعالیت ما) #iran #تاریخ #earthquake #ترامپ #روحانی #جامعه_شناسی #فوتبال #کیروش #آزادی #مد #لباس #خرد #موزیک #عراق #ایران #خنده #پدر #غدیر #عید</t>
  </si>
  <si>
    <t>Jefferson</t>
  </si>
  <si>
    <t>‏‏وجه اشتراک من و چمران و باکری مهندسی مکانیکه کار پاکان را قیاس از خود مگیر</t>
  </si>
  <si>
    <t>Qazvin,IRI</t>
  </si>
  <si>
    <t>دلم از اینا میخواد که عمو حسن داره همه جا هم میبره!😔😔😔😔 شما تا حالا دیدین از پنکه ها!!؟؟ #سوال_از_رئیس‌جمهور #سنت_حسنه_ریت پ.ن: #رشتو مزین به عکس است!</t>
  </si>
  <si>
    <t>امیرحسین فردی</t>
  </si>
  <si>
    <t>‏‏‏‏‏‏‏‏‏دنیا پر از آدمای معمولیِ خاص بودن همینش خوبه....</t>
  </si>
  <si>
    <t>یه جایی همین اطراف</t>
  </si>
  <si>
    <t>این شکافی که #خامنه‌ای میگه باید پر بشه دقیقا چه شکافیِ؟ #روحانی #مجلس_شورای_اسلامی</t>
  </si>
  <si>
    <t>مِستر خاص</t>
  </si>
  <si>
    <t>https://pbs.twimg.com/media/DlzNJdsXsAE1iJc.jpg</t>
  </si>
  <si>
    <t>عه این چیه؟؟؟!! (ایشون تو غار بزرگ شده و تا بحال این جور چیزا ندیده) *____* #سوال_از_رئیس‌جمهور #نمایندگان_مجلس</t>
  </si>
  <si>
    <t>🇮🇷I.R.I🇮🇷http://instagram.com/i_r_i_1993z4CH</t>
  </si>
  <si>
    <t>https://pbs.twimg.com/media/DlxmanIXcAEsvpn.jpg</t>
  </si>
  <si>
    <t>https://twitter.com/zmr_275l/status/1034814673034661889</t>
  </si>
  <si>
    <t>#روحانی یا #پنکه؟ مساله این است؟🤦🏻‍♂️😑😏 RT @zmr_275l: انگور یا انجیر🤔 مسئله این است😌😋</t>
  </si>
  <si>
    <t>DIPLOMAT_I_R_I</t>
  </si>
  <si>
    <t>https://pbs.twimg.com/media/DlzOwLJX0AMK9Bd.jpg</t>
  </si>
  <si>
    <t>فک کنم آینه باشه و وقتی تصویر روحانی را منعکس کرد شکست 😂😂😂 #پنکه #پنکه_ریسجمهور #سوال_از_رئیس‌جمهور #سانسور_رهبری</t>
  </si>
  <si>
    <t>https://pbs.twimg.com/media/DlzPcGZWsAE0vYR.jpg</t>
  </si>
  <si>
    <t>نکنه این قلقلی ذره بین هست؟ فک کنم روحانی داشته از داخلش نماینده های مجلس رو دید میزده ماشالله 😂😂😂 #پنکه #پنکه_ریسجمهور #سوال_از_رئیس‌جمهور</t>
  </si>
  <si>
    <t>https://pbs.twimg.com/media/DlzPjAYXgAAhCaY.jpg</t>
  </si>
  <si>
    <t>راستی! #کواکبیان که استیضاح وزیر اقتصادو پیچونده بود، روز #سوال_از_رئيس_جمهور برگشته بود مجلس یا هنوز سوریه بود؟ ‌ پ.ن: عکس👇🏻</t>
  </si>
  <si>
    <t>دلیل لب فروبستن #روحانی از #افشاگری در #مجلس معلوم شد. فیلمای جدید از خانواده #لاریجانی تو new folder اون یکی فلشش بوده که جا گذاشته خونه</t>
  </si>
  <si>
    <t>http://Instagram.com/ehsanrastgar</t>
  </si>
  <si>
    <t>Writer, Media-Worker, Journalist, Movie Critic &amp; exBlogger/telegram.me/RastgarEhsan LinkedIn:ehsanrastgar/PoliticalScience@UT/MediaManagement@IRIBU/MediaWorker</t>
  </si>
  <si>
    <t>با موضع "بانک‌ها غلط می‌کنند بنگاه‌داری کنند" که #رهبری اتخاذ کردند بسی موافقم. کشور ما سه مالک پیدا کرده: 《#بانک ها،نفت و #سپاه》 و امان از اونایی که یک پاشون در نفته و یک پاشون در بانک. و بس امان از اونایی که هم در دوران #احمدی_نژاد مالک #نفت و بانک بودن،هم در دوران #روحانی.</t>
  </si>
  <si>
    <t>احسان رستگار</t>
  </si>
  <si>
    <t>http://Instagram.com/kunkor98_ir</t>
  </si>
  <si>
    <t>‏‏‏‏طبق نظر سنجی سازمان سنجش ۸۵ درصد دانش آموزان ‎‎#مخالف تاثیر قطعی و مستقیم سابقه تحصیلی در کنکور سراسری ۹۸ هستند. این صفحه به هیچ فرد یا سازمانی وابسته نیست</t>
  </si>
  <si>
    <t>⭐جلسه شورای سنجش و پذیرش دانشجو هفدهم شهریور در خصوص #بازنگری در #مصوبه تاثیر #قطعی سابقه تحصیلی در #کنکور #سراسری #برگزار می شود. ⭐نمایندگان #مجلس تاثیر #مثبت را به شورا توصیه کرده اند ⭐در صورت لغو نشدن مصوبه تاثیر قطعی در شورای سنجش،ما به #دیوان_عدالت_اداری شکایت می کنیم</t>
  </si>
  <si>
    <t>کمپین مخالفان تاثیر قطعی معدل در کنکور ۹۸</t>
  </si>
  <si>
    <t>کاش افراد بی‌بصیرتی که دنبال بهانن بگن"صد رحمت به دوران #احمدی_نژاد"با تلنگر دیروز رهبری بیدار بشن. #رهبری فرمودن که #سوال_از_رئیس‌جمهور، نشانه‌ی عزت،اقتدار و مردم‌سالاری‌دینی جمهوری اسلامی ایران بود. خنّاثانی که از فشار بی‌سابقه‌ی ارزی دشمن برای سرنگونی دولت تلاش می‌کنن،بشنون!</t>
  </si>
  <si>
    <t>#نه_به_تاثیر_قطعی_سابقه_تحصیلی #نه_به_مافیای_ترمیم_معدل #ما_خواهان_تاثیر_مثبت_سابقه_تحصیلی_هستیمم #بطحایی#منصورغلامی_حسن_هاشمی #کنکور#کنکور۹۸#ایران #عدالت_آموزشی #مجلس #دولت #فقط_تاثیر_مثبت #میزان_رای_ملت_است #هشتادوپنج_درصد_دانش_آموزان_مخالف_تاثیر_قطعی_هستند</t>
  </si>
  <si>
    <t>✨THE GOD IS⚜️VERY KIND ⚜️ AND MERCIFUL♦️#Allah-u-Akbar means the God is greatest♦️ Read #Quran and Join #Islam to Save your soul 💟 #cgartist #Filmmaker #TGMF4🌷</t>
  </si>
  <si>
    <t>Lahijan , Iran</t>
  </si>
  <si>
    <t>https://www.theatlantic.com/international/archive/2018/08/china-pathologizing-uighur-muslims-mental-illness/568525/</t>
  </si>
  <si>
    <t>بر اسا گزارشات #خبرگزاری های غربی حدود یک میلیون #مسلمان در کمپهایی نگهداری میشوند و برای بی دین شدن و انکار مذهب مورد شکنجه قرار میگیرند و به زور #الکل خورانده می شوند - حالا #نظام #ایران که هم پیمان #چین باید پاسخگو باشه #خامنه_ای #رهبری #روحانی #اخبار</t>
  </si>
  <si>
    <t>☮️ TGMF4 🎗️🧔</t>
  </si>
  <si>
    <t>بوی تبانی میآد از این اوضاع وگرانیها بوی تبانی میاد هدف تحقیرمردم شریف ایرانه #روحانی برای صندلی ریاست مردم را داد ولی قصه صندلی رهبریه</t>
  </si>
  <si>
    <t>علي آقا</t>
  </si>
  <si>
    <t>http://pake-shadi.com/</t>
  </si>
  <si>
    <t>تلگرام: https://telegram.me/pake_shadie اينستاگرام: https://www.instagram.com/pakeshadiiranntv فيس بوك: https://www.facebook.com/pakeshadi</t>
  </si>
  <si>
    <t>https://www.facebook.com/pakeshadi/videos/870422796487538/</t>
  </si>
  <si>
    <t>#ترانه انیمیشن وعده های دروغ #روحانی دولت شکست و ناامیدی</t>
  </si>
  <si>
    <t>pakeshadi</t>
  </si>
  <si>
    <t>https://twitter.com/Reza_Shaban78/status/1034606860727472129</t>
  </si>
  <si>
    <t>اگه بگم تا حالا من فکر می کردم اینو آورده که آخر جلسه حلقه رو آتیش بزنه و از توی سوراخش بپره بیرون(مثل سیرکا) که نماینده شاد بشن مسخره م نمی کنید؟🙄 #سوال_از_رییس‌جمهور RT @Reza_Shaban78: اگه بگم تاحالا ازیناااااا ندیدم مسخره ام میکنید؟! #سوال_از_رییس‌جمهور</t>
  </si>
  <si>
    <t>هشتگ‌های پر‌طرفدار: - #مجلس - #ایران - #میپرسم</t>
  </si>
  <si>
    <t>https://www.isna.ir/archive?jr=56223294</t>
  </si>
  <si>
    <t>‏صدابردار، تصویربردار و تدوینگر در سرویس چندرسانه‌ای ایسنا</t>
  </si>
  <si>
    <t>https://www.isna.ir/news/97060803932</t>
  </si>
  <si>
    <t>اگر میخواهید با #روحانی قصه‌خوانی به نام @smaeel_azari96 بیشتر آشنا شوید،این گزارش ویدئویی را تماشا کنید: #ایسنا</t>
  </si>
  <si>
    <t>NavidMorsali</t>
  </si>
  <si>
    <t>#مجلس دستش گرم شده گفته #بطحایی رو هم یه استیضاحی بکنیم حالا مجلس از کمک به حل مشکلات اقتصادی منحرف نشود ٍ</t>
  </si>
  <si>
    <t>pic.twitter.com/AERN9ZEwoQ</t>
  </si>
  <si>
    <t>دابسمشِ جُلبک٘ #احمدي_نژاد و انتقادِ وقیحانهٔ او از نکبت٘ #روحاني و آلزایمرِ او نسبت به نطقِ "خس و خاشاک " در جریاناتِ غم انگیزِ کودتای ۸۸ با همدستیِ مجتبی پوفیوز و #خامنه‌ای ملعون! #جمهوری_اسلامی_انتخاب_من_نیست #خامنه‌ای_رهبر_من_نیست #خامنهای_رهبر_من_نیست #FUCKYOUKHAMENEI</t>
  </si>
  <si>
    <t>Iran_Freedom</t>
  </si>
  <si>
    <t>‏‏‏‏تنهاییم ......مثل همان مسجد بین راه..... هرکه مى آيد مسافر است...... میشکند....... هم نمازش را .......هم دل را......!</t>
  </si>
  <si>
    <t>آفریقا</t>
  </si>
  <si>
    <t>اینکه #آموزش_و_پرورش مظلومِ شکی نیست اما آیا ۱۳ شهریور عملأ یتیم می شود. آیا آقای #بطحایی #وزیر محترم طی چند روز آینده مطالبات #فرهنگیان رو واریز خواهد کرد. خاطره انگیزترین رویدادها واسه فرهنگیان ۱.#انتخابات ۲.بحث #استیضاح می باشد. «جهت دریافت مطالبات» #حق_التدریس #عدالت #رانت</t>
  </si>
  <si>
    <t>#هشتک</t>
  </si>
  <si>
    <t>Food Books Amazing Cute Science &amp; Technology History General News Politics Creators YouTube Football Movies Travel Health Holidays</t>
  </si>
  <si>
    <t>Melbourne, Victoria</t>
  </si>
  <si>
    <t>جواب تمام سوالهاي نمايندگان از رييس جمهور پيش منه: سياستهاي غلط و مداخله جويانه اقاي خامنه ايي در امور اداره كشور #سوال_از_رئیس‌جمهور #مقام_معظم_رهبري</t>
  </si>
  <si>
    <t>amir</t>
  </si>
  <si>
    <t>ماهیگیر رفته ماهی بگیره، دریابانی جلوشو گرفته. پرسیده چرا؟ شِنُفتِه که ممنوعه. گفته دریا مال خداست. گفتن که مال خدا بود الان شخصیه... #من_و_سانسورچی #من_و_سانسور_چی #این_انتخاب_من_نیست #سوال_از_رئیس‌جمهور #سوال_از_رئیس‌_جمهور سانسور ماهی و نفت انتخاب من نیست.</t>
  </si>
  <si>
    <t>متولد دهه هفتاد ولی زندانی تاریخ/تاریخ تکرار میشه/دعا کنین قشر ضعیف رو فراموش نکنیم/دانشچو پزشکی /کمی عصبی</t>
  </si>
  <si>
    <t>اصلاحاتی که حجاریان رو قربانی ادامه حیاتش کرد گمون نکنم از قربانی کردن ( #استیضاح ) جناب پرزیدنت ترسی داشته باش نظر شما چیه؟</t>
  </si>
  <si>
    <t>چند دلیل مشکلات کشور میتونم بگم 1- نبود #حزب_قدرتمند مثل کشورهای پیشرفته یعنی فرد به حزب باید پاسخگو باشه الان بعضی افراد مثل من مستقل حامی #روحانی بودن درفضای مجازی خب اون میاد مثلا" به من پاسخگو باشه ؟ من الان انتقاد دارم -هر چی میشه #احزاب گردن نمیگرن</t>
  </si>
  <si>
    <t>Political activist, architectur and design</t>
  </si>
  <si>
    <t xml:space="preserve">Hameja </t>
  </si>
  <si>
    <t>https://iranintl.com/%D8%A7%DB%8C%D8%B1%D8%A7%D9%86/%C2%AB%D9%86%D8%B8%D8%A7%D9%85%D9%90%C2%BB-%D8%B9%D8%B2%DB%8C%D8%B2%D8%AA%D8%B1-%D8%A7%D8%B2-%C2%AB%D9%81%D8%B1%D8%B2%D9%86%D8%AF%C2%BB-%D9%88-%D8%A7%D9%86%D8%AA%D8%B8%D8%A7%D8%B1-%D8%B9%D8%A8%D8%AB-%D8%A7%D9%81%D8%B4%D8%A7%DA%AF%D8%B1%DB%8C-%D8%B1%D9%88%D8%AD%D8%A7%D9%86%DB%8C</t>
  </si>
  <si>
    <t>#روحاني و قتل سؤال برانگيز پسرش</t>
  </si>
  <si>
    <t>Hanse</t>
  </si>
  <si>
    <t>http://Telegram.me/Creative_Management</t>
  </si>
  <si>
    <t>یک شریفی مهندسی خوانده. اینجا در مورد کاسبی، مالی و سیاست نکته می‌نویسم. عاشق #صادرات و بازارهای #مالی هستم.</t>
  </si>
  <si>
    <t>داشتم به این فکر می‌کردم که چرا نماینده‌ها الان به فکرشون رسیده که از #روحانی سوال بپرسن و فله‌ای وزرا رو #استیضاح کنن. جواب: سال بعد #انتخابات_مجلس هست. پ.ن: تجربه نشون داده، مجلسی‌ها ۶ ماه نخست و ۱ سال آخر دوره‌شون از خودشون حرکت میزنن.</t>
  </si>
  <si>
    <t>Ibrahim Golshani</t>
  </si>
  <si>
    <t>#براندازم و سرگردان بین جمهوریخواهی و مشروطه خواهی ، طرفدار #لیبرال_دموکراسی</t>
  </si>
  <si>
    <t>Neverland -ناکجا‌آباد</t>
  </si>
  <si>
    <t>pic.twitter.com/kVuECeAFv5</t>
  </si>
  <si>
    <t>ظاهرا اتاق فکر نظام ج.ا. پروژه‌ جدیدی را کلید زده و آن “انداختن تقصیر گردن مردم” است. #روحانی دلیل مشکلات اخیر را “تصورات مردم “معرفی کرده #احمد_خاتمی امام جمعه تهران دلیل خروج #ترامپ از #برجام را اعتراضات دیماه میداند یا ویدیوهایی از این دست که در #تلگرام دست به دست می‌شود.</t>
  </si>
  <si>
    <t>Doctor O.🏳️🕊</t>
  </si>
  <si>
    <t>‏‏علاقه مند به مسائل سیاسی واجتماعی . ولایت مدار .</t>
  </si>
  <si>
    <t>اگر درفرهنگ مردم ما احترام معنی دیگری داشت ویا بهتربگویم مردم ونمایندگان انها جانب احترام راتااین حد رعایت نمی کردند جناب #روحانی نمی توانستند این گونه به سوالات پاسخ وامارهای عجیب بدهند. البته این امرریشه درفرهنگ ایران دارد اما نباید اجازه داد ازاین خصلت خوب سوءاستفاده شود.</t>
  </si>
  <si>
    <t>‏‏‏‏‏‏‏‏‏‏درختِ تو گر بارِ دانش بگیرد، به زیر می‌آوری خدایان را. ( خردگرا )</t>
  </si>
  <si>
    <t>Persia</t>
  </si>
  <si>
    <t>#استیضاح #روحانی در ادامه ماجرای دریای #خزر بود او نمی‌خواست خود را بدنام تاریخ کند بنابراین موضوع را به #مجلس فرستاد، تا فرمان رهبری پشت این امضا باشد ولی خامنه‌ای هم دستش رو خوند و به بردگانش فرمان داد تا افسارِ مهارِ روحانی را بکشند تا بداندکه او فقط یک تدارکچی است و بس #ایران</t>
  </si>
  <si>
    <t>Ardeshir Ranjbar</t>
  </si>
  <si>
    <t>مگر من از وطن چه می خواستم</t>
  </si>
  <si>
    <t>Hobart, Tasmania</t>
  </si>
  <si>
    <t>ما برای هیچ باختیم. #روحانی بهتر از هرکسی می داند چه می خواهد RT @abmomeni: سخنان امروز #روحانی در مجلس نشان داد که فکر یک صندلی در #هسته_قدرت پس از #1400 همچنان وی را از بازگویی #واقعیت_ها و حرکت در مسیر #مردم بازداشته است! ناخواسته فکر می کنم که وی در این #بازی، برای #هیچ می بازد!</t>
  </si>
  <si>
    <t>Oncogene</t>
  </si>
  <si>
    <t>‏کرمان ،دندانپزشک، ریتوییتگر</t>
  </si>
  <si>
    <t>https://pbs.twimg.com/media/Dl0Jr97XoAI8FPX.jpg</t>
  </si>
  <si>
    <t>#فقط_به_عشق_علی #عيد_الغدير #اردو_جهادی #اردوجهادی #ریگان #روحاني ببییییییین با نام و امید بخدا داریم میریم ریگان برای کمک ب مردم عزیز</t>
  </si>
  <si>
    <t>mehsan ganjoei</t>
  </si>
  <si>
    <t>https://pbs.twimg.com/media/Dl0M1Q8X4AAW2n6.jpg</t>
  </si>
  <si>
    <t>روزنامه ایران مثلا اومده واکنش سختی به قانع نشدن نمایندگان به پاسخهای رئیس جمهور بده.. دشمن دانا که غم جان بود بهتر از آن دوست که نادان بود #سوال_از_رئیس_جمهور #دوستان_نادان</t>
  </si>
  <si>
    <t>Top Gear....Run a way...</t>
  </si>
  <si>
    <t>r.i.iran</t>
  </si>
  <si>
    <t>هی...!!خدایا..کاش داخل کشور این مسولین و وزرا و نماینده و...با هم همدل و همصدا بودند ،کاش دشمن داخلی نداشتیم، میدونید چرا..!؟چون خداوند همون جور که قول داده شما ایستادگی کنید من پیروزی براتون میارم،دشمنان خارجی فعلا خودشون درگیر استیضاح و مشکلات خودشونند #سوال_از_رئیس‌جمهور</t>
  </si>
  <si>
    <t>Rahyab</t>
  </si>
  <si>
    <t>یک #انقلابی بیزار از #چپ و #راست</t>
  </si>
  <si>
    <t>https://pbs.twimg.com/media/Dl0RB6mWsAAbRyQ.jpg</t>
  </si>
  <si>
    <t>آقای رحیم زارع نماینده مردم آباده بوانات خرمبید هر چقدر تلاش کردیم که نظر ایشان را درمورد این طرح به صورت صوتی بپرسیم ولی نشدآقای نماینده منتظریم چرا #شفافیت_آراء_نمایندگان #آباده #بوانات #خرمبید #رحیم_زارع #شفافیت #حسن_روحانى #نماینده #فارس #مجلس #رائفی_پور #آرا #مردم</t>
  </si>
  <si>
    <t>کاش افراد بی‌بصیرتی که دنبال بهانن بگن"صدرحمت به دوران #احمدی_نژاد"باتلنگر دیروزرهبری بیدار شن. #رهبری فرمودن که #سوال_از_رئیس‌جمهور، نشانه‌ی عزت،اقتدار و مردم‌سالاری‌دینی جمهوری اسلامی ایران بود. خنّاسانی که ازفشار بی‌سابقه ارزی دشمن برای سرنگونی دولت تلاش می‌کنن،بشنون!</t>
  </si>
  <si>
    <t>https://pbs.twimg.com/media/Dl0a104U4AAWWR-.jpg</t>
  </si>
  <si>
    <t>بعداز ماجرای مجلس، طرفداران جهانگیری و نوبخت بجان هم افتاده‌اند ویکدیگررا مقصر معرفی میکنند ما باوجودهمه دلخوریها، پای‌کار #روحانی هستیم کافیه راهکارهای ارائه‌شده را درست اجراکند انتظاری هم نداریم قدرت، مفت چنگ آنهاکه دیروز سرتصاحبش دعوامیکردند وامروز ازعواقب کارهایشان فرارمیکنند</t>
  </si>
  <si>
    <t>‏‏من به سیبی خشنودم</t>
  </si>
  <si>
    <t>https://twitter.com/IRNA_1313/status/1034799517332332546</t>
  </si>
  <si>
    <t>و مجلسی که در راس امور نیست و عصاره فضایل ملت نیست. #مجلس #نظارت_استصوابی RT @IRNA_1313: 📹 مجلس ما و مجلس آنها وقتی رئیس جمهور یا نخست وزیر یک کشور در میان نمایندگان مجلس سخنرانی می‌کند نمایندگان چگونه نظم جلسه را حفظ می‌کنند؟ یا چطور موافقت یا مخالفتشان را نشان می‌دهند؟ مقایسه میان مجالس ایران و دیگر کشورها در این مواقع قابل تامل است...</t>
  </si>
  <si>
    <t>Hadi Abbassy</t>
  </si>
  <si>
    <t>https://pbs.twimg.com/media/Dl0dX42WwAAwg_m.jpg</t>
  </si>
  <si>
    <t>چرا آقای #روحانی اول سخنانش در #مجلس با این جمله آغاز کرد؟ (امیدوارم که بتوانم نقاط مورد نظر #مقام_معظم_رهبری را که در توصیه‌هایی که نسبت به جلسه امروز به من فرمودند، دقیقا مراعات کنیم.) مگه قبل از ورود به #مجلس چه صحبت هایی صورت گرفته بود؟! #شفافیت</t>
  </si>
  <si>
    <t>یک ضدآخوند و ضدعنقلاب دموکرات ساکن شیطان بزرگ. برای بددهنی‌ام هنوز درمانی پیدا نکردم</t>
  </si>
  <si>
    <t>تاکید میکنم اونی که تو مجلس سخن گفتن گاو حسن بود #روحانی RT @ShahramRafizade: تیتر یک #ابتکار : «حسن» سخن نگفت! -باور کنید فتوشاپ نیست،واقعیه</t>
  </si>
  <si>
    <t>Mizzzzra</t>
  </si>
  <si>
    <t>SJSCo. BARDSIR</t>
  </si>
  <si>
    <t>Kerman, CA</t>
  </si>
  <si>
    <t>به نظرم دیگه کاری از دست هیچکس ساخته نیست . باید به حضرت ابوالفضل پناه ببریم از حرف #روحانی که گفته :" #دولت استوارتر از همیشه به #خدمت ادامه خواهد داد".</t>
  </si>
  <si>
    <t>Sadegh Asadi</t>
  </si>
  <si>
    <t>Liberal demokrat</t>
  </si>
  <si>
    <t>Free Iran</t>
  </si>
  <si>
    <t>فعلا #مجلس حال نمیکنه به #رئیس_جمهور گیر بده و گرنه میتونست پوست از کله #حسن_روحانى بکنه!!! #نه_به_جمهوري_اسلامي #روحانی_استعفا</t>
  </si>
  <si>
    <t>Payman</t>
  </si>
  <si>
    <t>متهم شدم به تباني و اقدام عليه حروم كردن خواب سانسورچي نفوذي و تشويش افكار ادمين آقا، از طلوع تا طلوع</t>
  </si>
  <si>
    <t>سلام صبح عيد عزيز غدير مبارك @Khamenei_fa جان مولا ما رو روشن كنيد كه چطور حمايت از #روحاني را در سياست عمق استراتژيك جا داديد؟! حمايت حضرت عالي از ماندن ايشان اين عمق را افزايش ميدهد؟! صحنه را واقعن اينطور ميبينيد؟! #دشمن_شادكن #نمایش_اقتدار #نمايش_مشترك</t>
  </si>
  <si>
    <t>Roshana</t>
  </si>
  <si>
    <t>#یادتونه میگفت برای حل معضلات برنامه دارم وتاصد روز دیگه حل میکنم. #زرشک #روحانی #دروغ #فریب #سلبریتی #حماقت #ساده لوحی</t>
  </si>
  <si>
    <t>Trustworthy to God and His righteousness</t>
  </si>
  <si>
    <t>همیشه تقابل رهبری با #احمدی_نژاد برام سوال بود. دولت #روحانی دولت تخریب و دروغ بوده و هست٬ دولت وطن فروشی بوده و هست٬ ولی رهبری فقط احمدی نژاد و واکنش های اون رو دشمن شاد کن می‌دونه. در واقع مردم معنای خاصی برای #رهبری ندارن</t>
  </si>
  <si>
    <t>PlovesN</t>
  </si>
  <si>
    <t>خدا خیر و سلامتی بده به #آقا #خامنه_ای و انشالله سایه اشون روی سر #ایران مستدام باشه که یه تنه جور ِ سه تا #قوه ی #دولت و #مجلس و #قضا رو می کشه. الحمدالله که هستید. از #کوروش با صلابت تر. همیشه سر ِ وقت، شجاع، بصیر ، آینده نگر، ماشالله. #تاظهوربارهبری #اللهم_عجل_لوليک_الفرج</t>
  </si>
  <si>
    <t>Runner 🏃‍♂️ رتبه ۶۸۹۰۰ کنکورسراسری سال ۸۵</t>
  </si>
  <si>
    <t>Sweet ShiraaZ</t>
  </si>
  <si>
    <t>https://pbs.twimg.com/media/Dl0ign4XsAAYQ-s.jpg</t>
  </si>
  <si>
    <t>#تورم ۵ ماه اول سال مسئولان گفتن ۱۱ درصد بوده . عکس واضحه جناب #روحانی</t>
  </si>
  <si>
    <t>MILADZZZ</t>
  </si>
  <si>
    <t>پژوهشگر، نويسنده و استاد دانشگاه. منش من اعتدال و وسطيت به دور از افراط و تفريط است. همه شهروندان ايرانى يكسانند. Academician, linguist, Ethnographer &amp; Author🌹</t>
  </si>
  <si>
    <t>حتى اگر #روحانی هم استيضاح بشه و يك مهره ديگه جايگزين بشه شرايط همين هست و بس! ما ميگيم خر نميخوايم پالون خر عوض ميشه! #این_انتخاب_من_نیست ! اين رژيم هرگز انتخاب من نبوده ، نيست و نخواهد بود!</t>
  </si>
  <si>
    <t>Dr. Tehrani 🇸🇦🇦🇪🇧🇭🏳️🇺🇸🇬🇧🇸🇦</t>
  </si>
  <si>
    <t>‏اینورم خالیه، بیا اینورم بشین</t>
  </si>
  <si>
    <t>الان دارم استیضاح #روحانی رو نیگا می کنم، چرا انقدر دستاش میلرزه؟</t>
  </si>
  <si>
    <t>بیا اینورم بشین</t>
  </si>
  <si>
    <t>#روحانی او هم یک آخوند هست</t>
  </si>
  <si>
    <t>as</t>
  </si>
  <si>
    <t>#روحانی در #مجلس از فرصت استفاده نکرد و مانند #خاتمی و #بنی_صدر از پشتوانه بالای #مردم و #رای_دهندگان هیچ سودی نبرد و یک کلمه درباره #نهادهای_موازی و #دستهای_پنهان نگفت جالبه #لاریجانی سالها قبل دست #هاشمی رو میبوسید اما الان دیگه بردن نام #هاشمی جرم محسوب میشه!!</t>
  </si>
  <si>
    <t>ESMAEELZAMANI</t>
  </si>
  <si>
    <t>#چالش_دعوت_به_تظاهرت همين</t>
  </si>
  <si>
    <t xml:space="preserve">قبل از انقلاب ٥٧ </t>
  </si>
  <si>
    <t>بنظر شما اگر بجاي شغال سگ زرد رييس جمهور شده بود الان اوضاع مملكت چگونه بود؟! نظر خودم : بجاي مشهد كل ايران تايلند بود #رييسي #روحاني #جمهوری_اسلامی_انتخاب_من_نیست</t>
  </si>
  <si>
    <t>حاكم بي حكم (فايتر)</t>
  </si>
  <si>
    <t>حرف های مهمی برای گفتن دارم اما ترجیح میدهم آن ها را روی قبرم بنویسند... #حسین‌تهرانی‌مقدم</t>
  </si>
  <si>
    <t>ایران_فارس</t>
  </si>
  <si>
    <t>#خیلیا رفتن که این #خاک دست #خیلیا نیفته... #دولت #مجلس #قوه_قضائیه #شهدا #شهدا_شرمنده‌ایم</t>
  </si>
  <si>
    <t>حسین تهرانی مقدم</t>
  </si>
  <si>
    <t>یازهرا(س)</t>
  </si>
  <si>
    <t>هشتگ‌های پر‌طرفدار: - #میپرسم - #مجلس - #ایران</t>
  </si>
  <si>
    <t>political activist ,Interested in the Iranian domestic and foreign policy interested in the US and UK's domestic and international policy</t>
  </si>
  <si>
    <t>#استیضاح وزرای بی ربط به امر اقتصاد کشور نشان از این دارد که #مجلس به دنبال اصلاح اقتصادی یا کمک به #دولت و بالمآل به کشور نیست بلکه صرفا می خواهد حساب کارنامه خود را از حساب دولت جدا کند!</t>
  </si>
  <si>
    <t>Khanbagi🇮🇷</t>
  </si>
  <si>
    <t>https://pbs.twimg.com/media/Dl0xFB-W0AEFN6w.jpg</t>
  </si>
  <si>
    <t>#خامنه_ای: #الله به #روحانی و #لاريجانی خير بدهد! مملكت دست چه ديوهاي خودشيفته و نارسيستي افتاده است، #جادوگر/#شهبانو مچكريم! #انجمن_هواداران_بازیابی_ایرانشهری_شاخه_درون_کشور #جنبش_فرزندان_زرتشت_کوروش #خردکام_کیخسرو_آرش_گرگین #صهيونيسم_شيعه #فرح_ملکه_شاهکش</t>
  </si>
  <si>
    <t>https://pbs.twimg.com/media/Dl0xAyEXsAARLUO.jpg</t>
  </si>
  <si>
    <t>آیا این برای شما کافی نیست که حسنی بی غم‌ را بحال خود رها کنید و اذیتش نکنید👇😂 #سوال_از_رئیس‌جمهور</t>
  </si>
  <si>
    <t>#بی‌بی‌سی با تعجب می گوید در حالی که کسی از حرف های #روحانی در #مجلس راضی نبوده #رهبر گفته که آن را نشانه ی اقتدار و #مردم‌سالاری‌دینی می داند. مگر نشانه ی دموکراسی همین نیست؟! حالا چه ربطی به راضی نشدن از پاسخ های #رئیس‌جمهور دارد که خودش هم از همان نشانه هاست؟! #ایران</t>
  </si>
  <si>
    <t>عشق اگر عشق است آسان ندارد/ نهم مرداد مرده بودم زنده شدم/ اهل مدارا و صبر/Researcher and social analyst</t>
  </si>
  <si>
    <t>حرفهاي ديروز رهبري در خصوص سوال مجلس و هماهنگي مواضع ايشان و مجلس و رئيس جمهور را كه كنار هم بگذاريد و بعد برخي موضعگيري ها و حرفها و ارائه طريقها و نقدها نسبت به جلسه را در همين محيط دنبال كنيد بخوابي رهروان و انديشه ورزان و محيط بانان افراط را مي بينيد #سوال_از_رئیس_جمهور</t>
  </si>
  <si>
    <t>szf</t>
  </si>
  <si>
    <t>http://yaali12.blog.ir/</t>
  </si>
  <si>
    <t>از امروز گناه نکن، همه چی درست میشه👌 نه خلاف عهد کردم که حدیث جز تو گفتم _ همه بر سر زبانند و تو در میان جانی😌 گاهی لیمیت میشم🤨</t>
  </si>
  <si>
    <t>مرد / متاهل / iran / کرج</t>
  </si>
  <si>
    <t>https://pbs.twimg.com/media/Dl0zr4AWsAAO_tR.jpg</t>
  </si>
  <si>
    <t>http://yaali12.blog.ir/1397/06/08</t>
  </si>
  <si>
    <t>آقای #لاریجانی باز امروز بازی جدیدی شروع کرده اید لفظ استنکاف و نقض قانون ندارد؟ این کار شما بازی با شعور یک ملت است. #استیضاح #روحانی #قانون #مجلس</t>
  </si>
  <si>
    <t>یاسیدالکریم</t>
  </si>
  <si>
    <t>‏‏‏‏‏‏‏‏‏‏‏‏‏‏‏‏‏‏‏‏‏‏‏‏‏‏‏دِلِدونا بِدِینْ به ما، ما که حرفاشا بادون زِدِیم!!! ⏪️رئیس باند توییتری های اصفهان⏩ «سرباز وطن»</t>
  </si>
  <si>
    <t xml:space="preserve"> 1/2 WORLD   ESFAHAN</t>
  </si>
  <si>
    <t>ماشینی که 20 میلیون بوده شده 40 میلیون #روحانی پولتو دو برابر کرده بازم ناشکری؟ متحجر ترسوی بی شناسنامه؟</t>
  </si>
  <si>
    <t>پیر پشمک موی</t>
  </si>
  <si>
    <t>‏‏‏‏‏‏‏ره آسمان درونست پَر عشق را بجنبان...</t>
  </si>
  <si>
    <t>بابا تقصیر آقای روحانی نیست که! گفتن بیا برای #سوال_از_رییس‌جمهور. نگفتن بیا برای جواب! خب همه سوال پرسیدن ایشونم جواب نداد.</t>
  </si>
  <si>
    <t>محمد جلالی</t>
  </si>
  <si>
    <t>https://pbs.twimg.com/media/Dl01CE6WwAANZ8h.jpg</t>
  </si>
  <si>
    <t>https://www.yjc.ir/00Ru34</t>
  </si>
  <si>
    <t>یکشنبه؛ موضوع ارجاع #سوال_از_رئیس‌جمهور به قوه قضائیه تعیین تکلیف می‌شود ذوالنوری، نماینده قم: نمایندگان متقاضی سوال از روحانی یکشنبه جلسه‌ ای با حقوقدان مجلس خواهند داشت تا تکلیف این موضوع مشخص شود</t>
  </si>
  <si>
    <t>https://pbs.twimg.com/media/Dl016dvWwAAayoU.jpg</t>
  </si>
  <si>
    <t>اینقدری که این پنکه کنار #روحانی تکرار شده که آدم فکر میکنه نکنه این پنکه از نمادهای فراماسونریه و #پرزیدنت هم #فراماسون درجه ۳۳.😂 @a_raefipour</t>
  </si>
  <si>
    <t>http://us.blastingnews.com/editorial-staff/mhedi-mahmoudi/</t>
  </si>
  <si>
    <t>Journalist, Studied IR at Tehran University. Retweet not endorsement.</t>
  </si>
  <si>
    <t>#روحانی روند کاهش صادرات #نفت رو تایید کرده و در پاسخهای مکتوبی که به نمایندگان #مجلس داده گفته «کاهش صادرات نفت #ایران از اواسط سال 97 از مهم‌ترین دلایل استمرار مشکلات حوزه #ارز هستند»/ فارس #دلار #تحریم</t>
  </si>
  <si>
    <t>mehdi mahmoudi</t>
  </si>
  <si>
    <t>ای ملت غیور و کاربلد! ای اساتید امور سیاسی و #اقتصادی! الان #روحانی رو کله پا کردید! بعد چی میشه؟! الان روحانی میومد تو #مجلس چی میگفت که خوشحالتون می کرد؟ واقعیت رو می خواین، برین ببینید وکلا ایران در لاهه چی میگن! وضع اینه ای ملت! فیلم وسترن که نیست که! مملکتمونه، اتیش نزنیدش!</t>
  </si>
  <si>
    <t>#روحانی #مجلس باور ندارین تا قبر اه اه اه .من ده تا از فامیلای خودم و رئیس بزرگ کردم ده تا هم از فامیلا ی زنم چرا باور ندارین میخواهین یه بار دیگه بشمارم؟</t>
  </si>
  <si>
    <t>#نعمت_زاده وزیر بیشرف دولت #انگلیسی #روحانی و #اصلاح_طلب کثیف احتکار کرده و همه #اصلاح_طلبان از جمله #خاتمی ملعون و #هاشمی ها و بوقچی هاشون ساکتند حالا اگر وزیر #احمدی_نژاد یک بیسکوییت تو کشو میزش بود فلک رو خراب کرده بودند رو سرش. هنوزم پاکدست ترین دولت #احمدی_نژاد است.</t>
  </si>
  <si>
    <t>Economic researcher and author</t>
  </si>
  <si>
    <t>یکی از برداشت‌هایی که من از جلسه #سوال_از_رئیس‌جمهور داشتم این بود که نتیجه این جلسه سیلی محکمی بر صورت دولت بود. سیلی‌ای تلنگروار که دیگر نمی‌توان با دستاورد سازی و مانور بر روی #برجام حتی نمایندگان حامی خودت را قانع کنی. هر چند دیر است ولی کار را از هر روز شروع کنی خیر است.</t>
  </si>
  <si>
    <t>مصطفی ظاهری</t>
  </si>
  <si>
    <t>حقوقدان و نماينده دوره نهم مجلس شوراى اسلامى</t>
  </si>
  <si>
    <t>همزمان با #هفته_دولت ، طرح سؤال از #رییس_جمهور در #مجلس انجام شد، واقعه‌ای که من را به یاد روزهای پاییز سال ١٣٩١ و ‌طرح سؤال بنده و ٧۶نفر از نمایندگان مجلس نهم از #احمدی_نژاد انداخت. این اولین بار بود که در طول تاریخ جمهوری اسلامی، مجلس از رئیس جمهور سؤال می‌پرسید. #رشتو</t>
  </si>
  <si>
    <t>مهدى دواتگرى</t>
  </si>
  <si>
    <t>توی این وضعیت، دیگه همه چیز باورکردنی هست ولی من نمیدونم چرا به جای ارائه پاسخ و شفاف سازی، گزینه تهدید رو انتخاب می‌کنند؟؟؟ #نماینده #پاسخگو RT @hasanasadiz: 🆘 جهت اطلاع رییس ونمایندگان #مجلس و همچنین مسئولان انتظامی و امنیتی! #شهباز_حسن_پور نماینده سیرجان در مجلس ازطریق تماس بابرخی دوستان ونزدیکان من بااشاره به محله‌ای درسیرجان گفته: «اگرفلانی‌ها بلایی سرخود و‌خانواده‌اش آوردندازمن گله نکنید!!» تصاویرهم نشانگرادب فرستادگان مجازی وی!</t>
  </si>
  <si>
    <t>کارشناس ارشد جامعه شناسی</t>
  </si>
  <si>
    <t>#مجلس از پاسخ های #روحاني رضایت نداشت، #رهبر از رفتار روحانی در مجلس رضایت کامل داشت، این یعنی رهبر در مقابل خواست و اراده نمایندگان مردم است #حسن_روحانى #رهبرانقلاب #رهبري #سوال_از_رئیس‌جمهور #سوال_از_رئیس_جمهور</t>
  </si>
  <si>
    <t>ma</t>
  </si>
  <si>
    <t>پیش‌بینی سیاسی: مجلس اون قدر وزیر از دولت #استیضاح می‌کنه تا دولت از نصاب بیفته. درست در لحظه‌ی آخر رهبری ورود می‌کنه و از مجلس می‌خواد که باعث سقوط دولت نشه. و دولت خوش و خرم به پایان چهارسالش می‌رسه.</t>
  </si>
  <si>
    <t>farzadkarimi</t>
  </si>
  <si>
    <t>#استیضاحِ بدونِ برنامه غلطه، عزلِ از روی بازی‌های جناحی یعنی در اومدن از چاهِ روهانی و سقوط در دره‌ی هرج‌ومرج‌... _مطمئن باشید که #اتاق_فکر_آشنا همیشه چند مرحله از شما جلوتره‌ و برای فردای بدونِ روهانی برنامه‌های آشوب چیده... _روهانی باید بمونه تا آئینه‌ی عبرت کدخداپرستان بشه</t>
  </si>
  <si>
    <t>#طلبه بیشرف، #استاد دانشگاه و اقتصاددان بیشرف ، #روزنامه_نگار و #رسانه بیشرف #سیاستمدار بیشرف شما چطور انتظار رشد و توسعه تو کشور دارین وقتی این بیشرفها زمان #احمدی_نژاد همه یکصدا کارشکنی کردن و حالا با دلار ۱۲۰۰۰ تومانی همچنان اصرار دارن تورم تک رقمیه!!!!!! #روحانی دولت #مفسدان</t>
  </si>
  <si>
    <t>#رشتو ۱- پیامدهای سؤال از #روحانی در مجلس قبل ازاین‌که نمایندگان، روحانی را برای پاسخگویی به مجلس بکشانند، پیوسته یک سؤال روی میز هر دو باند حاکم بود که نتیجه سؤال از روحانی برای نظام چه خواهد بود درهمین رابطه روزنامه‌ #ایران نوشت:⬇️ #IranRegimeChange #براندازم #تظاهرات_سراسری</t>
  </si>
  <si>
    <t>http://instagram.com/mehrandish.official</t>
  </si>
  <si>
    <t>‏با دلی روشن در این ظلمت سرا افتاده ام</t>
  </si>
  <si>
    <t>https://pbs.twimg.com/media/Dl0-_45XgAAvyal.jpg</t>
  </si>
  <si>
    <t>پس از جلسه سوال از #روحانی در مجلس اکثریت مردم واکنش منفی نشان دادند رهبری واکنش مثبت نشان دادند آیا این مصداق اختلاف دیدگاه بین اکثریت #مردم و حاکمیت نیست؟! راه برطرف شدن این اختلاف دیدگاه چیست؟ فقط #رفراندوم</t>
  </si>
  <si>
    <t>مهدی مهراندیش</t>
  </si>
  <si>
    <t>‏دانشجوی فلسفه ی اسلامی دل داده ی سید علی روحی فداه مسلمان و شیعه اثنی عشری</t>
  </si>
  <si>
    <t>دموکراسی واقعا بی معنیه وقتی ما رهبری فرزانه و کسانی رو داریم که سالها عمرشون رو صرف تحقیق و علم کردن چرا باید عوام تصمیم بگیرن؟ من با دموکراسی مخالفم حداقل تا وقتی که مردم به اندازه کافی با بصیرت بشن #استیضاح</t>
  </si>
  <si>
    <t>💙بانوی فدایی آقا💙</t>
  </si>
  <si>
    <t>http://www.psyop.blog.ir</t>
  </si>
  <si>
    <t>پیرمرد چپ دست / اگر می خواهی پس از مرگ فراموش نشوی یا چیزی بنویس که قابل خواندن باشد یا کاری کن که قابل نوشتن باشد.اين يعني زندگي و سهم من ۱۵📗</t>
  </si>
  <si>
    <t xml:space="preserve">یک گوشه خلوت </t>
  </si>
  <si>
    <t>حزب کارگزاران: کابینه #روحانی مجمع بوروکرات‌های بی‌انگیزه است. مردان «بزم» را در شرایط «رزم» نمی‌توان به کار گرفت. (جهانگیری وابسته به این حزب است)</t>
  </si>
  <si>
    <t>سيد علي موسوي</t>
  </si>
  <si>
    <t>‏‏خری دارم و شاگردانی که روزگار میگذرانم</t>
  </si>
  <si>
    <t>pic.twitter.com/prpoJ2BJSd</t>
  </si>
  <si>
    <t>#فيلم_هندي لو رفته از #استند آپ #روحانی نفر اول سال ۹۷ حتما ببینید #گریه کنید خصوصا توئی که بهش رای دادی</t>
  </si>
  <si>
    <t>وزیر اعظم ملانصرالدین</t>
  </si>
  <si>
    <t>https://pbs.twimg.com/media/Dl06-VWXsAA06Jt.jpg</t>
  </si>
  <si>
    <t>https://twitter.com/sabaazarpeik/status/1035048385768771589</t>
  </si>
  <si>
    <t>حافظه تاریخی مردم ضعیفه اعتراضات اون روز در واکنش به خبر لایحه بودجه ۹۷ بود که قرار گذاشتند بنزین بشه ۱۵۰۰ و دلار بشه ۴۷۰۰ که مردم اعتراض کردند واکنش نشون دادند با فشار #مجلس بنزین گرون نشد ولی دلار امروز طوری بالا رفت که نیازی به گرونی بنزین هم نداشتند #دلار۱۲۰۰۰تومنی RT @sabaazarpeik: احسنت به ذکاوت سیاسی سردبیر روزنامه ایران این تیتر آن قدر گویا ست که گویی جواب تمام #روحانی_بگو های ماست عالی ست این تیتر برای ثبت در تاریخ</t>
  </si>
  <si>
    <t>علاقه مند و پیگیر #تاریخ و #سیاست... طرفدار #رفرم و #اصلاحات نه لزوما #اصلاح_طلبان!!</t>
  </si>
  <si>
    <t>آقای #روحانی تقریبا در همه سخنرانی هاشون مفصل به نقطه آغاز آشوب شرایط اقتصادی می پردازن ودلیل آن را #ایجاد_انتظارات_منفی_از_آینده و عامل ایجاد کننده آن را مشخصا #جناح_رقیب_انتخابات و تاریخ را #5دی_ماه_1396 معرفی میکنن تا همه مشکلات را به مشهد مرتبط و از خود سلب مسئولیت کنن.</t>
  </si>
  <si>
    <t>farid</t>
  </si>
  <si>
    <t>https://pbs.twimg.com/media/Dl1BvGvX0AAWSkG.png</t>
  </si>
  <si>
    <t>فساد مالی - ما رکورد زدیم ! #ایران #روحانی</t>
  </si>
  <si>
    <t>Iran Tv Channel</t>
  </si>
  <si>
    <t>انصافا از آقای #روحانی و آقای #لاريجاني برای حفظ شان نظام در مجلس تشکر مندیم. #سوال_از_رییس‌جمهور</t>
  </si>
  <si>
    <t>چقدر عجيب است چرخ روزگار كه هيچ كس قادر نيست چرخش آن را پيش بينی كند #میرحسین</t>
  </si>
  <si>
    <t>استاد! در مورد ٥/١٠/٩٦ بيشتر برامون بگو! تو که اعتماد مردمو از دست دادی، اونی که جلوتو گرفته رو هم کنار بزن! البته خوب میدونی که این مردم هیچ کاری برات نمیکنن! همونجور که برای میرحسین هم کاری نکردن!حالا حساب کتاب کن شاید تصمیمت عوض شد! #روحانی</t>
  </si>
  <si>
    <t>فَرِه</t>
  </si>
  <si>
    <t>‏مهربانی</t>
  </si>
  <si>
    <t>بعضی در مجلس فکر عوض کردن پازل بدون راه حل عملی و تصفیه حساب شخصی و جناحیند بایدمجلس و دولت با اقتدار وتلاش مضاعف به مشکلات مردم رسید گی کنند آیت‌الله خامنه‌ای فرمودند: این اختلاف‌نظرها نباید رسانه‌ای شوند زیرا مردم را نگران و مضطرب می‌کند. #سوال_از_رییس‌جمهور</t>
  </si>
  <si>
    <t>صفای باطن</t>
  </si>
  <si>
    <t>‏‏‏‏‏‏‏‏‏‏‏‏‏‏ژورنالیست</t>
  </si>
  <si>
    <t>#روحانی همواره رفتار با ثباتی داشته به چپ راهنما میزند به راست می پیچد. #اعتدال RT @yaghma_fashkham: روز گذشته #علی_مطهری قبل از حضور #روحانی در مجلس، با او دیدار داشته و پیام فراکسیون امید را به وی منتقل کرده اما روحانی در جواب گفته؛ "مهم نیست رای ندهند" پیام فراکسیون این بود که اگر رییس جمهور اگر شفاف درباره مشکلات کشور و دست های پنهان حرفی نزند به او رای نخواهند داد/سازندگی</t>
  </si>
  <si>
    <t>aboozar</t>
  </si>
  <si>
    <t>روحانی در مجلس : امیدوارم بتوانم دستورات رهبری را اجرا کنم #خامنه‌ای بعد از استیضاح مسخره #روحانی : بسیار از ريس جمهور تشکر میکنم میبینید که چه دل و قلوه ای به هم قرض میدن ، آخوندن دیگه یه جیب گشاد و یه دهن گشاد راستی مردم چی شدن این وسط؟! #IranRegimeChange #براندازم</t>
  </si>
  <si>
    <t>#روحانی تا کی میتونه از دست قدرتی که میخواد زمینش بزنه دربره؟از بس چاپلوسی #رهبر رو کرد دهن #مجلس از ترس بسته شد اما یادش رفته #رفسنجانی خدا بیامرز هم رو دوستی #رهبر حساب کرده بود اما به کشتنش منجر شد اتفاقی که برای #روحانی میوفته منفور شدنشه بین #مردم</t>
  </si>
  <si>
    <t>https://www.facebook.com/Sepehr.Azadi</t>
  </si>
  <si>
    <t>https://pbs.twimg.com/media/Dl1Is9iXsAA0tJ1.jpg</t>
  </si>
  <si>
    <t>با توجه به دو اصل #قانون_اساسی هر قراردادی در مورد دریای #خزر بدون تصویب #مجلس غیرقانونی است و امضای چنین قراردادی برای سیاستمداران تعقیب قانونی دارد</t>
  </si>
  <si>
    <t>Sepehr Azadi</t>
  </si>
  <si>
    <t>https://facebook.com/officialaliashini</t>
  </si>
  <si>
    <t>مهندس عمرانی که دست بر قضا نويسنده، شاعر، ترانه سرا نیز هست! زاده ١٧ امرداد. همین</t>
  </si>
  <si>
    <t>#عمق_دموكراسي نمايندگان از رييس جمهور سوال پرسيدن #روحاني كه تا ديروز همه تقصيرا رو مينداخت گردن دولت #احمدي_نژاد امروز انداخت گردن مردم معترض به وضع معيشت و فقر! هيچكس قانع نشد! هيچي نشد! #خوشش_بيايد</t>
  </si>
  <si>
    <t>Ali Ashini</t>
  </si>
  <si>
    <t>سیاسی-اجتماعی</t>
  </si>
  <si>
    <t>https://t.me/iranazad94</t>
  </si>
  <si>
    <t>https://pbs.twimg.com/media/Dl1KHBOWwAEF6g9.jpg</t>
  </si>
  <si>
    <t>#ایران_آزاد-بیکاری دستکم ۲۰ میلیون #جوان در ایران محمد رضا بادامچی،رییس فراکسیون کار و کارآفرینی #مجلس رژیم: قریب به ۲۰ میلیون نفر جوان ۱۵ الی ۲۹ ساله کشور #بیکار هستند @iranazad94</t>
  </si>
  <si>
    <t>چرت ترین حرفی که طرفدارن #روحانی میتونن بزنن اینه که: روحانی نا گفته هاشو نگفت!! اخه شومپت، اون روحانی که هر وقت تحت فشار قرار میگیره از دروغ و تهمت و افترا هم نمیگذره حرف تودلش نگه میداره؟ چقدر شماها رو دارین آخه</t>
  </si>
  <si>
    <t>IT Engineer, Freelancer, Developer, #INFJ, Anti-Dogma, Idealist, Empathetic, Sensitive, Perfectionists, Member Of http://sosapoverty.org, #Vegan, #Crypto Geek</t>
  </si>
  <si>
    <t>https://twitter.com/KambizGhafouri/status/1034732681853116417
https://goo.gl/qxxA9D</t>
  </si>
  <si>
    <t>#روحانی : «افراطی‌هایی مانند آیت‌االله خمینی و پسرش احمد خمینی در این اواخر، در ایران ما را رهبری می‌کنند.» RT @KambizGhafouri: آیا از حسن روحانی، فردی که هرگز معمای «قتل سیاسی» فرزندش را به خاطر «مصالح نظام» فاش نکرد، انتظار داشتید که در مجلس افشاگری کند؟ این یادداشت را درباره رازهای سربه‌مهر روحانی بخوانید و صد البته موخره‌اش را!</t>
  </si>
  <si>
    <t>nima59</t>
  </si>
  <si>
    <t>https://pbs.twimg.com/media/Dl1LYVlXsAEsFWm.jpg</t>
  </si>
  <si>
    <t>#روحانی #صبا_رسانه کاربران برتر: @barandazambot @mhrezaa @ParisaTaheri777 @biiigharar @Ya_mahdi_94 @fazanavard1359 @ZahraKazemi1365 @sarbaze_iran97 @remissa77 @shahrokh_hamid</t>
  </si>
  <si>
    <t>‏‏‏‏‏‏دانش‌آموخته صنایع شریف و دانشجوی صنایع علم‌و‌صنعت / دبیر مجموعه رقابت‌های تخصصی فن‌آورد / عدالت‌طلب / خودم و همسرم فدای اباعبدالله</t>
  </si>
  <si>
    <t>در چند دهه کنونی همواره با #قانون های پیشِ پا افتاده آزادکامی‌های #مجلس و آن قوّه و برخی نهادهای وابسته به حضرتِ #رهبری وارونِ #قانون_اساسی گسترش یافته و تواناییِ #دولت کاهش یافته است</t>
  </si>
  <si>
    <t>Hosein Kalantari</t>
  </si>
  <si>
    <t>الان در جمعی از دوستان از #روحانی حمایت کردم. ومتاسفانه متوجه شدم چقدر تنهاست. تنهاترین #رییس_جمهور ایران</t>
  </si>
  <si>
    <t>http://www.malekli.ir</t>
  </si>
  <si>
    <t>ICT, SmartCity &amp; Security Consultant, University Professor, Pro Golfer &amp; Woodball Player, عضو تیم ملی وودبال ایران</t>
  </si>
  <si>
    <t>نماینده پشت تریبون #مجلس: هوا بس ناجوانمردانه سرد است ... نماینده ها: احسنت، احسنت نماینده: خواهشا نگید احسنت نماینده ها: احسنت، احسنت نماینده: آقا جون هرکی دوست دارید نگید دیگه نماینده ها: احسنت، احسنت نماینده: هرکی به اندازه فهم خودش میفهمه و نمیگه احسنت نماینده ها: احسنت ...</t>
  </si>
  <si>
    <t>Ali Malekli</t>
  </si>
  <si>
    <t>God is not exist but humanity is live</t>
  </si>
  <si>
    <t>اگر خود #روحانی رو هم #استیضاح کنند،به نظر من مثل این میمونه که یه تعویض در حین بازی انجام میشه و نفر جدید میره تو،هدف همونه،فقط شاید تاکتیک عوض بشه.هم تیمی ها هم میزنن رو شونه روحانی و میگن:مرسی،تو تلاشتو کردی،خدا قوت...</t>
  </si>
  <si>
    <t>i’m He</t>
  </si>
  <si>
    <t>https://pbs.twimg.com/media/Dl1PC5AU8AEVTek.jpg</t>
  </si>
  <si>
    <t>https://article.mojahedin.org/i/</t>
  </si>
  <si>
    <t>شکاف در دلواپسان باند ولی‌فقیه ارتجاع برسر #استیضاح به‌رغم مجیزگویی روحانی از خامنه‌ای با پز وحدت و درشرایطی که رژیم آخوندی هیچ راه برون رفتی از مواجه شدن با خشم و نفرت بیشتر مردم و خیزش‌ها و قیام ندارد  #اعتراضات_سراسری #قیام_تاسرنگونی #براندازم #ايران</t>
  </si>
  <si>
    <t>مجلس ما نه در آزمون #استيضاح وزير اقتصاد كه در آزمون وزيراني كه رهبري از آنها گله مند بود امتحان خواهد داد. آنهايي كه سالهاست وزيرند و امروز كه در آستانه محاصره اقتصادي هستيم كارنامه موفقي براي ارائه ندارند! اتفاقي نيفتاده است كه ارز و طلا بالا و بسياري كالاها ناياب شده اند</t>
  </si>
  <si>
    <t>I'm abraham_j_port and I've been waiting in shadows...how are you?</t>
  </si>
  <si>
    <t>Port Arthur, TX</t>
  </si>
  <si>
    <t>قیمت هر کیلو پنیر فله در 24 ساعت سه هزار تومن افزایش داشته. خدا قوت #روحانی #سیستان #زابل</t>
  </si>
  <si>
    <t>Abraham_junior</t>
  </si>
  <si>
    <t>جلسه پرسش و پاسخ نماینده‌ها با #رییس‌جمهور نشانه #اقتدار نظامه؟ والا ما تا امروز فکر میکردیم برخورداری از یک #اقتصاد توانمند و #پاسپورت معتبر و جلب رضایتمندی عمومی و اینا نشانه اقتدار یک نظامه. کاش یه چندتا دیگه از اون جلسات #مسخره برگزار کنن تا یهو #ابرقدرت بشیم😬</t>
  </si>
  <si>
    <t>#مجلس.جالبه بمامیگن اتفاقی نیافتاده بعدتودادگاه لاهه دارنبه هرچیزی وهرطوری التماس میکننکه تحریمهای بعدیروانجام نده.مثلادلشون برای مردم سوخته</t>
  </si>
  <si>
    <t>https://pbs.twimg.com/media/Dl1TAQiVAAAAcnP.jpg</t>
  </si>
  <si>
    <t>حرافی و صرافی #روحانی شیاد اونقدرحرفای مفت ودروغ به خوردِ ملت داده که صدای رسانه های خودنظام رو هم درآورده پوستربالا،که۱۰دقیقه بعدازهرجُمله روحانی،قیمت #دلاربالا میره یکی ازاین موارده</t>
  </si>
  <si>
    <t>elhamazarpor</t>
  </si>
  <si>
    <t>‏‏‏‏‏‏‏حیدری ام...</t>
  </si>
  <si>
    <t>چندی قبل رییس جمهور خود اذعان داشت بخشهای از کابینه باید ترمیم شود. مجلس لاریجانی ضمن تبانی با دولت با استیضاح وبرکناری وزرای مورد نظر این امر را تبدیل به نمایش اقتدار مجلس کرده انهم با مضحک ترین وضع ممکن. مشتی فریبکار، مردمی نجیب... خدایا... #دولت #مجلس #مردم</t>
  </si>
  <si>
    <t>مهران رومنا</t>
  </si>
  <si>
    <t>https://pbs.twimg.com/media/Dl1WgPDXcAAMkkj.jpg</t>
  </si>
  <si>
    <t>پیام #رییس‌جمهور به #فراکسیون_امید که از طریق #علی_مطهری منتقل شده را شنیدید؟ ما اصلاح‌طلبان گویی نمی‌خواهیم بپذیریم رییس‌جمهور مدت‌هاست راهش را از ما جدا کرده است. با رییس‌جمهوری که ما را نمی‌خواهد، چه کنیم؟ با دولتی که با رای ما آمده اما اعتقادی به #اصلاح ندارد، چه کنیم؟</t>
  </si>
  <si>
    <t>http://T.me/azarmansouri</t>
  </si>
  <si>
    <t>اصلاح طلبم ومعتقد به حرکت درچارچوب قانون اساسی ومخالف جدی رادیکالیزم وبرای تحقق دموکراسی از هیچ تلاشی درراستای جریانسازی اصلاحات دموکراتیک فروگذار نخواهم کرد</t>
  </si>
  <si>
    <t>خانواده های دراویش زندانی در نامه ای به دادستان،قاضی ناظرزندان،قاضی اجرای احکام،رئیس و‌معاونت زندان «نگرانی شدید خود را از #نقض_حقوق_قانونی دراویش زندانی اعلام‌کرده اند.» در کنار پاسخگویی مسئولین مورد اشاره در نامه #دولت و‌ #مجلس نیز باید پیگیر نقض حقوق دراویش زندانی باشند</t>
  </si>
  <si>
    <t>Azar Mansoori</t>
  </si>
  <si>
    <t>ايراني🔸همسر🔸پدر🔸مهندس 🔸اعتلای ایران ته آرزویم</t>
  </si>
  <si>
    <t>عارف @ir_aref بنده خدا، توییتی زده که در کل ریت های این توییت یه رای موافق نداره ،متعجبم ایشان چگونه رای اول تهران در انتخابات #مجلس شد؟؟ خوبیم ما؟؟؟ RT @ir_aref: وزرای دولت متاسفانه احساس مسئولیت مشترک نسبت به رفتار یکدیگر ندارند و این یکی از ضعف‌های دولت است که حتما رییس‌جمهور باید برای آن چاره‌اندیشی کند</t>
  </si>
  <si>
    <t>Ⓜ️.DOUSTKHAH( م.دوست خواه )</t>
  </si>
  <si>
    <t>سخنان #علی_لاریجانی در مورد عدم ارجاع سوال از رئیس جمهور به قوه قضائیه نشون داد که برادران #لاریجانی و #روحانی کماکان رفیق گرمابه و گلستان هستن و مردم هیچ کاره</t>
  </si>
  <si>
    <t>Nazary</t>
  </si>
  <si>
    <t>‏‏فکر میکنم خودم هستم! ‏‏‏‏‏‏‏‏‏‏‏قایقی خواهم ساخت ...،پشت دریاها شهری است ...، شهر من هیچستان ...</t>
  </si>
  <si>
    <t>(با عرض پوزش از دوستان) خاک بر سرت #روحانی، حیف از اون رأیی که بهت دادم کثافت! #IslamicRegimemustgo</t>
  </si>
  <si>
    <t>https://twitter.com/khabar_fouri/status/1035049333815758848</t>
  </si>
  <si>
    <t>خجالت بکشیم یا تشویق کنیم علی ع چراغ بیت المال را خاموش می کرد و نمایندگان در وقتی که از بیت المال حقوق می گیرند و .... #عید_غدیر #حکومت_علوی #حکومت_بدلی #مجلس #صحن_محفل RT @khabar_fouri: جزئیات ممنوعیت استفاده از تلفن همراه از سوی نمایندگان در صحن علنی کاتب رئیس کمیسیون تدوین آیین‌نامه داخلی مجلس: ۷۰ تن از نمایندگان مجلس شورای اسلامی در نامه‌ای به کمیسیون تدوین آیین‌نامه داخلی مجلس، خواستار ممنوعیت استفاده از تلفن همراه برای نمایندگان در زمان برگزاری جلسات…</t>
  </si>
  <si>
    <t>https://pbs.twimg.com/media/Dl1ZZFIU8AE-s85.jpg</t>
  </si>
  <si>
    <t>این عکس از سایت صدای آمریکا گرفته شده این بگم بگم ها و افشاگری می کنم های #روحانی چثدر شبیه نفر قبلیه چقدر روحانی این آخر کاری داره شبیه آخرای #احمدی_نژاد میشه</t>
  </si>
  <si>
    <t>http://t.me/saviorr313</t>
  </si>
  <si>
    <t>‏‏قلبم لبریز از اطمینان به ظهور،‏‏‏‏‏‏‏‏‏گوشم در انتظار صیحه آسمانی،چشمانم خیره مانده در میان رکن و مقام،سپس در جستجوی راهی به قدس ...</t>
  </si>
  <si>
    <t>میگم چرا از این امار 2 میلیون شغلی ک دولت #روحانی ازش میگه یه نفر از کسانی ک من میشناسم رو شاغل نکرده؟ نمونش خودم! :( شما هم اینطورید؟</t>
  </si>
  <si>
    <t>سرباز ایرانی🇮🇶🇾🇪🇵🇸🇱🇧🇸🇾🇮🇷</t>
  </si>
  <si>
    <t>#مجلس.خوب مردموسرگرم کردید.قضیه ۹.م.دلارچیشد.پیگیری شد؟ یابتاریخ پیوست؟</t>
  </si>
  <si>
    <t>خدایا ما مردم که کاری واسه خودمون نمی کنیم، تو یه کاری واسه ما بکن ما رو از دست اینا نجات بده #روحانی #رهبر #اختلاس #گرانی #فقر #دلار #امریکا</t>
  </si>
  <si>
    <t>‏ادعاهای فوق العاده، مدارک فوق العاده نیز میخواهند.</t>
  </si>
  <si>
    <t>#روحانی : "قیمت ها را آنچه مربوط به دولت بوده، دست نزدیم تا [مردم] در رفاه بیشتر باشند." قبض برق اومده، 15000 تومن فقط هزینه مالیات، عوارض، بیمه، آبونمان و ... شده. آقای روحانی ما لیاقت این حد از رفاه رو نداریم. بی خیال شو لطفا @Rouhani_ir</t>
  </si>
  <si>
    <t>کارل</t>
  </si>
  <si>
    <t>نزدیک است روزی که خر حزب اللهی ها به رهبری #روحانی تن دهند</t>
  </si>
  <si>
    <t>إِنَّ الَّذِينَ قَالُوا رَبُّنَا اللَّهُ ثُمَّ اسْتَقَامُوا تَتَنَزَّلُ عَلَيْهِمُ الْمَلَائِكَةُ أَلَّا تَخَافُوا وَلَا تَحْزَنُوا وَأَبْشِرُوا بِالْجَنَّةِ</t>
  </si>
  <si>
    <t>خاورمیانه ی متحده ی اسلامی</t>
  </si>
  <si>
    <t>چرا رهبر سوال از رئیس جمهور رو نماد اقتدار خوندند؟! چون که چندی پیش #مستر_روحانی گفته بود در شرایط فعلی سوال از من جایز نیست! رهبرم به ایشون نشون دادن دیدی درد نداشت #سوال_از_رئیس‌جمهور #سانسور_رهبری</t>
  </si>
  <si>
    <t>مهراد رادمهر</t>
  </si>
  <si>
    <t>تبعیدی ازوطن،سرهنگ سابق ناجا،کُرد و ایرانی.مقیم اروپا،ایران ملک مشاع است هرزمان خودتوباور کردی میتوانی منرا هم باورداشته باشی دست من برای همبستگی دراز است بسویت</t>
  </si>
  <si>
    <t>Villafranca di Verona, Veneto</t>
  </si>
  <si>
    <t>اعتماد مردم به حاکمیت تقریبا صفر شده ، اعتماد که رفت تا حکومت تغیر نکند برگشت پذیر نیست، با دروغ و سوار شدن بر احساسات مردم و مذهب نمیشود مملکت را اداره کرد آقای #روحانی چرا تقصیر را بر گردن گرفتی اون گردن شکسته بغل دست که الکی ازتون تمجید میکرد قصوری ندارد</t>
  </si>
  <si>
    <t>سرهنگ محمد رضاآرین</t>
  </si>
  <si>
    <t>Journalist/بنده یک فرد انقلابی هستم/خبرنگار کارگری/خبرگزاری برنا</t>
  </si>
  <si>
    <t>Tehran/ iran</t>
  </si>
  <si>
    <t>پس از ادامه اعتراضات در #اهواز استانداری خوزستان اعلام كرد حقوق یک ماه #کارگران_گروه_ملی_فولاد_ایران پرداخت می‌شود و با تهيه منابع خط توليد شروع به كار خواهد كرد. #اميد #روحاني #كارگري</t>
  </si>
  <si>
    <t>سیاوش پورعلی</t>
  </si>
  <si>
    <t>درباب مذاکره ایران وآمریکاآنچه مشهوداست آمریکاییهامعتقدندبااین اقتصادنزار،نحیف، فسادزده وفاقدتولید،ایران چاره ای جزتسلیم ندارد.وایران هم ازیکسودرپی وقت کشیست تااثرات تحریم راکاهش دهدوازسوی دیگرامیدوار به استیضاح ترامپ یابپایان رسیدن دوره ریاست جمهوریش هستند. #تحریم #روحانی #ترامپ</t>
  </si>
  <si>
    <t>درستش این بود واسه #جنگ بین ۲تا #کشور، رییس جمهورارو میفرستادن که باهم #دوئل کنن، اون وقت دیگه نه کسی جرأت داشت جنگ راه بندازه، نه هرکسی #رییس_جمهور میشد !!! #روحانی #ترامپ #ایران #امریکا</t>
  </si>
  <si>
    <t>http://www.mohammadaghasi.ir</t>
  </si>
  <si>
    <t>Researcher in the social sciences of Iran</t>
  </si>
  <si>
    <t>آستانه آغاز سال جديد تحصيلي است و #مجلس_شوراي_اسلامي زمان مناسبي براي #استيضاح #وزير #آموزش_و_پرورش در نظر نگرفته است. 🤐</t>
  </si>
  <si>
    <t>محمد آقاسي Mohammad Aghasi</t>
  </si>
  <si>
    <t>https://t.me/golshany</t>
  </si>
  <si>
    <t>تو رشته کام‍یوتر تخصص دارم ولی بیشتر دوست دارم از حق و حقوق زندانیان و بخصوص زندانی سیاسی دفاع کنم. همین و بس</t>
  </si>
  <si>
    <t>قم</t>
  </si>
  <si>
    <t>https://pbs.twimg.com/media/Dl1ig4dWwAAmGbt.jpg</t>
  </si>
  <si>
    <t>بیکاری دستکم ۲۰ میلیون #جوان در ایران محمد رضا بادامچی،رییس فراکسیون کار و کارآفرینی #مجلس رژیم: قریب به ۲۰ میلیون نفر جوان ۱۵ الی ۲۹ ساله کشور #بیکار هستند</t>
  </si>
  <si>
    <t>آ.گلشني</t>
  </si>
  <si>
    <t>Phd in philosophy of Art , Lecturer of philosophy , Drama and Guitar</t>
  </si>
  <si>
    <t>این همه جنجال برای چیست؟ اگر براندازید که #روحانی با کشتن حداقل امید‌اصلاح برای شما مفید‌بود‌‌و اگر اصولگرایید‌ که روحانی اصلاح طلب نبود که انقدرمنتقدید .گر اصلاح طلبید که #خاتمی و سایر آیکونهایتان از همه بدترند. حقیقت اینجاست که همه تان مزخرف و ابلهید😂</t>
  </si>
  <si>
    <t>Mehrdad Behrad</t>
  </si>
  <si>
    <t>https://pbs.twimg.com/media/Dl1lCMbW0AAFADn.jpg</t>
  </si>
  <si>
    <t>رییس #مجلس #ژاپن خواستار توسعه روابط #تهران - #توکیو شد #ایران #فرسان_خبر</t>
  </si>
  <si>
    <t>http://SepehrHN.com</t>
  </si>
  <si>
    <t>IRAN, Bushehr</t>
  </si>
  <si>
    <t>آقا تو رو خدا ایمان بیارین به دولت و مجلس دلار بیاد رو 1000 ریال =| #روحانی #مجلس</t>
  </si>
  <si>
    <t>Sepehr Hadaegh Nia</t>
  </si>
  <si>
    <t>‏‏برای شادی روحش بخندید.</t>
  </si>
  <si>
    <t xml:space="preserve">Where ever is love to be find </t>
  </si>
  <si>
    <t>https://pbs.twimg.com/media/Dl1moYzX4AAIyJG.jpg</t>
  </si>
  <si>
    <t>روحانی #روحانی</t>
  </si>
  <si>
    <t>آن مرحوم</t>
  </si>
  <si>
    <t>https://pbs.twimg.com/media/Dl1mrDzX0AA_spw.jpg</t>
  </si>
  <si>
    <t>+من از شما می پرسم: قانع شدید؟؟؟ -نِع #سوال_از_رییس‌جمهور</t>
  </si>
  <si>
    <t>‏/‏humanism/ /‏‏‏‏accountant/ musician / Social activist/ collegiate/ photographer/ انسانگرا/ حسابدار/ نوازنده/ فعال اجتماعی/ دانشجو/ عکاس/</t>
  </si>
  <si>
    <t>آیا همه دزدیم? (از #دلال #فروشنده #بازار افراد پایین جامعه تا بالا ترین ارکان #دولتی #رئیس_جمهور و #رهبری ) #ایران #جمهوری_اسلامی_انتخاب_من_نیست</t>
  </si>
  <si>
    <t>سودابه رادفرد</t>
  </si>
  <si>
    <t>#مجلس بداند با این #استیضاح های پشت سر هم و #کارت_زرد، چیزی از حرف و حدیثی که پشت سر مجلسی هاست کم نخواهد شد و اینکه بگویند وزرا با ما #تعامل ندارند، موضوع توجیه نخواهد شد. مردم می‌دانند تعامل از نظر این مجلس به چه معنی است! بلانسبت برخی نمایندگان بی مسأله!</t>
  </si>
  <si>
    <t>Soodabeh Radfard</t>
  </si>
  <si>
    <t>وقاحت تلمودی صهیونی را با هم مشاهده میکنیم: #خامنه‌ای با تمجید از #دولت و رشد اقتصادی یک سال اخیر از دولت خواست که این رشد را با زبان بهتری برای مردم بگوید. ---- وقاحت یعنی دروغگویی در روز روشن و توهین به شعور و جیب‌خالی مردم #روحانی_خفه_شو #روحانی #صهیونیسم_شیعه #تواضع_رهبری</t>
  </si>
  <si>
    <t>مهندس، معلم، دانشجو،عاشق اسکارلت، شوخ، همیشه خنده‌رو. راست‌دست:|</t>
  </si>
  <si>
    <t>گلریزان کنین برا من یه لپ تاپ بگیرین. با حقوق کارمندی #روحانی فقط لپ تاپ اسباب‌بازی میتونم بگیرم.</t>
  </si>
  <si>
    <t>Yotab</t>
  </si>
  <si>
    <t>آدمي معمولي هستم درست مثل يك خبرنگار</t>
  </si>
  <si>
    <t>Ankara, Turkey</t>
  </si>
  <si>
    <t>نشست سه جانبه #روحانی #پوتین #اردوغان که پیش از این قرار بود هفتم سپتامبر ۱۶ شهریور در #تبریز باشد، در #تهران برگزار خواهد شد، دلیل تغییر محل اجلاس درخواست پوتین و اردوغان برای ملاقات با #رهبری در تهران است.</t>
  </si>
  <si>
    <t>https://pbs.twimg.com/media/Dl1pG64X0AAKa3S.jpg</t>
  </si>
  <si>
    <t>https://twitter.com/ta_eslahgara/status/1035099069012738049</t>
  </si>
  <si>
    <t>این همون #پنکه هست که میگن مال #روحانی نیست،فقط نمیدونم چرا هرجا روحانی هست این پنکه هم هست،شاید داره جاسوسیش رو میکنه! RT @ta_eslahgara: @hamidrasaee @nafise92_2 @Rouhani_ir</t>
  </si>
  <si>
    <t>https://pbs.twimg.com/media/Dl1tKTnX4AEKyuO.jpg</t>
  </si>
  <si>
    <t>وزیر خارجه #ايران هفته آینده در #مجلس حضور می‌یابد #ظريف #فرسان_خبر</t>
  </si>
  <si>
    <t>یک بنده خدا ، یک دانشجو</t>
  </si>
  <si>
    <t>آقای @shariatmadari_m وزیر صنعت برو فیلم انبار #احتکارگران_خودرو رو ببین که مطمئنم دیدی و با اونها برخورد کن. از #مجلس و #وزارت_اطلاعات توقع بررسی این مشکل بزرگ وجود دارد.#سایپا #شفافیت #ایران_خودرو #احتکار_خودرو #امنیت_اقتصادی #وزارت_اطلاعات</t>
  </si>
  <si>
    <t>Omid</t>
  </si>
  <si>
    <t>‏‏‏‏‏‏یه خط مستقیم, برای فردای بهتر😏 مثلن منم بلدم:-)))))))))))))</t>
  </si>
  <si>
    <t>نفر آخر #زیر_پل</t>
  </si>
  <si>
    <t>بیاید یکم از #رئیس_جمهور تون بگیم, از رای های که دادین😏 از اینکه اینقدر پررووو شدین که قیمت دلار و طلا رو بردین بالا:-))))) #تا1400باروحانی😏</t>
  </si>
  <si>
    <t>نفر آخر</t>
  </si>
  <si>
    <t>‏‏‏‏‏‏‏‏‏‎‎‎‎‎‎‎‎#خبرنگار حوزه شهری خبرگزاری ‎‎‎#ایلنا ‎‎/ /‎‎‎‎‎‎‎‎‎‎مترجم# ‎‎‎‎‎‎‎‎‎‎#Journalist ‎‎ نظراتم در اینجا کاملا شخصی است.</t>
  </si>
  <si>
    <t>#کلانتری گفته #مجلس بودجه مصوب برای حل مشکل #پسماند شمال را منتقل کرده یک بخش دیگه!!! آقا یکی نیست این مجلسی ها را استیضاح کند؟؟؟؟ #پسماند @mah_sadeghi</t>
  </si>
  <si>
    <t>Faranak</t>
  </si>
  <si>
    <t>International&amp;European Legal professional( specialized in ICL&amp; IHL). Human Rights activist. Member of Amnesty Int and Movies that Matter.</t>
  </si>
  <si>
    <t>The Netherlands</t>
  </si>
  <si>
    <t>https://pbs.twimg.com/media/Dl1wPVCXoAEclj4.jpg</t>
  </si>
  <si>
    <t>وقتی ج.ا سیاست یک بام و دو هوا رو در پیش میگیره یادش میره همه ممکن مثل خودش کم هوش نباشن، روز سه شنبه امریکا در دفاعیه خودش استناد کرد به حرفهای خامنه و امروز هم استناد به حرفهای روحانی که در ملاقات خودش با خامنه ای اظهار کرده بود. #لاهه #شکایت_ایران_از_امریکا #روحانی #برجام</t>
  </si>
  <si>
    <t>Mehr.I</t>
  </si>
  <si>
    <t>https://telegram.me/eterazat</t>
  </si>
  <si>
    <t>خبرها و تحلیل های سیاسی روز را در کانال «ایران برپا» ببنید. پیش بسوی آزادی ایران #براندازم 🌈 @iran_barpa 🍁</t>
  </si>
  <si>
    <t>Italy</t>
  </si>
  <si>
    <t>مدیرعامل موسسه غارتگر ثامن الحجج عامل اصلی بیچارگی ده ها هزار سپرده گذار به ۱۵ سال حبس محکوم شد و دختر دانشجوی ۲۱ ساله بخاطر تقاضای صنفی در #دانشگاه به ۱۰ سال حبس/ در روز عیدغدیر این عدالت را به دشمنان امام علی یعنی باند فاسد خامنه ای و آخوند شیاد #روحانی تبریک میگوییم. #براندازم</t>
  </si>
  <si>
    <t>pejman2017</t>
  </si>
  <si>
    <t>pic.twitter.com/aEd131prY6</t>
  </si>
  <si>
    <t>وزیر مسکن مغولستان قول داده بود ١۰۰،۰۰۰ مسکن بسازه و اگر نتونست خودشو آتیش بزنه اون نتونست ٧۰،۰۰۰ تا بیشتر درست کنه، در ادامه...😔 #روحانی #ظریف #آخوندی</t>
  </si>
  <si>
    <t>‏‏‏‏‏مهم اینه فکر کردنو رها نکنیم.</t>
  </si>
  <si>
    <t>#بادامچی: قریب به بیست میلیون جوان بیکار داریم. #روحانی: دولت در زمینه بیکاری کارنامه درخشانی دارد.</t>
  </si>
  <si>
    <t>ف‌اط‌م‌ه</t>
  </si>
  <si>
    <t>https://pbs.twimg.com/media/Dl1zLR-XoAIwfln.jpg</t>
  </si>
  <si>
    <t>الحق که جلسه #سوال_از_رئيس_جمهور نمایش #اقتدار و #اتحاد نظام بود. #مجلس و #دولت نشان دادند علیرغم بسیاری از اختلافات، در بزنگاه های حساس، متحد و یکدل، دوشادوش هم مقابل ملّت می ایستند... #سر_خمّ_می_سلامت</t>
  </si>
  <si>
    <t>‏یه بچه انقلابیِ مسجدیِ شیک‌پوش :) دارای یه مغز بالستیکی :) ‎#شاعر :)</t>
  </si>
  <si>
    <t>https://pbs.twimg.com/media/Dl10XcHX4AA4P65.jpg</t>
  </si>
  <si>
    <t>#روحاني : ۲۳تیر۱۳۵۹ : در نماز جمعه ها توطئه گرها را اعدام کنید!!! انتخابات ۹۲ : مردم کسانی که ۳۸ سال فقط اعدام و زندان بلد بودند را قبول ندارند... @Rouhani_ir #من_هیچ_من_نگاه :)</t>
  </si>
  <si>
    <t>[سِیِـ ـ ـد]🇮🇷دَر آرِزوے شَھادتــ...</t>
  </si>
  <si>
    <t>میگن مردای سن بالا برای دخترای دبیرستانی جذابن. من یکم دیگه سنم بره بالا میام اینجا ببینم چه خبره فقط کــص گفته باشین میگــامتون😐😐 نظررر؟؟ #جک #ایران #غدیر #پدر #عراق #آمریکا #ترامپ #آزادی #پرسپولیس #استقلال #خنده #طنز #دلار #روحانی #عید #عید_غدیر</t>
  </si>
  <si>
    <t>Iranian Citizen / A student at earthquake engineering at KNTU / Interested into Social events and human right.</t>
  </si>
  <si>
    <t>جناب #روحانی ، جنابعالی 21 میلیون رای نگرفتی که وقتی میای #مجلس برای پاسخگویی "فرمایشات آقا" رو مد نظر بگیری!! این همه بگم بگم و بیام مجلس ی سری حقایق رو میگم ، این بود !!! 😡@Rouhani_ir</t>
  </si>
  <si>
    <t>Masoud ahmadi</t>
  </si>
  <si>
    <t>سال76 حمله به هاشمی سال 80 شعارعبور ازخاتمی سال 84 عدم اجماع روی یک کاندید وشکست 88 دعوت از میرحسین وقایع بعد و #حصر فراموشی محصورین. کاسبی ازحصر 97 برنامه عبور از #روحانی ...</t>
  </si>
  <si>
    <t>هميشه همسرم يكي ازعلل مشكلات خانواده مارو،ژل زدن موهاي من ميدونه،فرآيندي كه روزانه ٣٠-٤٥ثانيه وقت مفيدمنوميگيره حالاشماحساب كنيدرييس جمهورمملكت حداقل روزانه نيم ساعت صرف طاس ودولوچه رنگ ريش ونشستن مقابل ميزتوالت ميكنه.انتظارداريدمملكت درست بشه؟ #روحاني</t>
  </si>
  <si>
    <t>نه چپ ، نه راست ، من انقلابی ام ، مطیع رهبر ،</t>
  </si>
  <si>
    <t>#روحانی : 2.م شغل ایجاد کردیم پ.ن : درست میگوید ، ایجاد کرده ولی از آنطرف حداقل 5.م شغل را نابود کرده #دولت</t>
  </si>
  <si>
    <t>علـــــی عـــابـــدی</t>
  </si>
  <si>
    <t>http://www.imarketor.com</t>
  </si>
  <si>
    <t>آیمارکتور ، دیجیتال مارکتینگ ، بازاریابی ، برندینگ و تبلیغات</t>
  </si>
  <si>
    <t>تاحالا به این موضوع فکر کردین که چرا مهمترین بلندگوی رسمی #نمایندگان مردم در #مجلس و هیات #دولت و #رئیس_جمهور و دفتر #رهبر #ایران توسط #قوه_قضاییه #فیلتر هست! #ريتوييت اندر حکایت #فیلترینگ #توییتر @azarijahromi @Rouhani_ir @khamenei_ir</t>
  </si>
  <si>
    <t>iMarketor</t>
  </si>
  <si>
    <t>#من_انتخاب_نکردم #روحاني رو #من_انتخاب_نکردم #رهبري رو #من_انتخاب_نکردم #خبرگان رو #من_انتخاب_نکردم #مجلس رو #من_انتخاب_نکردم #جمهوري_اسلامي رو #من_انتخاب_نکردم #عنقلاب رو #انتخاب_من فقط #حكومت_انسانيت هست و بس! #چالش_دعوت_به_عملیات #براندازم #ايران #تظاهرات_سراسرى</t>
  </si>
  <si>
    <t>تو خود حدیث مفصل بخوان از این مجمل ... #مجلس RT @IRNA_1313: 📹 مجلس ما و مجلس آنها وقتی رئیس جمهور یا نخست وزیر یک کشور در میان نمایندگان مجلس سخنرانی می‌کند نمایندگان چگونه نظم جلسه را حفظ می‌کنند؟ یا چطور موافقت یا مخالفتشان را نشان می‌دهند؟ مقایسه میان مجالس ایران و دیگر کشورها در این مواقع قابل تامل است...</t>
  </si>
  <si>
    <t>#روحانی: همه چیزاز۹۶/۱۰/۵ شروع شد. پ.ن: سختگیری مقامات قضایی شاید بی ارتباط بااین گفته اقای #روحانی نباشد مدارا با #دانشجویان جوان !!!</t>
  </si>
  <si>
    <t>pic.twitter.com/2OOJ39Omiq</t>
  </si>
  <si>
    <t>مقایسه جالبی بین #مجلس به هم ریخته و بی در و پیکر و داغون ایران با مجالس سایر کشورها.</t>
  </si>
  <si>
    <t>‏کارشناس ارشد عمران، محیط زیست. مدیر عامل شرکت لتی #جانم_فدای_سید_علی</t>
  </si>
  <si>
    <t>Tehran, IR Iran</t>
  </si>
  <si>
    <t>https://pbs.twimg.com/media/Dl1-iRYXgAAA6sM.jpg</t>
  </si>
  <si>
    <t>قیافه خلق الله بعد از سخنرانی #رئیس_جمهور در مجلس 👇</t>
  </si>
  <si>
    <t>Ali_khosh</t>
  </si>
  <si>
    <t>pic.twitter.com/ZCBzPPKqzO</t>
  </si>
  <si>
    <t>#تخلفات #بانک_مرکزی در برخورد با #موسسات_غیرمجاز و #موسس_مجاز_کاسپین از #مجلس برای رسیدگی به #قوه_قضاییه ارسال شد صدور «مجوز مشروط» برای فعالیت های موسسه کاسپین توسط بانک مرکزی فاقد وجاهت قانونی بود بانک مرکزی از اقدامات و فعالیت تمام شعب موسسه کاسپین اطلاع داشته است</t>
  </si>
  <si>
    <t>http://www.facebook.com/Siasat.Zadegan?ref=tn_tinyman</t>
  </si>
  <si>
    <t>Let's laugh to our problems a little bit more serious! Follow us at Facebook as well! http://www.facebook.com/Siasat.Zadegan?ref=tn_tinyman</t>
  </si>
  <si>
    <t>پنکه مدل #سوال_از_رییس_جمهور رسید :))))))</t>
  </si>
  <si>
    <t>سیاست زدگان</t>
  </si>
  <si>
    <t>یک لحظه آزاد زندگی کردن به از صد سال زندگی در قفس جمهوری اسلامی</t>
  </si>
  <si>
    <t>#علی_لاریجانی : حضور رئیس جمهور در مجلس نشاندهنده دموکراسی در ج ا میباشد #روحانی : من در اینجا رهنمودها و فرامین رهبری را رعایت و اجرا می کنم ۸۰ میلیون و یک ملت نادیده گرفته میشوند و آقایون فقط در پی راضی کردن رهبر هستند و اسم این سیرک را هم دموکراسی گذاشتند</t>
  </si>
  <si>
    <t>سیامک</t>
  </si>
  <si>
    <t>دولت پروندش به قوه قضاییه هم برود بازهم در عرض ۱ ماه نمی تواند ۴ تا سوال را پاسخ دهد چون واقعا ۴ تا مشکل اساسی مردمه #روحانی</t>
  </si>
  <si>
    <t>https://pbs.twimg.com/media/Dl2DawSX0AIL9lu.jpg</t>
  </si>
  <si>
    <t>#خودرو #کیش #تبعیض #وزیر_صنعت #مناطق_آزاد #رئیس_جمهور #قیمت_خودرو #گمرک مناطق آزاد و #پلیس و کلی مرجع دولتی یک طرف، خودرو کامارو با موتور بالای ۲۵۰۰ سی سی در جواهر ده مازندران در شهریور ماه سال ۹۶ هم یک طرف. خوب مگه ما که پارتی نداریم دل نداریم؟ #من_انتخاب_نکردم</t>
  </si>
  <si>
    <t>پایگاه خبری مستقل و مردمی خبرداغ</t>
  </si>
  <si>
    <t>https://pbs.twimg.com/media/Dl2EpM2WwAE98SW.jpg</t>
  </si>
  <si>
    <t>فعالیت #مشکوک توییتری برای مقابله با استیضاح بطحایی! واضح است که اگر حتی یک ریال از منابع #آموزش_و‌_پرورش و جیب #معلمان صرف سازماندهی چنین اقدامات #رسانه‌ ای شود، وظیفه خود می‌دانیم همانطور که در ماجرای #استیضاح ربیعی اقدام کردیم، در این موضوع هم اقدام به روشنگری شود.#معلم</t>
  </si>
  <si>
    <t>@khabaredagh</t>
  </si>
  <si>
    <t>http://meraatnews.com</t>
  </si>
  <si>
    <t>آینه تمام نمای اخبار مهمترین #اخبار_ایران و #استان_سمنان http://meraatnews.com شماره تماس: 02333340303 آدرس کانال تلگرام : https://t.me/meraatnews</t>
  </si>
  <si>
    <t>Semnan سمنان</t>
  </si>
  <si>
    <t>http://yon.ir/wwbKZ</t>
  </si>
  <si>
    <t>حسینی شاهرودی: برای جلوگیری از طرح سوال از رئیس‌جمهور، لابی‌های فراوانی انجام شده بود/معتقدم تشخیص استنکاف #رئیس‌جمهور از اجرای قانون برعهده «عموم نمایندگان» است بخوانید:  #مرآت 📡 @meraatnews_com</t>
  </si>
  <si>
    <t>شبکه اطلاع رسانی مرآت</t>
  </si>
  <si>
    <t>‏‏‏اندکی صبر، سحر نزدیک است</t>
  </si>
  <si>
    <t>نجف،کربلا،سامرا،کاظمین،مشهد</t>
  </si>
  <si>
    <t>آی اونایی که پول جم کرده بودید خونه بخرید، برید ماشین بخرید. آی اونایی که پول جم کرده بودید ماشین بخرید، برید گوشی بخرید. آی اونایی که پول جم کرده بودید گوشی بخرید، برید اشی مشی بخرید. #روحانی</t>
  </si>
  <si>
    <t>🇮🇷vah3d🇵🇸</t>
  </si>
  <si>
    <t>https://pbs.twimg.com/media/Dl2HqJYX0AAsiBn.jpg</t>
  </si>
  <si>
    <t>قریب به ۲۰ میلیون جوان بیکارند محمدرضا بادامچی عضو #مجلس:‌ اکنون یک نفر از شش نفر در جامعه ایرانی کار می‌کنند، قریب به ۲۰ میلیون نفر جوانان ۱۵ الی ۲۹ ساله کشور بیکار هستند. نرخ بیکاری #مردان در بین سنین ۱۵ الی ۲۹ سال، معادل ۲۱ درصد و #زنان ۴۰ درصد است</t>
  </si>
  <si>
    <t>من جای #روحانی. بودم استعفا می دادم اینطوری سنگین تره</t>
  </si>
  <si>
    <t>https://pbs.twimg.com/media/Dl2J_ryWsAA0dEu.jpg</t>
  </si>
  <si>
    <t>این جشن فرزندان انقلاب است... خواهر و برادر با احترام و اخلاق در جشن #دکترسلام حضور دارند؛ بدون هیچ حاشیه ای... یادش بخیر جناب #روحانی گفت اینها بیایند "در خیابان ها دیوار میکشند"😂</t>
  </si>
  <si>
    <t>‏ساده، تند و تیز اگرهم شد کمی خوشمزه درست مثل سمبوسه</t>
  </si>
  <si>
    <t>pic.twitter.com/cgsK9BmxJx</t>
  </si>
  <si>
    <t>دقیقا آقای #روحانی #بحران_ارزی امروز نتیجه تصمیم پوپولیستی شما در پارسال برای کنترل نرخ ارز برای انتخابات بود که ذخایر ارزی رو بدون منطق تو بازار ریختید هرجای دنیا بود شما بخاطر تصمیماتتون به عنوان جنایتکار اقتصادی محاکمه میشدید</t>
  </si>
  <si>
    <t>سمبوسه</t>
  </si>
  <si>
    <t>عاشقان را سر شوریده به پیکر عجب است ، دادن سر نه عجب، داشتن سر عجب است</t>
  </si>
  <si>
    <t>هر جوري فكر ميكنم دلايل و زمان سنجي #استيضاح بطحايي رونميفهمم. مردم منتظر بركناري و استيضاح #آخوندي و #شريعتمداري هستند، آنگاه مجلس #لاریجانی آدرس غلط ميدهد #دولت_ناکارآمد</t>
  </si>
  <si>
    <t>hamedrajaee</t>
  </si>
  <si>
    <t>https://pbs.twimg.com/media/Dl2MmZwX4AAH-3R.jpg</t>
  </si>
  <si>
    <t>#سوال_از_رییس‌جمهور #صبا_رسانه کاربران برتر: @mhrezaa @Ya_mahdi_94 @biiigharar @remissa77 @fazanavard1359 @cyber802s @ZahraKazemi1365 @m_jalili1 @Reza_Shaban78 @son_of_imam</t>
  </si>
  <si>
    <t>با زیبایی لبخندت با عشق چهره ات ای شرقی خسته به تن میکنی امید را آواز</t>
  </si>
  <si>
    <t>#شیلا_خدادادی بابا تو یک هنر بند هستی نه #هنرمند یعنی مزدبگیر این نظام هستی پس حرف مفت نزن ماله کشی هم حدی داره خانم بی درد #روحانی #براندازم RT @pessarbad: وقتی مرزهای ماله کشی و وقاحت با هم جا به جا میشود. #سلبریدی_حکومتی #شاخص_فلاکت #دیگه_تمومه_ماجرا</t>
  </si>
  <si>
    <t>Sodabeh_Rodaki</t>
  </si>
  <si>
    <t>یه بیچاره ای تو یه گوشه ای از همین کشور</t>
  </si>
  <si>
    <t>#زندگی سخت و #مشکلات_معیشتی بدجوری یقه ملت را گرفته اند.آقای #رئیس_جمهور که توی فضاست.#روحانی قادر به اداره #مملکت نیست و دل از #نوبخت نمیکند.خدا به این #ملت رحم کند که تا الان نکرده.#روحانی_به_پایان_سلام_کن</t>
  </si>
  <si>
    <t>homayon shirazi</t>
  </si>
  <si>
    <t>pic.twitter.com/YwFDHpqeCZ</t>
  </si>
  <si>
    <t>باز خبر دردناک #خودکشی اینبار در #اصفهان که نصف دردهای جهان را تحمل میکند خودکشی یک شهروند اصفهانی در مغازه خود بدلیل مشکلات بدهی و معیشتی #مردم #روحانى #ايران</t>
  </si>
  <si>
    <t>rosha_ahmadi</t>
  </si>
  <si>
    <t>https://sapp.ir/mohammadi.mahdi</t>
  </si>
  <si>
    <t>Iranian national security analyst</t>
  </si>
  <si>
    <t>با ادامه روند فعلی، مدیریت #زنگنه در وزارت #نفت به پاشنه آشیل دولت #روحانی تبدیل خواهد شد.</t>
  </si>
  <si>
    <t>mahdi mohammadi</t>
  </si>
  <si>
    <t>https://pbs.twimg.com/media/Dl2QBvKX0AAz1u5.jpg</t>
  </si>
  <si>
    <t>منبری ها هم دیگر #فی_البداهه صحبت نکرده و از قبل سرفصل سخنرانی خود را آماده می کنند.صحبت های #رئیس_جمهور در #مجلس نشان داد که ایشان تریبون مجلس را با منبرهای قدیم اشتباه گرفته و با هیچ مشاوری مشورت نکرده بود.کسی از ایشان توقع #افشاگری نداشت، اما صحبت علمی و قابل سنجش، چرا.</t>
  </si>
  <si>
    <t>Mohammadmirazadi</t>
  </si>
  <si>
    <t>https://pbs.twimg.com/media/Dl2Qu1lWsAAzMu5.jpg</t>
  </si>
  <si>
    <t>حکم #ابوالفضل_میرعلی ، مدیرعامل #مؤسسه_ثامن‌الحجج صادر شد: محکومیت به 15 سال حبس تعزیری برای کسی که سرمایه یک عمر مردم را به باد داد❗️ چند ماه دیگر هم سر از ونکور کانادا در میاورد.. #روحانى #ايران #رژيم</t>
  </si>
  <si>
    <t>pic.twitter.com/Hp2voxbAyq</t>
  </si>
  <si>
    <t>نمایندگان #مجلس هنگام سخنرانی #روحانی چیکار می کردند؟ در پارلمانهای کشورهای دیگه چیکار میکنند؟</t>
  </si>
  <si>
    <t>#اوج_اقتدار_جمهوری_اسلامی نباید اقتصاد پویا و #عدالت_اجتماعی، نبود فساد و ... باشه؟ با چهار پنج تا سوال, اقتدار ما به اوج می رسه؟ #روحانی</t>
  </si>
  <si>
    <t>Masoud569</t>
  </si>
  <si>
    <t>Amateur Architect,Chef,Mandolinist Professional Idiot</t>
  </si>
  <si>
    <t>https://pbs.twimg.com/media/Dl2TRfkWwAEZjtx.jpg</t>
  </si>
  <si>
    <t>میم های سیاسی جدید، داغِ داغ #دلار #سوال_از_رئیس‌جمهور #meme</t>
  </si>
  <si>
    <t>GeevShay</t>
  </si>
  <si>
    <t>‏‏‏‏‏‏مدرس دانشگاه،دکترای حقوق عمومی دانشگاه تهران........ هنوز چیزی نشدم/هیچ چیز/هیچ کس.....</t>
  </si>
  <si>
    <t>جناب آقای#دکترظریف اگر24میلیون نفر به #روحاني رأی دادنددقیقا به آن دلیل بود که این حقیقت را فریادبزنند که دیگر نمی خواهنداینگونه زندگی کنند</t>
  </si>
  <si>
    <t>محمدعلی حائری شیرازی</t>
  </si>
  <si>
    <t>محمد نموداری Qazvin Second Home;Canada</t>
  </si>
  <si>
    <t>https://pbs.twimg.com/media/Dl2WSQ5WwAAHnli.jpg</t>
  </si>
  <si>
    <t>#کارتر #رئیس‌جمهور سابق 93 ساله #آمریکا و همسرش ، در سی سال اخیر با کار کردن در کنار 100 هزار نفر در 14 کشور جهان، 4000 خانواده رو صاحب خونه کردن. ما چکار کردیم واسه بی خانمانامون؟</t>
  </si>
  <si>
    <t>Mohammad Nemoodary</t>
  </si>
  <si>
    <t>Scientist. / I consider the NHS as one of the humanity's greatest inventions. Its privatization, in any form, amounts to an unpardonable retrogression.</t>
  </si>
  <si>
    <t>Edinburgh, United Kingdom</t>
  </si>
  <si>
    <t>https://youtu.be/_Gjr-6fxVhs?t=8m18s</t>
  </si>
  <si>
    <t>بعد از شنیدن اراجیف #روحانی در مجلس (بخصوص در مورد علل #قاچاق)، دلم می خواست زمین دهان باز می نمود و مرا می بلعید، تا اینکه اینقدر شرمگین نباشم، شرمگین از اینکه رئیس جمهور ایران حتی واضحات را نمی داند! چگونه اینهمه جهل و نادانی می تواند در یک جمجمه بگنجد؟!</t>
  </si>
  <si>
    <t>Sassan Ordibehesht</t>
  </si>
  <si>
    <t>https://pbs.twimg.com/media/Dl2aMuoXsAEbYy-.jpg
https://pbs.twimg.com/media/DlrPfhvXoAA0jj0.jpg</t>
  </si>
  <si>
    <t>@BdooneMarZ ♦️همین‌طوری بخندین بخندین به حال و روز این مردم که مدت‌هاس خندیدن یادشون رفته #روحاني #مجلس_شورای_اسلامی</t>
  </si>
  <si>
    <t>صداکن مرا</t>
  </si>
  <si>
    <t>ظاهرا دانشمندا کشف کردن بز حالت و احساسات افراد رو تشخیص میده! خوب پس نتیجه میگیریم #روحانی از بز نفهم تره ک رفته مجلس با نادیده گرفتن احساسات 80 میلیون نفر ادم، گفته همه چی ارومهو بحران نداریم! #ایران_را_پس_میگیریم #این_انتخاب_من_نیست</t>
  </si>
  <si>
    <t>#رییس_جمهور.مردم غلط میکننکه ناراحتن.مردم غلط میکنن اعتراض میکنن.مردم غلط میکنن میگن دشمن ماهمینجاست.مردم غلط کردن یدفعه بشماگفتن شماآدمید..</t>
  </si>
  <si>
    <t>در حال تلاش براي زندگي بهتر</t>
  </si>
  <si>
    <t>اقاي #روحانى بفهم حق ما نيست جاي يك زندگي اروم و با رفاه نسبي شما پشت هم تكرار كنيد نگران كالاهاي اساسي نباشيم. ما مي ميخوايم زندگي كنيم نه اينكه زنده بمونيم</t>
  </si>
  <si>
    <t>فارست</t>
  </si>
  <si>
    <t>#مجلس.۲۹۰ مفتخورنمیتونن کاری کننکه مردم ازاین ناامیدی به آینده وفقروفلاکت خلاص بشیم.یبارتوعمرتون آزاده باشیدوبدون اجازه رهبرفرمایشی کاری بکن</t>
  </si>
  <si>
    <t>proud iranian/political analyser/shia Muslim דת המדינה ‏#איראן לא מרוצה עם ‏#המלחמה Not responsible for comments/ ... 💌+1(619) 637-7764💌 http://t.me/islamiism</t>
  </si>
  <si>
    <t>https://twitter.com/abdollahram/status/1035067264393859072</t>
  </si>
  <si>
    <t>🔵 اگر پرسش نمایندگان مجلس شورا از #رئیس‌جمهور و #پاسخگویی علنی او از نشانه‌های #دموکراسی است که هست، چرا نمایندگان مجلس خبرگان درباره وظایف #رهبر از او سوال نمی‌کنند و جواب ایشان مستقیما از #صداوسیما پخش نمی‌شود؟ چرا خبرگان نتوانند درمورد توضیحات رهبر رای دهند؟ RT @abdollahram: مدیر عامل ثامن الحجج که عامل اصلی بیچارگی ده ها هزار سپرده گذار و ضربه به اقتصاد ملی است به ۱۵ سال حبس محکوم شد و دختر دانشجوی ۲۱ ساله به خاطر تقاضای صنفی در دانشگاه به ۱۰ سال حبس. در روز عید غدیر این نوع عدالت را به پیروان امام علی تسلیت میگویم. مجلس خبرگان کجاست؟</t>
  </si>
  <si>
    <t>Ali Parsa🇮🇷🇮🇷🇮🇷</t>
  </si>
  <si>
    <t>http://dankoob.com</t>
  </si>
  <si>
    <t>An Iranian , A student , Biology researcher , A writer , A half poet and finally A blogger :)</t>
  </si>
  <si>
    <t>#روحانی در حالی اعتراضات مردم رو عامل #تحریم‌ ها و خروج آمریکا از #برجام میدونه و بخشی از مردم رو مقصر شرایط فعلی میدونه که به خوبی میدونه چیزی که باعث اعتراضات مردم شده بود؛ عملکرد فاجعه‌بار #دولت فعلی و دولت‌های قبل در زمینه اقتصاد، #آزادی‌ های مدنی و فضای باز سیاسی بوده! #مجلس</t>
  </si>
  <si>
    <t>Ahmadreza</t>
  </si>
  <si>
    <t>بی سرزمین تر از باد</t>
  </si>
  <si>
    <t xml:space="preserve">Far far away </t>
  </si>
  <si>
    <t>pic.twitter.com/UbjFrupCBt</t>
  </si>
  <si>
    <t>https://twitter.com/031esf/status/1035147180783362050</t>
  </si>
  <si>
    <t>این ویدئو رو باید میلیونها بار پخش کرد، نماینده های بی شرف #مجلس . #مطهری RT @031esf: 🎥گلپایگان امروز ۸ شهریور فردی خطاب به نایب رئیس مجلس: شما بجای صحبت درباره غدير بگوچرا پراید ۴۵میلیون تومن شده مطهری: تو یک احمق نادانی آخوند حاضر در صحنه: عکس اینو به من بدید. میکنمت توی گونی</t>
  </si>
  <si>
    <t>🏳️سيمذ يه دختر نايس</t>
  </si>
  <si>
    <t>دردی که انسان را نکشد ، قوی ترش میکند.</t>
  </si>
  <si>
    <t>نمایندگان مجلس فرمایشی فرمودند که پرونده #روحانی باید به قوه قضاییه برود، کاش میفرمودند که پرونده قوه قضاییه کجا باید برود؟؟؟؟</t>
  </si>
  <si>
    <t>sheykhnevesht</t>
  </si>
  <si>
    <t>http://najvahayenajibane.blogspot.com/2013/05/farsani-khamenei.html?m=1</t>
  </si>
  <si>
    <t>عباس خسروی فارسانی Human Rights Activist; Political Analyst / Studied: Ph.D in #Philosophy / #ExMuslim; #Atheist / #براندازم #من_مرتد_هستم</t>
  </si>
  <si>
    <t>Michigan, USA</t>
  </si>
  <si>
    <t>https://pbs.twimg.com/media/Dl2ekj_WwAAOt3M.jpg</t>
  </si>
  <si>
    <t>قیاس مع‌الفارق #روحانی و #پینوکیو (طرح: نیک‌آهنگ کوثر) @nikahang #براندازم #IranRegimeChange @Rouhani_ir</t>
  </si>
  <si>
    <t>Abbas Khosravi Farsani</t>
  </si>
  <si>
    <t>🔰I Don’t Follow the Rules.</t>
  </si>
  <si>
    <t>Tabriz , East Azerbaijan ,Iran</t>
  </si>
  <si>
    <t>#نشست سه جانبه #ایران #روسیه #ترکیه در #تبریز لغو و در #تهران برگزار میشود! جدا از اثبات وجود حساسیت و فشار شدید روی تبریز و اینکه تبریز هنوز ابهتشو حفظ کرده! از طرفی خوشحال کننده است که پای #رئیس_جمهور کشوری که فجیع ترین جنایات #تاریخ تبریز رو انجام داده به این جا باز نمیشه!</t>
  </si>
  <si>
    <t>Mohammadreza R Milani</t>
  </si>
  <si>
    <t>https://pbs.twimg.com/media/Dl2fK0lXsAAQEMy.jpg</t>
  </si>
  <si>
    <t>✍️۸شهریور۱۳۶۰- ۳۰ اوت۱۹۸۱ : روز هشتم شهریور سال ۱۳۶۰ محمدعلی رجایی، #رئیس_‌جمهور، و محمدجواد باهنر، #نخست_‌وزیر خمینی براثر انفجار یک بمب در کاخ مرمر تهران (مقر هیأت دولت و نخست‌وزیری) به‌هلاکت رسیدند. #IranRegimeChange #اتحاد_برای_سرنگونی</t>
  </si>
  <si>
    <t>https://pbs.twimg.com/media/Dl2gIzqXoAo_5Z9.jpg</t>
  </si>
  <si>
    <t>https://www.radiozamaneh.com/410000</t>
  </si>
  <si>
    <t>مرکز پژوهش‌های #مجلس #رشد_اقتصادی #ایران در سال ۱۳۹۸ را بین منفی ۳,۸ تا منفی ۵,۵ درصد برآورد کرد -</t>
  </si>
  <si>
    <t>http://Sepah_agha.blogfa.com</t>
  </si>
  <si>
    <t>پاسدارنسل سوم وَأَعِدّوا لَهُم مَا استَطَعتُم مِن قُوَّةٍ✌️</t>
  </si>
  <si>
    <t xml:space="preserve">مینی سیتی </t>
  </si>
  <si>
    <t>#ب حمدالله سوال_از_رئیس_جمهور، جمهوریت نظام را تقویت کرد و #مجلس این بار نمایندگی افکار عمومی را در پذیرش سخنان رییس جمهور، درست بر عهده گرفت و امیدوارم خوب ب سرانجام برساند و ان شاءالله العزیز #قوه_قضائیه نیزبتواند دررسیدگی ب استنکاف، در تراز ملت بزرگ ایران ظاهر شود.</t>
  </si>
  <si>
    <t>Pasdar1369</t>
  </si>
  <si>
    <t>https://pbs.twimg.com/media/Dl2hiJaUwAAHK2T.jpg</t>
  </si>
  <si>
    <t>بالاخره هر سفتی یه شلی رو به همراه داره خواهرم🤣🤣😂😂😂😂 #ممه #ایران #عکس #مد #گلزار #منوتو #غدیر #پدر #چاک #کون #کص #حزب #عربستان #سفت #شل #iran #روحانی #آموزش_پرورش #احتکار #دلار #دلار۱۱۰۰۰تومنی</t>
  </si>
  <si>
    <t>#روحانی در مجلس به توصیه #رهبری مثلا گوش کرد #رهبری هم رشدهای ندیدنی دولت رو مشاهده و تشکر فرمودن من فقط موندم این وسط #مردمسالاری اش کجا بود #روحانی #رهبری #رشد_اقتصادی #تشکر</t>
  </si>
  <si>
    <t>Saeed</t>
  </si>
  <si>
    <t>‏‏یکی از افتخاراتم اینه که #شکوفه_درختی_انقلابم ؛ #میوه_انقلاب (امام زمان عج) در راه است!</t>
  </si>
  <si>
    <t>سخنرانی آقای #روحانی رو که گوش میدادم نمیدونم چرا ناخود آگاه یاد #پینوکیو افتادم،فقط فرشته دماغ کوچیک کن توی امامه روحانی قایم شده!</t>
  </si>
  <si>
    <t>چکاوک(ابله دَوون)</t>
  </si>
  <si>
    <t>‏‏‏‏‏‏‏‏‏‏‏Husband, Dad, Self-employed, Industrial Engineer مدیر شرکت خصوصی، ‎میانه روی و اعتدال بهتر است.</t>
  </si>
  <si>
    <t>آقا می فرمایند همینقدر که آقای #روحانی تشریف بردند مجلس نشانه اقتدار #نظام است!!!حال اینکه 5 سوال از ر.جمهور شود و از 4 سوال قانع نشوند،اقتدارمحسوب میشودیاخیربه شعورمخاطب واگذارمیکنم. اما اقتدار را در #موسوی #کروبی #رهنورد #نسرین_ستوده #نرگس_محمدی #هنگامه_شهیدی ببینید.</t>
  </si>
  <si>
    <t>Yousef</t>
  </si>
  <si>
    <t>من به #روحانی رای دادم چون فکر می کردم و می کنم هزار برابر از رییسی بهتر هست. اما چکار می شود کرد وقتی #نظارت_استصوابی باعث شده که گزینه های بهتر از شرکت در انتخابات محروم باشند؟ چقدر باید آزمون و خطا کنیم که بفهمیم راه رفاه و توسعه از انتخابات آزاد می گذرد؟</t>
  </si>
  <si>
    <t>Alireza Raeisi</t>
  </si>
  <si>
    <t>https://pbs.twimg.com/media/Dl2lnwyWwAE--ht.jpg</t>
  </si>
  <si>
    <t>جدال نفس گیر حقوقی #ایران و #آمریکا در دیوان دادگستری بین المللی #لاهه به پایان رسید. امیدوارم دادگاه لاهه با رای عادلانه ثابت کند که زیر یوغ آمریکا نیست و از #ترامپ دیوانه نمی ترسد. نمایندگان #مجلس هم بفهمند #دولت_روحانی وسط میدان جنگ است. التماس تفکر.</t>
  </si>
  <si>
    <t>F.Nasim</t>
  </si>
  <si>
    <t>‏‏‏‏‏‏‏journalist/خبرنگار و مدیر کل سیاسی خبرگزاری تسنیم (توییت‌ها نظر شخصی است)</t>
  </si>
  <si>
    <t>https://pbs.twimg.com/media/Dl2lwofWwAQLNQc.jpg</t>
  </si>
  <si>
    <t>دقت کردید به یُمن دولت #روحانی سطح دغدغه‌مون از بالا رفتن قیمت خونه و ماشین الان رسیده به قیمت‌ پوشک! #پوشک_نجومی</t>
  </si>
  <si>
    <t>🇮🇷 عباس کلاهدوز</t>
  </si>
  <si>
    <t>آقای @alimotahari_ir میخواید در مورد #عيد_غدير_خم و #علی صحبت کنید اول ادب علی رو یاد بگیرید. کی با مردمش اینجوری صحبت کرد و اونا رو #احمق و #نادان خطاب کرد؟ ای کاش هیچ وقت هیچکسی رو بخاطر ابراز عقیده به #گونی و #زندان تهدید نمیکردید!!!! #علی_مطهری #نظارت_استصوابی #مجلس #ایران RT @031esf: 🎥گلپایگان امروز ۸ شهریور فردی خطاب به نایب رئیس مجلس: شما بجای صحبت درباره غدير بگوچرا پراید ۴۵میلیون تومن شده مطهری: تو یک احمق نادانی آخوند حاضر در صحنه: عکس اینو به من بدید. میکنمت توی گونی</t>
  </si>
  <si>
    <t>Salmas</t>
  </si>
  <si>
    <t>به قدری وضعیت خر تو خره که معلوم نیست تصمیم گیرنده ی مملکت #سپاه، #کیهان، #مجلس، #دولت ، #خاتمی، فلان #مداح، #مراجع یا کییه... حالا اگر هم قرار بر #استیضاح باشد، این لیست بلندبالا باید یکجا استیضاح که نه محاکمه شوند.</t>
  </si>
  <si>
    <t>میرحسین موسوی</t>
  </si>
  <si>
    <t>‏گذر موقت</t>
  </si>
  <si>
    <t>https://pbs.twimg.com/media/Dl2o811W4AMaCz2.jpg</t>
  </si>
  <si>
    <t>✖️پراید ۴۰ میلیون شده ✖️قیمت اقلام غذایی از ۱۰ تا ۵۰ درصد گران شده ✖️ارز و سکه سر به فلک کشیده، اما..... خانوم نماینده بدنبال مجوز کنسرت عمومی ست. #مسئولین #نماینده های مردم</t>
  </si>
  <si>
    <t>محمد کهولی</t>
  </si>
  <si>
    <t>میگم ماشینایی که الان تو کارخانه ایران خودرو و سایپا ... دپو شدن مگه با ارز ۳۰۰۰ تومنی ساخته نشدن؟ چرا گرون شدن اینا ؟ 🤔 #رئیس_جمهور</t>
  </si>
  <si>
    <t>http://www.irannc.org</t>
  </si>
  <si>
    <t>Iran National Council for Free Elections, Non Profit Organization Email: contact@irannc.org/ See Also: @pahlavireza @ofoghiran</t>
  </si>
  <si>
    <t>Paris, Ile-de-France</t>
  </si>
  <si>
    <t>pic.twitter.com/5YdxMtklvE</t>
  </si>
  <si>
    <t>برخورد بی ادبانه #علی_مطهری، نائب رئیس #مجلس به انتقادهای یک شهروند در #گلپایگان علی مطهری در پی انتقادهای تند یک شهروند گلپایگانی از عدم انجام وظایف قانونی اش، او را «احمق و نادان» خطاب کرد.</t>
  </si>
  <si>
    <t>IRANNC</t>
  </si>
  <si>
    <t>Iranian #SecularDemocracy Movement. Political Activist/writer/Analyzer/theorist/Republican/Friend Ayatollah Mike #برانداز #مصدق‌گرا #جمهوری_خواه</t>
  </si>
  <si>
    <t>pic.twitter.com/K0Uw9uOt4u</t>
  </si>
  <si>
    <t>https://twitter.com/erfan_kasraie/status/1035147600981311488</t>
  </si>
  <si>
    <t>یک ایرانی در #اعتراض به مشکلات موجود از افزایش قیمت ها و به ویژه افزایش شدید قیمت #خودرو پراید به نماینده #مجلس و نایب رئیس مجلس ایت الله ها #مطهری تذکر می دهد اکنون زمان نطق مذهبی نیست و باید نسبت به این شرایط پاسخگو باشید! اما او مرد معترض را نادان و احمق خطاب میکند! RT @erfan_kasraie: @ghari00</t>
  </si>
  <si>
    <t>AmidJavaheri</t>
  </si>
  <si>
    <t>یک روح‌ناآرام، بی محابا در جستجوی حقیقت | An uneasy soul carelessly seeking Truth | Ex-Muslim | Humanist | Vegan | ⛔Mujahed</t>
  </si>
  <si>
    <t>همونطور که انتظار میرفت، #روحانی در مجلس نه تنها افشاگری نکرد بلکه همون مهملات ر از منبر مجلس تکرار کرد. پیشنهاد میکنم با #خامنه‌ای_پاسخ_بده شخص اول مملکت ر برای معضلات عدیده کنونی به چالش بکشیم. #IranRegimeChange</t>
  </si>
  <si>
    <t>Yara🏳️🕕</t>
  </si>
  <si>
    <t>یک فرد مسئولیت اخلاقی دارد که نسبت به قانون‌های ناعادلانه نافرمانی کند</t>
  </si>
  <si>
    <t>جلسه دیروز #مجلس، نمایش اقتدار و ثبات جمهوری اسلامی بود به عبارت دیگر جنگ زرگری خوبی بود RT @Khamenei_fa: جلسه دیروز #مجلس،نمایش اقتدار و ثبات جمهوری اسلامی بود.خداوند به آقای رئیس جمهور و قوه مقننه خیر بدهد که مشترکا چنین اقتداری را نشان دادند. دشمن از جلسه دیروز بدنبال اهداف دیگری بود. البته میان انتظارات نمایندگان و واقعیات موجود شکافی وجود دارد که باید پر شود. #سوال_از_رئیس‌جمهور</t>
  </si>
  <si>
    <t>Freedom_of_IRAN</t>
  </si>
  <si>
    <t>هر که می‌خواهد ما را بشناسد، داستان کربلا را بخواند.</t>
  </si>
  <si>
    <t>#مطهری نشان داد که شان و فهم و درک #مجلس تا چه اندازه ای تنزل کرده است! #احمق #نادان #احمق_نادان</t>
  </si>
  <si>
    <t>Logic</t>
  </si>
  <si>
    <t>وضعیت مملکت با توجه به استیضاح و دعوای طرفین رو میشه اینجوری گفت که : جنگ گرگان به نفع گوسفندان است. بله گوسفند همون مردمن، توهینه ولی خب.... #استیضاح</t>
  </si>
  <si>
    <t>Khash</t>
  </si>
  <si>
    <t>طرفدار حقیقت . هرچقدر که تلخ باشد ، عاشق ورزش</t>
  </si>
  <si>
    <t>اینقدر مملکت شیر تو شیره که همه افتادن ب جون هم امروز #مطهری فردا #روحانی پس فردا هم... فقط حجم بالای فساد میتونه این حاکمیت را از بیخ...</t>
  </si>
  <si>
    <t>فرزان فرزان 🇮🇷</t>
  </si>
  <si>
    <t>عاشق خدايي هستم كه روي زمين غريب است و دوستدار مردمي هستم كه زندگي در كنار آنها زيباست و طرفدار تيمي هستم كه نفس من است،پس من يك ايراني پرسپوليسي ام.🇩🇰🇮🇷</t>
  </si>
  <si>
    <t>København, Danmark</t>
  </si>
  <si>
    <t>pic.twitter.com/ZyON9Gdol6</t>
  </si>
  <si>
    <t>تصوير بالا مربوط به ديدار #رئیس_جمهور فرانسه از دانمارك و دوچرخه سواري پريروز در كپنهاك به همراه #نخست_وزير دانمارك است. و تصوير ذيل هم مربوط به #دكتر_ظريف وبقيه ماجرا. پيشاپيش از شنيدن يك #كلمه_زشت در اين ويدئو واقعا از #بانوان عزيز #پوزش مي طلبم،ولي راه حذف آن را بلد نبودم.</t>
  </si>
  <si>
    <t>Reza Nikoomagham</t>
  </si>
  <si>
    <t>متولد و اهل خمین .... قبلا بازیگوش ! امروز سر بزیر و اروم....</t>
  </si>
  <si>
    <t>ایران - خمین</t>
  </si>
  <si>
    <t>https://www.youtube.com/watch?v=k8WlerPKY04</t>
  </si>
  <si>
    <t>ببینید..........بشنوید ....... بیندیشید  #برای_ایران #رئیس_جمهور #شفاف_سازی #اسلام #ایران #تحریم #آمریکا</t>
  </si>
  <si>
    <t>غلامرضا مهدوی</t>
  </si>
  <si>
    <t>https://www.alef.ir/news/3970608025.html</t>
  </si>
  <si>
    <t>#ایران #فوری #تهران #جدی #روحانی #دولت #فساد اهل بیت ال عبا #رهبر_انقلاب وشرکا با عنایات صاحب ⌚️هماهنگی #قوه_قضائیه,#اختلاس 12 هزارمیلیارد تومان و 360 شاکی, مشارکت مدیرعامل #ثامن‌الحجج بدون قصد ضربه زدن به نظام #رهبرفرزانه است</t>
  </si>
  <si>
    <t>امروز #استیضاح روحانی یعنی تکرار آشوبهای دهه 60 بعد از استیضاح بنی صدر</t>
  </si>
  <si>
    <t>به ما که رسید ....</t>
  </si>
  <si>
    <t>این روزها طرفداران #احمدی_نژاد جوری از وضعیت موجود انتقاد میکنند که در دهه شصت و در اوج #جنگ؛ طرفداران #شاه از #جمهوری_اسلامی انتقاد نمیکردند. دوران طلایی #رییس_جمهور محبوب شما رو هم دیدیم. #لطفا_سکوت</t>
  </si>
  <si>
    <t>ارباب فریدون</t>
  </si>
  <si>
    <t>https://t.me/joinchat/AAAAAEC229U5bljMI7X7MQ</t>
  </si>
  <si>
    <t>‏‏‏‏‏‏‏‏‏‏‏‏‏‏‏‏‏‏‏‏‏‏‏‏‏‏‏‏‏‏‏‏‏ {همه ی عقایدونظرات درچارچوب ادب محترمه } ِفالوبک دهنده و ریت کننده. بی ادبی⛔ متاهل💍 ‏‏‏insta:baharin777 چنل</t>
  </si>
  <si>
    <t>همین نزدیکیا</t>
  </si>
  <si>
    <t>ولی بنظرم حق با #روحانی بود که ما توی بحران نیستیم بحران توی ماست😐</t>
  </si>
  <si>
    <t>Bαнαяιη بهارین</t>
  </si>
  <si>
    <t>http://t.me/iizaadii</t>
  </si>
  <si>
    <t>‏‏‏‏‏نویسنده و فعال رسانه ای از بهبهان خوزستان</t>
  </si>
  <si>
    <t xml:space="preserve">بهبهان خوزستان </t>
  </si>
  <si>
    <t>پروژه عبور از #روحانی با کلید واژه چرا #نگفتی زده شد! اصلاحات روی گزینه آذری جهرمی کارگزاران روی گزینه جهانگیری انتخابات را کلید زدند !!!</t>
  </si>
  <si>
    <t>سیدتاج الدین ایزدگشب</t>
  </si>
  <si>
    <t>شما می توانید زندگی خود را زیبا کنید</t>
  </si>
  <si>
    <t>https://pbs.twimg.com/media/Dl24EZ4X4AAGgoI.jpg</t>
  </si>
  <si>
    <t>على صادقى</t>
  </si>
  <si>
    <t>علی عسگری هم رفتنی شد !؟ رییس فراکسیون جوانان #مجلس: در صورت تایید #شورای_نگهبان «ممنوعیت به‌کارگیری #بازنشستگان» شامل صداوسیما نیز می‌شود. @AkhbareFori</t>
  </si>
  <si>
    <t>استاد گروه مدیریت دولتی دانشگاه تهران http://t.me/PourezzatIR Public Administration, Public Policy, Futures Studies, Performance Evaluation, Social Justice.</t>
  </si>
  <si>
    <t>چقدر شرم‌آور است فضای #دانشگاه، اگر استادش از دعوت صاحبان قدرت به شعف ‌آید! دانشگاهی را دوست دارم که اگر به #رئیس_جمهور، اجازه حضور دهد، او از روز قبل خوابش نرود و با اشتیاق و اضطراب، با هدف درس‌آموزی به آن شرفیاب شود. چنین دانشگاهی، نجات‌دهنده کشور و پیشران پیشرفت آن خواهد بود.</t>
  </si>
  <si>
    <t>Ali Asghar Pourezzat</t>
  </si>
  <si>
    <t>عاشق ایران، طرفدار صلح، معلم دانشگاه</t>
  </si>
  <si>
    <t>آخوندی در قم #روحانی را به غرق شدن در استخر فرح تهدید کرد، #فرقه‌اصلاحطلب کشور را به جنجال کشید/ فردی در گلپایگان به جان آمده از شرایط اقتصادی از #علی‌مطهری نائب رئیس مجلس پاسخ طلبید با فحاشی او مواجه و به حذف فیزیکی و افتادن در گونی تهدید شد! اما هیچ نمی‌گویند. #معیار‌دوگانه</t>
  </si>
  <si>
    <t>پهلبد 👨‍🎓</t>
  </si>
  <si>
    <t>ای هوااااار از دست گرانی و بی کفایتی مسئولان نظام گردو کیلویی بالای 100 هزار #گرانی #تورم #اختلاس #رهبر #روحانی</t>
  </si>
  <si>
    <t>متحیرم چه نامم شیخ حسن #روحاني را! رئیس جمهور اعتدال گرا : اشتغال در دولت #احمدي_نژاد ۱۰هزارشغل بود. اما نمیدونم چرا هنوز #مسکن_مهر افتتاح میکنن و پوزش را میدن. بقول هموطنان لر زبان، تی دِ ری.</t>
  </si>
  <si>
    <t>pic.twitter.com/ecB1NZ29Hk</t>
  </si>
  <si>
    <t>حسن روحانی : استاد انحراف افکار عمومی در آسیا !! #انحراف_تایم #روحانی</t>
  </si>
  <si>
    <t>سکولاریسم • انسانیت • دموکراسی ˙︶˙ #اتحاد_براندازان همه برای “ایران” 📚 (لطفابه نیت فالوبک فالونکنید🙏🏻)</t>
  </si>
  <si>
    <t xml:space="preserve">ایران‌شهر @ خیابان ویداموحد </t>
  </si>
  <si>
    <t>https://twitter.com/yekiroboti/status/1034327022636605441</t>
  </si>
  <si>
    <t>نتایج نظرسنجی درخصوص اهمیت داشتن یا نداشتن حرفهای کَلّاش بنفش #روحانی درمجلس: ازنزدیک۱۱۰۰نفر شرکت‌کننده ۷۹٪گفتندبرایشان هیچ اهمیتی نداردو«براندازند» ۱۴٪پیگیرحرف‌هایش بودندو البته ناراضی! ۲٪هم پیگیر و راضی وخشنود! اما این ۵٪ی که کماکان میگن«سیاسی نیستم»!روواقعادوست دارم ببینمشون! RT @yekiroboti: #نظرسنجي صحبتهای امروز #روحانی در مجلس.. (لطفا ریت کنید تاعده بیشتری از هموطنان شرکت کنند)</t>
  </si>
  <si>
    <t>سکولار 🏳️ חילוני دموکرات</t>
  </si>
  <si>
    <t>چرا @alimotahari_ir بعنوان #نماینده مردم درمقابل درد دل یک #شهروند صبوری نکرد. در روز #غدیر بایداز صاحب غدیردرس بگیریم که اطاعت ازرهبرجزو همین دروس است. رهبری دستورجدی فرمودکه همه بین مردم بروندوحرفهایشان رابشنوند. آقای #مطهری باجمله فردبعدی که عکسش رابگیرید!کاری ندارم اماشماچرا؟</t>
  </si>
  <si>
    <t>Husband, Father, Sustainability Scientist, Researcher at Radboud University, Visiting Researcher at Unilever</t>
  </si>
  <si>
    <t>خارج نشینی که داخل زندگی میکنه</t>
  </si>
  <si>
    <t>منتظر باشید تا @alimotahari_ir به زودی تفسیر مفصلی از واژه های احمق و نادان و نفهم ارائه بده برای اینکه ماله بر رفتار امروزش بکشه. #مطهرى #نماینده_مجلس #مجلس</t>
  </si>
  <si>
    <t>🇮🇷 Sadegh Shahmohammadi</t>
  </si>
  <si>
    <t>برای چندمین بار #رهبر_انقلاب شیوه موجود در #نظام_بانکی را مورد انتقاد قرار دادند و صراحتا در خصوص بنگاه داری بانکها باعصبانیت گفتند غلط میکنند. امروز که بیش از هر زمان شعار انسجام تحت تدابیر رهبری مطرح شده انتظار است #مجلس و #دولت در اصلاح #شبكه_بانکی بطور بسیار جدی اقدام نمایند.</t>
  </si>
  <si>
    <t>ایران همیشه #شاه داشته یا #ولی_فقیه (هر دو #دیکتاتور) زمانی که ملت به #رییس_جمهور بسنده کرد تازه میشه کشور رو به توسعه!</t>
  </si>
  <si>
    <t>مستر نوبادی</t>
  </si>
  <si>
    <t>‏‏‏‏‏‏‏‏‏‏ما ازتو نداریم به غیر از تو تمنا/ حلوا به کسی ده که محبت نچشیداست ** ‎#یک_بیمه_گر_انقلابی</t>
  </si>
  <si>
    <t>آقا دیگه صرف نمیکنه برا بچه پوشک هم بگیریم، آزاد گذاشتیمش داره فرش رو کامل کثیف میکنه، آخه حساب کردیم فرش ها رو بدیم قالی شویی ارزونتر در میاد. #دست_به_آب #اقتصادی #روحانی</t>
  </si>
  <si>
    <t>محمدرضاقره سوری</t>
  </si>
  <si>
    <t>http://mehrnews.com/news/4384501</t>
  </si>
  <si>
    <t>#ایران #تهران #قم #فوری #جدی #روحانی: اخباریه #ورزش #دولت #فساد اهل بیت ال عبا #رهبر_انقلاب وشرکا با عنایات امام پنهان چاه #جمکران,دورجدید #اختلاس بانکهای سربازان گمنام با چراغ سبز #بانک مرکزی این #رهبرفرزانه, #ماراتن درجذب سپرده با نرخ سود تا %20 مجاز شد</t>
  </si>
  <si>
    <t>آقای #روحانی در دوران پیش از #برجام و بعد از امضاء برجام؛وزرا و مسئولینی انتخاب کردین که با اهداف شما هماهنگ باشد الان که برجام جز اسمش چیزی نمانده و حمایت عالی رهبر با وجود کم کاری هایتان دارید لطفا وزرا و مسئولینی انتخاب کنید که معتقد واقعی به #اقتصاد_مقاومتی باشد @Rouhani_ir</t>
  </si>
  <si>
    <t>I'm still alive!</t>
  </si>
  <si>
    <t>روزنامه سازندگی: علی مطهری قبل از حضور #روحانی در مجلس به او گفته بود که "فراکسیون امید تصمیم گرفته اگر رئیس جمهور صریح و شفاف درباره موانع و مشکلات و دست های پنهان سخن نگوید به پاسخ های او رای ندهد" روحانی: مهم نیست رای ندهند! روحانی دربست شده نوکر و مطیع اوامر سپاه و #خامنه‌ای</t>
  </si>
  <si>
    <t>https://pbs.twimg.com/media/Dl3LxoKXsAIN7-0.jpg</t>
  </si>
  <si>
    <t>آقای #روحانی وقتی گفتید: «هیچ تصمیم بدون مشورت جمعی انجام نمی‌دهم. من برای تصمیمی، صددرصد قاطع بودم، اما دیدم جمع مخالف است و از تصمیمم برگشتم.» تصمیم غلط پیش‌فروش سکه را که علیرغم مخالف وزرا و بانک مرکزی با اصرار شخصی اجرایی کردید، فراموش کرده بودید؟ #نگاه_در_دوربین_و_دروغ_گفتن</t>
  </si>
  <si>
    <t>انگار دولت باورکرده #روحانی رییس‌جمهورسوئیس است!مگر فقط نمایندگان حرف زدندو راه رفتند؟ مثلا #آذري_جهرمي دراستیضاح کرباسیان نیم ساعتی برخلاف قانون،بین صندلی‌ها مشغول گپ‌زدن بود(که البته این فقره احتمالا ناشی ازعلاقه غیرقابل‌کنترل #وزیردوربینی به دیده شدن بودتامگر ازاو عکسی بگیرند) RT @IRNA_1313: 📹 مجلس ما و مجلس آنها وقتی رئیس جمهور یا نخست وزیر یک کشور در میان نمایندگان مجلس سخنرانی می‌کند نمایندگان چگونه نظم جلسه را حفظ می‌کنند؟ یا چطور موافقت یا مخالفتشان را نشان می‌دهند؟ مقایسه میان مجالس ایران و دیگر کشورها در این مواقع قابل تامل است...</t>
  </si>
  <si>
    <t>pic.twitter.com/3n5Q0R91rH</t>
  </si>
  <si>
    <t>همه یکی رو میشناسیم ‌که این حرفارو باید بهش بزنیم #روحانی</t>
  </si>
  <si>
    <t>http://t.me/@pourhashemi_ali</t>
  </si>
  <si>
    <t>‏‏‏‏‏‏پسر ایرانم... دلشكسته این سرزمین گندم وجودم در دورانی قد كشید كه هرچه گذشت جز ستم ... غم ... نان ...دین گریزی ... بی عدالتی ... هیچ ندیدم</t>
  </si>
  <si>
    <t>https://pbs.twimg.com/media/Dl3RfG-W4AMbUyN.jpg</t>
  </si>
  <si>
    <t>ببینید به خاطر ما به چه روزی انداختن #میرحسین_موسوی عزیز را‌ .... واقعا #شرمنده_ایم #سیدمظلوم خداحفظشون کنه #میرحسین_موسوی #جنبش_سبز #رفع_حصر_مطالبه_ملی #موسوی #رهنورد #کروبی #روحانی #خاتمی #رفع_حصر_مطالبه_ملی #عیدغدیر</t>
  </si>
  <si>
    <t>Ali_pourhashemi</t>
  </si>
  <si>
    <t>سیاست هنر فوتبال‌</t>
  </si>
  <si>
    <t>گفت:شنیدی قرار #بطحایی #استیضاح بشه؟ گفتم:بله! گفت:فقط همین!؟ گفتم:درسیستمی که برای #معلم ،#دانش‌آموزان ومهمتر #آینده_ایران ارزشی قائل نیستند،چه #حسن_کچل ،چه #کچل_حسن ! #بطحایی_برود_بطحایی_دیگر_می_آید</t>
  </si>
  <si>
    <t>https://t.me/marketingdaily1</t>
  </si>
  <si>
    <t>یک دانشگاه تهرانی-عضو انجمن مدیریت ایران-عضو انجمن علمی بازاریابی-عضو انجمن مشاوران مدیریت ایران-مشاور، مدرس، متخصص فروش سازمانی و صنعتی</t>
  </si>
  <si>
    <t>واقعا باید عنوان و نقشی که داریم بطور کامل درک کنیم #سیاست ربطی به #دین ندارد فرد سیاسی اولویت صحبتش باید مسئله روز مرد باشد فرد #روحانی هم حق تو گونی کردن نباید داشته باشد RT @031esf: 🎥گلپایگان امروز ۸ شهریور فردی خطاب به نایب رئیس مجلس: شما بجای صحبت درباره غدير بگوچرا پراید ۴۵میلیون تومن شده مطهری: تو یک احمق نادانی آخوند حاضر در صحنه: عکس اینو به من بدید. میکنمت توی گونی</t>
  </si>
  <si>
    <t>Amir h. Almasi</t>
  </si>
  <si>
    <t>http://www.iribnews.ir/fa/news/2215439</t>
  </si>
  <si>
    <t>#ایران #تهران #قم #فوری #جدی #مردم:طبق توافق با #روحانی #دولت #اختلاس #فساد اهل بیت ال عبا #رهبر_انقلاب وشرکا توزیع #سبدکالا به 40 میلیون نفر👉 از #نیازمندان جامعه در چند نوبت لذا #رهبرفرزانه,هیچ‌گونه نگرانی از طرف کمیته امداد ندارند</t>
  </si>
  <si>
    <t>اقای #رئیس_جمهور چرا پراید شده ۴۰ میلیون؟</t>
  </si>
  <si>
    <t>معلمی کە از رنج شاگردانش درد خودش رو فراموش کردە</t>
  </si>
  <si>
    <t>#مطهری #روحانی #گونی از آبرو برامون میگە!!!!طرف معنی عینی وقاحت و قباحتە دم از آبرو میزنە،در بە یە پاشنە نمیگردە بە وقتش معنی تو گونی کردن رو خواهید فهمید</t>
  </si>
  <si>
    <t>zad</t>
  </si>
  <si>
    <t>https://pbs.twimg.com/media/Dl3UZWAX0AEAhDV.jpg</t>
  </si>
  <si>
    <t>آقای #روحانی ادعا کرده است در سه ماه نخست امسال 756 هزار #شغل ایجاد کرده است با مقایسه #آمار بررسی کرده ایم ایجاد این تعداد شغل امکان پذیر است یا خیر؟</t>
  </si>
  <si>
    <t>کاست نیوز</t>
  </si>
  <si>
    <t>https://pbs.twimg.com/media/Dl3TM0LV4AAJEVk.jpg</t>
  </si>
  <si>
    <t>https://twitter.com/Reuters/status/1035215709071200257
https://reut.rs/2onwffa</t>
  </si>
  <si>
    <t>ارتش برزیل و کلمبیا در مرزهای ونزوئلا مستقر شده تا از هجوم مردمان این نفت‌خیزترین کشور جهان به همسایه‌ها جلوگیری کنند! #احمدی_نژاد #روحانی #برادر_چاوز RT @Reuters: Venezuelan immigrants survive on the streets in Brazil</t>
  </si>
  <si>
    <t>اینکه مرکز آمار تورم را همچنان زیر 10درصد گزارش دهد با واقعیت کف بازار و جیب مردم نمی‌سازد. مردم گرانی و #تورم را در خریدهای خود احساس می‌کنند. #روحانی</t>
  </si>
  <si>
    <t>من به گوش تو سخن‌های نهان خواهم گفت ....</t>
  </si>
  <si>
    <t>https://twitter.com/a_miresmaeili/status/1034901666624151554</t>
  </si>
  <si>
    <t>کلا هر کی داره یه خدمتی میکنه باید #استیضاح بشه، حضرات خوششون نمیا د RT @a_miresmaeili: زنده كردن زنگ ورزش در دبستان ها ،زنده كردن فرهنگ ايراني در مدارس با پوشيدن لباس هاي محلي دانش آموزان،حذف رنگ هاي تيره و اوردن رنگ هاي شاد براي لباس هاي فرم مدرسه،ساماندهي #صندوق_ذخيره_فرهنگيان و و ... از ديگر فعاليت هاي #سيدمحمدبطحائي بود. #استيضاح_وزير_آموزش_و_پرورش</t>
  </si>
  <si>
    <t>Elahe E</t>
  </si>
  <si>
    <t>مانور تجمل، حرکت به سمت #فرهنگ سرمایه‌داری است؛ فرهنگی که در آن عده‌ای صاحب سرمایه‌های #نجومی می‌شوند و آن را به رخ بقیه می‌کشند. یعنی همان فرهنگی که بجای استفاده از تعبیر "مستضعفین" ترجیح می‌دهد بگوید "اقشار آسیب‌پذیر" #روحانی</t>
  </si>
  <si>
    <t>http://www.al-monitor.com/pulse/authors/saeid-jafari.html</t>
  </si>
  <si>
    <t>Freelance Journalist ,Contributor to @AlMonitor ,Former World &amp; FP editor @ weekly Seda &amp; @khabaronlinee, M.A of Middle Eastern studies jafariysaeid@yahoo.com</t>
  </si>
  <si>
    <t>https://pbs.twimg.com/media/Dl3XIdlXcAIzOgY.jpg</t>
  </si>
  <si>
    <t>https://twitter.com/jafariysaeid/status/1035220065292087298</t>
  </si>
  <si>
    <t>ظاهرا فقط #رهبری از صحبت‌های #روحانی تو #مجلس راضی بودند، اصلاح‌طلب و اصولگرا ناراضی هستند. RT @jafariysaeid: اینکه ۵ روزنامه صبح کشور، راست و چپ، عین هم تیتر می‌زنند #این_یعنی_یک_اشکالی_هست #قانع_نشدیم #روحانی_سخن_نگفت #حسن_سخن_نگفت</t>
  </si>
  <si>
    <t>Saeid Jafari</t>
  </si>
  <si>
    <t>https://t.me/HarfBeManBot?start=NDQ0NDY5NzM</t>
  </si>
  <si>
    <t>Great Persia (Iran)</t>
  </si>
  <si>
    <t>سال ۸۸ ی پسر ۱۷.۱۸ ساله بودم ک فکر میکردم میشه توی مملکت اتفاقات خوبی بیوفته همه امیدمون #ميرحسين بود بعد اون سال روز ب روز ناامید تر شدیم تا #روحانی امد و امید داشتیم ب رفع حصر و اتفاقات خوب الان ۹ سال بعد از اون روزا اوضاع سیاسی مملکت برام ذره ای ارزش نداره</t>
  </si>
  <si>
    <t>Gripen</t>
  </si>
  <si>
    <t>⛔ ورود گوسفندان و عرازش ممنوع ⛔</t>
  </si>
  <si>
    <t>طرف از #مطهری پرسید چرا پراید شده ۴۵ میلیون؟ اونم جواب داد که شما یه احمق بی‌شعوری و میدم تو گونی ببرنت... و این یعنی دمکراسی دینی. #خامنه‌ای #مجلس #IranRegimeChange</t>
  </si>
  <si>
    <t>DoWhile</t>
  </si>
  <si>
    <t>https://t.me/Humanity_OneBigFamily</t>
  </si>
  <si>
    <t>#قانون برای همه ! آیا در پیشگاه قانون ،همه یکسان هستند ! #ریيس_جمهور ! #زهبر ! #نمایندگان_مجلس ! #سپاهی ! #ارتشی ! مجری قانون کیست ؟ #StopThisInjustice</t>
  </si>
  <si>
    <t>HumanityOneBigFamily</t>
  </si>
  <si>
    <t>#اوج_دمکراسی اونجاس که #روحانی قبل این که به مجلس بیاد میره دیدار رهبری و جالب اینکه مطهری به روحانی گفته بود که فراکسیون امید تصمیم گرفته اگر رئیس‌جمهور صریح درباره مشکلات و دست‌های پنهان در شرایط امروز سخن نگوید به پاسخ‌های او رأی ندهد. پاسخ روحانی این بود مهم نیست رأی ندهند</t>
  </si>
  <si>
    <t>reza ramshini</t>
  </si>
  <si>
    <t>‏بیو بیو بیب بیب</t>
  </si>
  <si>
    <t>https://pbs.twimg.com/media/Dl3JDDPX0AA1uF9.jpg</t>
  </si>
  <si>
    <t>https://twitter.com/Kaleme/status/1035204547818516480</t>
  </si>
  <si>
    <t>نقل هست که آمریکایی‌ها به نیکسون، دوبار با وعده انتخاباتی ختم جنگ ویتنام رای دادند. ایرانی‌ها هم دوبار #روحانی رو با قول #رفع_حصر، رئیس جمهور کردند. پ.ن: نیکسون دومین ریاست‌جمهوری ش رو تموم نکرد. #میرحسین_موسوی RT @Kaleme: 🌱مستان سلامت می کنند... #عیدی_سبز (زمستان 96) #میرحسین_موسوی</t>
  </si>
  <si>
    <t>صُبی</t>
  </si>
  <si>
    <t>انتخاب بین بد و بدتر یک دروغ بزرگ و شیوه معمول حکومت‌های #فاشیسم و توتالیتر برای #سرکوب بیشتر مردم است. وقتی بد را انتخاب کنید فرصت کافی برای بدتر شدن را هم به آن هدیه داده‌اید! #هاناآرنت #IranRagimeChange #روحانی #ریال #ایران #سقوط_ریال</t>
  </si>
  <si>
    <t>http://www.jamnews.com/</t>
  </si>
  <si>
    <t>journalist , M.Sc in Physical Chemistry</t>
  </si>
  <si>
    <t>جالبه #روحانی مقصر دلار ۱۰هزارتومنی و پوشک ۱۰۰هزارتومنی و پراید۴۰ میلیونی روآشوب دی ماه دونست بخشی از بی سروسامانی اقتصاد در اواخر دولت احمدی نژاد رو اغتشاشات ۸۸ میدونستیم و دلیل افزایش تحریم ها همین اغتشاشات بود و اصلاح طلبان مسخره می کردند! چرخ روزگار میچرخد...!</t>
  </si>
  <si>
    <t>ehsan ashrafi</t>
  </si>
  <si>
    <t>#روحانی در مجلس یک حرف دیگر هم زد و ان اینکه اگر بخواهیم قیمت ارز را پایین بیاوریم می توانیم یک روزه این کار را انجام دهیم اما نمی کنیم یک بلوف و حرف پوپولیستی تمیز</t>
  </si>
  <si>
    <t>Talking , tell me your opinion, freedom ،آزادي ، ايران, business ,diamond ,love ,passions</t>
  </si>
  <si>
    <t>خسته نشدین شکمتان سیره درد ندارین از #رهبر تا #روحانی تا #مسئولین مردم خسته شدن توان ندارند با دنیا دست دوستی بدین خجالت بکشین</t>
  </si>
  <si>
    <t>A.A</t>
  </si>
  <si>
    <t>http://sarzaminjavid.com</t>
  </si>
  <si>
    <t>© Civil Activist&amp;Documentarist http://telegram.me/sarzaminjavid http://aparat.com/sarzaminjavid.com http://instagram.com/sarzaminjavidcom نویسنده؛مستند ساز،فعال مدنی ومحیط زیست</t>
  </si>
  <si>
    <t>https://pbs.twimg.com/media/Dl3b9XAU4AAzygM.jpg</t>
  </si>
  <si>
    <t>چشم آقای #رئیس_جمهور ! #مردم #ایران تصورشان را عوض می‌کنند. مثلا از فردا تصور می‌کنند که نرخ هر #دلار #امریکا 100تومان، پایه حقوق 4 میلیون تومان و قیمت هر مترمربع #مسکن در تهران، ام‌القرای جهان #اسلام، تنها یک میلیون تومان و</t>
  </si>
  <si>
    <t>امیر پریزاد                      sarzaminjavid.com</t>
  </si>
  <si>
    <t>https://pbs.twimg.com/media/Dl3dqJEXsAELayU.jpg</t>
  </si>
  <si>
    <t>یاد امیدی افتادم که تا سالها با خود داشتم... یعنی میدونی چه بر سر امید یک ملت آمده؟؟ #میرحسین #روحانی</t>
  </si>
  <si>
    <t>https://pbs.twimg.com/media/DlhyaqtUcAIPe1G.jpg</t>
  </si>
  <si>
    <t>https://twitter.com/toos_tahmasebi/status/1033701961038610433</t>
  </si>
  <si>
    <t>‍ چشم آقای #رئیس_جمهور ! #مردم #ایران تصورشان را عوض می‌کنند. مثلا از فردا تصور می‌کنند که نرخ هر #دلار #امریکا 100تومان، پایه حقوق 4 میلیون تومان و قیمت هر مترمربع #مسکن در تهران، ام‌القرای جهان #اسلام، تنها یک میلیون تومان RT @toos_tahmasebi: شما غلط کردید که انتخاب کرده‌اید ما جور دیگری زندگی کنیم آقای ظریف!</t>
  </si>
  <si>
    <t>http://expertshare.wordpress.com</t>
  </si>
  <si>
    <t>husband and father. Ph.D civil engineering and freelance author. Worry about sustainable development. believe to democracy, freedom and peace.</t>
  </si>
  <si>
    <t>یکی از دوستان دیشب از ایران مهاجرت کرد. موقع خداحافظی همش میخواستم بهش بگم: چو از این کویر وحشت به سلامتی گذشتی به شکوفه ها به باران برسان سلام ما را ... روزگار عجیبی است این روزها .... #ایران #دلار #تحريم #گرانی #روحانی #برجام</t>
  </si>
  <si>
    <t>Farhad Khazaeli</t>
  </si>
  <si>
    <t>‏مدرس وکارشناس ارشدبرق کن لدنیاک کانک تعیش ابداوکن لاخرتک کانک تموت غدا</t>
  </si>
  <si>
    <t>#دولت قوی باکارپرحجم وباکیفیت درشرایط اقتصادی فعلی بااین #تیم_اقتصادی کابینه بسختی امکانپذیر است.چنانچه#رئیس جمهورنیروهای تازه نفس وکاربلدرا به دولت واردنکند پس از#سوال ازروحانی سلسله ی #استیضاح وزرابیش ازپیش اقتداروتوانمندی دکتر روحانی رادرافکارعمومی تضعیف خواهد کرد.</t>
  </si>
  <si>
    <t>Ali Babaei</t>
  </si>
  <si>
    <t>‏‏عاشق برنامه نویسی,انقلابی,پرسپولیسی اصیل😎💖</t>
  </si>
  <si>
    <t>Islamic Republic of Iran,rasht</t>
  </si>
  <si>
    <t>یکی به #شیلا_خداداد بگه اگه وضع الان به #روحانی ربطی نداره وضعیت ماقبل روحانیم ربطی به #احمدی_نژاد نداشته</t>
  </si>
  <si>
    <t>Mohadeseh</t>
  </si>
  <si>
    <t>http://www.coiniran.com</t>
  </si>
  <si>
    <t>Independent Persian Publication Covering Cryptocurrency, Blockchain and Dapps</t>
  </si>
  <si>
    <t>https://pbs.twimg.com/media/Dl3f6j_WwAAb2QD.jpg</t>
  </si>
  <si>
    <t>https://coiniran.com/cryptos-in-irans-parliament/</t>
  </si>
  <si>
    <t>🔴 اختصاصی: بررسی موضوع #رمزارز ها در جلسه #مجلس شورای اسلامی #ایران 👩🏼‍💻به قلمِ: مینو علی‌خانی 📍منبع:  @coiniran #کریپتوکارنسی #مجلس_شورای_اسلامی #کمیسیون_برنامه #بودجه #هادی_قوامی #خبرمهم #اختصاصی #iran #crypto #cryptocurrency #blockchain</t>
  </si>
  <si>
    <t>Coiniran</t>
  </si>
  <si>
    <t>ایران در آستانه ورشکستگی کامل قرار داره #علی_مطهری روحانی #روحانی</t>
  </si>
  <si>
    <t>https://pbs.twimg.com/media/Dl3g4wcW4AAtK5z.jpg</t>
  </si>
  <si>
    <t>برای فهمیدن دقت امام خامنه ای و صحت کلام ایشون که در جلسه با دولت که فرمودند: "دشمن از جلسه‌ی دیروز به‌دنبال اهداف دیگری بود " کافی توئیتهای زیر رو بخونید👇👇 #سوال_از_رئیس‌جمهور #نفوذیها</t>
  </si>
  <si>
    <t>فرض کنید بجای جناب #مطهری و اون عزیز #روحانی یه #سلیبرتی این حرفا رو میزد الان باید دو روز از خیر توییتر میگذشتیم تا عصبانیت دوستان عزیزان فروکش کنه و توییتر برگرده به حالت قبلی البته به احتمال زیاد این دوتا عزیز هم یه معذرت خواهی میکنن دوستان تبدیلشون میکنن به #قهرمانان_ملی</t>
  </si>
  <si>
    <t>afshin</t>
  </si>
  <si>
    <t>‏⚬‏ ‏‏‏به قصد فالوبک فالو‏‏‏ نکنید ⚬ ‏‏‏‏‏‏</t>
  </si>
  <si>
    <t>خاورمیانه،قونقاباشی</t>
  </si>
  <si>
    <t>دویست خانواده، #ایران رو به گروگان گرفتن و از این وزارتخانه به اون وزارتخانه میرن (!) بفرموده یکی از نمایندگان #مجلس ؛ برنامه روی خط @rooyekhat</t>
  </si>
  <si>
    <t>Qonqa</t>
  </si>
  <si>
    <t>‏‏‏‏‏‏‏‏‏‏‏‏‏‏‏‏‏‏‏‏‏صفر مطلق!</t>
  </si>
  <si>
    <t>ایران،لرستان،خرم آباد</t>
  </si>
  <si>
    <t>روایت مرگ «اخلاق اصلاح طلبان» در هفته اخیر: از چرک نویسی و لجن پراکنی #شرق تا برخورد زشت #مطهری و همراهش با یک منتقد تا دروغهای شاخ دار #روحانی در مجلس... شرف و اخلاق خود«گونی»از شماها بیشتره!!</t>
  </si>
  <si>
    <t>م.عباسی</t>
  </si>
  <si>
    <t>بزرگوار اگه میخوای کسی که آبروی لباس و عمامه تون رو برده بکنی تو گونی بیا من یک نفر رو میشناسم که دقیقا به کار شما میاد #روحانی #گونی_روحانی</t>
  </si>
  <si>
    <t>پنکه مدل #سوال_از_رییس_جمهور رسید :))))</t>
  </si>
  <si>
    <t>https://pbs.twimg.com/media/Dl3jNUlWsAAsTWm.jpg</t>
  </si>
  <si>
    <t>اميدوار به تغيرات مثبت</t>
  </si>
  <si>
    <t>Tehran/iran</t>
  </si>
  <si>
    <t>https://pbs.twimg.com/media/Dl3kMEwX0AA4NGL.jpg</t>
  </si>
  <si>
    <t>اين عكس بهترين روايت از رفتار #على_مطهرى با شخصى كه ازش پرسيد چرا پرايد گرونه نشون ميده اگر نزديك #انتخابات بوديم بازم همين جواب از نايب رئيس #مجلس مي شنيديم؟</t>
  </si>
  <si>
    <t>Arash Khazaee</t>
  </si>
  <si>
    <t>http://instagram.com/hasan_alinezhaad</t>
  </si>
  <si>
    <t>بلد نيستم توييت بزنم</t>
  </si>
  <si>
    <t>طورى كه اينا دارن قربون صدقه #ميرحسين ميرن، دقيقا همين كلماتو سال پيش به #روحانى ميگفتن!</t>
  </si>
  <si>
    <t>حسن</t>
  </si>
  <si>
    <t>https://pbs.twimg.com/media/Dl3mWcWUYAAC_MR.jpg</t>
  </si>
  <si>
    <t>پراید ۴۰ میلیون شده، قیمت اقلام غذایی و ارز و سکه سر به فلک کشیده، اما.... خانم #نماینده بدنبال مجوز #کنسرت عمومی ست. متشکر از هم وطنانی که به ایشون رای دادن عزیز هم وطن جناب عالی هم در این وضعیت شریکی👇👇👇</t>
  </si>
  <si>
    <t>و قلم توتم من بود!</t>
  </si>
  <si>
    <t>تبعات حاصل از خط قرمزی که آقای #روحانی دور سه یار مخربش کشیده، دست بشدت خالی ایشان در مجلس، عدم حضور ايشان در روز استیضاح وزیر اقتصاد و... متاسفانه پیامدهای ناخوشایندی دارد که با کمال تاسف اصلاحات در شرايط فعلی و جهت ممانعت از تخریب مجدد خودش هیچ تحلیل پيش نگرانه ای عرضه نمی کند.</t>
  </si>
  <si>
    <t>Totem</t>
  </si>
  <si>
    <t>#Iranian #Feminist #Rights #Activist Tweets On #Women #HumanRights #WHRDs #VAW #Iran #MENA #Asia #حقوق_بشر #حقوق_زنان سوسن طهماسبی فعال #خاورمیانه #آسیا #ایران</t>
  </si>
  <si>
    <t>دوست دارم بدانم عکس #ميرحسين_موسوي چه حسی در #روحانی ایجاد کرده. آیا احساس #شرم میکند یا کلا با این حس بیگانه است؟ دو بار با شعار #رفع_حصر و قول‌های دیگر انتخاب شد و بعد از ۵سال با دستور از بالا باز هم تصمیم گرفت که با #مردم شفاف سخن نگوید! تصمیم گرفت با #غیرخودی سخن نگوید!</t>
  </si>
  <si>
    <t>Sussan Tahmasebi سوسن</t>
  </si>
  <si>
    <t>كاري كه عكس امشب #ميرحسين با ما اصلاح طلبان كرد رو نه عارف و فراكسيون مزخرف اميد،نه خط و نشون كشيدنهاي پارسال #روحاني و نه نامه راهبردي #خاتمي نتونستن انجام بدن. فقط يه عكس بي كيفيت و يه لبخند. #ميرحسين_موسوي</t>
  </si>
  <si>
    <t>🔸پیتر کوئینگ،کارمند سابق بانک جهانی: افرادی در ایران هستند که بر مناسبات اقتصادی با غرب اصرار دارند؛ تا وقتی حرف اینها درجامعه خریدار داشته باشد، ایران درمقابل تحریمها شکننده است! حرفی برای گفتن داری ؟ #روحانی #اقتصاد افتضاح #اقتصادی</t>
  </si>
  <si>
    <t>♦️پایان چهار روزجدال حقوقی #ایران و آمریکا 🔹دیوان بین‌المللی دادگستری اعلام کردجلسات استماع درپرونده شکایت ایران ازآمریکا پایان یافته واکنون دیوان برای تصمیم‌گیری وارد شورشده است./ اگر #مجلس ما درمورد نتیجه سؤال از #روحانی تصمیمی گرفت اونها هم تصمیم درست خواهند گرفت</t>
  </si>
  <si>
    <t>Judoist and Writer عاشق همسرم هـستم + منافع ملى ❤️ 🇮🇷💚🇸🇪</t>
  </si>
  <si>
    <t>Örebrouniversitet;Sverige</t>
  </si>
  <si>
    <t>https://pbs.twimg.com/media/Dl3rHvFXoAACCeV.jpg</t>
  </si>
  <si>
    <t>به دوستانم گفته بودم" ائتلافِ #خاتمى با #روحانى بعد از #احمدى_نژاد ؛ فقط براى به خاك سپارى #جنبش_سبز است" هـمه به من مى خنديدند!!! بگذريم ؛ تنهـا راه نجات ايران و برون رفت از بن بست؛ #رفع_حصر و #انتخابات_زودهنگام و آزاد است. ايران ، چاره دارد</t>
  </si>
  <si>
    <t>Saeid mehrbod</t>
  </si>
  <si>
    <t>‏فقط یه ایرانیِ دلسوز ایرانِ اسلامی هستم،یه فیلم بین حرفه ای</t>
  </si>
  <si>
    <t>بچه شهر</t>
  </si>
  <si>
    <t>چرا یه نفر که به مسئولین نقد تند میکنه رو باید بکنن تو گونی، ولی مسئولی که رسما زندگی و آینده ۸۰ میلیون ایرانی رو هیچی حساب نمیکنه آزاد گذاشت. #علی_مطهری #روحانی</t>
  </si>
  <si>
    <t>کاکوی ولدمورت</t>
  </si>
  <si>
    <t>Azərbaycançı</t>
  </si>
  <si>
    <t>Azərbaycan- Çaypara</t>
  </si>
  <si>
    <t>این #اصلاح_طلبان'ی که برای #میرحسین قربون صدقه می‌روند همین‌ها سال ۹۶ مردم را برای رای به #روحانی پای صندوق رای کشاندند که روحانی بشه ائله میشه و مملکت به سبزه نیز آراسته میشه. الانم قشنگ شانه خالی می‌کنند از وعده‌هایی که داده بودند.</t>
  </si>
  <si>
    <t>Ayaz İbadi</t>
  </si>
  <si>
    <t>وَنُرِيدُ أَنْ نَمُنَّ عَلَى الَّذِينَ اسْتُضْعِفُوا فِي الْأَرْضِ وَنَجْعَلَهُمْ أَئِمَّةً وَنَجْعَلَهُمُ الْوَارِثِينَ.</t>
  </si>
  <si>
    <t>https://pbs.twimg.com/media/Dl3u0KoW4AYy3Js.jpg</t>
  </si>
  <si>
    <t>#موسوی میتونست مثل #روحانی یه تجربه ی تلخ ۸ ساله باشه.اما تلخی چند ماهه رو ترجیح داد. یادمون باشه دستپخت #اصلاحات یعنی اقای روحانی مشکلات رو گردن دیماه ۹۶ انداخت. پس ۸۸ رو باید تلخترین سال بعد جنگ نامید.</t>
  </si>
  <si>
    <t>کارگران ایران</t>
  </si>
  <si>
    <t>https://www.instagram.com/hachal.haft/</t>
  </si>
  <si>
    <t>‏‏‏‏‏‏‏‏‏‏ مهم نیست چقدر میدونی مهم اینه هر چی میدونی بگی تا بقیه هم بدونن . در هم برهم می نویسم.تف به چپ و راس. تعصب ندارم تعصب نداشته باش . بزن قدش 🤝 😋</t>
  </si>
  <si>
    <t>ایــــــ✌️⁩ــــــران</t>
  </si>
  <si>
    <t>https://pbs.twimg.com/media/Dl3yDSEXcAMFgkK.jpg</t>
  </si>
  <si>
    <t>اقا چرا نباید مدعی العموم اعلام جرم کنه در مورد این آخوندنما ی اولاد پیامبر ؟؟؟ ،ایشالله ک پیامبر بزنه به کمرش .... کارش و تهدیدش کمتر از تهدیدهای اینستاگرامی لات های مجازی نبود .... #مطهری #آخوند #مجلس</t>
  </si>
  <si>
    <t>هَچَلهَفت</t>
  </si>
  <si>
    <t>http://naeimehdoustdar.wordpress.com/</t>
  </si>
  <si>
    <t>Journalist at Radio Zamaneh, Poet and writer. Currently the guest writer in Malmö, Sweden</t>
  </si>
  <si>
    <t>هانا گفت خواب بدی دیده، آدم‌های بدی داشتند خانواده‌ما را اذیت می‌کردند. توضیح داد البته یکی بد بوده، همکارش سعی کرده به ما کمک کند. شب در گوشم گفت آن آدم بد #روحانی بود. روحانی می‌خواست همسترش را ازش بگیرد و ما تلاش می‌کردیم با او حرف بزنیم. هانا هفت ساله از سوئد.</t>
  </si>
  <si>
    <t>Naeimeh Doustdar</t>
  </si>
  <si>
    <t>‏‏‏‏‏‏‏‏‏‏‏‏‏‏‏‏ما محکومیم،محکوم یک اراده ی کور...</t>
  </si>
  <si>
    <t>اقتصاد سرمایه سالار حسابی #روحانی را رو سیاه کرده،ای کاش بجای تکیه بر نظام #سرمای داری به نیروی #کار و#تولید تکیه میکردند.</t>
  </si>
  <si>
    <t>M(o)ana</t>
  </si>
  <si>
    <t>https://pbs.twimg.com/media/Dl3yhVfXoAAae9w.jpg</t>
  </si>
  <si>
    <t>#گاندی و #روحانی جفتشون تحصیل کرده ی #بریتانیا هستند. اولی میشه استعمار ستیزِ وطن دوست. دومی میشه غربزده یِ منفعل. مثل #علی(ع) و #معاویه.هر دو دانش اموخته ی یک مکتب. پس نباید در مکتب بدنبال مشکل گشت،مشکل زاویه ی فکری افراد است.</t>
  </si>
  <si>
    <t>امروز اعلام کردند #خط_فقر حقوق بگیران هفت میلیون تومان است. ما هیچ ما نگاه #من_انتخاب_نکردم #منوتوخبر شما بگید الان من با درآمد ماهیانه 2میلیون تومن کجای جهان ایستادم #روحانی</t>
  </si>
  <si>
    <t>Art Arts &amp; Culture Arts &amp; Culture Business &amp; Finance Business &amp; Finance Journalists &amp; Pundits Politics</t>
  </si>
  <si>
    <t>طرح #سئوال از رییس جمهور در هفته دولت و #استیضاح وزرأ یکی پس از دیگری و بعد هم #بررسی صلاحیت وزرأ جدید پیشنهادی در مجلس و همزمان #رسیدگی به پرونده متهمان فساد اقتصادی در قوه قضاییه،یعنی؛ حالا حالاها توپ #روحانی در زمین #لاریجانی_ها ست. #جلسه_علنی #دادگاه_علنی #دولت_پارلمان</t>
  </si>
  <si>
    <t>Mr.taghavifard</t>
  </si>
  <si>
    <t>Journalist, environmental health engineers, M.A. student</t>
  </si>
  <si>
    <t>گویا نمایندگان محترم مجلس دهم تنها راه کمک به مردم برای خروج از این اوضاع دشوار اقتصادی رو عمل به اصل ۸۹ قانون اساسی و #استیضاح می دونن؛ اونم بی دلیل و با دلیل فقط میگن #استیضاح #قانون ‌#قطار_استیضاح</t>
  </si>
  <si>
    <t>Atousa Dolatyari</t>
  </si>
  <si>
    <t>pic.twitter.com/tl8wYA3xMV</t>
  </si>
  <si>
    <t>🎥 برخورد نائب رییس #مجلس بایک منتقد در #گلپایگان ! منتقد: شمابجای صحبت درباره غديربگوچرا پراید ۴۵میلیون تومن شده #مطهری :تویک احمق نادانی اخوند همراه مطهری:عکس اینو بمن بدید.میکنمت توگونی #تظاهرات_سراسری #اعتصابات_سراسری #ایران #چالش_دعوت_به_تظاهرات_سراسری</t>
  </si>
  <si>
    <t>‏یه بقالِ خسته</t>
  </si>
  <si>
    <t>فکر میکردم شرایط اقتصادی فقط بزرگترهارو تحت تاثیر قرار داده تا دیروز که پسر دایی ۶ سالم میگفت چقد اسباب بازیها گرون شده ماشینا شده ده هزار تومن دلم براش سوخت که راه بزرگ شدنشون مثل منه با حسرت #روحانی #دلار #گرانی #کودکان #ایران #ايران_رو_پس_ميگيريم #براندازم</t>
  </si>
  <si>
    <t>mr.baghal</t>
  </si>
  <si>
    <t>‏روزنامه نگار/دبیر سابق صفحه رسانه های جهان روزنامه اعتماد</t>
  </si>
  <si>
    <t>https://pbs.twimg.com/media/Dl31s1nWsAAOePG.jpg</t>
  </si>
  <si>
    <t>با روشن شدن فسادهای دولت قبل و دولت #روحانی , در دوره #فاسدترین #مجلس و #قوه_قضائیه بعد از انقلاب, و شکست سیاست اخلاق گرا در ایران معاصر, #میرحسین_موسوی به عنوان نماد #اخلاق_گرایی در سیاست باقی ماند. نخست وزیر پراید سواری که هیچ سابقه فساد و بی اخلاقی ندارد !</t>
  </si>
  <si>
    <t>مصطفی کریمی</t>
  </si>
  <si>
    <t>RT = Look / Likes = Bookmark (usually) 😉 #StayPeculiar</t>
  </si>
  <si>
    <t>https://pbs.twimg.com/media/Dl3nOXGXgAAaNUh.jpg</t>
  </si>
  <si>
    <t>https://twitter.com/hasanasadiz/status/1035237737136365568</t>
  </si>
  <si>
    <t>از روباه بنفش #روحانی طلبکار باشید که قول آزادی داد. #میرحسین_موسوی RT @hasanasadiz: باز آید آن بهار و گل سرخ بشکفد چندین منال از نفس سرد و روی زرد در کوی او که جز دل بیدار ره نیافت کی می‌رسند خانه پرستان خوابگرد خونی که ریخت از دل ما سایه حیف نیست گر زین میانه آب خورد تیغ هم نبرد #جنبش_سبز #ميرحسين_موسوى</t>
  </si>
  <si>
    <t>NightOwl 🏳️🦉🌙</t>
  </si>
  <si>
    <t>مردمی که بی‌تقوایی مسئولانشان برایشان اهمیتي نداشته باشد،باید منتظر ظلم‌ها و ناامنی‌های فراوان باشند.این خلاصه فریادهای فاطمه زهرا(س) است... Marzieh_Allahyari@</t>
  </si>
  <si>
    <t>صفِ انتظار برای استخر فرح در حال اطاله است... خارج شدگانِ از خط انقلاب آشکارا به سمت استخر گام بر می دارند(شتابان)... #مطهری #روحانی #لاریجانی #جهانگیری #استخر_فرح_در_انتظارت</t>
  </si>
  <si>
    <t>یک چادر خاکی 🇮🇷</t>
  </si>
  <si>
    <t>https://pbs.twimg.com/media/Dl33_3hXgAARKBk.jpg</t>
  </si>
  <si>
    <t>امت گفت نه، ولایت گفت آره، #روحاني هنوز سر کاره. #غدیری_ام #گفته_نشده #خارج_از_دید #عید_غدیر #ایران #مجلس #رهبری #از_هر_گوشه #کاریکاتور #طنز #karikator #کاریکاتیر #azhargushe #ریتوئیت #ريتويت</t>
  </si>
  <si>
    <t>http://Instagram.com/perfect.blossom</t>
  </si>
  <si>
    <t>واسه ما دهه شصتی ها هم به جای سرگذشت، بايد ته گذشت نوشت ...</t>
  </si>
  <si>
    <t>Tehran, IRAN</t>
  </si>
  <si>
    <t>نمی‌خوام با وضعیت آدمی‌که ۸ ساله از خونه‌اش نتونسته بیاد بیرون، توییت‌های سنتی‌منتال بنویسم و مثلا وجدانم رو‌ پوف کنم که خنک شه، واقعیت اینه که فکر می‌کنم ما در این زمانه به امثال #میرحسین بیشتر محتاجیم تا #روحانی.</t>
  </si>
  <si>
    <t>Perfect.Blossom 🇮🇷</t>
  </si>
  <si>
    <t>سوال : قیمت سکه نسبت به سال ۱۳۵۷ چند برابر شده؟ الف) ۲۰۰ برابر ب) ۵۰۰ برابر ج) ۹۰۰ برابر د) هفت هزار برابر! [گزینه دال صحیح است] و دقیقا ۷۴۴۲ برابر شده #سکه #دولت #روحاني</t>
  </si>
  <si>
    <t>https://www.ilna.ir/fa/tiny/news-662508</t>
  </si>
  <si>
    <t>#ایران #تهران #فوری درادامه #اعتراضات #مردم #روحانی #دولت #اختلاس #فساد اهل بیت ال عبا #رهبر_انقلاب وشرکا :به نظر می‌رسد بحث ارائه #خدمات_جنسی به زائران #مشهد یک بحث حاشیه‌ای در کنار مسائل سوال از رئیس‌جمهور این #رهبرفرزانه است</t>
  </si>
  <si>
    <t>ما زنده به آنیم که آرام نگیریم موجیم که آسودگی ما ، عدم ماست</t>
  </si>
  <si>
    <t>🔲 ظریف هم به مجلس احضار شد سؤال نمایندگان از وزیر امور خارجه، اعلام وصول شد #استیضاح ظریف</t>
  </si>
  <si>
    <t>پارسیا</t>
  </si>
  <si>
    <t>Artistic management, cultural management, cultural and social activist, journalist and Reporter , public opinion engineer</t>
  </si>
  <si>
    <t>https://pbs.twimg.com/media/Dl38MKKXgAEaPyr.jpg</t>
  </si>
  <si>
    <t>هیچ گاه فکر نمی‌کردم قرار بود تمام امیدمان کسی باشد که خودش هیچ اعتقادی به امید ندارد... جناب رییس جمهور بدان و آگاه باش که از اینجا به بعد هیچ پشتوانه مردمی نخواهی داشت؛ زیرا بد جوری با احساس امید ملت معامله کردی. #سیاست #رئیس_جمهور #غیر_مردمی</t>
  </si>
  <si>
    <t>mehdi nadali</t>
  </si>
  <si>
    <t>‏‏‏‏ارشد روانشناس بالینی، کارشناس هوشبری، ماهی گیر فالو=بک</t>
  </si>
  <si>
    <t>بنده خدا پرزیدنت همش با خودش میگه یعنی ممکنه این هم حزبی های من ، بخاطر سیاست من رو بکشن!!؟ پ.ن:بدجور ترسیده نکنه مثل بلایی که سر نداآقاسلطان اومد سرش بیاد!!! #اصلاح_طلبان #روحانی #تکرار_ناتوان #استخرِ_فرح</t>
  </si>
  <si>
    <t>fisherman</t>
  </si>
  <si>
    <t>مایکل پریجنت کارشناس مؤسسه هادسون آمریکا: #خامنه‌ای منافع مالی برجام را در ماجراجوییهای رژیم بر باد داد میان #روحانی و رئيسی هیچ تفاوتی نیست،‌ نمی شود ادعای میانه روی کرد و اوامر خامنه‌ای را اجرا کرد</t>
  </si>
  <si>
    <t>ریتوئیتر بچه های انقلاب #صدای_زابل_باشیم</t>
  </si>
  <si>
    <t>همونها که هشتگ میزنن برای #میر_حسین_موسوی و کشور رو هشت ماه به خاک و خون کشیدن همونهان که رفتن به #روحانی رای دادن، میخوام بگم شاید کشور از دست سران فاسد خلاص بشه ولی از دست تربیت یافتگان غرب هیچ وقت خلاص نمیشه</t>
  </si>
  <si>
    <t>آقا موسی (یا عماد  من لا عماد له)</t>
  </si>
  <si>
    <t>https://pbs.twimg.com/media/Dl3_qkrXgAIKIf8.jpg</t>
  </si>
  <si>
    <t>جشن 5 سالگی دکتر سلام هم با همه حواشی به پایان رسید. #دکتر_سلام #drsalam #snn #گزارشگر #دانشجو #دولت #ملت #روحانی</t>
  </si>
  <si>
    <t>در دولت آقای #روحانی منتقد را به #گونی مژده می دهند. #گلپایگان #مطهری</t>
  </si>
  <si>
    <t>هزار ماهی قرمز توی دلم با باله‌های قرمز ریز ریز</t>
  </si>
  <si>
    <t>کاش #روحانی امشب بچرخه تو توییتر و ببینه چه کردین با همین یه‌دونه عکس از #میرحسین. کاش یادش بیاد چرا ۹۲ بهش رای دادیم و ۹۶ چه قولی داد و چقد بدقول شده تو این سال‌ها...</t>
  </si>
  <si>
    <t>nazaninmatinnia</t>
  </si>
  <si>
    <t>MobileTelecomProfessional, EE&amp;Biochemistry&amp;Biotechnology&amp; BiomedicalMScEngineerPassionate abtHumanity, Environment,Climate,Animals,Wildlife NanomedCancerTherapy</t>
  </si>
  <si>
    <t>Stockholm, Sweden</t>
  </si>
  <si>
    <t>pic.twitter.com/P4F6neN5K1</t>
  </si>
  <si>
    <t>https://twitter.com/Saman_Hpanahi/status/1034002448262877184</t>
  </si>
  <si>
    <t>ازتون خواهش میکنیم تمنا میکنیم #رامین_حسین_پناهی را اعدام نکنید شمارابخدا! بخاطر مادرش هم که شده رحم کنید!!بمادرش رحم کنید خواهشآ! #روحانی #ولایتی #لاریجانی @Saman_Hpanahi. RT @Saman_Hpanahi: درخواست فوری خانواده #رامین_حسین_پناهی رامین روز گذشته با دوختن لب های خود دست به اعتصاب غذا زده است #RaminHosseinPanahi #IranRegimeChange</t>
  </si>
  <si>
    <t>MemarpouriM</t>
  </si>
  <si>
    <t>https://pbs.twimg.com/media/Dl4D4H_UYAAleuX.jpg</t>
  </si>
  <si>
    <t>🎋 #ایران -۸شهریور۱۳۶۰- انفجار مقر نخست‌وزیری و هلاکت #رجایی و #باهنر ✍️۸شهریور۱۳۶۰- ۳۰ اوت۱۹۸۱ : روز هشتم شهریور سال ۱۳۶۰ محمدعلی رجایی، #رئیس_‌جمهور، و محمدجواد باهنر، #نخست_‌وزیر خمینی براثر انفجار یک بمب در کاخ مرمر تهران (مقر هیأت دولت و نخست وزير )به‌هلاکت رسیدند.</t>
  </si>
  <si>
    <t>Mohsen Ferdowsi</t>
  </si>
  <si>
    <t>Hey you, out there in the cold getting lonely getting old , Can you feel me?</t>
  </si>
  <si>
    <t>https://pbs.twimg.com/media/Dl3SmuPX0AApyCb.jpg</t>
  </si>
  <si>
    <t>https://twitter.com/zoheiriran/status/1035215055644766208</t>
  </si>
  <si>
    <t>بعد حصرش چی کردیم جز چهارتا هشتگ و چهارتا شعار توی سخنرانی های تبلیغاتی #روحانی ؟؟؟ پای کیا وایساد اخه؟؟ RT @zoheirIRAN: چه کردید با پیرمرد نقاش ما:((((( میم مثل مرد مردستان مهندس میرحسین موسوی خدا حفظت کنه نماد شرافت، نماد ایستادگی و پایمردی. ما رو ببخش که فراموشکاریم.... #رفع_حصر</t>
  </si>
  <si>
    <t>saintyasna</t>
  </si>
  <si>
    <t>خواهان برخورد سریع و قاطع دستگاه های مربوطه با #مطهری و #طلبه همراه ایشان #سیدمحمد_میرشریفی برای برخورد زشت با یک منتقد مردمی هستیم #مجلس #گلپایگان #لیست_امید #اصلاح_طلب</t>
  </si>
  <si>
    <t>Sajad A.B</t>
  </si>
  <si>
    <t>رسانه ملى -كارشناسى ارشد فقه و حقوق جزا -دنبال كننده وضعيت اقتصادى و سياسى و اجتماعى كشورم ( الاياايهاالساقى ...) امام حسينى ام- ٠٩١٢......</t>
  </si>
  <si>
    <t>Islamic Republic of Iran🇮🇷</t>
  </si>
  <si>
    <t>اقاى على مطهرى بخاطر توهين به مردم در نقدكردنتان ممنونيم #مجلس پاسخگو</t>
  </si>
  <si>
    <t>Mehdi khamoushian</t>
  </si>
  <si>
    <t>تکلیف ما را سیدالشهدا مشخص کرده است... شغل دیگری نداریم. والسلام.</t>
  </si>
  <si>
    <t>اگه می شد با زدن رئیس جمهور یا وزرا و خلاصه مدیران کله گنده اوضاع رو ذره ای درست کرد، من خودم این قدر می زدمشون که خون بالا بیارن. دنبال یه راه دیگه ای باید بگردیم. #سوال_از_رئیس‌جمهور #علی_مطهری #گلپایگان</t>
  </si>
  <si>
    <t>Mahmud Ghanbarpour</t>
  </si>
  <si>
    <t>📽️🔴#ایران #تهران #قم #فوری #جدی #روحانی: اخباریه #دولت #اختلاس اهل بیت ال عبا #رهبر_انقلاب وشرکا با عنایات امام پنهان چاه #جمکران,دهها میلیارد #دلار کالاهای دپو شده سربازان گمنام #رهبرفرزانه در گمرکات از پرداخت مابه التفاوت ترخیص کالا و #ارز بانکی معاف شده اند</t>
  </si>
  <si>
    <t>به نام خداوند رنگین کمان خداوند بخشنده ومهربان خداوند سنجاقک رنگ رنگ خداوند پروانه های قشنگ</t>
  </si>
  <si>
    <t>https://pbs.twimg.com/media/Dl4KpBjX0AAg5-S.jpg</t>
  </si>
  <si>
    <t>پسرنوح با بدان بنشست،خاندان نبوتش گم شد پسر شهید مطهری هم که باشی،وقتی اطرافیانت یک عده لیبرال و سکولار باشن،بالاخره شونت به شونه شون میخوره وبجای جواب قانع کننده به سؤال به حق مردم،که چرا پرایدشده 45میلیون؟!حواله ی گونی بهش میدی. ازفضل پدر تورا چه حاصل #گونی #روحانی #سکولار</t>
  </si>
  <si>
    <t>rajabzade55</t>
  </si>
  <si>
    <t>pic.twitter.com/pVqSBWHNUC</t>
  </si>
  <si>
    <t>. اعتراف اجباری پس از شایعه‌های فراوان بر علیه لیدر #ري_استارت ، حالا بعد از دوازده سال با برادرش که ممنوع تصویر بوده مصاحبه میکنند!... همین که زندان نیستم شکر!! #استیضاح #جنگ #ری_استارت_تنها_راه_نجات #interview_restartleader #Seyed_Mohammad_Hosseini #Restart_Opposition</t>
  </si>
  <si>
    <t>‏‏‏‏‏‏‏‏‏‏‏‏‏‏‏‏‏‏‏‏‏‏‏‏‏‏‏‏‏‏‏‏‏‏‏‏‏‏‏‏‏‏‏‏‏‏‏‏‏‏‏‏‏‏‏‏‏‏فعال رسانه ای، سرگرم به سیاست، همسر، با افتخار شهروند ‎‎‎‎#جمهوری_اسلامی_ایران</t>
  </si>
  <si>
    <t>جناب آقای @alimotahari_ir بعنوان یک گلپایگانی خدمتتان عرض میکنم؛ آن شهر آنقدر مرجع تقلید،عالم و روحانی وارسته دارد که لازم نباشد جنابعالی در خصوص #عید_غدیر در آن شهر به سخنرانی بپردازید. بعنوان نایب رئیس #مجلس به مردم بگویید برای بهبود زندگی شان چه کرده اید؟ #علی_مطهری</t>
  </si>
  <si>
    <t>Ardabill</t>
  </si>
  <si>
    <t>با مصادره نتایج تصویب منطقه آزاد #اردبیل هیچ اتفاقی برای سیاسیون و کاندیداهای #مجلس نخواهند افتاد آقایون مدعا در زمان شما اردبیل از منطقه ویژه چه دید که از منطقه آزاد ببیند؟</t>
  </si>
  <si>
    <t>صادق تودی</t>
  </si>
  <si>
    <t>http://snn.ir/002xbk</t>
  </si>
  <si>
    <t>#ایران #فوری #جدی #روحانی اخباریه #دولت #اختلاس و #فساد اهل بیت ال عبا #رهبر_انقلاب وشرکا با عنایات امام پنهان چاه #جمکران,کرامات خفیه #رهبرفرزانه لذا #مردم نگران #قبر در زمان بحران نباشندلاکن شورای شهر #تهران ۱۵ هزار قبر در نظر گرفت!</t>
  </si>
  <si>
    <t>Munich, Bavaria</t>
  </si>
  <si>
    <t>زحمت بکشین #رای بدین #نماینده #مجلس انتخاب کنین.. #قانون گزاری بکنن....طرف با ی #رشوه برینه ب همش...</t>
  </si>
  <si>
    <t>รคlคг</t>
  </si>
  <si>
    <t>بجز #روحانی شیاد و #خاتمی روباه صفت چه کسی باعث بایکوت شدن موسوی شد؟</t>
  </si>
  <si>
    <t>من و زمان، مشغول کشتن همیم! eS💙. ju❤️eiii⚽</t>
  </si>
  <si>
    <t>#روحانی هم در جلسه سوالات مجلس وقتی نمایندگان انتقاد کردن ب گرونی باید میگفت عکس اینارو بگیرید من بکنم تو گونی شرط میبندم همشون قانع میشدن از پاسخ های ایشون</t>
  </si>
  <si>
    <t>https://pbs.twimg.com/media/Dl4QYBfX4AEK5xF.jpg</t>
  </si>
  <si>
    <t>http://snn.ir/fa/news/706961</t>
  </si>
  <si>
    <t>#ایران #فوری درادامه #اعتراضات #مردم #روحانی :در راستای تحقق مطالبات #دولت #اختلاس #فساد اهل بیت ال عبا #رهبر_انقلاب وشرکا جایزه هنری غدیربه همت💲💲 سازمان فرهنگی هنری شهرداری #تهران در موزه #هنر های دینی #رهبرفرزانه برگزار شد</t>
  </si>
  <si>
    <t>Programmer/Designer</t>
  </si>
  <si>
    <t>یه نفر صدای #حموم_عمومی رو با یه کلیپ از #مجلس ادغام کنه. افتضاحن.</t>
  </si>
  <si>
    <t>Mojtaba Javan</t>
  </si>
  <si>
    <t>pic.twitter.com/aukmKB94iW</t>
  </si>
  <si>
    <t>https://www.iranntv.com/2018/08/30/%da%af%d8%b2%d8%a7%d8%b1%d8%b4-%d8%ae%d8%a8%d8%b1%db%8c-%d8%b4%d8%b9%d9%84%d9%87%e2%80%8c%e2%80%8c%d9%87%d8%a7%db%8c-%d8%b3%d8%b1%da%a9%d8%b4-%d8%a8%d8%ad%d8%b1%d8%a7%d9%86-%d8%af%d8%b1%d9%88%d9%86/</t>
  </si>
  <si>
    <t>گزارش خبری- شعله‌‌های سرکش بحران درونی در #مجلس - ۸شهریور۱۳۹۷ #براندازم</t>
  </si>
  <si>
    <t>دختر مظلوم وزیر تو این شرایط، دارو #احتکار کرده و اون عده زیادی که تا همین چند ماه پیش همشون یه بیمار سرطانی داشتن که به خاطر تحریم های ظالمانه #ترامپ در حال مرگ بود،خبری ازشون نیست. انگار که بیمارشون شفا گرفته و خوب شده الحمدالله #شبنم_نعمت_زاده #فرقه_تبهکار #روحانی</t>
  </si>
  <si>
    <t>فارغ التحصیل نمره اولی گرافیک از مقطع کارشناسی دانشکده هنر دانشگاه شهید چمران اهواز و هنرمند دیجیتال(طراح کانسپت/ تصویرگر/استوری برد/سه بعدی کار)فریلَنسِر</t>
  </si>
  <si>
    <t>Islamic Republic of Iran Dezful</t>
  </si>
  <si>
    <t>https://pbs.twimg.com/media/Dl4UtalW4AUx8jA.jpg</t>
  </si>
  <si>
    <t>او یک #روحانی #واقعی ست ! هیچ گاه #مقام و #منسب و #شجره و #مناقب کسی شما را از #گفتن #حقایق بازندارد !</t>
  </si>
  <si>
    <t>مِهدی سِیلانی (CGI Artist)</t>
  </si>
  <si>
    <t>اقا شما تا دبستان هم درس خونده باشی میفهمی کسی ک از پنج سوال ب چهار سوال جواب نده مردوده ولی #روحانی از پنج سوال ب چهار سوال پاسخ قانع کننده نداد و رهبری ازشون تشکر هم کردن تازه بنده خدا باید میرید تو برگه سوالات تا مجلس بفهمه این هیچی بارش نیست انگار :))</t>
  </si>
  <si>
    <t>شما فکر کن بدبین ، خوش بین یا هر چیز دیگه !</t>
  </si>
  <si>
    <t>آهای ای آخوندی که تو #مجلس یه نفر رو میخواستی بکنی تو گونی ... به معنای ظاهری کلمه خاک بر سرت. بابا این رفتار ها از مد افتاده دیگه حداقل دیکتاتوری تون رو تو چشم #مردم فرو نکنید..</t>
  </si>
  <si>
    <t>HZE77</t>
  </si>
  <si>
    <t>https://youtu.be/-1WQH-SO1k0</t>
  </si>
  <si>
    <t>#میوه‌_لاکچری به قیمت فضایی در ایران «جک‌فروت» کیلویی ۵۰۰ هزار تومان؛ «گارسینیا کامبوجیا» تمام شد  #فرزندت_کجاست #فساد #وزیر #روحانی</t>
  </si>
  <si>
    <t>IranianMediaBox</t>
  </si>
  <si>
    <t>Mithra God of the Darkness</t>
  </si>
  <si>
    <t>#روحانی با سخنانش اخیرش در #مجلس و سپس حضور در جلسه #رهبری و حمایت تمام قد #عظما از او، ثابت کرد از هر #اصولگرایی اصولگراتر و یک مهره #امنیتی تمام عیار دو یا چند تابعیتی است... زنده باد #اعتدال 😅</t>
  </si>
  <si>
    <t>Farzad Seifikaran</t>
  </si>
  <si>
    <t>medical intern at ajums💉💊</t>
  </si>
  <si>
    <t>اونجا كه مردمش آهو هوا ميكنن</t>
  </si>
  <si>
    <t>اينكه @sm_bathaei از مافياي موسسات كنكور صحبت به ميان مياورد و حالا مجلس وزير آموزش و پرورش رو هم ربط ميدهد به وزراي اقتصادي و درصدد #استیضاح ست اين يعني @sm_bathaei راهش را درست رفته! #نه_به_استيضاح_بطحايي</t>
  </si>
  <si>
    <t>انديكاسيون</t>
  </si>
  <si>
    <t>این که عکس #ميرحسين_موسوي تو هفته دولت با لبخند بیرون میاد تنها معنیش این که دولت،دولت میر حسینه #روحاني داره اداشو در میاره:)</t>
  </si>
  <si>
    <t>http://roomana.ir</t>
  </si>
  <si>
    <t>والله دوست دارم بگم: #من_انقلابی_ام! ولی من کجا، انقلابی کجا!</t>
  </si>
  <si>
    <t>قبلا دلیل جمله «#مجلس در راس امور است» رو درک نمی‌کردم! ولی از وقتی #روحانی به پشتوانه #لاریجانی هر کاری که دلش خواست کرد و نکرد، فهمیدم یعنی چی!</t>
  </si>
  <si>
    <t>آرمان رومنا</t>
  </si>
  <si>
    <t>https://www.facebook.com/seyedhadihoseiny</t>
  </si>
  <si>
    <t>‏یک مفرد حاضر نویسنده ... ارتباطات وزندگی را یاد گرفتم از استاد فرهنگی ، استاد شکرخواه، استادافخمی، استاد کیا، استاد خانیکی، استاد نمک دوست ،استاد عشقی و ..</t>
  </si>
  <si>
    <t>درموردسخنرانی #علی_مطهری وانتقادات آن فرد صحبتی نمیکنم چون کج سلیقگی وکج فهمی بانیان بوده که ازآمطهری خواستنددرمورد #غدير سخنرانی نماید ولی آن #روحانی سیدنمای بی مقداربگویدباتکیه برکدام مبانی قدرت اینگونه بایک روستایی ساده دل صحبت میکند کدام مرجعی پاسخگوی رفتاراین آخونداست</t>
  </si>
  <si>
    <t>🎗️ سید هادی حسینی 🇮🇷</t>
  </si>
  <si>
    <t>Behrouz Mina is an Iranian columnist and blogger who writes on Iranian affairs for different English and Persian speaking media outlets under pseudonym.</t>
  </si>
  <si>
    <t>https://iranwire.com/fa/features/27447</t>
  </si>
  <si>
    <t>اشتباه بزرگ حسن #روحانی چه بود؟  #IranWire #مجلس #اقتصاد #سوال_از_رئیس‌جمهور #اقتصادی</t>
  </si>
  <si>
    <t>Behrouz Mina</t>
  </si>
  <si>
    <t>میگن #روحانی به #سلبریتی‌ ها نامه داده که حالا مام یه کم کاریایی داشتیم نمیخواد همه رو گردن مردم بندازید. #سلبریدی_حکومتی #اصلاح‌طلبان #اصولگرا</t>
  </si>
  <si>
    <t>فضول خانم!</t>
  </si>
  <si>
    <t>‏انالله و اناالیه راجعون</t>
  </si>
  <si>
    <t>و بازهم #مطهری به یک منتقد لقب احمق داد ویک #روحانی در حمایت از او گفت: عکسش(منتقد) رو بگیرید بدید بکنمش تو گونی! هنوز هم #گونی جایگاه خود را در بین اصولگرایان دارد و جایگاه #احمق درمیان اصلاح طلبان! ما ملت چه گناهی کرده ایم که شما دو حزب ، #نجاست جمهوری اسلامی شده اید؟</t>
  </si>
  <si>
    <t>Mohammad_hoseyn</t>
  </si>
  <si>
    <t>https://telegram.me/HarfBeManBot?start=NDQwOTQ2OTg1</t>
  </si>
  <si>
    <t>همش هواييم ميكنه انگار حضرت آدمم</t>
  </si>
  <si>
    <t>Tehroon</t>
  </si>
  <si>
    <t>آقای #روحانی با همین فرمون جلو بری سال دیگه میتونیم ۱۰ هزار تومن بدیم یه نخ وینستون قرمز بگیریم</t>
  </si>
  <si>
    <t>Amirho3ein Shahedi🌵</t>
  </si>
  <si>
    <t>iran,mashhad</t>
  </si>
  <si>
    <t>اگه سوال از #رئیس_جمهور قابل ارجاع به #قوه_قضائیه نیس خوب چرا تو #مجلس سوال کردید. یه شام ترتیب میدادید دور هم از #رئیس_جمهور میپرسیدید خوشم میگذشت. حتما اونجا قانع هم میشدید</t>
  </si>
  <si>
    <t>tooraj toosi</t>
  </si>
  <si>
    <t>به تو چه :)</t>
  </si>
  <si>
    <t>https://pbs.twimg.com/media/Dl4mQElX4AEfYMG.jpg</t>
  </si>
  <si>
    <t>به عقب برگشتیم #روحاني #عید_غدیر</t>
  </si>
  <si>
    <t>میلاد</t>
  </si>
  <si>
    <t>https://pbs.twimg.com/media/Dl4uPkqXoAA5In9.jpg</t>
  </si>
  <si>
    <t>یعنی شباهت ازین بیشتر!!! کسانی که سی سال از عمر انقلاب را هدر دادند بهتر بشناسیم! #میرحسین_موسوی #بنی_صدر #روحانی #خاتمی</t>
  </si>
  <si>
    <t>https://pbs.twimg.com/media/Dl41XL1XoAAvt0i.jpg</t>
  </si>
  <si>
    <t>افتضاح #روحانی در مجلس رو یه عکس از "زمستان ۹۶ میرحسین" میتونست بشوره ببره پایین...</t>
  </si>
  <si>
    <t>میم الف</t>
  </si>
  <si>
    <t>آقای #مطهری درسته که آن #منتقد میتوانست بهتر سوال خود را مطرح کند ولی نه #جواب شما درست بود و نه آن آقای #روحانی شما که مدعی #حمایت از #انتقاد نسبت به همه #مسوولین هستید چرا #برآشفته شدید</t>
  </si>
  <si>
    <t>سفر #جواد_ظریف به ترکیه ودیداربا #اردوغان وپیامداین سفر دیدار #روحانی و #اردوغان و #پوتین در تاریخ ۱۶شهریور درتبریز وبانزدیک شدن تحریم های نفتی آمریکا درآبان ماه نمی تواند حامل پیام خوشی برای مردم ایران باشد چون ج ا نشان داده برای تداوم به عمر ننگینش حاضر به هر خفت و زاری هستش</t>
  </si>
  <si>
    <t>تراوشات ذهن مريض يك وكيل مدافع بى دفاع</t>
  </si>
  <si>
    <t>"آبروی لباس منو بردی #میکنمت_تو_گونی" عكسشو بگيريد(از زبان یک #روحانی) مادر نزاییده اینهمه #پارادوکس رو تو یه عبارت.</t>
  </si>
  <si>
    <t>hosseinzarei</t>
  </si>
  <si>
    <t>‏من نبودم دستم بود😐</t>
  </si>
  <si>
    <t>#میر_حسین هرچی ریخته #روحانی جمع کرده... هدفی که اون(م.ح) می خواست انجام بده رو ایشون(ح.ر) داره انجام میده... فقط کمی متفاوت تر.</t>
  </si>
  <si>
    <t>سکوت بی معنا</t>
  </si>
  <si>
    <t>‏‏قبل از هر تکلمی ، تفکری اندک بایدت</t>
  </si>
  <si>
    <t>به امید دولت همین جور پیش بره کارمندان دولت رو باید در زمره متکدیان که زکات فطره بهشون تعلق میگیره باید قرارداد. #دولت_تدبیر #رئیس_جمهور</t>
  </si>
  <si>
    <t>تفکرآنلاین</t>
  </si>
  <si>
    <t>http://AZADIE.ir</t>
  </si>
  <si>
    <t>نویسنده، خبرنگار، علاقمند به ادبیات و سیاست| کارشناس ارشد مهندسی عمران؛ کار ساختمونی داشتید در خدمتیم!</t>
  </si>
  <si>
    <t>https://pbs.twimg.com/media/DlrY-V-WsAEk8zN.png</t>
  </si>
  <si>
    <t>https://twitter.com/alhosseini/status/1034377650301820929</t>
  </si>
  <si>
    <t>#روحانی و دولتش ۶ تن طلا و ۱۹ میلیارد دلار سرمایه بی‌زبان بیت‌المال را حراج کردند! RT @alhosseini: ذخایر طلای #روسیه به شدت افزایش یافته و به حدود ۲ هزار تن رسیده است. روسیه مداوم در حال تبدیل اوراق قرضه های خارجی به طلا بوده است. استراتژی بسیار هوشمندانه برای یک کشور تحریم شده. ما چه کردیم؟</t>
  </si>
  <si>
    <t>محمد آزادی</t>
  </si>
  <si>
    <t>http://iRezad.ir/</t>
  </si>
  <si>
    <t>Team Member of Beheshti Media @SBU_SBMU | Finance Student</t>
  </si>
  <si>
    <t>دوران #احمد‌ی_نژاد رو بیشتر از این دوران دوست دارم! چون اون زمان امید داشتیم که بالاخره احمدی‌نژاد می‌ره و وضع بهتر میشه. ولی الان به چی و کی باید امید داشته باشیم؟ جناب #روحاني به نام امید، امید مردم رو کشتند...</t>
  </si>
  <si>
    <t>• ALIREZA DASHTABI •</t>
  </si>
  <si>
    <t>#علی_مطهری که قادر نیست جواب یک منتقدی که از روی حق انتقاد میکند رو بده در #مجلس داره چیکار میکنه که منتقدین خودشو نادان خطاب میکنه #ادم_باشید</t>
  </si>
  <si>
    <t>Milad</t>
  </si>
  <si>
    <t>پرسش درست، شما را به پاسخ درست می رساند. Right question leads you to the right answer.</t>
  </si>
  <si>
    <t>The Internet</t>
  </si>
  <si>
    <t>انتقاد به عملکرد دولت #روحانی وارد است. ولی اینکه برخی از مردم فکر می‌کنند دولت روحانی بدتر از #احمدی‌نژاد عمل کرد نوبر است. تاثیر رسانه بر قضاوت مردم کاملا مشهود است.</t>
  </si>
  <si>
    <t>Hessam</t>
  </si>
  <si>
    <t>‏‏‏اگر به دنبال عیب هستی از آینه استفاده کن نه ذره بین! حرف حساب لایک داره.حالا اینکه این حرف از دهن یه اصولگرا،اصلاح طلب،لیبرال یا مذهبی بیرون بیاد فرقی نداره</t>
  </si>
  <si>
    <t>کلیپی با موضوع "️نمایندگان هنگام سخنرانی #رئیس_جمهور چه می کردند" در کانال های خبری منتشر شد. به موضوع جالبی اشاره کرد.در تمام سخنرانی های اشاره شده تمام توجه نمایندگان-چه موافق و چه مخالف-به توضیحات سخنران بود. سوال من هم سه شنبه همین بود که کسی اصلا به حرف های #روحانی ....</t>
  </si>
  <si>
    <t>ᄊ尺.ᄊԾﾌﾉﾉﾉﾉ</t>
  </si>
  <si>
    <t>دقت کردین هروقت #روحانی تو مخمصه میفته، مثلا یه رانتخواری کلان رسوامیشه یا دلاروسکه بالامیره، هشتگ #حصر هم داغ میشه؟ عکس جدید #موسوی هم مناسبتش لابد ۴۰میلیونی شدن #پراید ه #کاسب_حصر</t>
  </si>
  <si>
    <t>من بنده آن دمم که ساقی گوید یک جام دگر بگیر و من نتوانم کانالی برای اشتراک یافته‌هایی از #تاریخ http://t.me/JewishHistory</t>
  </si>
  <si>
    <t>#روحانی با حمایت #هاشمی و #موسوی و #خاتمی و اعمال نظر #جنتی به قدرت رسید و تعداد زیادی از اعضای ستاد #موسوی در کابینه #روحانی و مناصب ارشد دیگر حضور داشته و دارند. وضعیت امروز کشور آرمانشهر موعود موسوی و خاتمی و هاشمی است. حالا قربون صدقه چشم و ابرو و موی سپیدش بروید.</t>
  </si>
  <si>
    <t>ارسطاطالیس نبی</t>
  </si>
  <si>
    <t>‏‏‏‏‏‏ادیبی معاصر با شما که سیاست را دنبال میکنم اما سیاسی کاری نه I'm a contemporary literary with you that i keep track of politics But I do not deceive anyo</t>
  </si>
  <si>
    <t>pic.twitter.com/rEXYrazz8i</t>
  </si>
  <si>
    <t>نقشه های کثیف دولت برای وادار کردن نمایندگان به پس گرفتن امضایشان در طرح #سوال_از_رئیس_جمهور ! حتما صحبتهای #ذواانور را بشنوید تا بدانید چه کسانی و چگونه داشتن نمایندگان منفعل و ترسو را ترجیح داده اند؟! +اگر امضایت را پس نگیری،...:|| #ساکتین_مجلس</t>
  </si>
  <si>
    <t>‏‏‏‏‏‏‏‏بنویسید که یک بی سر و پا جـ مانده ـا.</t>
  </si>
  <si>
    <t>https://pbs.twimg.com/media/Dl58D2XVsAA7U_v.jpg</t>
  </si>
  <si>
    <t>#روحانی که دیروز پس از توهین بی شرمانه علی مطهری به یک #منتقد، منتقد را تهدید به انداختن در گونی کرد. #سیدمحمد_میرشریفی از طلبه های فیضیه و اهل #گلپایگان هست #اسلام و #انقلاب کم از آخوندای نادان نکشیده. تهدید جان مردم بر چه اساسی؟ (((هیسسسس میکنمت تو گونی :))) #مطهری #علی_مطهری</t>
  </si>
  <si>
    <t>🇮🇷جـ مانده ـا🇮🇷</t>
  </si>
  <si>
    <t>https://www.instagram.com/p/BnIcGoeFVf8/?utm_source=ig_twitter_share&amp;igshid=znp8p4hj46yd</t>
  </si>
  <si>
    <t>دیدوید بکام بعد از دیدن این عکس با یک استارت سریع و اتشین به دیار باقی شتافت 😂😂😅 #دیویدبکهام #محموداحمدی_نژاد #احمدی_نژاد #روحانی #ظریف #ژنو #برجام #ترامپ #دونالدترامپ #فوتبال…</t>
  </si>
  <si>
    <t>طنز ورزشی</t>
  </si>
  <si>
    <t>سخنان #روحانی زمان انتخابات در آزادی اخلاق کجارفت صداقت کجارفت قانون کجارفت حق الناس کجارفت شرم کجارفت خجالت کجارفت عملکرد #روحانی و #ظریف و #خامنه_ای ودیگر مسئولین ج ا بیانگر این موضوع میباشد تنهاچیزی که در وجود آنها یافت نمیشود شرافت ، اخلاق ، خجالت و قانون و انسانیت میباشد</t>
  </si>
  <si>
    <t>https://pbs.twimg.com/media/Dl59gYMUUAALnWQ.jpg</t>
  </si>
  <si>
    <t>https://www.ilna.ir/fa/tiny/news-662438</t>
  </si>
  <si>
    <t>حیدری در گفت‌وگو با ایلنا؛حمایت‌مان از #روحانی به تبعیت از رییس دولت اصلاحات بود/ روحانی به احترام #خاتمی با مردم صادقانه حرف بزند/ طرح «عفو عمومی» کاملا ملی است</t>
  </si>
  <si>
    <t>https://pbs.twimg.com/media/Dl5-CmyXcAAO2qK.jpg</t>
  </si>
  <si>
    <t>https://www.radiozamaneh.com/410028</t>
  </si>
  <si>
    <t>محمد جواد #ظریف، وزیر خارجه می‌گوید #برجام تنها گرینه #ایران نیست. مجمع عمومی #سازمان_ملل در پیش است: فرصتی برای مذاکره #روحانی با #ترامپ قبل از #تحریم_نفتی_ایران. #خامنه‌ای، بعد از انتشار #گزارش_آژانس یک بار دیگر گفت‌وگو را منع کرد.</t>
  </si>
  <si>
    <t>#میر_حسین_موسوی بیشتر باید نزدیک به تحول خواه ها باشه تا #اصلاح_طلبان ؟ بلاخره هرچی باشه اون هم چون دیدگاهی فراتر از استمرار طلبی داشت کم و بیش هزینه داده ؛ آیا نقطه مشترک براندازی و اصلاحاته؟ آیا تفاوتش بیشتر از تفاوت یه رنگ بنفش تا سبزه؟ #روحاني</t>
  </si>
  <si>
    <t>فولادگر: مردم تا فروکش تب بازار #خودرو نخرند رئیس کمیسیون حمایت از تولید ملی #مجلس: قیمت ها قابل دفاع نیست و هیچ منطقی ندارد/ جلسه ای با وزیر صنعت برگزار و مباحث خوبی مطرح شد/ امیدواریم با تصمیم گیری در روزهای آینده بازار خودرو منظم شود حوزه خودرو باید از انحصار خارج شود</t>
  </si>
  <si>
    <t>به جای آنکه به تاریکی لعنت بفرستیم، شمعی روشن کنیم.. " کنفوسیوس"</t>
  </si>
  <si>
    <t>https://twitter.com/a_motalebzadeh/status/1035264323407495174
https://docs.google.com/forms/d/e/1FAIpQLSfhc8Yr31tTr-wh3GOXIj6zn-tgT-nBsahXj9xR5D74RnzFLw/viewform</t>
  </si>
  <si>
    <t>از آنجا که نهاد بازداشت‌کننده #فرهاد_میثمی #وزارت_اطلاعات است، این نامه را قبل از هر کسی خطاب به آقای #روحانی و نمایندگان #فراکسیون_امید مجلس امضاء کردم. مسئولین بدانند که اهمال آنها در این مورد میتواند فاجعه‌ای به بار آورد. @Rouhani_ir @mah_sadeghi @saeidiftm @hesamodin1 RT @a_motalebzadeh: #اعتصاب_غذا ی #فرهاد_میثمی وارد سی امین روز شد بیانیه زیر جهت جمع اوری امضا برای درخواست رسیدگی سریع به وضعیت اوست</t>
  </si>
  <si>
    <t>Zia Nabavi</t>
  </si>
  <si>
    <t>https://pbs.twimg.com/media/Dl6CI8jX0AAT-tO.jpg</t>
  </si>
  <si>
    <t>نمونه بارز هزينه زايي براي نظام، دقيقا چند روز بعد از اينكه رهبري گفت سوال مجلس از رئيس جمهور نمونه عالي مردم سالاري ديني و دموكراسيه، اين گونه موارد رو اصلا اتفاقي ندونيد.#نهان_خانه #جاسوس #اخوند_احمق #اخوند_بيسواد. #علي_مطهري #فحاشي_مطهري #مجلس #رهبري #رائفي_پور #منافق_وطني</t>
  </si>
  <si>
    <t>سنجري بزرگ</t>
  </si>
  <si>
    <t>‏‏‏‏‏‏شما آدم باش،کافرومرتددم که باشی جات توبهشته🎲</t>
  </si>
  <si>
    <t>فضا</t>
  </si>
  <si>
    <t>https://pbs.twimg.com/media/Dl6DY4GXgAE8GSP.jpg</t>
  </si>
  <si>
    <t>شیطونه میگه پاشم برم این دوتا چاقالو از کون دار بزنم برگردما... #روحانی #ظريف #روحانی_خفه_شو #ما_خودمان_انتخاب_کردیم #richard #Iran</t>
  </si>
  <si>
    <t>ببر هار🚩</t>
  </si>
  <si>
    <t>انتشار عکس #ميرحسين_موسوي بعد از چالش #سوال_از_رئیس‌جمهور و احتمال محاکمه برادر روحانی و برادر جهانگیری پس از بازداشت شبنم نعمت زاده؛ و همزمان با جشن خوب #دکترسلام که موج امید بالایی به بچه‌های جبهه انقلاب تزریق کرد، همه را کنار هم ببینید. ماجرا روشن میشه.</t>
  </si>
  <si>
    <t>‏‏‏شکر خدا را که در پناه حسینیم</t>
  </si>
  <si>
    <t>به نظرم #امام_زمان عجل الله در جامعه ای که یک عدد #آخوند سید برای خود شیرینی جلوی #نماینده #مجلس، به فرد معترض پرخاش و درخواست #گونی میکنه #ظهور نخواهد کرد. #حوزه_سکولار</t>
  </si>
  <si>
    <t>Hajali66</t>
  </si>
  <si>
    <t>#پراید شده چهل میلیون یه عده کم عقل دائم از دولت انتقاد میکنن. آقاجان این #تدبیر دولته که با گران کردن پراید امیدبه زندگی رابالا ببره.باکاهش ۵۰ درصدی استفاده ازپرایدامیدبه زندگی n فاکتوریِل سال بالا میره. حالاشماقدردولت #روحانی را ندان #روحانی_مچکریم #با_روحانی_تا_۱۴۰۰</t>
  </si>
  <si>
    <t>محمدامین بهرامی</t>
  </si>
  <si>
    <t>http://instagram.com/alidehghan_b</t>
  </si>
  <si>
    <t>‏‏‏دبیر دفتر تحکیم وحدت/ دانشجوی فیزیک دانشگاه صنعتی امیرکبیر</t>
  </si>
  <si>
    <t>https://pbs.twimg.com/media/Dl6F_jPX4AA3qRd.jpg</t>
  </si>
  <si>
    <t>#دفتر_تحکیم_وحدت در #نماز_جمعه این هفته در مورد #مجلس و لوایح و طرح های بحث برانگیزش با مردم سخن خواهد گفت. بیانیه ی دفتر تا ساعاتی دیگر منتشر خواهد شد. #مسئول_مردمی #نظارت_همگانی</t>
  </si>
  <si>
    <t>ali dehghan</t>
  </si>
  <si>
    <t>‏فعال محیط زیست و عضو حزب ندای ایرانیان</t>
  </si>
  <si>
    <t>#هشتگ های #ایران #دریای_خزر #محیط_زیست #خوزستان #صیادان #آقازاده #روحانی #میرحسین_موسوی #دلار۱۱۰۰۰تومنی #طلا #زلزله و.....</t>
  </si>
  <si>
    <t>مهدی بهروش</t>
  </si>
  <si>
    <t>https://twitter.com/ZiaNabavi1/status/1035406529493704705
https://twitter.com/a_motalebzadeh/status/1035264323407495174</t>
  </si>
  <si>
    <t>آقای #روحاني قرار بود فضای امنیتی حاکم بر جامعه را بشکند نه اینکه نیروهای وزارت اطلاعات و انتظامی را برای سرکوب امنیتی بیشتر بسیج کند. برای خیلی ها در همین پنج سال دیر شد. خیلی دیر شد. برای دیگران برای #فرهاد_ميثمي تا دیرتر نشده اقدام کنید.. @Rouhani_ir @mah_sadeghi @mowlaverdi RT @ZiaNabavi1: از آنجا که نهاد بازداشت‌کننده #فرهاد_میثمی #وزارت_اطلاعات است، این نامه را قبل از هر کسی خطاب به آقای #روحانی و نمایندگان #فراکسیون_امید مجلس امضاء کردم. مسئولین بدانند که اهمال آنها در این مورد میتواند فاجعه‌ای به بار آورد. @Rouhani_ir @mah_sadeghi @saeidiftm @hesamodin1</t>
  </si>
  <si>
    <t>درتلاش برای آزادی ایران اشغال شده نه به رفراندوم این فرصت طلبی است برای دربردن رژیم ازسرنگونی. سرنگونی طلب مرگ براصل ولایت فقیه عشق به آزادی ✌️دایرکت آزاد</t>
  </si>
  <si>
    <t>https://pbs.twimg.com/media/Dl6MXIDXoAADVC0.jpg</t>
  </si>
  <si>
    <t>پروانه سلحشوری نماینده #مجلس #ارتجاع : 🔹اختلاس نام مدرن دزدی‌ است که تخفیف زیادی دارد. #IranRegimeChange</t>
  </si>
  <si>
    <t>منتظر صبح سحر</t>
  </si>
  <si>
    <t>https://pbs.twimg.com/media/Dl6NUb5XgAASvgK.jpg</t>
  </si>
  <si>
    <t>http://tn.ai/1816416</t>
  </si>
  <si>
    <t>رئیس #مجلس شورای اسلامی: خروج #آمریکا از #برجام یک بی‌انضباطی بین‌المللی بوده است/ #تحریم‌ های جدید آمریکا می‌توانست باعث خروج ایران از برجام شود/#اروپا باید قول‌های خود را مکتوب کرده و وارد میدان عمل شود</t>
  </si>
  <si>
    <t>استادیار سابق/ یک #کورد معترض به #تبعیض/سکولار/ حال حاضر پرسه در خاک غریب/با توییت هایی سیاسی،اجتماعی و گاهی شخصی (مجاهد،ارزشی و اصلاح طلب فالو نکنند)</t>
  </si>
  <si>
    <t>#روحانی در واکنش به #پراید 45 میلیون تومانی گفت : ما هم اعتراض داریم،آخر مگر میشود پراید 45 میلیون باشد. وی در ادامه به پراید دستور داد تا هرچه سریع تر قیمت خود را کم کند.</t>
  </si>
  <si>
    <t>مرد امیدوار</t>
  </si>
  <si>
    <t>فیلم</t>
  </si>
  <si>
    <t>ملتی که با عدم آگاهی و بصیرت به #روحانی غرب گرا رای می دن و از ولی فقیه خودشون پیروی نمیکنن عاقبتشون این میشه.مگه دوره قبل #ریس_جمهور چه کاری برا ملت کرده بود؟متاسفانه عبرت نمیگیرن!</t>
  </si>
  <si>
    <t>mohandes.m1</t>
  </si>
  <si>
    <t>جدا از اینکه #میر_حسین جه نظرات و دیدگاه‌هایی داره و جدا از اینکه من با آنها موافقم یا مخالفم کاش همه این توان را داشتیم که بر سر اعتقاد می ماندیم. مشکل ما با آدم‌هایی مثل #روحانی اینه که حرف‌هایی که می زنن از روی آگاهی و اعتقاد نیست #میرحسین_موسوی</t>
  </si>
  <si>
    <t>https://pbs.twimg.com/media/Dl6QZEeW0AAM8eZ.jpg</t>
  </si>
  <si>
    <t>وقتی #روحاني همه را مثل خود میپندارد قطعا این بینش روی گویش هم تاثیر خواهد گذاشت</t>
  </si>
  <si>
    <t>https://www.instagram.com/p/BnInNc_FGJ5/?utm_source=ig_twitter_share&amp;igshid=3jvw16rl61kx</t>
  </si>
  <si>
    <t>دیگه مولانا هم هنگ کرد! #زودنیوز #مجلس #دختران #سربازی #خاطره #مشکلات_اقتصادی_مردم #مسئولین يه #كليپ #خنده دار و #جالب #love #instagood #photooftheday #tbt #cute #me #beautiful…</t>
  </si>
  <si>
    <t>plaaksefid</t>
  </si>
  <si>
    <t>خيابان شمار</t>
  </si>
  <si>
    <t>ظاهرا تو داروخونه ها شياف بيزاكوديل پيدا نميشه دارويي كه بيشتر سالمندان استفاده ميكنن #تحريم #ایران #روحاني</t>
  </si>
  <si>
    <t>پكر مرد</t>
  </si>
  <si>
    <t>http://Forsan.news</t>
  </si>
  <si>
    <t>pic.twitter.com/RQDn926pt1</t>
  </si>
  <si>
    <t>#ایران در یک هفته بزرگداشت سی‌امین سالگرد قتل‌ عام زندانی‌های ایرانی، شرکت #زیمنس فعالیت‌های خود در ایران را کرد، #روحانی و تعدادی از اعضای دولت در #مجلس حضور یافتند #فرسان_خبر</t>
  </si>
  <si>
    <t>‏‏‏‏‏‏🔄‏‏‏‏‏‏‏من دیگه اون من نیستم...</t>
  </si>
  <si>
    <t>ایرانِ جاٰن</t>
  </si>
  <si>
    <t>https://pbs.twimg.com/media/Dl6UHXBXoAAvpRW.jpg</t>
  </si>
  <si>
    <t>خبرنگار: اصلاحطلبان امیدوارند که #روحانی بتواند با تلاش خود آقایان #موسوی و #کروبی را آزاد کند! احمدی نژاد: فکر نمی کنم این طور باشد. خبرنگار: چه کسی نمی خواهد؟ احمدی نژاد: همین آقایانی که مسئول هستند؛ همیشه از در حصر بودن موسوی و کروبی بهره برداری سیاسی می کنند.</t>
  </si>
  <si>
    <t>Mojtaba⁦</t>
  </si>
  <si>
    <t>pic.twitter.com/iu8z35RJMu</t>
  </si>
  <si>
    <t>با این مزخرفات خیلیا رفتن #روحانی رو تَکرار کردن! و امروز به خاطر عملکرد دولت مورد حمایت اصلاحات که از میرحسین تا خاتمی ازش حمایت کردن اصلاحات تو عن فرو رفته و متاسفانه دیگه میر فقط میر گروه خاصی از دانشجویانه نه مردم #ميرحسين_موسوی</t>
  </si>
  <si>
    <t>https://pbs.twimg.com/media/Dl6VLTYWwAAX0tB.jpg</t>
  </si>
  <si>
    <t>مجلس را هم #استیضاح کنید یادداشت سیدمصطفی هاشمی‌طبا درباره جلسه سوال از رییس جمهور در #مجلس</t>
  </si>
  <si>
    <t>#میپرسم جذابيت حرف هاي #ميرحسين_موسوي در #انتخابات_٨٨ به گرد جذابيت سخنرانيهاي #روحاني در #انتخابات_٩٦ هم نمي رسيد. آيا اگر #میر_حسین_موسوی جاي روحاني بود همين عملكرد را داشت؟ و بالعكس اگر روحاني جاي مير به حصر مي رفت همين قدر محبوب بود؟</t>
  </si>
  <si>
    <t>دولت میخواد بسته کالاهای اساسی بده ؛ حتما #پوشک هم توش هست . نامردا حداقل واسه ما که بچه نداریم کاندوم بدین . #روحاني #نوبخت</t>
  </si>
  <si>
    <t>فرهنگی، طالب اقتدار اسلام و ایران</t>
  </si>
  <si>
    <t>https://pbs.twimg.com/media/Dl6Wn8FW4AEngjS.jpg</t>
  </si>
  <si>
    <t>تن آدمی شریف است به جان آدمیت نه همین لباس زیباست نشان آدمیت #روحانی #علی_مطهری</t>
  </si>
  <si>
    <t>ali ghorbani9930</t>
  </si>
  <si>
    <t>https://pbs.twimg.com/media/Dl6XOLRXgAAjX4a.jpg</t>
  </si>
  <si>
    <t>هردو روحانی اند ول این کجا و آن کجا ! #روحانی #مطهری</t>
  </si>
  <si>
    <t>عرضه ۴۰هزار خودروی جدید به بازار سعید باستانی،عضو کمیسیون صنایع #مجلس : فروش قطعی #خودرو ازشنبه هفته آتی به متقاضیان ومصرف کنندگان نهایی خودرو با کارت ملی انجام شود. برای حذف دلالی کاذب در #بازار خودرو،خریداران خودرو تا یکسال حق صلح یا به عبارتی فروش به‌شخص دیگری ندارند./خانه ملت</t>
  </si>
  <si>
    <t>مطمئنم توی انتخابات بعدی همتون گه کاری #روحانی و ج.ا رو یادتون میره و حتی واژه ی #براندازی لوث میشه و مثل احمقا رای میدین و به دار و دسته ی چهل دزد مشروعیت و این حکومت مستبد مفسد سالها حکمرانی خواهد کرد. شمایی که #میرحسین دلتون رو برده شما هم در این ظلم شریک هستین.</t>
  </si>
  <si>
    <t>Willkommen mein Freund ... ركورد دار نامزدي انتخابات رياست جمهوري ✌️ Fuck dit leven 👎🏻. لایک شده توسط تنی چند از مسئولان حکومتی سیاسی لشگری و کشوری 😐</t>
  </si>
  <si>
    <t>Bavaria, Germany</t>
  </si>
  <si>
    <t>https://pbs.twimg.com/media/Dl6aPgvXcAA5szG.jpg</t>
  </si>
  <si>
    <t>#من_انتخاب_نکردم که بالاتریم مقام کشورم با دمپایی توی جلسه رسمی حاضر بشه و اعوان و انصارش باعث تخطئه کشور و تمدن و تاریخم‌بشوند ...#خامنه‌ای #ولایتی #روحانی</t>
  </si>
  <si>
    <t>عن تو عن چوخوف</t>
  </si>
  <si>
    <t>‏‏‏‏‏‏‏‏‏‏‏‏‏‏ شاید کمی فعال دانشجویی _ دانشگاه دامغان _ زیست شناسی عمومی . . ما را از مرگ میترسانند. انگار که ما زنده ایم...!</t>
  </si>
  <si>
    <t>مصداق بارز رأی بی کیفیت و جناحی دقیقا اون رأی هایی هست که باعث میشه آدم هایی که نه سود دارند و نه خاصیت روانه خانه ملت بشن و بشینن اونجا برای من و شما تصمیم بگیرند. . طرف هیچ نفعی برای مردم و مملکت نداره اما اندازه هشت تا مرد جنگی ادعا داره #علی_مطهری #مجلس</t>
  </si>
  <si>
    <t>M.m.zendedeli</t>
  </si>
  <si>
    <t>pic.twitter.com/UPl7ceDYf8</t>
  </si>
  <si>
    <t>درگیری #مطهری نایب ريیس اصطبل ولایت (#مجلس ارتجاع) با یک نفر در گلپایگان-۸شهریور مطهری: تو یک احمقی، نادانی آخوند همراه مطهری: آبروی عمامه منو بردی،‌ می‌کنمت تو گونی... #ایران #IranRegimeChange</t>
  </si>
  <si>
    <t>Kazem</t>
  </si>
  <si>
    <t>‏‏‏اولین رئیس آموزش و پرورش رباط کریم/مدیر مسئول روزنامه اقتصاد ملی/نماینده دوره پنجم مجلس شورای اسلامی/مدیر کل پارلمانی وزارت نفت به مدت ۶ سال در دولت اصلاحات</t>
  </si>
  <si>
    <t>#علی_مطهری و هیچ یک از ما مصون از خطا و اشتباه نیستیم، ولیکن جای تاسف است برای یک جوان ایرانی در شهر #گلپایگان که نسبت به پاکترین و شجاع ترین #نماینده_مجلس كه همواره درخط مقدم دفاع از حقوق ملّت تلاش می‌کند، اعتراض خود را اینگونه خارج از عرف و اخلاق مطرح می‌کند!! #اصفهان #مجلس</t>
  </si>
  <si>
    <t>حسین عسگری</t>
  </si>
  <si>
    <t>تصويب #منطقه_ازاد_سيستان هديه ي ارزشمند از طرف #دولت و #مجلس به مردم محروم منطقه بود،اين مهم باعث اميد و شادي در ميان مردم اين خطه شد، #دولت_ملت @khamenei_ir @Rouhani_ir @Majlis_ir</t>
  </si>
  <si>
    <t>حیف که خواسته‌های ما به سیستم فشل قوه قضاییه می‌رسد. از پیگیری جلسه #سوال_از_رئیس‌جمهور تا محاکمه علنی سران #فتنه ... !</t>
  </si>
  <si>
    <t>https://t.me/xHarfBot?start=91065558</t>
  </si>
  <si>
    <t>Assistant Professor of Orthopedic Surgery لینک پیام ناشناس 👇</t>
  </si>
  <si>
    <t>https://pbs.twimg.com/media/Dl6estHXcAAfedB.jpg</t>
  </si>
  <si>
    <t>فقط یک نفر از #نمایندگان شهر من #شیراز حاضر هست ما بفهمیم به چی رای میدن و به چی رای نمی‌دن. نمایندگان #مجلس شما چطور؟</t>
  </si>
  <si>
    <t>J.D</t>
  </si>
  <si>
    <t>‏‏‏‏‏‏‏‏‏‏‏‏‏‏دانشجو رشته IŤ 💻 عشق طراحی و عڪاسی📱📷 و همچنین نویسندگی📝 ‎‎‎‎‎‎‎#majnoon</t>
  </si>
  <si>
    <t>https://twitter.com/AadamEbneHavva/status/1034048147637592064</t>
  </si>
  <si>
    <t>اقا این چه وضعیه جان عزیزتون یکی منو از این کابوس بیدار کنهههه من چند ماه دیگ گواهیناممو میگیرمو فقط امیدم به همین #پراید بود #روحانی چه ڪردی با ماااا RT @AadamEbneHavva: حقیقتا به منتهی الیه مخیله‌م هم خطور نمی‌کرد که در عنفوان جوانی پراید هم بره تو لیست آرزوهایِ یحتمل دست نیافتنی‌م مرسی آقای روحانی که اوووون چنان رونق اقتصادی ایجاد کردی که به اون 45هزار تومن اصلا نیاز ندارم</t>
  </si>
  <si>
    <t>زهرا پایکارے</t>
  </si>
  <si>
    <t>https://t.me/LiLiLoLoMind</t>
  </si>
  <si>
    <t>هنرمنده كه پيچيدگي ها رو ساده ميبينه... ...🕊🕊🕊 LiLiLoLo As Artist .......</t>
  </si>
  <si>
    <t>https://pbs.twimg.com/media/Dl6faGoX0AAj-r1.jpg</t>
  </si>
  <si>
    <t>جواب آقاي #مطهري #نماينده #مجلس رو در قرن ٢١ با پرچم و شعار #گفتگوي_تمدن ها و #حقوق_شهروندي و غيره را در ايران و ج.ا مقايسه ميكنيم با نمايندگان مردم در دنياي همين شرق، نه حتي غرب. مثل #ژاپني ها.... عكس: تعظیم مدیران ژاپنی در مقابل خبرنگاران</t>
  </si>
  <si>
    <t>ليندا بهرام پور</t>
  </si>
  <si>
    <t>https://pbs.twimg.com/media/Dl6hFuDU8AAQGx7.jpg</t>
  </si>
  <si>
    <t>از خویش جز گردی به دامانی نمی یابم</t>
  </si>
  <si>
    <t>چرا وقتی درمورد یکی میگن به احترام لباس و #روحانی بودنش فلان‌طور نگید، یاد منشور روحانیت میفتم؟ با اینکه در کشور ما در اجراى عدالت بین روحانى و غیر آن امتیازى نیست، ولى وقتى با متخلفى از روحانیت خوش‌سابقه یا بدسابقه برخورد شرعى و قانونى و جدى میشود، فورا باندها فریاد میزنند...</t>
  </si>
  <si>
    <t>حمیدرضا جعفریان</t>
  </si>
  <si>
    <t>https://aminsabeti.net</t>
  </si>
  <si>
    <t>Founder of @Certfalab, Digital Security Expert, Information Security Analyst, #Iran's Internet Researcher, Blogger | LinkedIn: http://uk.linkedin.com/in/aminsabeti</t>
  </si>
  <si>
    <t>London, UK</t>
  </si>
  <si>
    <t>https://aminsabeti.net/1392/06/why-elimination-of-the-internet-censorship-in-iran-is-a-joke/</t>
  </si>
  <si>
    <t>شهریور ۹۲ نوشتم که رفع سانسور #اینترنت در #ایران جوک است و عشاق #روحانی و تدبیر و امید گفتند مزخرف نگو، حتی کسانی که در بیرون از #ایران ادعا می‌کردند که در راه آزادی اینترنت قدم برمی‌دارند. بعد از ۵ سال می‌بینیم که چه کسی درست می‌گفت 😜</t>
  </si>
  <si>
    <t>Amin Sabeti 🌍</t>
  </si>
  <si>
    <t>معلوم نیست به موازات بیرون اومدن عکس #میر_حسین_موسوی از حصر دولت #روحانی داره چه غلطی میکنه که اذهان گله‌های آدمی و یوزرهای توییتر باید درگیر این بنده خدا باشه.</t>
  </si>
  <si>
    <t>MK</t>
  </si>
  <si>
    <t>https://pbs.twimg.com/media/Dl6jNSoXsAA9s-K.jpg</t>
  </si>
  <si>
    <t>یه جایی خوندم که ;انسانیت زمانی مرد که سگها از شدت رفاه وارد رختخواب شدند و کودکی ازشدت فقر برای خواب باید سربر سنگ بگذارد. #تهاجم_فرهنگ #آدرس_غلط #غربگرایی #مرگ_انسانیت #رفاه_زدگی #رئیس_جمهور #وزارت_رفاه #سلبریتی_بیسواد #هنرمندان_بی_هنر</t>
  </si>
  <si>
    <t>به کارگیری #بازنشستگان ممنوع است به جز در این سمت‌ها: 🔸#روسای_سه_قوه، اعضای #شورای_نگهبان، #وزرا، معاونان #وزیر، نواب رییس #مجلس و … 🔺یاد این بیت افتادم: گفته بودم که دگر "#می"‌ نخورم در همه عمر به جز از امشب و فردا شب و شب‌های دگر</t>
  </si>
  <si>
    <t>اینهم واکنش #براندازاللهی ها به تصویر #میر_حسین #میر_دلها #موسوي #میرحسین‌موسوی #حامی_روحانیم #روحانی #روحانی_تنها_نیست</t>
  </si>
  <si>
    <t>https://pbs.twimg.com/media/Dl6krQ_U4AYJxlD.jpg</t>
  </si>
  <si>
    <t>‏‏‏‏‏‏‏کشاورز و معلم زاده، دانش آموخته فلسفه دانشگاه شهید بهشتی، دانشجوی دکتری حقوق عمومی، عدالت خواه، منتظر نبرد نهایی کانال من در تلگرام: http://t.me/nishenoosh‎</t>
  </si>
  <si>
    <t>اینهایی که از روی بکار بردن القاب در اطراف کلمه "رهبری" افراد را قضاوت میکنند و نتایج نجومی مانند بهتر بودن #روحانی از #احمدی‌نژاد میگیرند من را یاد آن شیخ وهابی می اندازند، که میگفت قرآن را با دست چپ حمل نکن #کافر، همان قدر #قشری ...</t>
  </si>
  <si>
    <t>جواد صفایی</t>
  </si>
  <si>
    <t>https://t.me/saeedabbasian12</t>
  </si>
  <si>
    <t>مافتح میکنیم باغ های بزرگ بشارت را باخون و خنجر خفته درخونمان.</t>
  </si>
  <si>
    <t>pic.twitter.com/qwazQsPfAo</t>
  </si>
  <si>
    <t>فیلم دیگری از درگیری لفظی میان یک #روحانی به نام #میرشریفی در حمت از علی مطهری وچندتن ازمعترضان به او در گلپایگان #براندازم #IranRegimeChange</t>
  </si>
  <si>
    <t>ققنوس در آتش</t>
  </si>
  <si>
    <t>https://pbs.twimg.com/media/Dl6m3R4UcAAx6TQ.jpg</t>
  </si>
  <si>
    <t>تو پازل بازی افتاد، گول خورد، اشتباه کرد، ناجوانمردانه رفت تو حصر، مظلومانه پیر شد، نظام بهش ظلم کرد! و چه و چه و چه. باشه! ولی طبق استدلال #روحانی تون که اتفاقات مشهد باعث گرونی های اخیر شده، گرونیها و بدبختی های چند نسل گردن ایشون و خانمش و کروبی و هوادارانشون هست.</t>
  </si>
  <si>
    <t>دلتنگ</t>
  </si>
  <si>
    <t>عاشق آن دمم که ساقی گوید جامی دگر گیر و من نتوانم...</t>
  </si>
  <si>
    <t>دارالامان_دارالارشاد_اردبیل</t>
  </si>
  <si>
    <t>آقا امروز خواستم سوار تاکسی بشم راننده تاکسی برگشت بهم گفت : امروز میخوام پاسخهای روحانی تو مجلس رو تحلیل کنم حال گوش کردن نداری سوار نشو😑😑 . هیچی دیگه منم قانع شدم تحلیلهای قوی هم داشت🙄 #تاکسی #مجلس</t>
  </si>
  <si>
    <t>bouyesib313</t>
  </si>
  <si>
    <t>یه طلبه معمولی علاقه‌مند به تربیت، مشاوره و اخلاق فالویینگ‌هام نشون میده حرفهای مخالفمو میشنوم...</t>
  </si>
  <si>
    <t>#روحانی مالک اشتره که وقتی بهش توهین میشه نمیگه به عمامه توهین کردی... نمیگه به صحابی امیرالمومنین جسارت کردی نمیگه آبروی لباسو فلان بزرگوارانه باهاش برخورد میکنه روحانی واقعی اونه نه هر کسی‌که لباس روحانیت بپوشه!</t>
  </si>
  <si>
    <t>Ali AhmadiMehr</t>
  </si>
  <si>
    <t>مدتهاست رسانه های خارج نشین به @shariatmadari_m حمله میکنند تا چهره ای دیگر از او نشان دهند. قطعا #وزیر_صنعت باید در #مجلس پاسخگوی ملت باشد اما نمایندگان توجه نمایند حملات به این وزیر در آن شبکه ها بی علت نیست و دقت کنند نتیجه مطالباتشان چیزی نباشد که آنها مدتهاست دنبالش هستند.</t>
  </si>
  <si>
    <t>بنظر من دولت #روحانی بهترین دولت بعد از انقلاب هست... (منتها نه برای ملت ایران،برای ملت هایی دیگه) #شرق</t>
  </si>
  <si>
    <t>می ترسم بمیرم قبل از آنکه یک روز خوب بیاد.</t>
  </si>
  <si>
    <t>بله ما عکس #میرحسین رو میبینیم و براش مینویسیم ولی چرا هیچ کس به کسانی که قرار بود حصر را رفع کنند اشاره نمی کند. #خاتمی ، #روحانی و #لیست_امید کجای کار هستند. اصلاح طلبان قدرت و مقام را معامله کردند.</t>
  </si>
  <si>
    <t>m.javadifar</t>
  </si>
  <si>
    <t>جناب آقای #روحانی شما در مقام رئیس اجرایی کشور دقیقا داری چه گُهی میخوری که پراید شده ۴۵ میلیون تومن؟!</t>
  </si>
  <si>
    <t>همه جای دنیا #مناطق_آزاد مرکز تولید وصادرات وعامل درآمدزایی برای کشورهاست مناطق آزاد ما عامل رکود و بیکاری و معبر واردات و قاچاق وخروج ارزه #مجلس بجای گسترش این زخمهای عفونی، حق واردات کالای نهایی به داخل را ازآنها بگیرد منطقه آزاد یا مرکز تولید و صادرات یا تعطیل. تمام</t>
  </si>
  <si>
    <t>غالب معضلات اقتصادی کنونی در حوزه #وزیر_صمت و #وزیر_کشور هستند ، اما چرا حرفی از #استیضاح این دو نفر نیست ؟! چون منتخب #آن_دیگری هستند</t>
  </si>
  <si>
    <t>pic.twitter.com/NI1q0RbbIT</t>
  </si>
  <si>
    <t>🔴 مایکل پریجنت تحلیلگر ارشد هادسن: مسئول وضعیت کنونی اقتصادی کشور علی #خامنه‌ای است/ او در حال قربانی کردن #روحانی است/ نمی‌شود خود را میانه‌رو بنامی و دستورات خامنه‌ای را اجرا کنی #تظاهرات_سراسری #اعتصابات_سراسری #ایران #چالش_دعوت_به_تظاهرات_سراسری</t>
  </si>
  <si>
    <t>شهرستانم. در جمعی فامیلی پرسیدند در مملکت چه خبر است؟ پاسخ بده. (و در این جمع فقط من به #روحانی رأی نداده بودم.)</t>
  </si>
  <si>
    <t>Proud Iranian, husband, son and brother. Tweets in English and Persian about #foreignpolicy, #middleeast , #diplomacy and #emergingmarkets economy.</t>
  </si>
  <si>
    <t>Coventry, UK</t>
  </si>
  <si>
    <t>کارشناس بی بی سی یکی از واردترین انتقادات به #روحانی را تلاش او برای جلوگیری از تنش میداند. دوره ای شده که تلاش برای کاهش تنش در کشور، در ذهن آقایان مذموم است.</t>
  </si>
  <si>
    <t>Amir Daneshvar🇮🇷</t>
  </si>
  <si>
    <t>https://twitter.com/sefidchian/status/1035185398694207488</t>
  </si>
  <si>
    <t>سلام#دكترجان فارغ ازهمه سلايق سياسي،گفتگوي منتشر شده جناب #مطهري نشان ميدهد پاسخگوئي #مسئولان،فراموش شده و #مطالبه گري #مردم چيزِ نامباركيست!؟ ميگويم نكند،اين جمله كه #مجلس در راس اموراست #مجلسيان و...را#متوهم نموده كه فرا زميني اندو رحمتي #آسماني بر سر اين #ملت؟ RT @sefidchian: 🔘 به نظر شما علت اصلی فحاشی، توهین و بددهنی برخی از مجریان و مسئولین بلند پایه کشور به مردم چیست⁉️</t>
  </si>
  <si>
    <t>ايمان</t>
  </si>
  <si>
    <t>او نردبانی است چون #روحانی که #اصلاح_طلب فاسد از او بالا رفت و خواهد رفت. #ميرحسين_موسوي</t>
  </si>
  <si>
    <t>‏‏‏‏‏‏‏اگه لایق با شم ‏‏غلام مرتضی علی هستم و دشمنان بدانند اگر از سر هایمان کوه ها بسازند آیندگان هرگز در کتاب تاریخ خود نخواهند خواند که امام خامنه ایی تنها م</t>
  </si>
  <si>
    <t>https://pbs.twimg.com/media/Dl6vlg4W4AAF9UX.jpg</t>
  </si>
  <si>
    <t>التماس تفکر(شرح تویئت در تصویر) #مطهری #انتقاد #انقلاب_برای_انقلاب #مجلس #نمایندگان_مجلس</t>
  </si>
  <si>
    <t>MahdiMoradi</t>
  </si>
  <si>
    <t>pic.twitter.com/uSrgZCcmIn</t>
  </si>
  <si>
    <t>#روحانی دمت گرم ... کلی خندیدیم</t>
  </si>
  <si>
    <t>به هر دری زدند تا برای #روحاني رأی جمع کنند حالا که صحبت رسیده به #استخرِ_فرح همه دارند کنار می‌کشند .</t>
  </si>
  <si>
    <t>https://pbs.twimg.com/media/Dl613fFU0AAD8wo.jpg</t>
  </si>
  <si>
    <t>https://www.ilna.ir/fa/tiny/news-662951</t>
  </si>
  <si>
    <t>محسنی بندپی در گفت‌وگو با ایلنا مطرح کرد: جزییات بسته حمایتی #رییس‌جمهور از کارگران/تلاش برای افزایش ظرفیت تولید و صادرات شرکت سیمان آبیک</t>
  </si>
  <si>
    <t>‏‏‏‏‏‏یه طلبه.... ایضا دانشجوی دکترای برق مخابرات... پلی تکنیک... اندکی فلسفه... همسر... تبریزی ساکن تهران...</t>
  </si>
  <si>
    <t>آنجا که عقل حاکم است</t>
  </si>
  <si>
    <t>بعنوان کسی ک ب #روحانی رای داده خیلی خوشحالم ک #مجلس قوی داشته باشیم ک #سوال_از_رییس‌جمهور کنه و از جواب ناقص قانع نشه حتی موافقم در صورت تخطی از قانون #استیضاح هم بشه.درسته شاید موقتا آرامش ازدست رفته کشور از دست بره(!!)، ولی روسای جمهور بعدی حساب کار دستشون خواهد اومد ولی.../</t>
  </si>
  <si>
    <t>یه طلبه</t>
  </si>
  <si>
    <t>#روحاني تو مجلس گفت با يه دستور ميتونم قيمت #ارز رو مثل پارسال كنم ولي نميكنم اين كار رو.يه اقتصاددان بياد توضيح بده چرا اين كار رو نميكنه. #جدي</t>
  </si>
  <si>
    <t>‏یک عدد معلمِ دانشجو/ روزنامه نگار</t>
  </si>
  <si>
    <t>پیش بینی مرکز پژوهش های مجلس: رشد اقتصادی ایران در سال ۹۷ یا منفی ۵.۰درصد یا منفی ۲.۸ درصد خواهد بود #روحاني #فصل_عمل</t>
  </si>
  <si>
    <t>رضا خیبری</t>
  </si>
  <si>
    <t>https://pbs.twimg.com/media/Dl640fNW4AIBPpP.jpg</t>
  </si>
  <si>
    <t>کاش یه #رئیس_جمهور داشتیم که شعار انتخاباتیش ترمیم وتقویت #آموزش_وپرورش بود. البته نه از نوع شعارهای #حسن #روحانی توجه به #معلم راهگشاست</t>
  </si>
  <si>
    <t>https://twitter.com/mostafatajzade/status/1035462441424117760</t>
  </si>
  <si>
    <t>حمایت #اصلاح_طلبان از حمایت بی چون و چرا از #روحانی چی؟! اگر در ازای حمایت، وزارت خانه های مهم را میگرفتید، آن وقت خطاهای دولت قانونی کمتر میشد. RT @mostafatajzade: خروج ترامپ از #برجام، دسیسه‌های #دولت_پنهان و خطاهای دولت قانونی سه علت اصلی نابسامانی‌های اخیرند. دموکراسی‌خواهان باید هر سه عامل را نقد کنند تا #حزب_پادگانی که در بازگشت تحریم‌ها، افزایش مشکلات و کاهش اعتماد مردم نقش زیادی داشته است، طلبکار نشود.</t>
  </si>
  <si>
    <t>Iranian muslim,</t>
  </si>
  <si>
    <t>هیچ دقت کردین #مجلس فقط داره استیضاح میکنه؟ دریغ از یه طرح یا بحث به درد بخور برای مملکت و اقتصاد و.... فقط به یکی رای میدن، ۳ ماه بعد استیضاحش میکنن، دوباره از اول! خاله بازیه دیگه. وقتی توالت میلیاردی بری، باید هم فکرهات توالتی باشه!!</t>
  </si>
  <si>
    <t>N.dehghan 🇮🇷 🇵🇸</t>
  </si>
  <si>
    <t>میگن بعد از استیضاح از #روحانی پرسیدن چه اتفاقی افتاد اونم درجواب گفته "مارایت الا جمیلا"</t>
  </si>
  <si>
    <t>Interested in Economics, Financial Markets, Quantitative Analysis, Data Science, Machine learning, FOSS, Blockchain, Linux and ...</t>
  </si>
  <si>
    <t>کثیفترین عضو کابیته #روحانی، علیرغم همه ژستهای عوام فریبانه اش، @azarijahromi کارمند سابق وزارت اطلاعات و وزیر قطع ارتباطاته. بلایی که ایشون سر #اینترنت و پروتکل هایی چون TLS آورد حمله مغول و اعراب سر #ایران نیاورد. حتی وبسایت هایی که فیلتر نیستن رو هم نمیشه بدون فیلترشکن باز کرد</t>
  </si>
  <si>
    <t>Mahour Lotfi</t>
  </si>
  <si>
    <t>#میکنمت #توی #گونی = جمله تاریخی #محمد #میرشریفی #رئیس #ستاد #انتخابات #روحانی</t>
  </si>
  <si>
    <t>#روحانی با خردمندی تمام در برابر انتقادات و هجمه های تبلیغاتی دوست و دشمن؛ نمایندگان مخالف خود را به اتحاد و وحدت دعوت کرد در حالی که میتوانست با بگم بگم آرامش کشور را بر هم بزند حداقل سپاسگذاری از او صدور مجوز #رفع_حصر است که بتواند یکی از وعده های انتخاباتی اش را عملی کند.</t>
  </si>
  <si>
    <t>‏‏مهندسی در هنرهای زیبا</t>
  </si>
  <si>
    <t>طویله‌ای به نام #مجلس</t>
  </si>
  <si>
    <t>جناب میرزا</t>
  </si>
  <si>
    <t>#سرنوشت_ارز_خودرو عضو کمیسیون صنایع #مجلس گفته؛ صاحبان ٤٠ هزار خودروي جدید تا یکسال حق فروش ندارند! آقاي قانونگذار فروش لازم نيست، تعويض پلاك ميكند، قولنامه ميكند، واگذار ميكند،مشروط قرارداد مي بندد،شما نمي توانيد چنين تعهدي از خريداربگيريد سرنوشت سكه و ارز در انتظار خودرو</t>
  </si>
  <si>
    <t>‏اللّهمَ عَجِّل لِوَلیِکَ الفَرَج وَ العافِیهِ وَ النَصر وَ اجعَلنا مِن خَیرِ اعوانِه و انصارِه</t>
  </si>
  <si>
    <t>شهروندجهانم</t>
  </si>
  <si>
    <t>فقط یه #سوال_از_رئیس‌جمهور گرامی آیا محتویات کله شما و وزرایتون از محتویات #پوشک کودک من تشکیل شده که وضع اقتصاد کشور اینه ( علت بی ادب شدن وی گشتن بدنبال پوشک گران #مولفیکس )</t>
  </si>
  <si>
    <t>هامون</t>
  </si>
  <si>
    <t>https://instagram.com/_u/muhammad.bagher.fa/</t>
  </si>
  <si>
    <t>‏‏‏‏‏‏‏‏‏‏‏‏یک‏‏‏‏‏‏‏‏‏‏‏رسانه‌ای.... مدیریت خوانده علاقمند به بازرگانی و ‎‎تبلیغات ... فعلأ در بند بروکراسی یک دستگاه</t>
  </si>
  <si>
    <t>https://pbs.twimg.com/media/Dl69z9QW4AAZiG1.jpg</t>
  </si>
  <si>
    <t>https://twitter.com/mohyeddin_farsi/status/1035473669831712768</t>
  </si>
  <si>
    <t>رئیس شرکت گونی‌سازی روحانی.... #گونی #روحانی #پراید #مطهری RT @mohyeddin_farsi: گویند عمامه به سر گونی بدست؛سید محمد میرشریفی مسئول ستاد انتخاباتی روحانی در گوگد بوده؛گفتم چرا این ادبیات گونی بران آشناست! #خفه_کردن_منتقد</t>
  </si>
  <si>
    <t>محمدباقر فتحی</t>
  </si>
  <si>
    <t>https://pbs.twimg.com/media/Dl7AUWAWsAEuwHQ.jpg</t>
  </si>
  <si>
    <t>به هم سنو سالای اینا تو دور و اطرافتون نگاه بندازین چه خوب موندن اینا #روحانی #حسن_روحانی #خاتمی #محمد_خاتمی #احمدی_نژاد #محمود_احمدی_نژاد #موسوی #میرحسین_موسوی</t>
  </si>
  <si>
    <t>مهندس ابزار دقیق شرکت پتروشیمی جم /// دانشجوی کارشناسی ارشد علم سیاست /// از ایران باید دفاع کرد ؛ به نام یا به ننگ</t>
  </si>
  <si>
    <t>میهمانان خانه ملت، اگر نمایندگان ملت ایران و عصاره فضایل ملت ایران بودند ، به جای وزیر اقتصاد ، باید کلیت اقتصاد ایران را #استیضاح می کردند</t>
  </si>
  <si>
    <t>Reza Nikjoo</t>
  </si>
  <si>
    <t>‏‏‏‏یک شهروند معمولی</t>
  </si>
  <si>
    <t>#روحانی #استیضاح #لاریجانی حیف داداش لاریجانی با روحانی بسته وگرنه وضع مملکت این نبود😒😒😒😒😙😚😝.😒</t>
  </si>
  <si>
    <t>schoolisfun</t>
  </si>
  <si>
    <t>در یک اتفاق کم‌نظیر تیتر سه روزنامه با دیدگاه های مختلف یکی شد!😁 #روحانی موجبات وحدت بین جناح ها شد😉</t>
  </si>
  <si>
    <t>Moanna</t>
  </si>
  <si>
    <t>#روحانی در مجلس در حالی که حالت دفاع گونه داشت از تغییر مقررات در مدت کوتاه دفاع کرد روحانی گفت که اگر مقررات اشتباه باشد خوب باید عوض شود اما این حق را برای احمدی نژاد قایل نبود</t>
  </si>
  <si>
    <t>my love mom#brother🔱🔱🔱</t>
  </si>
  <si>
    <t>٨سال جنگ كردن كه ناموس ايراني نيوفته دست عرب جماعت بعد شيخ مشهد مياد ميگه زنامون با عراقي بخوابن ثوابه چون از كربلا ميان اينا....خودتو با كربلاتو... #خامنه_اي #روحاني #اصولگرا #اصلاح_طلب #ملت_غيور_ايران😏 #ناموست_كجاست_____؟؟؟</t>
  </si>
  <si>
    <t>hamedamd</t>
  </si>
  <si>
    <t>دور زدن تحریم ها رو نمیدونم ولی دور زدن نماینده ها رو ظاهرا فقط آخوندی و زنگنه تو دولت بلدن! #استیضاح</t>
  </si>
  <si>
    <t>گرچه او هرگز نمی گیرد ز حال ما خبر</t>
  </si>
  <si>
    <t>Wolfenstein</t>
  </si>
  <si>
    <t>https://pbs.twimg.com/media/Dl7GmL4U0AAlAK2.jpg</t>
  </si>
  <si>
    <t>جمعه بعد از ظهر می ریم باغ. علی برکت ا... #روحانی</t>
  </si>
  <si>
    <t>MP5 آقای</t>
  </si>
  <si>
    <t>فرزند #تیر شصت و شش، زادۀ #گرگان دانشجوی دکترای علوم سیاسی؛ روزنامه‌نگار و فعال سیاسی</t>
  </si>
  <si>
    <t>دابلین، ایرلند</t>
  </si>
  <si>
    <t>https://pbs.twimg.com/media/Dl7GvaRW0AE8kHB.jpg</t>
  </si>
  <si>
    <t>#احتکار بزرگ توسط #ایران_خودرو نیروی انتظامی انبار ایران خودرو در ممقان با بیش از 8000 خودرو را پلمپ کرد. طی هفته های اخیر قیمت ماشین چندین برابر شده. فساد در عمق سیستم جاری شده. قابل توجه #مجلس، #دولت و #رسانه_ها.</t>
  </si>
  <si>
    <t>محسن مهیمنی</t>
  </si>
  <si>
    <t>#تحریم های اقتصادی #آمریکا علیه #ایران و #ترکیه حداقل برای #روحانی و #اردوغان نعمت بود تا چیز دیگه ای. چون الان میتونن همه مشکلات #اقتصادی و سقوط ارزش #لیر و #ریال که بیشتر نتیجه انباشت عواقب #سیاست های نادرست اقتصادی و انبساط #پولی چند سال اخیر خودشون بود رو گردن #ترامپ بندازن.</t>
  </si>
  <si>
    <t>https://pbs.twimg.com/media/Dl7ITl9WwAAqUWv.jpg</t>
  </si>
  <si>
    <t>http://tn.ai/1816685</t>
  </si>
  <si>
    <t>آیت‌الله #خاتمی در خطبه‌‌های #نمازجمعه تهران: جلسه #سؤال_از_رئیس‌جمهور نشان داد که مشکل واقعی مردم معیشت است/دولتمردان بایستی در تراز انقلاب اسلامی عمل کنند. یکی از ویژگی‌های دولتمردان تراز انقلاب اسلامی این است که مسئولیت را امانت و نه لقمه چرب می‌دانند</t>
  </si>
  <si>
    <t>Pharmacist</t>
  </si>
  <si>
    <t>«کمپین توقف تولید پراید ۴۰ میلیونی »#خواست_عمومی #توقف_تولید_پراید #پراید #روحانی</t>
  </si>
  <si>
    <t>فارماسیست جوان</t>
  </si>
  <si>
    <t>‏در جستجوی آزادی ...</t>
  </si>
  <si>
    <t>ممنوعیت فروش یکساله خودرو احمقانه ترین طرحی است که میتوان ارائه داد! بنده ماشین ۱۲۰ میلیونی میخرم و تا یکسال حق فروش آن را ندارم، اگر پول لازم شدم( مریضی، خراب شدن سقف خانه،عروسی فرزند و و ...) این پول رو از عمه کمیسیون صنایع مجلس باید بگیرم؟ #مجلس #کمیسیون_صنایع #خودرو</t>
  </si>
  <si>
    <t>ملوان زبل</t>
  </si>
  <si>
    <t>‏‏‏‏هیچ ابن هیچ...</t>
  </si>
  <si>
    <t>https://pbs.twimg.com/media/Dl7KUZaXsAAFLnk.jpg</t>
  </si>
  <si>
    <t>فعلا که مشهدالرضا را پاتایا کرده اید...! #مشهد #تایلند #علم_الهدی #روحانی #ایران</t>
  </si>
  <si>
    <t>امام</t>
  </si>
  <si>
    <t>بچه تهرون وبازنشسته</t>
  </si>
  <si>
    <t>رژیم جمهوری اسلامی نباید از موضع خود کوتاه بیاید و تنگه هرمز راببندد و قدرت خود را نشان دهد #رهبری #رییس جمهوری #مجلس #نمایندگان</t>
  </si>
  <si>
    <t>Shahnam</t>
  </si>
  <si>
    <t>آقای #ظریف شما با تجربه هستید اما این موضوع نباید باعث شود که در همه موارد سیاسی و اجتماعی بدونه تامل و تفکر سخن بگویید و مشکلاتی برای آینده سیاسی کشور ایجاد کنید ،بطور مثال موضوع دریای مازندران(خزر)#روحانی</t>
  </si>
  <si>
    <t>https://pbs.twimg.com/media/Dl7Mn72WsAAS_pK.jpg</t>
  </si>
  <si>
    <t>وقتی از #مافیای_کنکور می‌گوییم، منظور چیست؟ منظور لابی انتشارات کنکور برای استیضاح #محمد_بطحائی بخاطر اقدامات ضدفسادش در این حوزه است؛ و همراهی داعش_مسلکانی که سیاست شادی‌آفرینی او در مدارس را نمی‌پسندند. و حال کاسبانی در #مجلس که می‌خواهند مهر آخر برکناریش را بزنند.</t>
  </si>
  <si>
    <t>‏اندکی تغییر در ضربُ المَثَل ها لازم است قدر زَر زرگر شناسد قدرِ مادر را حسن... انظراليناياكريم</t>
  </si>
  <si>
    <t>https://pbs.twimg.com/media/Dl7Nyx2XgAAE570.jpg</t>
  </si>
  <si>
    <t>#امام_جمعه_تویسرکان حجت الاسلام موحدی همان طورکه مقام معظم رهبری فرمودند #سوال_از_رئیس_جمهور نمایش #اقتدار ومایه تقویت نظام است که جلسه بسیارخوبی بود وقانع نشدن نمایندگان از پاسخ رئیس جمهور وظیفه دولت را در تغییر رویه وترمیم کابینه سنگینتر می نماید.</t>
  </si>
  <si>
    <t>hamidi.h</t>
  </si>
  <si>
    <t>اخبار گفت : به کارگیری #بازنشستگان ممنوع است به جز در این #سمت‌ها: روسای سه قوه، اعضای شورای #نگهبان، #وزرا، معاونان #وزیر، نواب رییس #مجلس و … یاد این #بیت افتادم: گفته بودم که دگر "می"‌ نخورم در همه عمر به جز از امشب و فردا شب و شب‌های دگر</t>
  </si>
  <si>
    <t>Hassan</t>
  </si>
  <si>
    <t>http://www.instagram.com/sabaghi_as</t>
  </si>
  <si>
    <t>journalist &amp; SW Engineer</t>
  </si>
  <si>
    <t>پاسخ منتقد توهین نیست ... پاسخ منتقد تهدید نیست ... کاش در روز جشن علی، علی بار با منتقد برخورد می کردید که از صد منبر و سخنرانی تاثیر بیشتری داشت #مطهری #علی_مطهری #نماینده_تهران #مجلس #توهین #منتقد</t>
  </si>
  <si>
    <t>saman sabaghi</t>
  </si>
  <si>
    <t>چگونه #خاتمی موفق شد #حصر #آیت_الله_منتظری را بشکند و حتی تمام محدودیت‌های ایشان را حذف کند اما #روحانی موفق به رفع محدودیت‌های خاتمی و شکستن حصر #کروبی #میرحسین و بانو #رهنورد نشده است؟ آیا اراده کافی وجود دارد؟ چرا که با رای۲۴میلیونی قدرت کافی در اختیار روحانی هست</t>
  </si>
  <si>
    <t>https://pbs.twimg.com/media/Dl7Q0llW0AApw_L.jpg</t>
  </si>
  <si>
    <t>على مطهرى نماينده تفكر #خوارج در قرن ١٤،رفته از غدير صحبت كنه! اين هم از مظلوميت مولا على (ع) ٢ كلام به اون آخوند دوزارى كه مسئول ستاد انتخاباتى #روحانى هم بوده و آبروى سادات رو هم برد بگم! معلوم شد اون پارچه اى كه بَستى به سرت،دستار #معاويه هست! نه امامه پيغمبر!</t>
  </si>
  <si>
    <t>اين دوره از #مجلس اگر و فقط اگر همين يك #قانون جديد #چك رو ،جامع و بي نقص و كاربردي روانه اجرا كنه و ضمانت اجرايي و نظارت بر اجراي درستي هم براش وضع كنه ، اندازه چندين دوره قبل كه بازدهشان را براي بخش خصوصي به ياد نمي اوريم براي ما يك كار ماندگار و به دردخور انجام داده است</t>
  </si>
  <si>
    <t>http://www.Paydarplastic.com</t>
  </si>
  <si>
    <t>«مردان کنند و نگویند» | نون نوشتن، محمود دولت آبادی</t>
  </si>
  <si>
    <t>pic.twitter.com/2XJCV46RDv</t>
  </si>
  <si>
    <t>https://twitter.com/nakeesaa/status/1035147117667540992</t>
  </si>
  <si>
    <t>جالبه که یه تهدید به «میدم تو گونی ببرنت» کن، از طرف یه نفر دیگه به «تو گونی بردن» تهدید میشه. این تو گونی بردن وقتی حذف شد، بعدش میشه مطالبه کرد. میشه احمق خطاب نشد و در مورد احمق خطاب دادن مردم حتی بازخواست شد و پاسخگو بود. #گونی #مطهری #مجلس RT @nakeesaa: منتقد: شما بجای صحبت درباره غدير بگوچرا پراید ۴۵میلیون تومن شده مطهری: تو یک احمق نادانی آخوند همراه مطهری: عکس اینو به من بدید. میکنمت توی گونی</t>
  </si>
  <si>
    <t>Mehdi Hashemi</t>
  </si>
  <si>
    <t>مگر نه این که کابینه #روحانی همون کابینه #موسوی هست؟ خب اینجوری حد اقل بدبختی مردم از سال ۹۳ شروع شد و اگر موسوی رای آورده بود بدبختی از ۸۸ شروع میشد</t>
  </si>
  <si>
    <t>خبرنگارِ پشتِ میزنشین کتاب</t>
  </si>
  <si>
    <t>آقای #روحانی می‌دانید پس از پاسخگویی با خونسردی و متانت شما به مجلس #دلار و #طلا هم خیلی متین و خونسرد کشید بالا؟</t>
  </si>
  <si>
    <t>حسام آبنوس</t>
  </si>
  <si>
    <t>pic.twitter.com/14M4Wrb5Nj</t>
  </si>
  <si>
    <t>‼️ #روحانی در #مجلس: ما کار احتیاطی برای ماه‌های آینده و سال آینده انجام می‌دهیم وگرنه می‌توانیم به بانک مرکزی بگوییم تنها در ۲هفته، نرخ ارز را به سال گذشته شهریور برگردان</t>
  </si>
  <si>
    <t>photografer</t>
  </si>
  <si>
    <t>ای کسانی که #ایمان می آورید #عمرا بتونید بخوریدو بیاشامید چه برسه به اینکە #اسراف کنید سورە #روحانی #آیه #1397</t>
  </si>
  <si>
    <t>aryas rahmani</t>
  </si>
  <si>
    <t>‏‏‏‏‏‏‏‏‏architect.. I am eager to Islamic buildings... he comes ... i love my life hero.. چشم اگر با دوست دارے گوش با دشمن مڪن عاشقے و نیڪ نامے سعدیا سنگ وسبو</t>
  </si>
  <si>
    <t>یکی لطف کنه به #رئیس_جمهور بگه: فکر کن اینجا هم یکی از قَصَبات بریتانیاس :-\ خدایی چجوری کار میکنی ؟!!</t>
  </si>
  <si>
    <t>محسن مرادی</t>
  </si>
  <si>
    <t>#طلبه همراه #مطهری در فایل تصویری #سید_محمد_میرشریفی رئیس #ستاد #روحانی در #گلپایگان هم بوده .خداوند هرکه رابخواهد بزرگش میدارد و هرکه را بخواهد ذلیلش میکند. #برخورد_قاطع #رئیس_جمهور #لیست_امید #مجلس #اصلاح_طلب</t>
  </si>
  <si>
    <t>اگر تا انتخابات ریاست جمهوری #ایران در ۱۴۰۰، #میرحسین_موسوی و #مهدی_کروبی از #حصر آزاد شوند، آیا به نامزد مورد حمایت #روحانی رای خواهید داد؟</t>
  </si>
  <si>
    <t>Tehran. IRAN</t>
  </si>
  <si>
    <t>#ارز_دانشجویی پر متشکریم #روحانی تنها تخصص مدیران کشور: ناامید سازی...</t>
  </si>
  <si>
    <t>Mohammad Kianbakht</t>
  </si>
  <si>
    <t>سیاست ما عین دیانت ماست...</t>
  </si>
  <si>
    <t>علی #لاریجانی در تصویب 20دقیقه ای برجام مهمترین یاور روحانی بود #روحانی رفع مشکلات #اقتصادی را منوط به برجام ها میداند نتیجه گیری کنید... راز عدم ارجاع پرونده روحانی به قوه قضاییه دیگه فهمیده میشه! #ارسال_پرونده_روحانی_قوه_قضاییه #ساکتین_مجلس</t>
  </si>
  <si>
    <t>مَـش سلام</t>
  </si>
  <si>
    <t>‏‏‏‏‏مستقل و بی طرفانه صدای معلمان را در قالب توئیت هایشان منتشر می کنیم. حامی ‎‎‎#آموزش_رایگان و باکیفیت ،ارتقای معیشت و منزلت معلمان و آموزش زبان مادری</t>
  </si>
  <si>
    <t>همکاران گرامی بیایید به خاطر نداشتن اتحاد در طول این چندسال و عدم اعتصاب برای پیگیری حقوقمان ، خودمان را #استیضاح کنیم.</t>
  </si>
  <si>
    <t>Iranian Teachers Twitts</t>
  </si>
  <si>
    <t>http://www.utiss.ir</t>
  </si>
  <si>
    <t>‏‏‏‏‏‏دبیر مجمع دانشجویان عدالتخواه و انجمن علمی علوم اجتماعی اسلامی دانشگاه تهران</t>
  </si>
  <si>
    <t>https://pbs.twimg.com/media/Dl7bv6TVsAAd-MT.jpg</t>
  </si>
  <si>
    <t>ای آن که مذاکره شعارت احمق! می کنمت تو گونی! چرا بخشی از #مراجع و #مجلس و #دولت و... از تصور تهدید #مسئولین ذی قدرت توسط #مردم بی قدرت احساس خطر و تکلیف می کنن ولی برای برعکسش نه؟ #مکارم #روحانی #مطهری</t>
  </si>
  <si>
    <t>کیوان سلیمانی</t>
  </si>
  <si>
    <t>جزییات بسته حمایتی #رییس‌جمهور از کارگران برخوردارسازی آحاد جامعه از کارت کالا (یا همان کوپن الکترونیکی) برای تامین کالاهای اساسی مورد نیاز است تامین حمایت اجتماعی برای پنج دهک جامعه خاصیت #دولت این است، بعد ازاینکه با دخالت‌های مختلف شما را به خاک سیاه نشاند لقمه‌ای اعانه دهد.</t>
  </si>
  <si>
    <t>کاتالاکسی</t>
  </si>
  <si>
    <t>http://www.etemadonline.com/</t>
  </si>
  <si>
    <t>حساب پايگاه خبری-تحليلی #اعتمادآنلاين در شبكه اجتماعی توییتر</t>
  </si>
  <si>
    <t>TEHRAN, IRAN</t>
  </si>
  <si>
    <t>http://etemaadonline.ir/content/227477</t>
  </si>
  <si>
    <t>ابوالفضل سروش، عضو فراکسیون امید مجلس در گفت‌وگو با #اعتمادآنلاین: رای #اصلاح‌طلبان در انتخابات آینده ریزش خواهد داشت عملکرد #دولت و #مجلس در 15 ماه آینده تاثیر مستقیم بر پیروزی اصلاح‌طلبان دارد</t>
  </si>
  <si>
    <t>🌐 اعتمادآنلاين</t>
  </si>
  <si>
    <t>‏من یک شهروند عادی هستم که از اوضاع حال حاضر کشورم اصلا خرسند نیستم من همه را دوست دارم فقط مودب بیا وبرو فحاشی ＝بلاک</t>
  </si>
  <si>
    <t xml:space="preserve">JAPAN </t>
  </si>
  <si>
    <t>هر جا سخن از اعتماد است نام #روحانی میدرخشد</t>
  </si>
  <si>
    <t>آقای رییس‌جمهور #روحانی؛ شما یادتون نمیاد، شایدم چون خسته بودین شب بعد از انتخابات زود خواب‌تون برد. اما من یادتون می‌ندازم، توی جشن شادی بعد از انتخابات ۹۶ فریاد می‌زدیم ‘حسن نبود حسینه رای ما میرحسینه’ #میرحسین_موسوی</t>
  </si>
  <si>
    <t>‏‏‏‏‏‏‏‎‎‎‎‎‎‎#انقلابی هستم ‎‎‎‎‎‎‎#انقلابی میمانم</t>
  </si>
  <si>
    <t>https://pbs.twimg.com/media/Dl7d7x3W4AA6MMp.jpg</t>
  </si>
  <si>
    <t>ایشالا این چند سالم تموم‌ شه یه خواب راحت بکنیم.... #روحاني</t>
  </si>
  <si>
    <t>Majid</t>
  </si>
  <si>
    <t>لاریجانی گفته #سوال_از_رییس‌جمهور قابل ارجاع به قوه قضاییه نیست چون طبق قانون هیچکدوم‌از سوالا"استنکاف یا نقض قانون" نبوده! یعنی نماینده ای که خودش قانونگذاره به قانون مسلط نیست و نمیدونست این قانون وجود داره؟خودتونو مسخره کردید یا مردمو؟!</t>
  </si>
  <si>
    <t>#احترام و باور به #دموکراسی امری متقابل است. جواب سیلی‌های مداوم #خنده ملیح نیست. برخی بی‌احترامی کلامی‌ست مانند منتقدین #اصلاح_طلبان و برخی بی‌احترامی‌ها عملی‌ست مانند #خیانت در رفتار #اصلاح_طلبان و رهبرانش در حق #مردم_ستمدیده... #میرحسین_موسوی #خاتمی #روحانی #اصلاحات</t>
  </si>
  <si>
    <t>https://shahrvand-yar.com</t>
  </si>
  <si>
    <t>‏‏‏‏‏‏‏‏‏‏می‌کوشیم صدای جامعه مدنی باشیم وبا اطلاع رسانی متفاوت از دموکراسی خواهان حمایت کنیم تلگرام؛http://telegram.me/shahrvandyar‎‎فیسبوک؛ http://facebook.com/shahrvandyar</t>
  </si>
  <si>
    <t>Dijon, France</t>
  </si>
  <si>
    <t>https://pbs.twimg.com/media/Dl7iDsxW4AAmIhg.jpg</t>
  </si>
  <si>
    <t>دیدار اعضای #فراکسیون_زنان #مجلس با علی لاریجانی! فراکسیونی که اگر زنان را کور نکند شفا هم نمیدهد.</t>
  </si>
  <si>
    <t>شهروندیار</t>
  </si>
  <si>
    <t>http://www.masoudborbor.com</t>
  </si>
  <si>
    <t>Writer, journalist, traveler and photographer from Iran 🇮🇷 ❇️👁️🐍 https://telegram.me/harfbzanbot?start=YRomnD</t>
  </si>
  <si>
    <t>https://pbs.twimg.com/media/Dl7kU9iU8AUPsy9.jpg</t>
  </si>
  <si>
    <t>آقای #روحانی یک بار دیگر نگاهش کن و یادت باشد که سوار بر تمنای این نگاه‌ها آمدی و دور نیست که با نفرین همین نگاه‌ها بروی...</t>
  </si>
  <si>
    <t>Masoud Borbor مسعود بُربُر ⁦🇮🇷⁩</t>
  </si>
  <si>
    <t>دین‌پژوه و روزنامه‌نگار در حوزه‌ی فرهنگ و سیاست؛ ایران و خاورمیانه</t>
  </si>
  <si>
    <t>Lyon, France</t>
  </si>
  <si>
    <t>می‌گوید: #روحانی اگر با رهبری مدارا کند می‌تواند فرصت احتمالیِ جانشینیِ او را از دست ندهد و آنجا مفید باشد! عجب! کسی که امروز به پیمانش با مردم پایبند نیست گیرم فردا به هر جا که برسد چرا باید قابل اعتماد باشد؟ وعده‌ها «امانت» است و هیچ مصلحتی نمی‌تواند خیانت در امانت را توجیه کند</t>
  </si>
  <si>
    <t>AKBARIN</t>
  </si>
  <si>
    <t>آقای رییس‌جمهور #روحانی؛ شما یادتون نمیاد، شایدم چون خسته بودین شب بعد از #انتخابات زود خواب‌تون برد. اما من یادتون می‌ندازم، توی جشن شادی بعد از انتخابات ۹۲ و ۹۶ فریاد می‌زدیم ‘حسن نبود حسینیه....رأی ما میرحسینیه...` #ميرحسين_موسوي</t>
  </si>
  <si>
    <t>به طرح تضمین پرداخت #مهریه فکر میکنم! بدهکارو طلبکارانش بیشتر از #مؤسسات_مالی_غیرمجاز و اصل بدهی شرعی است و پرداختش رواتر! بعنوان یک شهروند ازپرداخت آن بدهی راضی نیستم که از علل مهم وضع اقتصادی اخیر است واگر در #مجلس بودم، مبنای قانونی پرداخت را می‌پرسیدم. #سوال_از_رئیس‌جمهور</t>
  </si>
  <si>
    <t>‏‏‏‏دوژمن ضحاک زمانه،،، خواهان یک نظام سکولار دموکرات</t>
  </si>
  <si>
    <t>ناکجا</t>
  </si>
  <si>
    <t>https://twitter.com/rezarashidpour/status/1035153063508697089</t>
  </si>
  <si>
    <t>هروقت تونستی بخاطر اون مزخرفاتی که #روحاني و #ظریف تو برنامه مزخرفت تحویل مردم ساده دادن اعتراف کنی چون به شعور مردم توهین شده قصد عذرخواهی داری و اعلام کنی که #فرقه_تبهکار و #جمهوری_اسلامی_انتخاب_من_نیست اونوقت بیا و دم از #شرافت بزن آقای رشیدپور #براندازم #ایران_را_پس_میگیریم RT @rezarashidpour: راننده ماشین کناری به کودک سرچهارراه ساندویچ تعارف کرد. دختر زیبا لبخند زد و گفت "من گرسنه م نیست بده به اون دوستم". #شرافت</t>
  </si>
  <si>
    <t>fardin nazari</t>
  </si>
  <si>
    <t>میرحسین از روحانی بدتر روحانی از میرحسین بدتر خاتمی از دوتاشون بدتر #میرحسین_موسوی #خاتمی #روحانی</t>
  </si>
  <si>
    <t>حسین بصیر</t>
  </si>
  <si>
    <t>http://t.me/PmUnkwonBot?start=u_16LIDV</t>
  </si>
  <si>
    <t>🎼🎶🎹🎸🎤🎧 ‏نشود فاشِ کسی آنچه میانِ منو توست...</t>
  </si>
  <si>
    <t>#روحانی گفته ما تو #بحران نیستیم ... آره خب راست میگه بحران توی ماست</t>
  </si>
  <si>
    <t>مانی اَم</t>
  </si>
  <si>
    <t>‏اگریه لحظه فکر کنی و تمام خاطرات از کودکی تا الان رو کنار هم بزاریم سی ثانیه هم طول نمیکشه 🌎🌎🌎🌏🌏🌎🌎زود قضاوت نکنیم از زندگی لذت ببریم کسی رو ناراحت نکنیم</t>
  </si>
  <si>
    <t>محمود میرزازاده</t>
  </si>
  <si>
    <t>فعلا هیچی</t>
  </si>
  <si>
    <t>دیزج</t>
  </si>
  <si>
    <t>https://pbs.twimg.com/media/Dl7nX3hU8AA7kEM.jpg</t>
  </si>
  <si>
    <t>اومد علاالدین گوشی بخرم، دیدم با این پولی ک من دارم فقط گوشی دکمه ای میتونم بخرم یاد شعار انتخاباتی #روحانی افتادم ک می‌گفت #به_عقب_برنمیگردیم</t>
  </si>
  <si>
    <t>MortezaAli</t>
  </si>
  <si>
    <t>احتمالاً بناست بعد از دست گلی به نام #برجام خارجی ، دست گلی بنام #برجام داخلی به آب بدهند. #رفع_حصر #میر_حسین #روحانی</t>
  </si>
  <si>
    <t>https://pbs.twimg.com/media/Dl7o3LSU0AEJu06.jpg</t>
  </si>
  <si>
    <t>گونی حاوی نامه‌های مردم به علی #لاریجانی، رئیس #مجلس که امروز به شهرستان ممسنی سفر کرده بود 🔹این گونی در حیاط یک مسجد رها شده. #ميكنمت_تو_گونى #ساکتین_مجلس #انتخابات98</t>
  </si>
  <si>
    <t>‏‏مارا به سخت جانی خود این گمان نبود! چرا که من نه آنم که زبونی کشم از چرخ فلک :)</t>
  </si>
  <si>
    <t>جا مونده تو ایران</t>
  </si>
  <si>
    <t>https://pbs.twimg.com/media/Dl7pOamWsAErLrM.jpg</t>
  </si>
  <si>
    <t>آقای #روحانی یهو یاد این پستم افتادم از سال ۹۲ که انتخاب شدی، خواستم بگم که دمت گرم برامون سنگ تموم گذاشتی :) #روحانی‌تشکر #امیدبربادرفته #امید @Rouhani_ir</t>
  </si>
  <si>
    <t>مِتولی، هزار و نهصد و دو</t>
  </si>
  <si>
    <t>علاقه مند به شعر و ریاضیات ............. interested in poetry and mathematics🇮🇷🇵🇸🇱🇧🇸🇾🇮🇶🇾🇪</t>
  </si>
  <si>
    <t>برداشت من از صحبت های #روحانی تو مجلس اینه که اگه ما سران سه قوه با هم باشیم #مردم هیچ غلطی نمی تونند بکنند🌼</t>
  </si>
  <si>
    <t>ابراهیم🌼</t>
  </si>
  <si>
    <t>https://www.facebook.com/profile.php?id=100007275618254</t>
  </si>
  <si>
    <t>🇹🇷 🇮🇷 ‏Serbest Gazeteci(İran-Türkiye) روزنامه‌نگار آزاد(ایران-ترکیه) İHA Muhabiri</t>
  </si>
  <si>
    <t>https://pbs.twimg.com/media/Dl7q9-bXcAAqQQB.jpg</t>
  </si>
  <si>
    <t>ظاهر و پوشش نمایندگان #زن مجلس ایران چه کسری از جامعه را نمایندگی می‌کنند؟ (دیدار اعضای #فراکسیون_زنان #مجلس با علی لاریجانی است.) #حجاب_اجباری</t>
  </si>
  <si>
    <t>TAHA Kermani</t>
  </si>
  <si>
    <t>فلاحتی امام جمعه گیلان: برجام نه تنها هیچ آورده‌ای برای نظام وملت به ارمغان نیاورد بلکه تحریمهای جدیدتری را نیز به کشور تحمیل کرد. +بعضیام تو مجلس هستند که یه بار 20 دقیقه ای #برجام رو تصویب میکنن، یه بارم سنگ میندازن تو راه ارسال نتایج طرح #سوال_از_رییس‌جمهور به ق.ق #ساکتین_مجلس</t>
  </si>
  <si>
    <t>به نظرتون این جمله رو احمدی نژاد به روحانی گفته یا روحانی به احمدی نژاد؟:😆 هیچکس نمیتونه یه دیوونه رو آروم کنه.. جز اونی که دیوونش کرده #روحانی #احمدی‌نژاد #گفته_نشده</t>
  </si>
  <si>
    <t>یک اتفاق نادر و تاریخی در #نظام_جمهوری_اسلامی_ایران افتاد. تنها و تنها #رییس_جمهور ی که #استیضاح شد.</t>
  </si>
  <si>
    <t>سید علی میر</t>
  </si>
  <si>
    <t>پاسخ منتقد توهین نیست ... پاسخ منتقد تهدید نیست ... کاش در روز جشن علی، علی بار با منتقد برخورد می کردید که از صد منبر و سخنرانی تاثیرگذار تر بود ... #مطهری #علی_مطهری #نماینده_تهران #مجلس #توهین #منتقد</t>
  </si>
  <si>
    <t>كمى بسيجى... كمى معلم... كمى جهادى... كمى ديوانه... #لات_بمير</t>
  </si>
  <si>
    <t>#روزمره_طور راستشو بخواهيد ديروز منتظر بودم كه #حسين_دهباشى بياد پشت تريبون و از همونجا چندتا صحبت هاى خوب نثارش كنم و بيام بيرون كار عجيبي بود از دكتر سلامي ها كه انجام شد الانم توييتشون رو ديدم و متوجه شدم كه اين آدم ، همونيه كه مستند #روحاني رو ساخته و هيچ تغييري نكرده:)</t>
  </si>
  <si>
    <t>اِبْنُ الْزِینَبْ</t>
  </si>
  <si>
    <t>خون دادن برای #امام_خمینی زیباست، خون دل خوردن برای #امام_خامنه_ای از آن زیباتر! استادم میگفت. (لا یحمل هذا العَلَم الّا اهل البصر و الصبر) #جام_زهر #لیبرال #برجام #روحانی</t>
  </si>
  <si>
    <t>https://www.facebook.com/pakeshadi/videos/526722007798549/</t>
  </si>
  <si>
    <t>#طنزخبرروز - شیخ فری #روحانی در اصطبل ولایت و پاسخ به تهدید به قتل</t>
  </si>
  <si>
    <t>‏📖بِسْمِ اللَّهِ الرَّحْمَنِ الرَّحِيمِ📖</t>
  </si>
  <si>
    <t>https://pbs.twimg.com/media/Dl7yn7OU8AQiogx.jpg</t>
  </si>
  <si>
    <t>🔰وقتی مطالبه گری مردم از نماینده های #مجلس جواب میدهد 🔺پیگیر نماینده شهرتان باشید پیگیر نماینده شهر خود باشید #شفافیت #شفافیت_آراء_نمایندگان</t>
  </si>
  <si>
    <t>Hamed_i_z</t>
  </si>
  <si>
    <t>https://pbs.twimg.com/media/Dl7y3MKUwAIYHhc.jpg</t>
  </si>
  <si>
    <t>https://pbs.twimg.com/media/Dl70B3ZU8AE0mxA.jpg</t>
  </si>
  <si>
    <t>🔰وقتی مطالبه گری مردم از نماینده های #مجلس جواب میدهد پیگیر نماینده شهر خود باشید #شفافیت #شفافیت_آراء_نمایندگان</t>
  </si>
  <si>
    <t>‏‏‏‏‏‏‏من آمدم اما او رفته بود...رفتن او آمدنی بیش نبود که در آمدنش رفتنی را طلب می کرد، رفتن او با آمدن من و آمدن من با رفتن او مسبب کسخل کردن ملت شده بود...!:</t>
  </si>
  <si>
    <t>Russia</t>
  </si>
  <si>
    <t>https://pbs.twimg.com/media/Dl70mPlWwAEBDeE.jpg</t>
  </si>
  <si>
    <t>یه زمان دلمون ب #خاتمی خوش بود!میگفتیم آخونده اما لااقل دنبال اصلاحاته! بعدشد #مهاجرانی و #سروش نوبت #هاشمی شددوباره بولدشه فرصت ب #کروبی و #میرحسین رسید زیباکلام و مطهری قطعه بعدی امیدناامیدمون شده بودن #روحاني و جهانگیری و ظریف شدند مثلثی که کور سو امیدمون رو تشکیل میدادن!</t>
  </si>
  <si>
    <t>میر تزار استوییچکوف</t>
  </si>
  <si>
    <t>https://pbs.twimg.com/media/Dl700YSUYAAo43a.jpg</t>
  </si>
  <si>
    <t>«سلیمی» نماینده مردم محلات در مجلس: عدم ارجاع سوال از رئیس جمهور به قوه قضائیه مخالف نص صریح آئین‌نامه داخلی مجلس است. #سوال_از_رییس‌جمهور</t>
  </si>
  <si>
    <t>https://pbs.twimg.com/media/Dl70SU1UcAExrhd.jpg</t>
  </si>
  <si>
    <t>#فتنه 88 پیروز شد؟!(حزب اللهی و #9دی جواب دهند) تعدادزیادی از هواداران #ميرحسين_موسوي (فریب خورده ها)به زندان رفتند اما او و #کروبی و سایر کله گنده ها آزادانه و مثلا در #حصر و بدون محاکمه و #روحانی بر سر کار با #برجام ها و نفوذ کلی #نااهل در بدنه نظام! 👈نتیجه ظلم به #احمدي_نژاد</t>
  </si>
  <si>
    <t>ahmad amoei</t>
  </si>
  <si>
    <t>#زیباکلام: «هیچ طرفدار انقلاب اسلامی یا جمهوری اسلامی نمی‌تواند سرش را راست کند و بالا بگیرد و از این اعدام‌ها(ی 67) دفاع بکند» لابد منظورش امثال خودش و #روحانی و کسانی بوده که جای شهید و جلاد رو عوض کردند وگرنه ما به این دستور انقلابی امام مثل بقیه تصمیماتش افتخار می‌کنیم</t>
  </si>
  <si>
    <t>🇮🇷گلباف</t>
  </si>
  <si>
    <t>https://pbs.twimg.com/media/Dl59hhdXgAIBABx.jpg</t>
  </si>
  <si>
    <t>https://twitter.com/ma30mo/status/1035402989090099200</t>
  </si>
  <si>
    <t>#میرحسین‌موسوی برای من نماد اصلاحات نیست. نماد آزادگی است. او (و کروبی) تنها کسی است که طی ۳۰ سال گذشته جلوی قدرت مطلقه و استبداد ایستاد و بر خلاف #رفسنجانی و #خاتمی و #روحانی مصلحت را به حقوق مردم ارجح ندونست و پای حرفش ایستاد. بازنشر این تصویر نافی دیگر بی‌عدالتی‌های نیست. RT @ma30mo: اوباش عزیز! میرحسین موسوی فقط ۸سال پیرتر شده است، پیرشدن هم طبیعت انسان است! چهره‌اش ذره‌ای به هم نریخته و حتی چاق تر هم شده! اگر رییس جمهور هم میشد بیشتر از این تغییر میکرد! فقط اگر خودارضایی تان با این عکس تمام شد آن را با تصویر سهیل عربی مقایسه کنید!</t>
  </si>
  <si>
    <t>ای کاش شان ملت و نمایندگان در هر حالت و مکانی حفظ شود ... نمایندگان نظام اسلامی در هر جایگاه و مکانی #باید صبورتر باشند ... این یک درخواست ملی است ... نقد محترمانه و جواب نقد محترمانه ام آرزوست ... #مطهری #علی_مطهری #نماینده #منتقد</t>
  </si>
  <si>
    <t>روزماله نگار و تحلیلگر مسائل ایران در بخش فارسی سی بی بی هستم</t>
  </si>
  <si>
    <t>جدن برام سواله! اگر به #روحانی رای میدید که #رئیسی رئیس جمهور نشه، خب چرا بر نمیگردید به همون نظام شاهنشاهی؟ حداقل آزادی پوشش و رونق و اعتبار اقتصادی/سیاسی داشتیم که. #تفکر</t>
  </si>
  <si>
    <t>Siavash Donbalan</t>
  </si>
  <si>
    <t>کاش خدا کمی صبر میکرد هنوز آماده نبودم برای بزرگ شدن</t>
  </si>
  <si>
    <t>pic.twitter.com/DI8fLqa0dg</t>
  </si>
  <si>
    <t>این همه شباهت اتفاقی؟؟ #احمدي_نژاد #روحاني #ما_خودمان_انتخاب_کردیم</t>
  </si>
  <si>
    <t>Farshad JF</t>
  </si>
  <si>
    <t>چرخ سانترفیوژها نچرخید تا چرخ اقتصاد بچرخد از قضا چرخ اقتصاد هم نچرخید تا پره #پنکه شیخ حسن بچرخد، از بد روزگار انهم که پره نداشت بچرخد وتنها پف کرد به عصاره فضائل ملت #مجلس</t>
  </si>
  <si>
    <t>اینکه #علی_مطهری فاقد ادب و شخصیت است که در آن حرفی نیست ولی آن آخوند بدبختی که رییس ستاد انتخاباتی #روحانی در #گلپایگان بوده و جوان منتقد را به سبک افراطیون مدعی #اعتدال به #گونی تهدید میکند نشانه‌ای وحشتناک از ایجاد طبقه‌ای جدید و فاسد بنام #آخوند_آمریکایی و طاغوتی دارد.</t>
  </si>
  <si>
    <t>https://pbs.twimg.com/media/Dl76mqbVsAAe5h5.jpg</t>
  </si>
  <si>
    <t>توی ⁧#سوال_از_رییس‌جمهور⁩ از۲۷۱نماینده حاضر ۱۱۷ نفر موافق #شفافیت_آرا و۱۲۶ نفر مخالف بودن.۹ نفر هم نظرشون این بوده که زودتربریم سراصل مطلب(ممتنع) توجه دارید که تعدادموافقان رای گیری علنی زیادبوده واگر اون نه تا... رای ممتنع نمی‌دادند؛ رای گیری علنی می‌شد پرتغال فروش کو؟</t>
  </si>
  <si>
    <t>Golestan twitt</t>
  </si>
  <si>
    <t>اگر ۸۸، #ميرحسين_موسوي بجای اون #مرد انتخاب میشد، وضع امروز رو ۴-۵ سال زودتر تجربه میکردین. میر حسین یا #روحانی براتون فرقی نداره، نون به نرخ‌روز میخورید!</t>
  </si>
  <si>
    <t>روزنامه نگار ،مستندساز،مهندس مکانیک</t>
  </si>
  <si>
    <t>https://pbs.twimg.com/media/Dl7_F1SWsAMqcJ9.jpg</t>
  </si>
  <si>
    <t>فعالیت انتخاباتی این ها شروع شد با بی لیاقتی دولت #روحانی، پاس گل #ترامپ به #تندروها در ایران تبلیغات گسترده #سلطنت_طلب ها و دوستانشان برای ناامیدی مردم و عملکرد ضعیف اصلاح‌طلب نماها در مجلس و شورای شهر به فرماندهی غضنفر اصلاحات یعنی #عارف، تکرار حکومت #احمدی‌نژاد ها نزدیک است</t>
  </si>
  <si>
    <t>aminazad</t>
  </si>
  <si>
    <t>😉مهمترین اصل “انسانیت”است اگر کسی از من کمکی بخواهد یعنی من هنوز روی زمین ارزش دارم ! http://goo.gl/C6sbtf‎‎‎</t>
  </si>
  <si>
    <t>اگر تو #رئیس_جمهور میشدی برای ملتت چیکار میکردی, #کوت کنید</t>
  </si>
  <si>
    <t>interpol</t>
  </si>
  <si>
    <t>‏‏‏‏‏‏‏‏‏‏‏‏‏‏‏‏‏‏‏‏‏‏‏‏‏‏‏‏‏‏‏‏‏‏‏‏‏‏‏‏‏‏‏‏‏‏‏‏(بیو) مگه مال مرغ و خروسا نبوووود!؟ ولی حالا که تا اینجا اومدم عرض کنم که بنده متأهل و مادر دو دلارام نازنین اس</t>
  </si>
  <si>
    <t>اندر خم یک کوچه</t>
  </si>
  <si>
    <t>#با_روحانی_تا1400سال_پیش هم اکنون از پیدا کردن هر نوع پوشک سایز 4 و 5 ناامید شده و کهنه پارچه‌ای خریدیم😊 #روحانی تو روحت</t>
  </si>
  <si>
    <t>‏سپید +</t>
  </si>
  <si>
    <t>هردو را یک نفر فریاد زده! لطفا با ریتم بخونید: تا ۱۴۰۰ با #روحانی عکس بگیر؛ میکنمت تو #گونی !! چه ارتباط معناداری نه؟</t>
  </si>
  <si>
    <t>دانش آموخته مدرسه مادریم علوی مذهبم از طایفه آذریم عشق فقط سیدعلی خامنه ای</t>
  </si>
  <si>
    <t>https://pbs.twimg.com/media/Dl8B62-W0AA-isl.jpg</t>
  </si>
  <si>
    <t>اقایی که با #مطهری درگیری لفظی پیدا کرد طرفداراقای #روحانی بوده حالا یه عده به دروغ بگن این اقا رو ازعمدفرستاده بودن #اصلاح_طلبان_بی_اخلاق</t>
  </si>
  <si>
    <t>hossein doman</t>
  </si>
  <si>
    <t>اميد.بذر هويت ماست💚</t>
  </si>
  <si>
    <t>https://pbs.twimg.com/media/Dl8DzqQW4AAIOr7.jpg</t>
  </si>
  <si>
    <t>🔴 اسامی نمایندگانی که لزوم حضور وزیر آموزش و پرورش را در روزهای نزدیک به آغاز مدارس درک نمیکنند! ٢٤ نماينده موافق #استيضاح را بشناسيم. #استيضاح_وزير_آموزش_پرورش</t>
  </si>
  <si>
    <t>اردلان ميراسماعيلي</t>
  </si>
  <si>
    <t>می‌دونین غضنفرآبادی قاضی پرونده #مشایی همزمان با دولت نهم و ‌دهم نماینده لیست پایداری از حوزه انتخابیه #بم در #مجلس بود.</t>
  </si>
  <si>
    <t>جناب #روحانی و تیم ژنرال هاشون قیمت پوشک رو هم نمیتونن کنترل کنن؟ یعنی کاری که شماها با مملکت ۸۰ میلیونی کردین، بچه ی ۲ ماهه با پوشک ۱۱۹ هزار تومنی نکرده!</t>
  </si>
  <si>
    <t>‏‏‏‏‏‏‏‏‏‏‏‏‏‏‏‏‏‏‏‏‏‏‏‏‏‏‏‏‏‏‏‏‏‏‏‏‏‏‏‏‏‏‏‏‏‏‏‏‏‏‏‏‏به نام آن که جان را فکرت آموخت | معتقد به ولایت و انقلاب</t>
  </si>
  <si>
    <t>خیلی دوست دارم با #مشایی و #احمدی‌نژاد و #بقایی شوخی کنم. آخرت کمدی‌ان! ولی اینکه می‌بینم بعضا درست می‌گن؛ با همه اشتباهاتشون جلومو میگیره. تا یه حرف درستی می‌زنه می‌گید می‌خواد #رییس_جمهور بشه. بابا من بهش رای نمی‌دم مگر تو بخوای بهش رای بدی که رییس جمهور بشه. مفهوم؟!</t>
  </si>
  <si>
    <t>امیرعلی ایرانی</t>
  </si>
  <si>
    <t>Politics News</t>
  </si>
  <si>
    <t>pic.twitter.com/QbAnhnYByJ</t>
  </si>
  <si>
    <t>خودیھای نظام ھم متوجە شدەاند کە فساد چگونە در تاروپود حکومت ریشە دواندە و امثال علی مطھری و چھرەھای ظاھرا خوب چگونە میکوشند عمر نظام را افزایش دھند! #ایران #مجلس #نمایده_مجلس #غدیر #مذهب #دین #سقوط_نظام_آخوندی #تظاهرات_سراسری #اعتراضات_سراسری #اعتصابات_سراسری #صدای_مردم</t>
  </si>
  <si>
    <t>ایران آزاد</t>
  </si>
  <si>
    <t>‏‏‏‏‏من یه عکس پر غبار از یه ترانه ساز لال...</t>
  </si>
  <si>
    <t>تلخ تر از دیدن عکس #ميرحسين_موسوي ،ری اکشن بعضی از دوستان هم فکر گذشته و ناامید امروز است که میگن اینم مثه بقیشونه آقای #روحانی ،لیست #امید ،حضرات داعیه دار #اصلاحات ،چیکار کردید با امید یک ملت?!چیکار کردید که سمبل #ایستادگی پشت حقوق #مردم رو بی اعتبار کردید? خدا ازتون نگذره..</t>
  </si>
  <si>
    <t>دیمن سالواتوره</t>
  </si>
  <si>
    <t>http://www.trtpersian.com</t>
  </si>
  <si>
    <t>وبسایت رادیو تلویزیون دولتی ترکیه، چهره جدید تی آر تی در دنیای اینترنت. آخرین اخبار صوتی، تصویری و نوشتاری منطقه و جهان در زمینه های فرهنگی، هنری، علمی و ورزشی</t>
  </si>
  <si>
    <t>Ankara</t>
  </si>
  <si>
    <t>http://www.trt.net.tr/persian/trkhyh/2018/08/31/ry-ys-jmhwr-trkhyh-lm-dsht-khh-trkhyh-smnhhy-s-400-r-bh-zwdy-thwyl-khwhd-grft-1040807</t>
  </si>
  <si>
    <t>#رئیس_جمهور #ترکیه اعلام داشت که ترکیه #سامانه‌های اس-400 را به زودی تحویل خواهد گرفت رئیس جمهوری ترکیه در سخنانی تصریح کرد که کشور به سامانه‌های دفاع موشکی اس-400 نیاز دارد و در سریع‌ترین زمان ممکن آنها را تحویل خواهد گرفت</t>
  </si>
  <si>
    <t>TRTPERSIAN.COM</t>
  </si>
  <si>
    <t>مـن یـک عـقـرب دارم کـه اسـمـش زبـونـه اگـر نـیـش نـخـوردی بـدون حـسش نـبـودهـا.....!!! یــــاغـــی</t>
  </si>
  <si>
    <t>♛♔ مِــلک ری♔♛</t>
  </si>
  <si>
    <t>یـک ســوال؟ #روحانی‌ جــدیــدا نـگفتـه خیـــالـتـون راجــع بـه ضـروریـات زنــدگـی راحـت! چـون مـی‌خـواسـتـم بـرم فـروشـگـاه مـحــل رو خـالـی کـنـم از گـشـنـگی نـمـی‌ریـم...!!! #یـاغــے</t>
  </si>
  <si>
    <t>یــاغـــی</t>
  </si>
  <si>
    <t>https://pbs.twimg.com/media/Dl8Le7XUwAAuEdd.jpg</t>
  </si>
  <si>
    <t>افتخار #روحانی این است که با #برجام توانست بعد از ۴۰ سال هواپیمای نو خریداری کند ولی بواسطه برهم خوردن همان برجام بلیط هواپیما انقدر گران شده که هیچ کس توان خرید آن را ندارد تصویر زیر فرودگاه خالی مهرآباد است</t>
  </si>
  <si>
    <t>https://pbs.twimg.com/media/Dl8L19oXoAAFftn.jpg</t>
  </si>
  <si>
    <t>https://www.radiozamaneh.com/410093</t>
  </si>
  <si>
    <t>متن گفت‌وگوی #روحانی با مقام اسرائیلی در سال ۱۳۶۵؛ بازخوانی یک ملاقات محرمانه نوشته: کامبیز غفوری #ایران_اسرائیل</t>
  </si>
  <si>
    <t>یکی از دوستام پیام داده : امروز حدود ۲ ساعت نصف اصفهان رو دنبال #پوشک بچه گشتم و پیدا نکردم. از #رئیس_جمهور محترم میخوام مصرف خودشو کاهش بده ؛ یه چندتایی هم تو کشور برا بچه ها باقی بمونه! 😂</t>
  </si>
  <si>
    <t>https://pbs.twimg.com/media/Dl7A-5nW4AAEOwN.jpg</t>
  </si>
  <si>
    <t>https://twitter.com/padash_mr/status/1035477176903188480</t>
  </si>
  <si>
    <t>#روحانی هم برا نشون دادن اقتدارش به غربیا یه ملت رو نفله کرد RT @padash_mr: جا داره در #روز_ملی_یوزپلنگ_ایرانی یادی کنیم از مظفرالدین شاه که برای نشون دادن اقتدارش پلنگای مملکت رو نفله میکرد!</t>
  </si>
  <si>
    <t>هر خطاب عربی، آیه ی قرآنی نیست! هرکه عمامه به سر داشت که #روحانی نیست! ذکر أکملت لکم، شاکله ی دین خداست، انتخاب ولی الله که انسانی نیست! حتم بعد از نبی الا سه و یا چهار نفر، گفته باشند که این مسئله ایمانی نیست! #رشتو #پیغام_غدیر</t>
  </si>
  <si>
    <t>بانکها طبق کدوم قانون به برادر #روحانی وام میلیاردی اونم با سود صفر درصد دادن؟ در حالی مردم عادی برا گرفتن یه وام ده میلیونی با سود 20 درصد انقدر میرن و میان که دست اخر بعضیاشون میگن ما نخواستیم #بانک_غلط_میکند</t>
  </si>
  <si>
    <t>‏‏افسر جنگ نرم ...... فرمانده ام دستور آتش به اختیارم داده اند... عاشق مبارزه با صهیونیسم جهانی ....</t>
  </si>
  <si>
    <t>طرف برای یک پلاکارد که توی حوزه علمیه بالا رفته ، یقه پاره میکنه که #رئیس_جمهور را تهدید به مرگ کردند و مرگ #هاشمی_رفسنجانی در اسخر فرح را مشکوک میدونه، اونوقت یک جوان #منتقد را تهدید میکنن و صداش رو در نمیارن !! #علی_مطهری</t>
  </si>
  <si>
    <t>Hadi Jahanzadeh</t>
  </si>
  <si>
    <t>تفاوت رو با دولت #روحانی احساس کنید دواتفاق درقم وگلپایگان،مهم منافع #دولت و #مجلس هستش. یکی باجوسازی رسانه ها تبدیل به پرونده جنایی (قتل هاشمی، تهدید به قتل روحانی)😂اینم کارخودشون بودالبته ودیگری بااینکه تهدیدعلنی بود (#ميكنمت_تو_گونى) اما سانسور شد! #گونی #استخرِ_فرح #مطهری</t>
  </si>
  <si>
    <t>با #پراید ۴۰ میلیونی رو یه موزاییک #دولت و #مجلس رومیکنیم توی گونی خلاصه حواستوت رو جمع کنین مردم صبرشون تموم شده اقای #مطهری🤣 #ميكنمت_تو_گونى #استخرِ_فرح #روحانی</t>
  </si>
  <si>
    <t>http://www.dabirimehr.ir</t>
  </si>
  <si>
    <t>امیر دبیری مهر مدرس و پژوهشگر علوم سياسي نوشته ات گويا ترين چيزي است كه از جانب تو سخن مي گويد (علي ع)</t>
  </si>
  <si>
    <t>https://www.instagram.com/p/BnJpMgWh4xz/?utm_source=ig_twitter_share&amp;igshid=ksm8n2g5o61s</t>
  </si>
  <si>
    <t>اين وضع #سرعت #اينترنت #شركت مخابرات تهران است براي #اپديت نرم افزار گوشي ٦ روز زمان مي خواهد واقعا خجالت اور و شرم اور است جالبه اقاي #روحاني مي فرمايند مردم ايران از اينترنت #پرسرعت…</t>
  </si>
  <si>
    <t>http://milad.nekofar.com</t>
  </si>
  <si>
    <t>I have over a decade of experience in the software industry and I know one thing; that I know nothing. 🤔</t>
  </si>
  <si>
    <t>دولت روحانی خیلی وقته شمشیرش را برای ملت از رو بسته. اینکه انتظار داری امثال #روحانی و #ظریف چیز جدیدی بگن، باعث تعجب. 🤷‍♂️</t>
  </si>
  <si>
    <t>Milad Nekofar</t>
  </si>
  <si>
    <t>کاش زن گرفتن هم گزینه‌ی undo داشت . #زن #همسر #ازدواج #میرحسین #روحانی #حجاب #اسلام #ایران #شوهر #سکس #زندان #باقالی #مرغ #آمریکا #هاشمی #برجام #احمدی_نژاد #لاریجانی #موگرینی #پیتزا #اکستنشن_تهرانی #تنهایی #متاهل #زنا #ممه #آلت #توییتر #اینستاگرام #فتوشاپ #دلار #ارز #فساد #پنیر</t>
  </si>
  <si>
    <t>اردک قرمساق</t>
  </si>
  <si>
    <t>https://pbs.twimg.com/media/Dl7sdHDW0AAAlI3.jpg</t>
  </si>
  <si>
    <t>https://twitter.com/Tasnimnews_Fa/status/1035524963766358016
http://tn.ai/1816789</t>
  </si>
  <si>
    <t>آخه لامصب ۶۰هزار میلیارد تومان اعتبار !!!! یعنی به دلار نیما ۸میلیارد دلار ؟! به دلار آزاد ۶میلیارد دلار؟! بودجه عمرانی گشور ۲۰هزار میلیارد است که ده هزار تا هم محقق نمیشود. دروغ را گفتن بزرگ بگو تا باورپذیرتر باشه اما نه دیگه اینقدر #روحانی #تحریم #قحطی #اشتغال #ایران RT @Tasnimnews_Fa: سرپرست #وزارت_کار: ۶۰ هزار میلیارد تومان برای بنگاه‌های بزرگ و متوسط در نظر گرفته شده که از طریق سازمان برنامه و بودجه ساز و کار آن انجام می‌گیرد/حدود 100 تا 150 هزار نفر بر اساس #برنامه‌ریزی در حوزه #کارورزی شغل پیش‌بینی کرده‌ایم</t>
  </si>
  <si>
    <t>https://telegram.me/HarfBeManBot?start=NDQ4MTYwNTgz</t>
  </si>
  <si>
    <t>ما این عصیان را با خود می بریم. بر شانه می بریم. شانه ای که زخم هایش از آن شماست ... #حامی‌اصلاحات #پرسپولیسی</t>
  </si>
  <si>
    <t>در مملکت طالع ما صبح نخندد</t>
  </si>
  <si>
    <t>https://pbs.twimg.com/media/DAQRrzGXUAI10Ty.jpg</t>
  </si>
  <si>
    <t>https://twitter.com/3rendpt/status/865836498440126464</t>
  </si>
  <si>
    <t>آقای #رئیس_جمهور ، شما مسئول پاسخگویی به این همه بغض و هشتگین که از دیشب تایم لاین رو پرُ کرده... امید و جوونیِ همه ما داره پای تک تک وعده های شما به نا امیدی و پیری میرسه .. #ميرحسين_موسوى #حصر #یادآر @Rouhani_ir RT @3rendpt: وان سرو خضرا را بگو ، مستان سلامت میکند✌💚💜 #تا١٤٠٠باروحاني #ميرحسين_موسوي #بردیم</t>
  </si>
  <si>
    <t>ειαπε sңябпі</t>
  </si>
  <si>
    <t>‏‏‏🛑ورود عرزشی، مجاهد و اصلاحطلب ممنوع🛑</t>
  </si>
  <si>
    <t>https://pbs.twimg.com/media/Dl8bdndW4AEjPVj.jpg</t>
  </si>
  <si>
    <t>رئیس اتحادیه مرغ و ماهی گفته وقتی پراید گرون میشه و مردم میخرن چرا مرغ گرون رو نخرن؟ خاره توجیح😐 میوه ی درخت تدبیر و امید🗝 #تابستان_نارضایتی #روحانی</t>
  </si>
  <si>
    <t>REZ</t>
  </si>
  <si>
    <t>https://telegram.me/harfbzanbot?start=PY4Y1P</t>
  </si>
  <si>
    <t>چقدر لذت بخشه که اسطوره های پوشالی #اصلاحات یکی یکی دارن ماهیت خودشون نشون بدن تا بیشتر بفهمیم که #دیگه_تمومه_ماجرا #ظریف #خاتمی #روحانی</t>
  </si>
  <si>
    <t>‏‏‏‎چشم مخصوص تماشاست اگر بگذارند /و تماشای تو زیباست اگر بگذارند /من از اظهار نظرهای دلم فهمیدم /عشق هم صاحب فتواست اگر بگذارند...</t>
  </si>
  <si>
    <t>اوضاع دولت #روحانی به حالت آژیرخطر رسیده است،طوری که دو حزب اصلی بدنه دولت(کارگزاران و اعتدال وتوسعه) را وادار به تقابل نموده،حزب کارگزاران در یک فرار رو به جلو سعی کرده در بیانیه ای حساب خود را از دولت روحانی جدا کند و حزب اعتدال به قصد رسواکردن کارگزارانی ها،بیانیه داده است!</t>
  </si>
  <si>
    <t>آفاق بانو</t>
  </si>
  <si>
    <t>‏‏‏‏‏‏‏‏‏‏‏‏‏‏‏‏‏‏‏‏‏🙋‍♀️یه آدم معمولی ...</t>
  </si>
  <si>
    <t>گم شده کوی حسینم...</t>
  </si>
  <si>
    <t>خدا بگم مجلس رو چیکار کنه... چند روزه به هر کی میگم احسنت خندم میگیره... #سوال_از_رییس‌جمهور</t>
  </si>
  <si>
    <t>نسل انقلاب🇮🇷</t>
  </si>
  <si>
    <t>https://pbs.twimg.com/media/Dl8d0ZtXsAMxokT.jpg</t>
  </si>
  <si>
    <t>با #روحانی تا ۱۳۰۰ !!! به سرعت نور داریم به زمان قاجار برمیگردیم ... #دولت #ريتوييت_لطفا</t>
  </si>
  <si>
    <t>آى گات لاست، ون آى واز بُرن</t>
  </si>
  <si>
    <t>كير تو كسِّ خوارِ مملكتى كه نشه توش دو تا سيگار حشيش كشيد. آقاى #روحاني كس ننه ات دوستِ عزيز آقاى #خامنه‌ای كسّ ننه ات با تشديد خوار ننه كير دزد</t>
  </si>
  <si>
    <t>sare hal</t>
  </si>
  <si>
    <t>#میرحسین_موسوی گفت نمی تواند بر سر حقوق و آرای پایمال شده مردم مصالحه کند. مصالحه نکرد و تاوانش را داد. ولی سربلند و پیروز است بر عکس #روحانی که پس از انتخابات ۹۶ به جای ایستادگی بر برنامه و شعارها به مردم پشت کرد و به مخالفان باج داد و راه خفت را جای عزت انتخاب کرد.</t>
  </si>
  <si>
    <t>arashbarfi</t>
  </si>
  <si>
    <t>فرق کاندیدای مردمی با کاندیدای حکومتی اینه که اقایون او را قدیسش میکنن و انتقاد ازش مانند انتقاد از شخص #ولایت_فقیه است و کسی که ازش انتقاد میکنه حتما مورد غصب قرار خواهد گرفت به همین علت مردم #روحانی را انتخاب کردن انتخاب #رئیسی یعنی #دیکتاتوری یعنی #احمدی_نژاد یسم.</t>
  </si>
  <si>
    <t>سايه همه نژاد ها يك رنگ است.بعضيا وجود ندارند كه سايه اي داشته باشند.</t>
  </si>
  <si>
    <t>#مصلحی_جعبه_سیاه_نظام گزينه ي رهبري بود همچنانكه #روحاني از جانب ايشان قابل دفاع است داستان حيدر حكايت سكه هاي سعدي شده!</t>
  </si>
  <si>
    <t>karami 🚵</t>
  </si>
  <si>
    <t>امروز مظلوم تر از #دراویش_گنابادی در زندانها نداریم ؛ ظلمی که بخاطر اعتقاد بر اینان می‌رود ، در تاریخ دویست ساله اخیر ایران نظیر نداشته ؛ آقای #روحانی ، شما باید پاسدار #حقوق_شهروندی مردم باشید @Rouhani_ir</t>
  </si>
  <si>
    <t>متولد ماه اسفند فنی کار نون بازومو می خورم منت کسی رو هم نمیکشم فوق دیپلم برق الکترونیک دارم یه پسر دارم که با دنیا عوض نمی کنم ویه همسر مهربان</t>
  </si>
  <si>
    <t>#مطهرى کار ندارم کارش درست بود یا غلط اما اینکه فیلم گرفته شده و اینجوری روش مانور میدن حتما دل یک عده ای رو خنک می کنه #حمید_رسایی یادمون باشه اشتباه نزنیم مقصر اصلی مطهری نیست باید این سوال رو از بزرگترها پرسید #روحانی #ایران</t>
  </si>
  <si>
    <t>the 👑 of the north</t>
  </si>
  <si>
    <t>http://www.baraabari.com</t>
  </si>
  <si>
    <t>در راستای تصویب لایحه تامین امنیت زنان تلاش میکنیم</t>
  </si>
  <si>
    <t>https://pbs.twimg.com/media/Dl8igD4V4AAcK0o.jpg</t>
  </si>
  <si>
    <t>برای اولین بار قرار است در #لایحه #تامین_امنیت_زنان تعریفی از #خشونت ارائه شود #محمدعلی_اسفنانی #زنان #قانون #مجلس</t>
  </si>
  <si>
    <t>baraabari</t>
  </si>
  <si>
    <t>https://pbs.twimg.com/media/Dl8jCqrXcAAFD2z.jpg</t>
  </si>
  <si>
    <t>رشد منفی اقتصاد #ایران مرکز پژوهش‌های #مجلس در تازه ترین گزارش خود، رشد اقتصادی ایران در سال ۹۷ و ۹۸ را منفی برآورد کرده است. کاظم جلالی: در سال ۹۷ رشد اقتصادی ایران در سناریوی اول منفی نیم درصد و در سناریوی دوم منفی ٢ و ٨ دهم درصد خواهد بود.</t>
  </si>
  <si>
    <t>ای کاش #روحانی و #لاریجانی هم مثل قیمت سکه و #دلار و ماشین حباب بودن</t>
  </si>
  <si>
    <t>#خاتمی : کسانی که در کشور فساد میکنند ایمان به قیامت ندارند. . . . آهان پس اروپایی ها که فساد اینشکلی ندارند توحید و ایمان به معادشون صد در صده. داداش جون اون قانونتو یکم آپدیت کنی طرف #آتئیست هم که باشه هیچ غلطی نمیتونه بکنه. #مجلس</t>
  </si>
  <si>
    <t>همسر #شهید_همت: اتاقمان روی پشت بام خانه یکی از برادرهای بسیجی بود که پیش از این مرغدانی بود و توی بمباران بلا استفاده شده بود. #پنکه #روحانی</t>
  </si>
  <si>
    <t>قانون پولی وبانکی وتغییر برابری ریال به #طلا به پیشنهاد بانک مرکزی وموافقت وزیر دارایی وتائید هیات وزیران وتصویب مجلس است؛ آیا تصمیمات در این مورد چنین مراحلی راطی کرده است؟ ده‌ها کارشناس زبده دربانک مرکزی و وزرای اقتصادی و دولت و #مجلس باید دراین‌باره اظهارنظر کنند؛آیا کرده اند؟</t>
  </si>
  <si>
    <t>#استیضاح بطحایی وزیر آموزش و پرورش در شرایط جنگ اقتصادی؛ افت ارزش ریال و تورم و احتکار؛ منو یاد این جک انداخت: طرف رفت ساندویچی گفت: یه کوکتل بده؛ برام گوجه نزار. ساندویچیه گفت: گوجه ندارم برات خیارشور نمی زارم!</t>
  </si>
  <si>
    <t>هیچ وقت فکر نمیکردم روزگاری برسه که بگم صد رحمت به #احمدي_نژاد #روحانی #دولت</t>
  </si>
  <si>
    <t>با هزار دروغ و دسیسه #روحانی رو انداختید به ملت الان که گند زده به همه چی شد تقصیر دولت پنهان و ترامپ؟! دارید جر میزنید! کی میخواید مسئولیت کارهاتونو به عهده بگیرید؟ کی میخواید بزرگ بشید؟! #اصلاح_طلبان</t>
  </si>
  <si>
    <t>‏‏لطفا به هدر توجه کنید⁦⁦⬆️⁩</t>
  </si>
  <si>
    <t>برزخ</t>
  </si>
  <si>
    <t>در شرایط بحرانی، چهره واقعی آدما مشخص میشه #WeAreNotBots #ظریف #مطهری #روحانی #خاتمی</t>
  </si>
  <si>
    <t>سیدارتها 🕊 💙</t>
  </si>
  <si>
    <t>I am currently in the digital marketing department of Akhbarrasmi company. I am interested in technology, marketing, designing and web platforms.</t>
  </si>
  <si>
    <t>دیگر در هیچ انتخاباتی شرکت نمیکنم! #مطهری #گونی #انتقاد #گلپایگان #مجلس</t>
  </si>
  <si>
    <t>hasan baroonian</t>
  </si>
  <si>
    <t>‏این نیز بگذرد . . .</t>
  </si>
  <si>
    <t>یه #مهدکودک از #مجلس کشور ما منظم تره</t>
  </si>
  <si>
    <t>Donatello دوناتللو</t>
  </si>
  <si>
    <t>سال ۹۲ وقتی #روحانی انتخاب شد، مامانم و بغل کردم های های گریه که یعنی #میرحسین_موسوی و #کروبی آزاد میشن؟!!!! حالا ۵ سال گذشته و .... بخدا ما ملت ساده و نجیبی هستیم انقدر جفا نکنین... #جهانگیری</t>
  </si>
  <si>
    <t>marjan mahloo</t>
  </si>
  <si>
    <t>تو فضای سیاسی #ایران تنها یه اصل اساسی وجود داره و اونم اینه که هرگز به سیاستمدارانی که از دل #جمهوری_اسلامی بیرون اومدن نباید اعتماد کرد حتی اگه به ظاهر مخالف و در حصر و بند باشن. رای به #روحانی ملموس ترین دلیل برای این حرفه.</t>
  </si>
  <si>
    <t>AliRad</t>
  </si>
  <si>
    <t>‏پشت این نقاب چیزی فراتر از جسمه پشت این نقاب آرمانه و آرمان ها ضد گلوله اند ‎‎‎‎‎‎#براندازم</t>
  </si>
  <si>
    <t>rasht</t>
  </si>
  <si>
    <t>#WeAreNotBots @JZarif آقای ظریف من یه رباتم مخالف #جمهوری_اسلامی و #براندازم به هیچ حزب و گروهی وصل نیستم و فقط برای #براندازی میجنگم و هیچگاه #فردای_براندازی تو #عراقچی و #روحانی #خامنه‌ای را فراموش نخواهم کرد به خون پدرم قسم رودرویت میگویم #ربات هستم</t>
  </si>
  <si>
    <t>Sasar</t>
  </si>
  <si>
    <t>http://vakavic.com</t>
  </si>
  <si>
    <t>Vakavic helps businesses automate their workflows or gain a better insight of their customers by providing text analysis and NLP solutions as a service.</t>
  </si>
  <si>
    <t>https://pbs.twimg.com/media/Dl8vQqkXsAA0ykP.jpg</t>
  </si>
  <si>
    <t>https://goo.gl/PRDRwx</t>
  </si>
  <si>
    <t>🔴 سوال از رئیس‌جمهور 📈 تحلیل نظرات کاربران توییتر ⚙️ قدرت گرفته از ابزار هوش مصنوعی و پردازش متن واکاویک نسخه با کیفیت:  #ai #Machine_Learning #داده_کاوی #متن_کاوی #واکاویک #سوال_از_رئیس‌جمهور #مجلس #هوش_مصنوعی</t>
  </si>
  <si>
    <t>Vakavic</t>
  </si>
  <si>
    <t>عملکرد تاسف برانگیز دولت ناکارآمد #روحاني نه تنها بیشترین ضربه را به اعتبار و پرستیژ #اصلاح_طلبان زد بلکه #اسحق_جهانگیری و #جواد_ظریف را که از شانس و توان بالایی برای برنده کردن اصلاح طلبان در #انتخابات_ریاست_جمهوری_۱۴۰۰ برخوردار بودند در افکار عمومی خوار و بی اعتبار کرد.</t>
  </si>
  <si>
    <t>http://majlisnameh.com</t>
  </si>
  <si>
    <t>مجلس‌نامه: آسان‌ترین راه نامه‌نگاری آنلاین با نمایندگان #مجلس</t>
  </si>
  <si>
    <t>pic.twitter.com/pUt1UmcJ2X</t>
  </si>
  <si>
    <t>با نوشتن ایمیل (عمومی) در سایت مجلس‌نامه، مشکلات خود را با نمایندگان #مجلس در میان بگذارید👇  نماینده‌ها نامه‌ها را می‌گیرند و امکان جواب دادن به آن‌ها را دارند. حتما پس از ارسال نامه، ایمیل دریافتی از مجلس‌نامه را تایید کنید.</t>
  </si>
  <si>
    <t>مجلس‌نامه</t>
  </si>
  <si>
    <t>‏investor in financial markets 📉 tehran stock market 📈 معتقدم جهان بحران اقتصادی بسیار عظیمی خواهد داشت که بزرگترین انتقال ثروت در طول تاریخ بشریتا خواهیم دید</t>
  </si>
  <si>
    <t>https://pbs.twimg.com/media/Dl8zOubXsAED734.jpg</t>
  </si>
  <si>
    <t>چه خوب شد که رییس جمهور نشدی وگرنه عاقبی بهتر از روحانی نداشتی... ولی الان تا ابد بعنوان یک قهرمان در ذهن دانشجوهای سال 88 و خیلی از افراد قشر طبقه متوسط خواهی ماند #ميرحسين_موسوي #روحانی #خامنه‌ای</t>
  </si>
  <si>
    <t>پسر بابام اهل همین حوالی / معمولا هم اعصاب ندارم ، اعصاب کشی مغزی شده ام</t>
  </si>
  <si>
    <t>#ترامپ اخیرا گفته :" اگر من نبودم #ایران خاورمیانه را گرفته بود" باید گفت زِر نزن مومن ، #روحانی اگر نبود تو هم هیچ گُهی نبودی</t>
  </si>
  <si>
    <t>کابوی پیر</t>
  </si>
  <si>
    <t>فالو بک ندادم حتما دایرکت بگو من همه را دوست دارم اخلاق اخلاق اخلاق اخلاق فحاشی =بلاک</t>
  </si>
  <si>
    <t>#روحاني دستگاه دروغ سنج پنتاگون را با مهارت ویژه دروغ گویی سوزاند</t>
  </si>
  <si>
    <t>‏‏‏‏‏‏ارائه دیدگاه وانت نیسانی از نوع آبی در خصوص مسائل سیاسی روز کشور/ اگر فالو کردید که هیچ وگرنه جاتون عقبِ وانته ‎#انقلابی فالو = بک</t>
  </si>
  <si>
    <t>ایران مظلوم اسیر لیبرالها</t>
  </si>
  <si>
    <t>خب... انگار لابی #وزارت_آموزش_و_پرورش توی #مجلس واسه قضیه #استیضاح خیلی جواب نداده! امشب #رامبد_جوان یه لیست از کارهایی که وزارت در دوره جدید! انجام داده رو خوند!! البته خیلی هم تابلو نبود، فقط همین ۸۰ میلیون جمعیت ایران متوجه داستان شدن!!</t>
  </si>
  <si>
    <t>🇮🇷وانت نیسان سیاسی🇮🇷</t>
  </si>
  <si>
    <t>http://alifatehi.com</t>
  </si>
  <si>
    <t>An Iranian in Paris who is active in cinema and politics who studied in @sciencespo in art and politics.</t>
  </si>
  <si>
    <t>Paris, France</t>
  </si>
  <si>
    <t>pic.twitter.com/2jLXGKIuP5</t>
  </si>
  <si>
    <t>روزی که شما تو اروپا و امریکا می‌چرخیدی و برای #برجام تلاش می‌کری همین ایرانی‌های فیک بودند که ازت حمایت می‌کردند! همین فیک‌ها بودند که تبلیغات #روحانی را می‌کردند. اون‌هایی که روی #موشک ها #عبری نوشتند توییتری‌ها نبودند. آقای #ظریف داری با خودت و امید مردم به #اصلاح چه می‌کنی؟</t>
  </si>
  <si>
    <t>Ali Fatehi</t>
  </si>
  <si>
    <t>https://pbs.twimg.com/media/Dl82CZbXcAAH3HP.jpg</t>
  </si>
  <si>
    <t>خون تازه در رگ‌ #اصلاحات/ جزییات ترکیب جدید شورای عالی #اصلاح_طلبان #بطحایی می‌ماند یا می‌رود؟ / گزارشی درباره #استیضاح وزیر آموزش و پرورش ▫️جلد #روزنامه_سازندگی، ۱۰ شهریور ۹۷</t>
  </si>
  <si>
    <t>‏‏‏‏‏‏‏‏‏‏‏‏‏‏‏‏‏‏‏‏‏‏‏‏‏‏‏‏‏‏‏‏‏‏‏‏‏‏‏‏‏‏‏‏‏‏‏‏‏‏‏‏‏‏‏‏‏‏‏‏‏‏‏من از نوع نگاهم حرف زدم با تو بقیش مهارت بازی با حروف بود Music Is My Life</t>
  </si>
  <si>
    <t>دنیای خاکستری</t>
  </si>
  <si>
    <t>https://pbs.twimg.com/media/Dl82GaDX0AYQ0Ho.jpg</t>
  </si>
  <si>
    <t>تصوری که #روحانی از مخاطباش داره</t>
  </si>
  <si>
    <t>🏳 گانیکوس ( R2 )</t>
  </si>
  <si>
    <t>‏‏‏پژوهشگر برتر حوزه‌های علمیه/مولف ۱۸ عنوان کتاب در حوزه انقلاب و دفاع مقدس/مدرس تاریخ شفاهی</t>
  </si>
  <si>
    <t>با افتخار، جمهوری اسلامی ایران</t>
  </si>
  <si>
    <t>https://pbs.twimg.com/media/Dl7WdI2W4AEAjiK.jpg</t>
  </si>
  <si>
    <t>https://twitter.com/hamidrasaee/status/1035500776213372928</t>
  </si>
  <si>
    <t>این جناب قولچماق‌الاسلام، حضرت #گونی_به_دست از خودشونه! ادبیاتش رو از خالق گفتمان #برید_به_جهنم آموخته! #استخرفرح #مطهری #روحانی #گونی RT @hamidrasaee: غوغاسالاران بیش ازیک هفته، همّ وغم شان را گذاشتند تا از یک تابلو در #فیضیه، دو پرونده جنایی (قتل هاشمی، تهدید به قتل روحانی) استخراج کنند، حالا طرف زُل زده تو چشم یک جوان و تهدیدش کرده که میکُنمت توی گونی، اما همان غوغاسالاران خفه خون گرفته اند... #علی_مطهری #ميكنمت_تو_گونى</t>
  </si>
  <si>
    <t>مهدی الهی‌فرد</t>
  </si>
  <si>
    <t>دلیل اصرار #رهبری بر حفظ #روحانی پیشگیری از سرایت بحران اقتصادی به مشروعیت نظام است. با سقوط دولت، شکاف اجتماعی-مذهبی سرباز میکند و حاکمیت بی‌دولت توانایی کنترل شورشهای معیشتی-سیاسی تحریک شده از خارج را ندارد و اینها بر بحران اقتصادی افزوده و مشروعیت اصل نظام به خطر می‌افتد.</t>
  </si>
  <si>
    <t>‏‏‏‏‏‏‏‏‏‏‏نگاهی دقیق!!!!😳😳😎 / یک فرد عادی! // منهای جناح بندی // خیلی دوست دارم شبیحش باشم</t>
  </si>
  <si>
    <t>لباس روحانیت هم شامل گرگ ها میشه!!! فقط گرگ هاش فرق داره!جوری که میش هم خراب میشه! حالا میخواد از نوع سه پریزیدنت باشه #علی_مطهری #روحانی #خاتمی #رفسنجانی #فساد</t>
  </si>
  <si>
    <t>آمیرزا بروجردی</t>
  </si>
  <si>
    <t>ميگن اون آخونده كه ميخواسته طرف رو بندازه تو #گونى رييس ستاد انتخابات #روحانى تو گلپايگان بوده:) همچنين ميگن ، اون پسرى كه اعتراض داشته هم از حاميان حسن روحانى بوده:) اين وسط ماهم دعاگوى همه ياوران بنفش هستيم...</t>
  </si>
  <si>
    <t>https://twitter.com/yaminpour/status/1035514258468028416</t>
  </si>
  <si>
    <t>هیچ...! اما اگر در انتخابات اخیر هم بجای #روحانی آن سیدی که سنگش را به سینه کوبیدید رئیس جمهور شده بود و یحتمل بجای #جهانگیری ، #قالیباف معاون اول شده بود! در شرایط فعلی کشور چه تغییری ایجاد میشد جز اینکه مردم مسبب بدبختی های خود را بجای یک #شیخ ؛ یک #سید بدانند؟!...باز هم #هیچ RT @yaminpour: این میر پیری که تا این اندازه جانگداز قربان صدقه‌اش می‌‌روند اگر اکنون دولت را در دستان خود داشت کابینه‌اش دقیقا چه تفاوتی با دولت فعلی می‌کرد جز اینکه یحتمل آخوندی به جای جهانگیری معاون اول می‌شد؟</t>
  </si>
  <si>
    <t>تا وقتی منشن هست، دایرکت چرا؟؟</t>
  </si>
  <si>
    <t>https://twitter.com/yaminpour/status/1035586335749427202
https://twitter.com/safir_313/status/1035491853636956161</t>
  </si>
  <si>
    <t>دقیقا مصداق جمله مرگ خوبه ولی واسه همسایه! گویا این دلقک عضو #فرقه_مصباحیه، فراموش کرده که همین چند روز پیش آن مداح شارلاتان وابسته به بیت و همفکرش #رئیس‌جمهور کشور رو تهدید به مرگ کرد. چرا اون موقع خفه خون گرفته بودی آقای #یامین‌پور #منصور_ارضی @yaminpour RT @yaminpour: ماده ۶۶۹ ق.م.ا تعزیرات: "هر کس دیگری را به هر نحو به قتل یا ضررهای نفسی و شرافتی یا مالی یا به افشای سری نسبت به خود یا بستگان او تهدید کند... به مجازات شلاق تا 74 ضربه یا زندان از دو ماه تا دو سال محکوم خواهد شد." #گونی_به_دست</t>
  </si>
  <si>
    <t>کارن</t>
  </si>
  <si>
    <t>متاسفانه از مجلسی خواستار اصلاح امور هستیم که عملکردی غیر شفاف دارد. مبارزه با #فساد از #مجلس آغاز میشود با #شفافیت_آراء_نمایندگان آغاز کنید</t>
  </si>
  <si>
    <t>💚جنبش سبز💚وفادار به عهد مردان و بانو در حصر💚 (برانداز و يا ارزشي نيستم) در بحث با هم "مودب" و "مهربان"باشيم</t>
  </si>
  <si>
    <t>من وقتي مي ببينم امثال #رسايي تو #مجلس نيستند و مجبوراند تا بزن بهادرهاشون رو بفرستند سراغ #مطهري نايب رييس مجلس تا در روز #عید_غدیر فيلم سينمايي بسازند تا مرهمي بر شكست هاشون باشه،مي فهمم راي دادنم ١٠٠ درصد هم بي فايده نبوده است #شيخ_علينژاد #بي_شرم</t>
  </si>
  <si>
    <t>Shahriar Asghari 🕊</t>
  </si>
  <si>
    <t>ممنونم که مطالب منو مطالعه میکنید</t>
  </si>
  <si>
    <t>ايران</t>
  </si>
  <si>
    <t>با اینکه منتقد #دولت هستم اما معتقدم در این دولت بیان ها #صریح تر و انتقادات راحتر صورت گرفت. #اعتدال #تدبیر #روحانی</t>
  </si>
  <si>
    <t>Hooman.hosn</t>
  </si>
  <si>
    <t>https://pbs.twimg.com/media/Dl8--KSXsAALre5.jpg</t>
  </si>
  <si>
    <t>میدانید چرا #طباخی و #یامین_پور به #میرحسین_موسوی توهین میکنند چون آنها فکر میکردند شاید عملکرد تقریبا ضعیف #روحانی در دولت دوم اش پایگاه مردمی و بدنه اصلاحطلبان را از هم پاشیده و امکان اجماع مجدد را ندارند که فقط یک عکس تکرار میکنم فقط یک عکس همه رویاهایشان را برباد داد</t>
  </si>
  <si>
    <t>مجلس با #استیضاح_وزرا و سوال از #رییس_جمهور سعی در فرار از پاسخگویی دارد در صورتی که خود نقش بسیار پرنگی در نابسامانی امروز دارد تصویب نکردن #لایحه_مبارزه_با_پول_شویی و #سهم_خواهی_از_وزرا ودیگر اقدامات نمایندگان مطمئنا بدون اثر نیست #مجلس_پاسخگو_نیست</t>
  </si>
  <si>
    <t>http://m0911.com</t>
  </si>
  <si>
    <t>from Astara-Iran, IT Man, WordPress &amp; WooCommerce Web &amp; SEO, MS Windows Network, Analyzer, Google Local Guide, Blood B+, Political: Left Liberal/Reformist</t>
  </si>
  <si>
    <t>Semnan, Iran</t>
  </si>
  <si>
    <t>از این به بعد هر فحشی به #ظریف آزاد و تحقیرش لازمه ربات رو که حد شرعی نمی‌زنند البته زیاده‌روی نباید بشود فحش باید در حد اعتدال باشد تندروی نباید باشد روغن و وازلین باید استفاده بشود ایچؤئی سیکیم #روحانی مگر می شود اراده ملت را نادیده گرفت؟ باشوئا قوسوم #خاتمی #wearenotbots</t>
  </si>
  <si>
    <t>Mehdi Abdollahi 🎗️</t>
  </si>
  <si>
    <t>‏یه جوان رویین تن انقلابی anti israel</t>
  </si>
  <si>
    <t>کربلا</t>
  </si>
  <si>
    <t>جناب سعدی میگه: دیدار یار غائب، دانی چه ذوق دارد؟، ابری که در بیابان بر تشنه‌ای ببارد، یعنی میخوام بگم تا #برجام نداشته باشی، نمیفهمی این لذتای به ظاهر کوچیک خیلی بزرگ رو. #خسارت_محض #برجام_خسارت_محض #امید_واهی #دولت_اعتدال #دولت_پنهان #روحانی #ظریف</t>
  </si>
  <si>
    <t>Roeintan</t>
  </si>
  <si>
    <t xml:space="preserve">جمهوری اسلامی ایران ، اردبیل </t>
  </si>
  <si>
    <t>جالبه که جوانی که با #مطهری اونطوری حرف زده، سال قبل جزو ستاد #روحانی بوده از شماست که بر ماست</t>
  </si>
  <si>
    <t>🇮🇷کمیل بارونی 🇮🇷</t>
  </si>
  <si>
    <t>برای ایران جان میدهیم</t>
  </si>
  <si>
    <t>آخرین اجرا #ابوطالب_حسینی در خنداننده شو: #روحانی و وزرا ،#میرحسین_موسوی را با یک میلیون تومن میدیم، میرسیلم را پس میگیریم 😅😅😅😅</t>
  </si>
  <si>
    <t>Iran Force</t>
  </si>
  <si>
    <t>https://pbs.twimg.com/media/Dl9CFxhXcAAq876.jpg</t>
  </si>
  <si>
    <t>#فاطمه_سعیدی نماینده #مجلس با اشاره به احکام صادره برای #دانشجویان، پرونده #زنان #بازداشت شده در اعتراضات مرداد و پرونده #زنان_درویش #زندانی گفت: روز پنچ‌شنبه با یکی از مقامات #قوه_قضائیه دیدار داشت</t>
  </si>
  <si>
    <t>مشروطه خواه ميانه رو بودم اما بنابر تحليل امروز ايران،"سلطنت مطلقه"از يك شاه روشنفكر را تنها راه نجات ايران ميدانم !نظر شخصي من ربطي به مشروطه خواهان ندارد !</t>
  </si>
  <si>
    <t>خيليم عالي شد!!از #دي ماه ٩٦ يكي يكي سران اصلاحات و نوچه هايشان چهره پليدشون و رو كردن !!#خاتمي پر #روحاني پر #ظريف پر #مطهري پر ....#WeAreNotBots</t>
  </si>
  <si>
    <t>انتي چپوليسم👑</t>
  </si>
  <si>
    <t>https://pbs.twimg.com/media/Dl9BamvWwAAlzc0.jpg</t>
  </si>
  <si>
    <t>یه #گونی سیب زمینی! از این گونی توری ها🙃 📎گونی ام گونی های قدیم، یه ابهتی داشت یه شخصیتی داشت هرجایی پیدا نمیشد! . . . راستی از دلار چه خبر؟ از وضعیت بیکاری؟ از پراید 41 تومنی چی؟ کلا چه خبر جناب #روحانی ؟</t>
  </si>
  <si>
    <t>ما بات نيستيم، بات ها مصنوعى زندگى ميكنند مثل #خامنه‌ای بيدست و پروستات، مدرك مصنوعى دارند مثل #روحانى يا عروسك خامنه اى اند مثل #ظريف_دروغگو و مجلسيها #WeAreNotBot</t>
  </si>
  <si>
    <t>Maziyar Farhoud👑</t>
  </si>
  <si>
    <t>#استخرِ_فرح تهدید به قتله اما #گونی تهدید نیست ؟ دعای عاقبت به خیریه؟؟ #تاجزاده و باقی ماله کشای دولتی نمیخوان نظری بدن؟ ،#جوان_منتقد طرفدار #روحانی مطهری آخوند هم که رئیس ستاد #روحانی</t>
  </si>
  <si>
    <t>محمد  زارعی</t>
  </si>
  <si>
    <t>https://pbs.twimg.com/media/Dl9F_F3XoAAObzd.jpg</t>
  </si>
  <si>
    <t>همش سوال همش استیضاح بابا بذارین یه ربع بخوابم عجب گیری افتادما #روحانی</t>
  </si>
  <si>
    <t>‏‏جامعه شناس ، سیاست شناس ، انسان شناس ، دانشجوی علوم اجتماعی ، ارادتمند همه دوستان و مخالفان خودم حمید رضا شاهوردی هستم</t>
  </si>
  <si>
    <t xml:space="preserve">بچه مین کوه (پشت کوه) </t>
  </si>
  <si>
    <t>https://twitter.com/Hamid9351/status/1035622993609850886</t>
  </si>
  <si>
    <t>تقدیم به حاج #علی_مطهری و #روحانی ، همراه ایشان. به زودی محاکمه خواهیم شد RT @Hamid9351: ای که #گونی_کردن شعارت بُود #چوبه_دار در انتظارت بُود</t>
  </si>
  <si>
    <t>حمیدرضا شاهوردی</t>
  </si>
  <si>
    <t>از نژاد آريـــاییم، تير آرش در کمانم، نام ايران بر زبانم.</t>
  </si>
  <si>
    <t>pic.twitter.com/bgTLHnMnaP</t>
  </si>
  <si>
    <t>https://twitter.com/safir_313/status/1035491853636956161</t>
  </si>
  <si>
    <t>من پیر شدم و حافظه خوبی ندارم. لطفا موقع #انتخابات #مجلس به من اسم این #نماینده رو یاداوری کنید. بله از #حوزه #گلپایگان برای #مجلس_شورای_اسلامی ایشون به یک معترض فرمودند میگم بکنند توی گونی و ببرندت !! RT @safir_313: 🔻فیلم دیگری از درگیری لفظی #میرشریفی روحانی #گونی_به_دست و حامی علی مطهری با معترضان در گلپایگان گویا این آقا کارش همینه!</t>
  </si>
  <si>
    <t>Mohammad Ramezani</t>
  </si>
  <si>
    <t>http://gholeh.blogfa.com/</t>
  </si>
  <si>
    <t>#ظریف دوره اول #روحانی ، گفته بود که ما زندانی سیاسی نداریم! اما نخواستیم باور کنیم این آدم یک دروغگوی بزرگ‌بوده و ما فکر میکردیم کمی فرق میکنه! حالا هم گفته اینجا همه باهاشون مشکل دارند و ربات و آدم استکبارجهانی هستن :-))) اقای ظریف تاریخ از شما خواهد نوشت! #WeAreNotBot</t>
  </si>
  <si>
    <t>Hamid</t>
  </si>
  <si>
    <t>یا اللهُ یا رحمانُ یا رحیمُ یا مُقَلِّبَ القُلوبِ ثَبِّت قَلبی عَلی دینِکَ</t>
  </si>
  <si>
    <t>اوضاع طوری شده که اگ خود ترامپ هم بگه من میخام مذاکره کنم تا بعد بزنم زیرش باز هم هستند کسانی که خواستار مذاکره باشند. #برجام #ظریف #روحانی</t>
  </si>
  <si>
    <t>SALAR</t>
  </si>
  <si>
    <t>احمد زین الدین سید محمد میرشریفی علی مطهری هر سه شخص حاضر در فیلم حامی #روحانی هستن و روحانی شاد و خندان</t>
  </si>
  <si>
    <t>https://pbs.twimg.com/media/Dl9IsmaX0AENXRG.jpg</t>
  </si>
  <si>
    <t>تا 1400با #روحانی قابل توجه اون ۲۴ میلیون نفر😆😆 #سوال_از_رییس‌جمهور #خارج_از_دید</t>
  </si>
  <si>
    <t>I wanna go there! Where?! I dont know, just there! هیچی از زندگیمون نفهمیدیم... Phd Student رُک حرفاتو بزن اما توهین نکن هر چیز که در جُستن آنی، آنی!</t>
  </si>
  <si>
    <t>پسرم! تو یک #رئیس_جمهور #اصلاح_طلب, یک رئیس جمهور #اصولگرا و یک رئیس جمهور #میانه_رو را دیدی. زین پس هر کسی با هر #شعاری آمد بدان که حرف مفت می‌زند و او هم کاری برایت نخواهد کرد.</t>
  </si>
  <si>
    <t>Ridiculous Fighter</t>
  </si>
  <si>
    <t>تا 1400 #گونی گونی با #روحانی😅 البته اگه از تو گونی جون سالم به در بردی🤣 #ميكنمت_تو_گونى</t>
  </si>
  <si>
    <t>صدای مرگ ارام #روحانی برجام بی فرجام استیضاح وزیران سوال از رئیس جمهور و ماندن زیر تیغ استیضاح و عدم کفایت و پشت کردن ب بدنه مردمی و غلتیدن در دامن اربابان قدرت برای ماندن خیلی زودتر از آنچه تصور میشد ناقوس مرگ سیاسی روحانی رو قبل مرگ در استخر فرح ب صدا در اورده. الفاتحه</t>
  </si>
  <si>
    <t>‏پرچم بالاست 🤗🙋💪</t>
  </si>
  <si>
    <t>https://pbs.twimg.com/media/Dl9MfB8X4AAGY88.jpg</t>
  </si>
  <si>
    <t>اون روحانی نما دقیقا همان کسی است که امام در مورد اونا گفته : آنقدر که #اسلام از این مقدسین #روحانی نما ضربه خورده از هیچ قشری ضربه نخورده . مگه اون جوان چی گفته بود که اینطوری داری از نماینده مجلس دفاع میکنی!!!؟؟؟ خدا رحمتت کنه امام #تا_1400_با_گونی</t>
  </si>
  <si>
    <t>پرچم</t>
  </si>
  <si>
    <t>‏‏‏‏بیاییم برای دفاع ازحقوق مظلومین درمقابل ظالم بایستیم تاایرانی بدون تبعیض داشته باشیم</t>
  </si>
  <si>
    <t>https://twitter.com/sinavaliollah/status/1035206016001028096</t>
  </si>
  <si>
    <t>بیشرم تراز #ظریف و #روحانی خودشونن #WeAreNotBots RT @sinavaliollah: نخست وزیر اسرائیل گفته ایران از صفحه روزگار محو میشه، بعد ظریف بهش گفته بی حد و اندازه بی شرمی! حداقل یه پارچه مینداختی روی اون تابلوی شمارش معکوس نابودی اسرائیل بعد از بی شرمی می‌گفتی!</t>
  </si>
  <si>
    <t>mkesvat</t>
  </si>
  <si>
    <t>hi...!</t>
  </si>
  <si>
    <t>https://twitter.com/Hasanshahi22/status/1035601259259023360</t>
  </si>
  <si>
    <t>یه پائیز زردو زمستون سردو یه زندون تنگو یه زخم قشنگو همه جمعه، عصرو غریبی #حصر و ... #روحانی کجاییییییییییییییی ذقیقا کجایییییییییییییییییییییییییییی یه دنیا غریبم کجایییییییییییییی عزیزم :) جمعی از پیران ِ #حصر مشکلات اقتصادی دولت :) RT @Hasanshahi22: ماهایی که توی حصر مشکلات اقتصادی دولت قرار گرفتیم اصلا پیر نمی‌شیم، فقط اونایی که توی حصر خانگی هستند پیر و فرتوت می‌شوند.</t>
  </si>
  <si>
    <t>فرشته ندّاف</t>
  </si>
  <si>
    <t>‏خداوندا مگذار آنچه را که حق می دانم به خاطر آنچه که بد می دانند کتمان کنم ‎#دکتر_علی_شریعتی</t>
  </si>
  <si>
    <t>اینکه سه فراکسیون مجلس مخالف استیضاح وزیر اقتصاد بودن و در نهایت استیضاح رأی آورد خیلی حرفه ها!!!! باز شما به لیستا اعتماد کنین و لیستی رأی بدین! #استیضاح #فراکسیون_امید #اقتصاد #مجلس #رأی_لیستی</t>
  </si>
  <si>
    <t>The_alone_commander</t>
  </si>
  <si>
    <t>‏‏‏‏الحمدللّه الذی جعلنا من المتمسکین بولایة امیرالموٌمنین علی(ع)</t>
  </si>
  <si>
    <t>وقتی بانک‌ها به قدری قدرتمند شده اند که می‌توانند لایحه اصلاح قوانین بانکداری غیر ربوی را از دستور کار #مجلس خارج کنند یعنی بانکداریمون هم جناحی شده و در دست سیاسیون کله گندس. #بانک_غلط_میکند</t>
  </si>
  <si>
    <t>عباس حاج هاشمی⁦⁦⁦⁦🇵🇸⁩🤝⁦🇮🇷⁩</t>
  </si>
  <si>
    <t>‏‏‏‏‏‏‏‏‏‏‏‏‏‏‏‏‏‏سخن این است که ما بی تو نخواهیم حیات...... ‏‎‎‎#معمار ‎‎#ماکت_ساز ‎‎‎‎‎‎‎‎‎‎‎‎‎‎‎‎‎‎‎‎#Architect ‎‎‎‎#Replicator</t>
  </si>
  <si>
    <t>pic.twitter.com/kKzQYZZCAt</t>
  </si>
  <si>
    <t>#دابسمش جدید #لقمه_شو #احمدی_‌نژاد و #روحاني</t>
  </si>
  <si>
    <t>Molaei</t>
  </si>
  <si>
    <t>pic.twitter.com/k48Ov1TQ0E</t>
  </si>
  <si>
    <t>🎥ذوالنور، نماینده قم خطاب به #روحانی: شما رئیس جمهور #ایران هستید یا سوئیس؟ @Drsalaam</t>
  </si>
  <si>
    <t>Mohammadi</t>
  </si>
  <si>
    <t>گويا عدالتى وجود ندارد !!! #براندازم</t>
  </si>
  <si>
    <t>#ظریف و #روحانی فتحلعلی شاهای زمان ما هستن!از شمال تا جنوب این مملکت رو،تمام و آب و خاک این مملکت رو، با امضای این خائنین و صد البته که به دستور اربابشون به فنا دادن.اونوقت کی ربات و فیکه! #WeAreNotBots</t>
  </si>
  <si>
    <t>Shaki 🏳️</t>
  </si>
  <si>
    <t>http://Instagram.com/mahtab.gholizadeh</t>
  </si>
  <si>
    <t>Economic journalist / پیشتر در روزنامه‌های شرق، اعتماد، روزگار، آسمان، حیات نو و...</t>
  </si>
  <si>
    <t>شت! می‌دونستین عضو کمیسیون صنایع مجلس چی گفته؟ گفته تدبیر شده که خریداران خودروهای جدید تا یک سال حق فروش خودروشون رو ندارن !!! من یه‌کم دیر این خبر رو خوندم ولی در نوع خودش بی‌نظیره :))) #اقتصاد #اقتصاد #خودرو #خودرو_نخرید #دولت #مجلس</t>
  </si>
  <si>
    <t>Mahtab Gholizadeh</t>
  </si>
  <si>
    <t>‏‏‏‏psychologist policy... عدالتخواهم</t>
  </si>
  <si>
    <t>شاهکار کمیسیون اقتصادی #مجلس با وزارت صنعت و #دولت و سر شرایط جدید فروش #خودرو یک سال حق فروش نداری نمیتونی بفروشی. هزار جور میشه این قانونو دور زد چرا ما نمیمریم از دست این مسئولان شاهکار . آخه زورت کردن فکر کنی نادان #سایپا #ایران_خودرو #احتکار #خاک_بر_اون_سر_متفکرت</t>
  </si>
  <si>
    <t>andromeda</t>
  </si>
  <si>
    <t>https://lnu.se/en/</t>
  </si>
  <si>
    <t>برای سرگرمی و آشنا شدن با آدمای باحال و گاهی هم اطلاع‌رسانی اینجام، دین، عقیده و باورت رو برای خودت نگه دار، یه نیمچه سوادی هم در حد ام بی اِی دارم</t>
  </si>
  <si>
    <t>قیافه این #روحانی و #ظریف کصکشو اینجا میبینم میخوام بالا بیارم :// پ‌ن: مخصوصا حرف زدنشون</t>
  </si>
  <si>
    <t>Soheil</t>
  </si>
  <si>
    <t>https://pbs.twimg.com/media/Dl9X7GcX4AANgHR.jpg</t>
  </si>
  <si>
    <t>آقای #روحانی، روز مبادا و اقدامات #احتیاطی ،شب تار مردمان ایران ست این مردم،جانی ندارند که تئوری های اقتصادی هولناک تراوش کرده از مغز بیمار مشاوران اقتصادی شما ،رویشان تست شود دولت #عملگرا بخودت بیا</t>
  </si>
  <si>
    <t>‏‏‏‏‏‏‏‏‏‏‏‏‏‏‏‏‏‏‏‏‏ حق کدوم وَره؟ من همون وَرم</t>
  </si>
  <si>
    <t>استخر فرح در انتظارم 🏊</t>
  </si>
  <si>
    <t>https://pbs.twimg.com/media/Dl9Zv1rXgAEInWS.jpg</t>
  </si>
  <si>
    <t>هنگام گفتن '' دوستت دارم '' مرا ماهی تصور کن همانقدر کم حافظه همانقدر تشنه... . 🐟تصویر ماهی شب عیده ک خدارو شکر با وجود خطر رفتن گونی تو ایران ، هنوز زندس #iran #روحانی</t>
  </si>
  <si>
    <t>رئیس جمهور بـ👁️ـاخ(باپنکه همراه)</t>
  </si>
  <si>
    <t>حرف ها #ظریف چند بار گوش کردم که شاید درست برداشت نشده باشد ولی هر بار که گوش میکنم بیشتر به یقین میرسم دولت #روحانی با این وزیر خارجه اش که قرار بود درست حسابی باشد به رای مردم خیانت کرده.شاید #جواد_ماله هم برای ظریف مناسب باشد #ZarifIsALiar #WeAreNotBots</t>
  </si>
  <si>
    <t>‏‏دانشجوی کارشناسی ارشد روابط بین الملل، نیمچه خبرنگار http://elpress.ir</t>
  </si>
  <si>
    <t>آذربایجان شرقی - تبریز</t>
  </si>
  <si>
    <t>توصیه‌ی @JZarif به استفاده از توئیتر. لابیِ @azarijahromi با نمایندگان جهت مخالفت با #استیضاح کرباسیان. چه جیگر تو جیگری شده این دولت</t>
  </si>
  <si>
    <t>hamid_vazifeh</t>
  </si>
  <si>
    <t>‏دیگه اون اوس موسای سابق نیستم</t>
  </si>
  <si>
    <t xml:space="preserve">وسط ِ نفت و جنگ و عشق </t>
  </si>
  <si>
    <t>اینم بگم قول میدم برم: مسخره کردن #ميرحسين_موسوي و لرزش دست #روحانی و فحش به #خاتمی کسی رو نمیاره اینور. عملکرد و افکارشون رو مستدل و مودبانه توضیح بدیم کافیه. قول میدم آخری بود میرم بخوابم</t>
  </si>
  <si>
    <t>محسنوف</t>
  </si>
  <si>
    <t>آقای #روحانی یک #وعده داد و به آن هم عمل کرد. ایشان گفتند کاری خواهند کرد که دیگر مردم خودشون به این 45 هزار تومن احتیاج نداشته باشند. 45 تومن رو به قدری بی ارزش کرد که مردم به چشم پول تو جیبی هم بهش نگاه نمی کنن...</t>
  </si>
  <si>
    <t>mohammadsajjad</t>
  </si>
  <si>
    <t>غلامرضاحیدری نماینده تهران: #روحاني احترام #خاتمي را نگه دارد و با #مردم صحبت کند آقای نماینده! اگه شیخ اعتدال با مردم صحبتم نکنه اتفاق خاصی نمیفته ها‌ لازم نیست بخاطر یه ممنوع التصویرِ معلوم السابقه منت بزارید و با یه مجسمه(مرتضی حیدری) یا یه دلقک(رضا رشیدپور) با مردم حرف بزنید</t>
  </si>
  <si>
    <t>http://www.mabdesigner.com</t>
  </si>
  <si>
    <t>Activist &amp; Interior and exterior designer</t>
  </si>
  <si>
    <t>Ile-de-France, France</t>
  </si>
  <si>
    <t>میخوام با سر برم تو دیوار وقتی میبینم طرف با دیدن عکس #میرحسین_موسوی شروع میکنه به قصه پردازی و افسانه سرایی دوباره! دوست عزیز شما همونی که سال ۹۲ به #روحاني هم رای دادی! و شما همونی که هنوزم توی چرخه #جمهوري_اسلامي از بدتر به بد فرار میکنی! تو از یه سوراخ بارها گزیده میشی!</t>
  </si>
  <si>
    <t>Milad A. Bidgoli</t>
  </si>
  <si>
    <t>میترسم #روحانی هم به سرنوشت دولت قبل دچار بشه. باید دید روحانی چطور این تحریم ها رو دفع میکنه و ضربه ای که به اقتصاد مملکت خورد (فارغ از بحث وابستگیش به تحریم یا فساد و یا هر چیز دیگه...) رو چطور جبران میکنه. پس باید آمار #تورم و #رشد_اقتصادی رو در نظر داشت.</t>
  </si>
  <si>
    <t>Journalist / Producer @Manototv</t>
  </si>
  <si>
    <t>https://pbs.twimg.com/media/Dl9lEuaXgAI1PK3.jpg</t>
  </si>
  <si>
    <t>آقای #روحانی در مصاحبه با کریستین امانپور و شبکه سی‌ان‌ان سال ۲۰۱۴ : فکر نمی‌کنم در ایران فردی به خاطر روزنامه‌نگار بودن دستگیر و یا زندانی شده باشد. همه شون دروغ میگن بعد جالبه این دوباره رای اورد ...</t>
  </si>
  <si>
    <t>Salome Seyednia</t>
  </si>
  <si>
    <t>https://pbs.twimg.com/media/Dl9qc_BW4AEghU_.jpg</t>
  </si>
  <si>
    <t>دکمه سرآستین های لاکچری آقای ظریف 388 دلار که با دلار 10 هزار و ۷۰۰ تومانی امروز میشه ۴ میلیون و ۱۵۱ هزار تومان 😐 #روحانی #دولت_اشرافی</t>
  </si>
  <si>
    <t>Mir_reza</t>
  </si>
  <si>
    <t>https://pbs.twimg.com/media/Dl9tMsCW4AADzxq.jpg</t>
  </si>
  <si>
    <t>شما کی هستید که به مردم می گید نادان؟! وکیلی که به موکلش میگه نادان! خودش چقدر داناست؟ شما مگه چند تا رأی آوردید که به خودتون اجازه میدید نظر ۸۰ میلیون انسان صاحب حق رو ندید بگیرید؟! آقای #علی_مطهری ، شما مثلا #نماینده مردم فهیم پایتخت در مجلسی؟! دیگه هرگز به #مردم نگو #نادان!</t>
  </si>
  <si>
    <t>http://m.youtube.com/user/MNEDA1</t>
  </si>
  <si>
    <t>“It is no longer the era of sword. It is the era of Economy,Human Rights, Science&amp; Technology which Islam &amp; any other religion is unable to provide.”Ammar Anwer</t>
  </si>
  <si>
    <t xml:space="preserve">Hawaii </t>
  </si>
  <si>
    <t>https://twitter.com/afsharmahnaz/status/1035663899608133633</t>
  </si>
  <si>
    <t>#جمهوری‌اسلامی که توسط یک‌هندی فناتیک خشت اولش نهاده شده و عده‌ای عراقی در #مجلس و قوه‌قضاییه‌اش در مسند امور هستند، هدفش از روز نخست ارتقا #ایران و ایرانی نبود. هدفش تنها به انجام رساندن توهمات فاضلاب #جمکران بودو بس. توجه کنید که امام غیبیشان کارهایی قرار است بکند همطراز #داعش. RT @AfsharMahnaz: خس و خاشاک گوساله و بزغاله ربات نه! هیچکدام نیستیم ما فقط ایرانمان را دوست داریم.</t>
  </si>
  <si>
    <t>https://www.instagram.com/m.s.r72/</t>
  </si>
  <si>
    <t>A programmer ،Interested in politics and programming And love psychology😉 #انقلابی_ام / فالوکردن نشانه تایید یک تفکر نیست!از دشمنتم یادبگیر😉</t>
  </si>
  <si>
    <t>Islamic Republic of Iran 🇮🇷</t>
  </si>
  <si>
    <t>#کاش خیلی ایکاشها کاش نمیشد! و کاشت میشد...تا ایکاشی گفته نمیشد! #ایکاش (#روحانی) رئیس جمهور نبود! #ایکاش وضع اقتصادی خوب بود! #ایکاش جوونا راحت تر بهم میرسیدن! #ایکاش همه چیز اینجوری #گرون نمیشد! #ایکاش مردم بیشتر هوای همو داشتن! #ایکاش این همه جوون غمگین و افسرده تو جامعه نبود!</t>
  </si>
  <si>
    <t>Mohammad $adegh🍒</t>
  </si>
  <si>
    <t>https://pbs.twimg.com/media/Dl6t-flXsAA-hTQ.jpg</t>
  </si>
  <si>
    <t>https://twitter.com/mah_sadeghi/status/1035456267463151616</t>
  </si>
  <si>
    <t>جناب نماینده لیست امید ... به شما رای ندادیم که درباره #محصورین سکوت کنی. #روحانی وعده ای نداد ولی شما با وعده #رفع_حصر به مجلس رفتید ... ولی الان به جمع #دلواپسان و #براندازاللهی ها پیوستید و نقنقو شدید. RT @mah_sadeghi: امروز ۹ شهریور #روز_ملی_یوزپلنگ_ایرانی است؛ خانواده های زندانیان حامی محیط زیست پیام می‌دهند و تقاضای پیگیری وضعیت آنها را دارند. بعنوان یک نماینده مجلس در حدود مقدوراتم تلاش کرده ام صدای آنان را بگوش مسئولان برسانم. شرمنده ام که بیش از این کاری نتوانسته ام بکنم.</t>
  </si>
  <si>
    <t>⬅⬅⬅ ‏آدرس ما در اینستاگرام: http://instagram.com/saeer_ir‎‎ آپارات: http://aparat.com/doodera‎‎ http://aparat.com/saeer.ir‎‎ ایتا: http://eitaa.com/saeer_</t>
  </si>
  <si>
    <t>Pouraghai</t>
  </si>
  <si>
    <t>https://www.aparat.com/v/MalzD</t>
  </si>
  <si>
    <t>🔴حمله به تسلیحات موشکی ایران توسط #علی_مطهری و #روحاني آقای مطهری همونیه که به منتقد خودش میگه احمق ولی فکر کنم احمق به کسی بگن که وطن فروشی کنه نه یه جوون منتقد و دلسوز...</t>
  </si>
  <si>
    <t>رسانه مردمی ثائر</t>
  </si>
  <si>
    <t>یجوری میگن خریداری شده و پول گرفته که انگار بسیجیا و اختلاسیون و نماینده‌های مجلس و خبرگان و نگهبان مجانی اومدن با شما خوب شدن ! #ظريف #ظریف_دروغگو #توییتر #بسیج #مجلس</t>
  </si>
  <si>
    <t>غُر‌غُرو</t>
  </si>
  <si>
    <t>‏او سورجی،ای سورج هچ وقت دورو. 9وانده</t>
  </si>
  <si>
    <t>https://pbs.twimg.com/media/Dl-eVhFX0AA6g_V.jpg</t>
  </si>
  <si>
    <t>تعریف احمق : حقیقت را میداند ! حقیقت را می بیند ! اما... هنوز دروغ را باور دارد .... #روحاني</t>
  </si>
  <si>
    <t>مجید ایمانی نسب</t>
  </si>
  <si>
    <t>I Love Sky جوانی را سفر کردیم تا مرگ، نفهمیدیم به دنبال چه هستیم...</t>
  </si>
  <si>
    <t>Nederland</t>
  </si>
  <si>
    <t>میبینم نه #مانور از #سپاه #پاسداران و نه #خبری از #موشک هوا کردن و نه منم منمی و نه #سخرانی از #قاسم_سليماني و.... به گوش میرسه؟؟؟@!!!!! #چرا باز بر #موشک نوشته نمی‌شود این و آن #نابود؟؟؟؟!!!! #ظریف #روحاني #سپاه ... #خبری ازتون نیست؟؟؟؟؟؟،،،،،</t>
  </si>
  <si>
    <t>Mamad.R</t>
  </si>
  <si>
    <t>https://pbs.twimg.com/media/Dl8-RFEXsAAvXMa.jpg</t>
  </si>
  <si>
    <t>https://twitter.com/President_bakh/status/1035614924272267265</t>
  </si>
  <si>
    <t>از آقای کفش(#روحانی) بپرس. اون قیمتها رو میدونه البته بالای یه تومن رو RT @President_bakh: این کفش و تازه خریدم ۱۲۰ هزار تومن بنظرتون گرون خریدم؟ لطفا بگید چقدر می ارزه؟؟ #هوایی @abookomeyl</t>
  </si>
  <si>
    <t>http://www.etehadonline.com</t>
  </si>
  <si>
    <t>‏پایگاه خبری اتحاد آنلاین دریچه ای بر آخرین اخبار و اطلاعات از تحولات سیاسی، اقتصاد، فرهنگ و اجتماعی ایران و جهان</t>
  </si>
  <si>
    <t>http://etehadonline.com/news/636170/</t>
  </si>
  <si>
    <t>روحانی چه باید می گفت که نگفت؟  #رئیس_جمهور #دولت #پاسخگویی</t>
  </si>
  <si>
    <t>اتحاد آنلاین</t>
  </si>
  <si>
    <t>بی‌ادب تنها نه خود را داشت بد بلک آتش در همه آفاق زد امکان نداره توییت فکر شده و مفید یا سرگرم کننده و بامزه رو ببینم و ریت نکنم 😎 پسر خوبیم ... از اون بداش 😂</t>
  </si>
  <si>
    <t>درباره ی #ميرحسين_موسوى -در زمان نخست وزیری دم از آرمان های عمام میزد در زمان حصر هم نظرش تغییری نکرده در واقع فقط نقشش در خدمت به رژیم از وزارت به حصارت ! عوض شده -میگن #موسوی برای بهبود شرایط فعلی "راهکار" داره ! راهکاری که ما رو یاد "کلید" #روحانی میندازه #رفع_حصر</t>
  </si>
  <si>
    <t>یه یارو</t>
  </si>
  <si>
    <t>دانش آموخته جامعه الصادق ، پدر ، همسر، روايت فتح شيعيان جهان در يمن سوريه،لبنان، عراق، أفغانستان، نيجريه...</t>
  </si>
  <si>
    <t>https://pbs.twimg.com/media/Dl-n26FUYAEI6Th.jpg</t>
  </si>
  <si>
    <t>https://twitter.com/saramosavi8/status/1035731186604113920</t>
  </si>
  <si>
    <t>#جمهوری_اسلامی_ایران اصل جمهوریت نظام و آرا مردمی حکم کرد امام هیچگاه بنی صدر را عزل نکند به همین منوال رهبر انقلاب #آیت_الله_خامنه_ای هیچگاه گوش به میرحسین موسوی مبنی بر عدم تمکین به رای مردم نکردند به همین منوال رهبر انقلاب از همه دولتها #خاتمی #احمدی_نژاد و #روحانی حمایت کردند RT @saramosavi8: به این عکس توجه کنید : #ریت_لطفا</t>
  </si>
  <si>
    <t>🇮🇷🇮🇷🇮🇷مهديار ٨٢🇮🇶🇯🇴🇱🇧</t>
  </si>
  <si>
    <t>‏‏Allama iqbal medical college,lahore📚💊💉‎‎‎‎@iqbalian20 ✊رهبرفقط سیدعلی😍 ‏🇵🇰🇮🇷🇱🇧🇮🇶🇾🇪🇧🇭🇳🇬🇦🇫 🇸🇾‏‏ فالو بک نشانی احترام متقابل است</t>
  </si>
  <si>
    <t>Gilgit-Baltistan, Pakistan</t>
  </si>
  <si>
    <t>https://pbs.twimg.com/media/Dl-pbJ0W4AAYmLT.jpg</t>
  </si>
  <si>
    <t>کسی که به دردمندان و گرسنگان توجه ندارد... اولین دروغگو و کافر است. #امام_موسی_صدر #روحاني</t>
  </si>
  <si>
    <t>Muhammad yadullah</t>
  </si>
  <si>
    <t>‏‏‏‏‏‏🌟‎‎‎‎‎‎#ژن_خوب🌟🌟‎‎‎‎‎‎#آنتی_شاخ_توئیتری 🌟🌟🌟دکترای آنتی شاخولوژیزم از دانشگاه شاخداردونتسک ‎‎‎‎‎‎#هه ✌🏻🇮🇷</t>
  </si>
  <si>
    <t>https://pbs.twimg.com/media/Dl-pygMXoAArOLv.jpg</t>
  </si>
  <si>
    <t>ای که #عمامه به سر او را به گونی میکنی👤🤦🏻‍♂️ چون به مجلس میروی لابی دیگر میکنی؟🤐🤔 پ.ن:(کار خودشونه-تاکسی طور)🤷🏻‍♂️ #گونی #گونی_به_دست #آخوند_فاسد #مطهری #علی_مطهری #گلپایگان #مجلس</t>
  </si>
  <si>
    <t>ژن خوب🇮🇷</t>
  </si>
  <si>
    <t>http://REZABARDIYA.BLOGFA.COM</t>
  </si>
  <si>
    <t>Journalist/</t>
  </si>
  <si>
    <t>https://pbs.twimg.com/media/Dl-qREDXsAUSf1F.jpg</t>
  </si>
  <si>
    <t>من هـميشه حقيقت رو ميگم ، حتى وقتى كه دروغ ميگم . "صورت زخمى" (برايان دپالما) ١٩٨١ این یک دیالوگ از یک فیلم است اما ... چقدر شبیه نطق #حسن_روحانی در #مجلس است #تدبیرناامید</t>
  </si>
  <si>
    <t>Reza Bardestani</t>
  </si>
  <si>
    <t>🇮🇷🌟🌟🌟🌟🌟🌟🌟🌟🌟🌟🌟🌟🌟🌟🌟🌟🌟🌟🌟🌟🇮🇷</t>
  </si>
  <si>
    <t>https://twitter.com/JENE_KHOB/status/1035733151799226368</t>
  </si>
  <si>
    <t>ای که با #عمامه نور خدا جُور میکنی چون به فردای صراط اینگونه تندی میکنی؟ #گونی #گونی_به_دست #آخوند_فاسد #مطهری #علی_مطهری #گلپایگان #مجلس RT @JENE_KHOB: ای که #عمامه به سر او را به گونی میکنی👤🤦🏻‍♂️ چون به مجلس میروی لابی دیگر میکنی؟🤐🤔 پ.ن:(کار خودشونه-تاکسی طور)🤷🏻‍♂️ #گونی #گونی_به_دست #آخوند_فاسد #مطهری #علی_مطهری #گلپایگان #مجلس</t>
  </si>
  <si>
    <t>گارد تشریفات🇮🇷</t>
  </si>
  <si>
    <t>https://pbs.twimg.com/media/Dl-tAq0XsAALYLv.jpg</t>
  </si>
  <si>
    <t>http://tn.ai/1816838</t>
  </si>
  <si>
    <t>طرح جدید نمایندگان برای #استیضاح_شریعتمداری/ #استیضاح وزیر صنایع "دوقبضه" شد متن طرح را اینجا بخوانید:</t>
  </si>
  <si>
    <t>‏چون نیک بنگری همه تزویر میکنند ... (مسئولیتی در برابر هیچ منشن و ریتوییتی برعهده ندارم. فیو نشانه تایید نیست) وفادار به قانون اساسی جمهوری اسلامی ایران 🇮🇷</t>
  </si>
  <si>
    <t>https://twitter.com/MoHoSAb/status/1027656328154701824</t>
  </si>
  <si>
    <t>جناب رئیس‌جمهور #روحانی @Rouhani_ir ،مراقب باشید که احمدی‌نژاد دیگری با شعار « فقر فساد #ژن‌خوب تبعیض ... بپا خیز » بعد از شما بر این مملکت فلک‌زده نازل نشود. زنده ماندن و زندگی کردن در اختیار خداست، بفکر آبرو و نام نیک باشید نه صندلی دیگر قدرت... RT @MoHoSAb: سال ۸۴ جریان آبادگران با شعار «فقر و فساد و تبعیض، #احمدی‌نژاد بپا خیز» توده‌ی مردم رو همراه خودشون کردند و در بی‌عرضگی محض وزارت کشور دولت اصلاحات و تشتت آرا و قدرت‌طلبی جریان اصلاحات تونستند پاستور رو فتح کنند و ۸سال فاجعه بر مملکت نازل کنند امروز صدایشان دوباره شنیده میشود</t>
  </si>
  <si>
    <t>https://pbs.twimg.com/media/Dl-xB_6W0AAF_U3.jpg</t>
  </si>
  <si>
    <t>خزان کابینه #روحانی در تابستان داغ #بهارستان. طرح جدید نمایندگان برای استیضاح شریعتمداری به کمیسیون صنایع و معادن ارجاع شد.آیا پس از #ربیعی و #کرباسیان‌؛شریعتمداری،آخوندی،حجتی،بطحایی،اردکانیان،رحمانی فضلی در #صف_استیضاح بهارستان خواهند ایستاد؟</t>
  </si>
  <si>
    <t>http://chmd.blogfa.com/</t>
  </si>
  <si>
    <t>https://pbs.twimg.com/media/Dl-0HEvXsAYm4Of.jpg</t>
  </si>
  <si>
    <t>تز انگلیسی #حکومت_داری: اگر می‌خواهی بر این مردم حکومت کنی آنها را بی‌سواد و #گرسنه نگه دار و چند سوال ساده چرا #دلار ۳۲۰۰ تومانی شد ۱۰،۰۰۰ تومان؟ چرا پراید تولید داخل شده ۴۰ میلیون تومان؟ چرا دولت به محض شروع بکار #سفارت_انگلیس را باز کرد؟ چرا #رییس_جمهور #تابعیت_انگلیسی دارند؟</t>
  </si>
  <si>
    <t>http://www.ibena.ir/news/90640/</t>
  </si>
  <si>
    <t>یک نماینده #مجلس به ایبِنا پاسخ داد؛ تاثیر #بسته_ارزی بر بازارهای مختلف چیست؟ #ارز</t>
  </si>
  <si>
    <t>آدرس عوضی نماینده #مجلس باستانی،عضو کمیسیون صنایع مجلس: در راستای حذف دلالی کاذب در بازار خودرو،خریداران خودرو تا یکسال حق صلح یا به عبارتی فروش را به شخص دیگری ندارند اصلا هم این گرانی های خودرو تقصیر ایران خودرو و سایپا نیست کسی هم بخاطر #احتکار یقه اونا را نمیگیرد و باز مردم</t>
  </si>
  <si>
    <t>http://www.iranenergy.news</t>
  </si>
  <si>
    <t>پایگاه اطلاع رسانی تازه‌های انرژی ایران</t>
  </si>
  <si>
    <t>http://tinyurl.com/yajl24g3</t>
  </si>
  <si>
    <t>تولیدکنندگان:15هزارمیلیارد/پیمانکاران:6هزارمیلیارد/بانک ها:11هزار میلیارد تومان #مجلس #بانک #صنعت_برق</t>
  </si>
  <si>
    <t>انرژی امروز</t>
  </si>
  <si>
    <t>#روحانی بی عرضه ترین فرد در این کشوره #خاتمی لااقل #قتل های زنجیره ای رو رو کرد #گفتگوی تمدن ها رو باب کرد گرچه بعدا ترسید و گوشه گیرشد چون اونم مثل #روحانی رفت زیر سایه #خامنه ای هرکی از #مردم فاصله گرفت زود فراموش شد.</t>
  </si>
  <si>
    <t>آخه آدم اینقدر بیعرضه #رئیس_جمهور</t>
  </si>
  <si>
    <t>قرار است وزیر صنایع هم #استیضاح شود.</t>
  </si>
  <si>
    <t>مجید خزعلی</t>
  </si>
  <si>
    <t>http://tinyurl.com/y8vj9hvo</t>
  </si>
  <si>
    <t>علی بختیار: #ظریف برای خزر به فراکسیون #دیپلماسی می‌رود #مجلس #سیاست_انرژی #ایران</t>
  </si>
  <si>
    <t>https://pbs.twimg.com/media/Dl-9XSZVAAA2YUh.jpg</t>
  </si>
  <si>
    <t>https://www.ilna.ir/fa/tiny/news-662542</t>
  </si>
  <si>
    <t>ذالنور در گفت‌وگو با #ایلنا:عالم و آدم می‌دانند تیم اقتصادی دولت مشکل دارد/ با توبیخی که #روحانی از #مجلس گرفت، کارهایی انجام خواهد شد/ استیضاح #بطحایی را امضا نکردم</t>
  </si>
  <si>
    <t>https://pbs.twimg.com/media/Dl-9_DJUwAANfOe.jpg</t>
  </si>
  <si>
    <t>https://www.ilna.ir/fa/tiny/news-662917</t>
  </si>
  <si>
    <t>کوهکن در گفت‌و‌گو با ایلنا: همچون #رئیس‌جمهور معتقدم به بحران نرسیده‌ایم</t>
  </si>
  <si>
    <t>هيچ كس رو با لباسش قضاوت نكنيد قرار نيست هر خرمافروشي #ميثم_تمار نيست #روحاني #مطهري</t>
  </si>
  <si>
    <t>Roghieh</t>
  </si>
  <si>
    <t>http://tinyurl.com/y8epbjjb</t>
  </si>
  <si>
    <t>دومین طرح نمایندگان #مجلس برای استیضاح شریعتمداری #اقتصاد_مقاومتی #سیاست_انرژی #ایران</t>
  </si>
  <si>
    <t>https://asre-eghtesad.com</t>
  </si>
  <si>
    <t>‏‏‏‏روزنامه اقتصادی صبح ایران</t>
  </si>
  <si>
    <t>https://pbs.twimg.com/media/Dl_CrwpXgAAbiXu.jpg</t>
  </si>
  <si>
    <t>https://t.me/asreeghtesad/24289</t>
  </si>
  <si>
    <t>#روزنامه ۱۰ شهریور ۱۳۹۷ تیتریک: بنگاهداری #بانک ها فوتیتر: پیروزی نجابت #روحانی  #عصراقتصاد #خبر #اخبار #اقتصاد #بورس #ارز #دلار #دولت #رهبر #همتی #تورم #مالیات #مسکن 🗞 @Asreeghtesad</t>
  </si>
  <si>
    <t>روزنامه عصراقتصاد</t>
  </si>
  <si>
    <t>http://asre-eghtesad.ir/content/43785</t>
  </si>
  <si>
    <t>پیروزی نجابت #روحانی</t>
  </si>
  <si>
    <t>https://pbs.twimg.com/media/Dl_DAvmXoAEeBAJ.jpg</t>
  </si>
  <si>
    <t>http://nabaapress.ir/?option=com_k2&amp;view=item&amp;id=2189</t>
  </si>
  <si>
    <t>🔻طرح جدید نمایندگان برای #استیضاح #شریعتمداری/ استیضاح #وزیرصنعت "دوقبضه" شد + متن طرح 🔗 #نبأپرس</t>
  </si>
  <si>
    <t>بوالحسن گفت حسن را که از این خانه برو بوالحسن نیز درافتاد و حسن می‌نرود #خیلی_خطرناک_حسن #روحانی و فقط قدرت و بعد نابینای #مولانا</t>
  </si>
  <si>
    <t>https://pbs.twimg.com/media/Dl_EBclX0AAlycQ.jpg</t>
  </si>
  <si>
    <t>کرباسچی: #روحانی در مجلس قلدری و فحاشی نکرد اما اگر با لحن قانع‌كننده‌تری صحبت مي‌كرد مطلوب‌تر بود / #استعفای_جهانگيری از #كارگزاران دروغ است/اعتماد</t>
  </si>
  <si>
    <t>عاشق اینترنت و عاشق مردم</t>
  </si>
  <si>
    <t>#روحانی گفته تو پنج سال ۲ میلیون و ۵۰۰ هزار شغل ایجاد کرده. فکر کنم هر کی بهش فحش داده رو شاغل محسوب کرده.</t>
  </si>
  <si>
    <t>رامین</t>
  </si>
  <si>
    <t>در طی طریق حق از کمی یاران نترسید . جریان بهار هر چند در بند یا کم ولی آزاده اند و پیروز این میدان و به یاری خداوند همه مخالفان دکتر یکی یکی رسوا میشوند :#هاشمی #مصلحی #متکی #روحانی #خاتمی #موسوی #کروبی همه امروز رسوا هستند رسوا #بهار #احمدی_نژاد</t>
  </si>
  <si>
    <t>#روحانی گف "مردمی که ۴ سال رونق دیدند، ناگهان تعجب کردند که چه شده است؟" چهارسال اول شما رونق دیدید؟ یعنی من ایران نبودم؟ یا روحانی تو مریخه؟</t>
  </si>
  <si>
    <t>‏محمد رئوفی ششگل</t>
  </si>
  <si>
    <t>Thehran</t>
  </si>
  <si>
    <t>در پاسخ به #روحانی همراه #مطهری باید گفت که روحانیت و #لباس روحانی خیلی وقته که دیگه آبرویی براش نمونده</t>
  </si>
  <si>
    <t>Montazer</t>
  </si>
  <si>
    <t>https://pbs.twimg.com/media/Dl_IApzWwAELrTm.jpg</t>
  </si>
  <si>
    <t>http://khabarfarsi.com/u/58852053?utm_source=khabarfarsi_channel&amp;utm_medium=twitter&amp;utm_campaign=hodhod#redirect=2</t>
  </si>
  <si>
    <t>فحاشی روزنامه چاپ مشهد به رئیس جمهور روزنامه خراسان در ستون حرف مردم نوشت: آقای روحانی باور کنید دروغ از گناهان کبیره است شم... #روزنامه_خراسان #مشهد #روحانی #رئیس_جمهور #روزنامه #تورم #مردم</t>
  </si>
  <si>
    <t>وزیر آموزش و پرورش سه شنبه #استیضاح می‌‌شود @AkhbarFori</t>
  </si>
  <si>
    <t>چرا هرکی مخالفت میکنه با این وضعیت مملکت و میخواد حرف بزنه یا خس و خاشاکه یا بی عقل یا جاسوس یا ضدانقلاب یا ربات ؟ #ظریف #wearenotbots #روحانی #ما_انتخاب_نکردیم</t>
  </si>
  <si>
    <t>http://www.alef.ir</t>
  </si>
  <si>
    <t>https://t.me/alef_news http://instagram.com/alef.news</t>
  </si>
  <si>
    <t>https://www.instagram.com/p/BnLDa7EneHR/?utm_source=ig_twitter_share&amp;igshid=g02jq5260my6</t>
  </si>
  <si>
    <t>برخورد نائب رییس مجلس با یک منتقد! منتقد: شما بجای صحبت درباره غدير بگوچرا #پراید ۴۵میلیون تومن شده مطهری: تو یک احمق نادانی #روحانی همراه #مطهری: عکس اینو به من بدید. میکنمت توی…</t>
  </si>
  <si>
    <t>alef_ir</t>
  </si>
  <si>
    <t>با سوال هایم زندگی میکنم و با جواب هایم سوال می سازم</t>
  </si>
  <si>
    <t>وقتی به تلاش نمایندگان برای #استیضاح _ وزرای_روحانی با هدف حل مشکلات مردم که فکر میکنم این سوال برام ایجاد میشه که چرا مجلس سراغ رییس بنیاد مستضعفان یا رییس فلان قرارگاه یا فلان و ... که همه می دونن قدرتمندتر از دولت هستند نمی رود. شنیدم نماینده ای گفته بود زورمان به وزیر میرسد</t>
  </si>
  <si>
    <t>Akbar.bayati</t>
  </si>
  <si>
    <t>https://pbs.twimg.com/media/Dl_MnYxXgAEXlpq.jpg</t>
  </si>
  <si>
    <t>http://tn.ai/1817060</t>
  </si>
  <si>
    <t>کوچکی‌نژاد نایب رئیس کمیسیون آموزش و تحقیقات #مجلس‌: مجلس به وزیر آموزش و پرورش رأی اعتماد می‌دهد/ مجلس به علت وجود ملاحظاتی به وزیر آموزش و پرورش در جلسه استیضاحش رأی اعتماد می‌دهد #استیضاح</t>
  </si>
  <si>
    <t>‏</t>
  </si>
  <si>
    <t>پزشکیان: نمایندگان، چون نمی‌توانند مشکلات حوزه انتخابیه‌شان را حل کنند، وزیران را #استیضاح می‌کنند. #امتداد</t>
  </si>
  <si>
    <t>Haghighi🇮🇷</t>
  </si>
  <si>
    <t>https://pbs.twimg.com/media/Dl_O8ERXgAAR7Ko.jpg</t>
  </si>
  <si>
    <t>#ربات شما هستین که دارین فسیل میشین ولی این مردم و مملکتو ول نمیکنین #WeAreNotBots #ظریف #روحانی #خاتمی #موسوی</t>
  </si>
  <si>
    <t>pic.twitter.com/RzSr1hMG2p</t>
  </si>
  <si>
    <t>از خرداد 94 تا خرداد 97؛ واگذاری شرکت های تابعه #بانک ها به بنگاه های غیر بانکی. پ.ن: وقتی اجرای یک مصوبه، ابتر می مونه و اجرا نمی شه. به بهانه ی فرمایش #حضرت_آقا درباره بنگاه داری بانک ها، از امروز یه روزشمار بذاریم تا این مصوبه تا 1400 اجرایی بشه. @Rouhani_ir #روحانی</t>
  </si>
  <si>
    <t>به خواب نیز نمی‌بینمش چه جای وصال...</t>
  </si>
  <si>
    <t>pic.twitter.com/KilSGbmIdO</t>
  </si>
  <si>
    <t>پاسخ قاضی زاده هاشمی به حسن #روحانی</t>
  </si>
  <si>
    <t>کاوه پارسا🇮🇷🇱🇧🇵🇸(شاپورخان سابق)</t>
  </si>
  <si>
    <t>‏‏‏‏‏‏‏رییس مجلس خبرگان رییس شورای نگهبان ‎‎‎‎#جمهوری_‌خواه ‎‎‎‎#مشروطەخواه و ‎‎‎‎#سلطنت_طلب همە را دوست دارم تنها #برانداز باشه</t>
  </si>
  <si>
    <t xml:space="preserve">کوردستان -  سوئد </t>
  </si>
  <si>
    <t>https://pbs.twimg.com/media/Dl_Rhu7UUAA9_q0.jpg</t>
  </si>
  <si>
    <t>#قاليباف #جلیلی و #حدادعادل پشت سر #روحاني نماز میخونن! یادتونه اینا به هم میگفتن دزد؟ بگم بگم ؟ امیدوارم متوجه شده باشین که ما مردم کجای کاریم. #این_انتخاب_من_نیست #ايران_رو_پس_ميگيريم #براندازم #ساعت_6</t>
  </si>
  <si>
    <t>آیت اللە الغظما جنتی</t>
  </si>
  <si>
    <t>http://l.tp4.ir/JcWGa8
https://twitter.com/ahmadamirabadi1/status/1035104852106522624</t>
  </si>
  <si>
    <t>▪️ #مجلس بار دیگر برای #شفافیت_حقوق_و_مزایا مدیران به میدان آمد ▫️توییت #امیرآبادی ، درباره اجرای #ماده_۲۹ قانون برنامه ششم در مجلس شورای اسلامی 🎬 درباره «ماده ۲۹»:  RT @ahmadamirabadi1: در جلسه هئیت رئیسه مجلس تاکید شد ماده ۲۹قانون #برنامه_ششم_توسعه نسبت به حقوق نمایندگان اجرا گردد و #مجلس_شورای_اسلامی در زمینه شفاف سازی پیش قدم باشد. #شفاف_سازی_حقوق_نمایندگان_ملت</t>
  </si>
  <si>
    <t>https://t.me/drmdehghan</t>
  </si>
  <si>
    <t>‏‏عضو کمیسیون حقوقی و قضایی مجلس شورای اسلامی | نماینده چهار دوره مردم چناران و طرقبه شاندیز در مجلس</t>
  </si>
  <si>
    <t>من به وکالت از بخش مهمی از #ملت_ایران که بار سنگین #تورم و #گرانی کمر آنها را خم کرده از شما می‌پرسم کدام کارشناس تجویز کرده بودکه دولت جنابعالی دریکی دو سال گذشته #ده‌هامیلیارد دلار ارزکشور را #بدون_برنامه برای واردات کالاهای لوکس و #غیرضرور اختصاص دهد? #سوال_از_رئیس_جمهور</t>
  </si>
  <si>
    <t>محمد دهقان</t>
  </si>
  <si>
    <t>https://pbs.twimg.com/media/Dl_UfaNXcAAtbGe.jpg</t>
  </si>
  <si>
    <t>پزشکیان: #روحانی باید واقعیت‌ها،محدودیت‌ها واختیارات خود رابه‌صورت #شفاف برای مردم بازگو می‌کرد نمایندگان،چون نمی‌توانندمشکلات حوزه انتخابیه‌شان را حل کنند،#وزیران را #استیضاح می کنند/آرمان</t>
  </si>
  <si>
    <t>‏سایت خبری تحلیلی امتداد</t>
  </si>
  <si>
    <t>https://pbs.twimg.com/media/Dl_UgDCXsAAjMvT.jpg</t>
  </si>
  <si>
    <t>پزشکیان: نمایندگان، چون نمی‌توانند مشکلات حوزه انتخابیه‌شان را حل کنند، وزیران را #استیضاح می‌کنند.</t>
  </si>
  <si>
    <t>امتداد</t>
  </si>
  <si>
    <t>درسته با خروج #آمریکا از #برجام کشور متحمل ضرر میشه، اما #تاریخ این نوع دشمنی رو هرگز فراموش نمیکنه. #ترامپ چهره کشورش را در تاریخ برای همیشه مخدوش کرد. #ترامپ #برجام #اعتدال #روحانی</t>
  </si>
  <si>
    <t>امیدوارم دیگه به همه ثابت شده باشه که همه شون از یک قماشن هیچ فرقی نمیکنه کی باشه #ظریف و #مطهری و و #احمدی_نژاد #روحانی #ولایتی و و و فرقی ندارن تا وقتی ج.ا هست وضعیت همینه #ایران رو باید از این غارتگرها پس بگیریم</t>
  </si>
  <si>
    <t>seda</t>
  </si>
  <si>
    <t>هدف موج #استیضاح که نمایندگان #جبهه_پایداری در مجلس راه انداخته اند، از رسمیت انداختن #دولت است، وگرنه موضوعات اقتصادی چه ربطی به #وزیر_آموزش_و_پرورش دارد؟ در آستانه مهر، #استیضاح_بطحایی هیچ دلیل منطقی ندارد #مهر_با_بطحایی #استیضاح_هدفمند #انفعال_فراکسیون_امید</t>
  </si>
  <si>
    <t>https://ir.linkedin.com/in/meisam-rajabi-8242ba53</t>
  </si>
  <si>
    <t>‏‏‏‏‏مدیر توسعه کسب و کار گروه حصین / دانشجوی دکترای سیاست گذاری عمومی / مدافع عقلانیت منفعت گرای ملی</t>
  </si>
  <si>
    <t>meisam.rajabi@instagram</t>
  </si>
  <si>
    <t>https://twitter.com/Zarghami_ez/status/1035596455858331648
https://twitter.com/mah_sadeghi/status/1035459116041469952</t>
  </si>
  <si>
    <t>#فساد‌ یک‌ مساله #پیچیده است که با اقدامات ناگهانی و هیجانی و شورانگیز(شما بخوانید #اقدام_انقلابی) قابل حل نیست. انباشت های تاریخی #ساختار_دولت، #قوه_قضاییه، #مجلس، #شبه_دولتی ها، #قوانین، #زیرساخت ها، #رسانه ها، #فرهنگ و ... را نمی توان با اقدام انقلابی تغییر داد @Zarghami_ez RT @Zarghami_ez: برای اینکه #فساد مربوط به هر دو جناح است و در نتیجه مبارزه با آن نیز جناحی شده است! تخم اقدام انقلابی و فراجناحی را هم ملخ خورده است.اجمالا!</t>
  </si>
  <si>
    <t>Meisam Rajabi</t>
  </si>
  <si>
    <t>اگر تو در برابر هر بی عدالتی از خشم به لرزه می افتی بدان که یکی از رفقای من هستی #براندازم</t>
  </si>
  <si>
    <t>https://pbs.twimg.com/media/Dl_aE5QV4AAO553.jpg</t>
  </si>
  <si>
    <t>دروغ #روحانی: دلار امروز ۱۱۱۰۰ تومان به فروش رسید. روحانی روز ۳‌شنبه در مجلس گفت دلار به ثبات خواهد رسید. درحالیکه آنروز ۱۰۷۰۰ تومان بود و تنها در ۴روز ۴۰۰تومان جهش داشته است! #براندازم #IranRegimeChange</t>
  </si>
  <si>
    <t>*خوشه‌های‌خشم*</t>
  </si>
  <si>
    <t>در این دنیای پر آشوب و ماشینی زندگی به سرعت می گذرد و آنچه در این رهگذر باقی می ماند انسانیت است و سپس ایمان به خدا...من روزنامه نگار آزادم</t>
  </si>
  <si>
    <t>وزیر آموزش و پرورش میخاد سه شنبه #استیضاح بشه نمیدونم نماینده ها به #تقویم نگاه کردن یانه الان شهریوره ا استرسش برای #دانش_آموزان و #فرهنگیان ه #استیضاح_بطحایی #مهر_نزدیکه #پروژه_مهر</t>
  </si>
  <si>
    <t>t.haji</t>
  </si>
  <si>
    <t>https://pbs.twimg.com/media/Dl_bIVXW4AAKZd9.jpg</t>
  </si>
  <si>
    <t>🔻#دلار امروز ۱۱۱۰۰ تومان به فروش رسید. آخوند #روحاني روز ۳‌شنبه در مجلس ارتجاع مدعی شده بود دلار به ثبات خواهد رسید. درحالیکه آنروز ۱۰۷۰۰ تومان بود و تنها در ۴روز ۴۰۰تومان جهش داشته است!</t>
  </si>
  <si>
    <t>آقای #بطحایی سلام @sm_bathaei هفت #نماینده خوزستانی #استیضاح کننده درخواست های غیرقانونی از مدیرکل آموزش و پرورش خوزستان داشتند. لطفا آقای #تقی_زاده را وجه المصالحه قرار ندهید و از مدیرکلتان حمایت کنید. نمایندگان ماههاست حتی جایگزین وی را مشخص کردند.</t>
  </si>
  <si>
    <t>https://t.me/amitanha</t>
  </si>
  <si>
    <t>گویند سرانجام ندارید شما / مائیم که بی هیچ سرانجام خوشیم اصلاحات سبز</t>
  </si>
  <si>
    <t>#استیضاح وزرا، برای نماینده ها که میخوان روی کم کاری ها و خرابکاریهای خودشون درپوش بزارن و الکی به مردم بگن ما به فکرتون هستیم هم ماجراییه تو این وضعیت #اقتصادی و دم #مهرماه و باز شدن مدارس، به جای اینکه دنبال تصویب #لوایح_اصلاح_اقتصادی باشن افتادن به استیضاح وزیر آموزش و پرورش</t>
  </si>
  <si>
    <t>امير تنها 🇮🇷</t>
  </si>
  <si>
    <t>‏‏ترک جان عزیز بتوان گفت، ترک یار عزیز نتوانیم. ‏‏خدا؛ بی ولی و اما... رونده راه ها و بی راه ها...</t>
  </si>
  <si>
    <t>سکه ۴۰۴۶۰۰۰و ارز ۱۰۸۰۰ تاوان سوال از #رئیس_جمهور؛ #شفافیت</t>
  </si>
  <si>
    <t>Mahdi Pour</t>
  </si>
  <si>
    <t>‏هدر: قفل در ورودی به ضریح حضرت ‎#امام_روح_الله</t>
  </si>
  <si>
    <t>قم/شمال/تهران</t>
  </si>
  <si>
    <t>حتی تو استفاده از پوشک هم #به_عقب_برگشتیم و بعضیا رو آوردن به استفاده از کهنه اینو چی میگی آقای #روحانی</t>
  </si>
  <si>
    <t>امین 🇮🇷</t>
  </si>
  <si>
    <t>https://pbs.twimg.com/media/Dl_eTIcWsAELt-y.jpg</t>
  </si>
  <si>
    <t>http://tn.ai/1817322</t>
  </si>
  <si>
    <t>📷 #کاریکاتور/ این احمق‌ و‌ نادان را بندازمش تو‌ گونی!/ برخورد زشت #مطهری نائب رییس #مجلس بایک منتقد: خیلی احمق و نادانی</t>
  </si>
  <si>
    <t>pic.twitter.com/Utk2GfY0gp</t>
  </si>
  <si>
    <t>ممنونم از #روحانی که فضای برامون محیا کرد که ماهم طعم لاکچری بودن رو بچشیم! تشکر دومم از همسرم بکنم که منو بخاطر خودم میخواد نه #پراید م</t>
  </si>
  <si>
    <t>‏‏‏‏‏‏‏‏ همسر، پدر، طلبه، فعال رسانه‌های مجازی و بعضا غیر مجازی! ‏‏‏‏با شما ما می شویم</t>
  </si>
  <si>
    <t>رئیس جمهور هر کسی که باشد فرق نمی کند #روحانی یا #رئیسی فحش ها را به مدافعان انقلاب می دهند چرا که برای ما حفظ نظام مهم است نه شخص یا جناح فلان #انقلاب</t>
  </si>
  <si>
    <t>محمد علی محمدی 🇮🇷</t>
  </si>
  <si>
    <t>https://pbs.twimg.com/media/Dl_g6vbXsAEQiwr.jpg</t>
  </si>
  <si>
    <t>"به #روحاني رای دادم چون انتخاب بین «بد» و «بدتر» بود." پ.ن: الان که در حالت «بدترین» هستیم، همچنان تصورت از «بدتر» رو خریدارم بزرگوار. #گونی #مطهری</t>
  </si>
  <si>
    <t>‏‏‏‏‏جان اندکی دارم که آن را فدای رهبرم میکنم ♥ با افتخار یک جهادی ام</t>
  </si>
  <si>
    <t>#رزمایش_خدمت از امروز به کمک محرومین می روند و خدمات رسانی می کند . #بسیج همیشه پای کار خواهد بود کاری که #مسئولین #دولت #روحانی بلد نیستن . #محمد_رسول_الله</t>
  </si>
  <si>
    <t>zahra.jalali</t>
  </si>
  <si>
    <t>شنیدنی های کمتر گفته شده از کرمان صرفا جهت بروز احساس میهن پرستی یک کرمانی...</t>
  </si>
  <si>
    <t>https://pbs.twimg.com/media/Dl_iOrGXgAAkTuz.jpg</t>
  </si>
  <si>
    <t>خبری که دیروز خواندیم و غم وجودمان را گرفت چرا باید به جایی برسیم که کسی جرات و جسارت زدن چنین حرفی را پیدا کند؟ مسئولین جامعه به امید نیاز دارد تا دیر نشده... #روحانی #دولت #اقتصاد</t>
  </si>
  <si>
    <t>Kerman034</t>
  </si>
  <si>
    <t>‏فری ام ישראל לא תראה 25 שנים</t>
  </si>
  <si>
    <t>کره ماه</t>
  </si>
  <si>
    <t>🔴 #رئیس_جمهور به 25 سال #حبس محکوم شد 😳 البته توی #کره_جنوبی 😎 #فاسد #رشوه #روحانی #احمدی_نژاد #خاتمی #قوه_قضائیه</t>
  </si>
  <si>
    <t>Feri</t>
  </si>
  <si>
    <t>https://pbs.twimg.com/media/Dl_i4IsXcAACfG8.jpg</t>
  </si>
  <si>
    <t>یادتون #روحانی تهدیدات و تحریم های اخیر و همچنین افزایش قیمت دلار رو گردن اعتراضات اخیر انداخت. حالا اینم دستاورد میر دلها</t>
  </si>
  <si>
    <t>ph.d student at school of pharmacy of sums</t>
  </si>
  <si>
    <t>Shiraz-iran</t>
  </si>
  <si>
    <t>https://pbs.twimg.com/media/Dl_jCpIU4AASPOb.jpg</t>
  </si>
  <si>
    <t>مگه نگفتم اين مسخره بازي #سوال_از_رئیس_جمهور را جمع كن حالا بگم #ميرشريفي #گونی بياره خودم #بكنمت_تو_گوني</t>
  </si>
  <si>
    <t>keshavarzi_majid</t>
  </si>
  <si>
    <t>https://pbs.twimg.com/media/Dl_jLphWsAEdgpI.jpg</t>
  </si>
  <si>
    <t>http://tn.ai/1817282</t>
  </si>
  <si>
    <t>نعمتی سخنگوی هیئت رئیسه #مجلس: فردا؛ تعیین تکلیف #سؤال_از_رئیس‌جمهور در مجلس/ بعید است سوال به #قوه_قضائیه برود</t>
  </si>
  <si>
    <t>Florida, USA</t>
  </si>
  <si>
    <t>https://pbs.twimg.com/media/Dl_j_9ZW4AAF33H.jpg</t>
  </si>
  <si>
    <t>دکتر مهدی خزعلی، اعلام کرد که دلار به ۱۷ هزار تومان خواهد رسید، و جام های #زهر بسیاری در راه است. همچنین فرمودند که بخش اعظم اصلاح طلبان به دنبال برگشتن به سر سفره نظام هستنند و چشم به فیش حقوق های نجومی دوختند. و نیز #روحانی را خائن به کشور دانستند.</t>
  </si>
  <si>
    <t>SamRamani</t>
  </si>
  <si>
    <t>ای کاش بخشی از این اختلاس های کلان به محرومیت زدایی کشور می پرداختین #دولت_نا_کار_آمد #روحاني #رزمایش_خدمت #جاجرم #محمد_رسول_الله</t>
  </si>
  <si>
    <t>‏‏‏‏‏‏‏‏ بي بصيرت از پله بالا نرفته فقط چشماش🙃</t>
  </si>
  <si>
    <t>یک #پوشک را لااقل می گذاشتید برای مردم بماند آقای #روحانی</t>
  </si>
  <si>
    <t>سید احتشام⁦⁦</t>
  </si>
  <si>
    <t>فردا؛ سؤال از رئیس‌جمهور در مجلس تعیین تکلیف می شود. 🔸نعمتی سخنگوی مجلس: بعید است این موضوعات به قوه قضائیه ارجاع شود. +بازی نوشته شده را میخواد... #استیضاح #ارسال_پرونده_روحانی_قوه_قضاییه #ساکتین_مجلس #انتخابات98</t>
  </si>
  <si>
    <t>رئیس کمیسیون اجتماعی #مجلس: آمار #بیکاری ما بالغ بر پنج میلیون نفر است، در حالی که جمعیت فعال جامعه ما قریب بر سی و یک میلیون نفر است، این موضوع اثر روانی شدیدی در جامعه گذاشته است. #ایران</t>
  </si>
  <si>
    <t>ناراحتند که چرا #روحانی در زمین اونها بازی نکرد تا بتوانند کشور را گرفتار یک بحران سیاسی کنند. من هم ناراحتم که چرا روحانی منطقی‌تر و مستدل‌تر و قابل قبول تر از عملکرد دولت دفاع نکرد.</t>
  </si>
  <si>
    <t>‏‏‏سالهای غفلت گذشت، سالهای تغافل در پیش</t>
  </si>
  <si>
    <t>نه برانداز نه ارزشی</t>
  </si>
  <si>
    <t>حقیقتش اینه که من بخاطر #امید به #روحانی رای دادم، مهم نبود چی میشه یا کی چی میگه، در هر حال بخاطر سختی‌هایی که از سر گذروندم امید رسیدن به روزهای خوب رو داشتم. اما حالا ناامید شدم و بزرگترین سرمایه‌ام یعنی امید رو از دست دادم</t>
  </si>
  <si>
    <t>صیاد</t>
  </si>
  <si>
    <t>بعضیا فکر اینی پول جمع کردن حالا ماشین شد چند برابر، بعضیا فکر خرید خونه بودن ! ولی بعضیا درد نون دارن ،فقط نون ! ندارن بخورن ! شرمنده زن وبچه ان ! خیلی فرقه بین مشکل ها . #ظریف #روحانی #رهبری #اقتصاد #سپاه #مطهری #ريتوييت_لطفا #ریت</t>
  </si>
  <si>
    <t>صد در صد موافق ایجاد تغییرات در جامعه از طریق اصلاحات تدریجی ، دانش آموخته حقوق</t>
  </si>
  <si>
    <t>#روحاني از ما چه انتظاری دارد؟؟ کسانی که به او رای دادیم و قصد حمایت از او را داریم؟ یا کسانی که روی او سمپات داریم؟ من حتی عدم افشاگری او در مجلس و روز سوال را هم درک میکنم ولی @HassanRouhani هم باید ما را درک کند و به ما ثابت کند که همچنان همان حسنی ایست که به او رای داده‌ایم..</t>
  </si>
  <si>
    <t>peyamak</t>
  </si>
  <si>
    <t>دوستان #لیست_امید بجای تندتند امضاکردن فرم #استیضاح وزرا بهترنیست راجع به شعار اصلی انتخاباتیشون گزارش دهندچه کردند. باشرایط جو ناامیدی تکرارشرایط مجلس 7 و8 قطعی است دوستان بهترمیدونند در حضورحداقلی شانسی ندارند</t>
  </si>
  <si>
    <t>Optimistic about future..</t>
  </si>
  <si>
    <t>شاهکار دیگری از درگیری لفظی #میرشریفی، #روحانیِ #گونی به دست و حامی علی مطهری در گلپایگان گویا آقا کار و #تخصصش #گونیه! وحشیِ وقیح، مگه تو پیرو محمد و علی (س) نیستی؟!! چته تووووو، جنگه مگه! یه همشهری گرسنه و نگران خونواده و اینده س فقططط zeze🎈 Shrvnd-ngrn</t>
  </si>
  <si>
    <t>Alireza Zeinoddini</t>
  </si>
  <si>
    <t>نعمتی، سخنگوی هیئت رئیسه #مجلس: آیین نامه درباره سؤال از رئیس‌جمهور شفاف است. در سوالاتی که نمایندگان از رئیس جمهور مطرح کردند و از پاسخ‌های حجت الاسلام #روحانی قانع نشدند، بحث استنکاف از قانون مطرح نشده است. به همین دلیل بعید است این موضوعات به قوه قضائیه ارجاع شود.</t>
  </si>
  <si>
    <t>http://iccima.ir/</t>
  </si>
  <si>
    <t>اتاق بازرگانی، صنـایع، معـادن و کشــاورزی ایران Iran Chamber of Commerce, Industries, Mines and Agriculture</t>
  </si>
  <si>
    <t>https://pbs.twimg.com/media/Dl_tmUPUUAAUnUM.jpg</t>
  </si>
  <si>
    <t>در نامه رئیس #اتاق_ایران به معاون اول #رئیس_جمهور تاکید شد: پیشنهاد شش گانه اتاق ایران برای تغییر در #سیاست‌های_ارزی، تجاری و قیمت‌گذاری در زنجیره صنعت پتروشیمی</t>
  </si>
  <si>
    <t>ICCIMA</t>
  </si>
  <si>
    <t>Iranian Journalist</t>
  </si>
  <si>
    <t>Prague, Czech Republic</t>
  </si>
  <si>
    <t>رئیس اتحادیه پیراهن دوزی های #ایران : "در اثر کمبود مواد اولیه، ۷۰ درصد پیراهن دوزیها تعطیل شده اند.نوسانات نرخ ارز جلوی واردات را گرفته است و تحریمها وضعیت اقتصادی را بدتر میکند". #روحاني گفته بود والله بحران ندلریم. --- ایضن تعطیلی ها یعنی #بیکاری و گرسنگی خانواده های #کارگران</t>
  </si>
  <si>
    <t>Roozbeh Bolhari</t>
  </si>
  <si>
    <t>خبرنگار</t>
  </si>
  <si>
    <t>https://pbs.twimg.com/media/Dl_vj93W0AAcmnF.jpg</t>
  </si>
  <si>
    <t>شخصی که در کنار #علی_مطهری فرد منتقد را با جمله «میکنمت توی گونی» تهدید می‌کند، #سیدمحمد_میرشریفی است که ریاست ستاد انتخاباتی حسن #روحانی در #شهرگوگد را عهده‌دار بوده است.</t>
  </si>
  <si>
    <t>saeedzarrinzolf</t>
  </si>
  <si>
    <t>http://www.omidkeshtkar.com</t>
  </si>
  <si>
    <t>Multimedia Journalist @Iranintl | Writer | RT not endorsement | روزنامه‌نگار چندرسانه‌ای در شبکه‌ی خبری ایران اینترنشنال</t>
  </si>
  <si>
    <t>#ظریف، علی #مطهری و حسن #روحانی خیلی راحت تمام آن‌چه با تبلیغات غیرواقعی به‌عنوان «حسن شهرت» اندوخته بودند در زمان کوتاهی بر باد دادند. شاید برای این‌که ثابت کنند تاریخ در نهایت دروغ نمی‌گه حتی اگر پروپاگاندا برای مدتی (کوتاه یا بلند) افکار عمومی رو به سمت مطلوب حاکمیت شکل بده.</t>
  </si>
  <si>
    <t>Omid Keshtkar</t>
  </si>
  <si>
    <t>http://fa.persiadigest.com</t>
  </si>
  <si>
    <t>پرشیادایجست پنجره ­ای است بسوی ایران، جایی که کارشناسان نظرات خود را درباره گردشگری، فرهنگ، اقتصاد و سیاست به اشتراک می­گذارند.</t>
  </si>
  <si>
    <t>https://fa.persiadigest.com/article/2795/%D8%B1%D9%88%D8%B2%D9%86%D8%A7%D9%85%D9%87-%DA%86%D8%A7%D9%BE-%D9%85%D8%B4%D9%87%D8%AF-%D8%A7%D8%B2-%D8%B1%D9%88%D8%AD%D8%A7%D9%86%DB%8C-%D8%AE%D9%88%D8%A7%D8%B3%D8%AA-%D8%A7%D8%B3%D8%AA%D8%B9%D9%81%D8%A7-%D8%AF%D9%87%D8%AF</t>
  </si>
  <si>
    <t>روزنامه چاپ مشهد از روحانی خواست استعفا دهد 👇  #روزنامه_چاپ #روحانی #استعفا #پرشیادایجست</t>
  </si>
  <si>
    <t>پرشیادایجست</t>
  </si>
  <si>
    <t>بن بست یعنی همین جایی که هستیم،#روحانی باید #استعفا بده،گرچه راه حل نیست اما راه دیگه ای هم نیست،نمی دونم ما باید بابت حمایت از روحانی عذرخواهی بکنیم یا نه؟راه دیگه ای نبود و نیست،بن بست یعنی همین</t>
  </si>
  <si>
    <t>Meisam</t>
  </si>
  <si>
    <t>https://pbs.twimg.com/media/Dl_w-hEWwAAedC6.jpg</t>
  </si>
  <si>
    <t>http://tn.ai/1817186</t>
  </si>
  <si>
    <t>📸 #کنسرت_خیابانی محمد معتمدی در بوستان آب و آتش/ نخستین کنسرت خیابانی رایگان توسط ارکستر سازهای ملی ایران به خوانندگی محمد معتمدی و رهبری علی اکبر قربانی با حضور #واعظی رئیس دفتر #روحانی شامگاه جمعه در بوستان آب و آتش تهران برگزار شد</t>
  </si>
  <si>
    <t>Civil engineer #perspolis ❤❤❤❤❤❤</t>
  </si>
  <si>
    <t>تف تو روی #رئیسی که باعث شد ما به #روحانی رای بدیم که اخرشم بگن اینا فیکن از سعودی و امریکا خط میگیرن #WeAreNotBots #ظریف</t>
  </si>
  <si>
    <t>‏‏‏در عالم کسی را مظلوم تر از اباعبدالله ندیدم صلی الله علیک یا ابا عبدالله و السلام علیک یا بقیه الله</t>
  </si>
  <si>
    <t>https://pbs.twimg.com/media/Dl_xaESW4AAN1-j.jpg</t>
  </si>
  <si>
    <t>آنهایی که این عکس را بلد کرده اند آیا میخواهند عملکرد غیر قابل دفاع #روحاني به فراموش سپرده شود ایشان یکی از حامیان وضع موجود است</t>
  </si>
  <si>
    <t>عزیزی</t>
  </si>
  <si>
    <t>http://kayhan.ir/</t>
  </si>
  <si>
    <t>خبرنگار سیاسی روزنامه کیهان |Political correspondent from kayhan newspaper</t>
  </si>
  <si>
    <t>#حصر همچنان ابزار کاسبی دولت و #سران_فتنه در حصر،نان نقد در سفره روحانی اند که با کارت آنها بخشی ازافکارعمومی رامتاثرو هوادارانشان را درسبد خود نگه می دارد،کمترین آورد این رویه برای #روحانی به حاشیه بردن دلار10هزارتومنی،سکه 4میلیونی و پراید40 میلیونی است. #میر_حسین_موسوی #کودتاچی</t>
  </si>
  <si>
    <t>مجتبی باجلان</t>
  </si>
  <si>
    <t>https://pbs.twimg.com/media/Dl_yOk7XcAA55ml.jpg</t>
  </si>
  <si>
    <t>رفتاربامنتقدین اینجوریه وقتی جایگاه و #نوکرو_ارباب عوض بشه #نماینده #نوکر #ملت</t>
  </si>
  <si>
    <t>Azad</t>
  </si>
  <si>
    <t>https://pbs.twimg.com/media/Dl_zLtHXsAEeJ72.jpg</t>
  </si>
  <si>
    <t>🔴 دولت بهار/ علی اکبر جوانفکر در یادداشتی نوشت وزارت #مصلحی پس از عزل، به دلیل عدم کسب نظر موافق رییس جمهور و رای اعتماد مجدد #مجلس غیرقانونی بود.</t>
  </si>
  <si>
    <t>#استیضاح @sm_bathaei در شرایط فعلی به نظرم اشتباه و غیرقابل‌فهم است. اما استراتژی رسانه‌ای آ.پ برای مقابله با آن هم اشتباه است. طبق تجربه، در استیضاح، بیش از اقناع عمومی، لابی با نمایندگان مهم است. نسبت دادن استیضاح به #مافیای_کنکور، باعث لجبازی و مصمم‌تر شدن مجلسی‌ها خواهد شد!</t>
  </si>
  <si>
    <t>یک به یک وزیران #روحانی را #استیضاح میکنند تا نوبت به خود او برسد ! سه شنبه جلسه رسیدگی به استیضاح وزیر آموزش و پرورش در دستور اجراست بعدتر مسئله استیضاح وزیر صنعت و معدن و نیز وزیر کشور و همینطور وزیر راه آخوندی ... #استیضاح_وزیران #پایان_دولت_روحانی</t>
  </si>
  <si>
    <t>https://telegram.me/harfbzanbot?start=o5PKbg</t>
  </si>
  <si>
    <t>‏‏‏‏‏‏‏‏‏‏‏‏‏‏‏/ ‏‏‏‏‏Pharmacy student / interested in politics &amp; military &amp; books مثلا فعال دانشجویی ! روزمره نویس با چیز های دیگر :|</t>
  </si>
  <si>
    <t>sari</t>
  </si>
  <si>
    <t>https://pbs.twimg.com/media/Dl_2EndWwAAP0-r.jpg</t>
  </si>
  <si>
    <t>بعد از یک ساعت دوباره همون توییت رو فرستادن با اضافه شدن تک کلمه « روش » با این سرعت و دقت معلومه از #مجلس چیزی درنمیاد @yousefnejad_ir</t>
  </si>
  <si>
    <t>محمد فامیلیان</t>
  </si>
  <si>
    <t>architect</t>
  </si>
  <si>
    <t>ما تو پایین شهر قم یه محله مزخرف ماهی 1.5 اجاره تمدید کردیم امسال بدون پارکینگ و سرمایش و گرمایش!#روحانی مچکریم</t>
  </si>
  <si>
    <t>nahid</t>
  </si>
  <si>
    <t>http://Garargah.blog.ir</t>
  </si>
  <si>
    <t>‏‏کلمات تیز و رسا لبه دیگر شمشیر ذوالفقار علی است...برای رضای مولایمان کلمه‌نویسی پیشه کرده‌ایم.</t>
  </si>
  <si>
    <t>Rey, Tehran</t>
  </si>
  <si>
    <t>در تاریخ ثبت خواهد شد که دولت و تدبیر امید به ریاست حسن #روحانی توان کنترل قیمت #پوشک را هم نداشت... #ایران #نه_به_گرانی_پپشک</t>
  </si>
  <si>
    <t>علی یاسمی⁦🇮🇷⁩</t>
  </si>
  <si>
    <t>https://pbs.twimg.com/media/Dl_5Hr3V4AEz13l.jpg</t>
  </si>
  <si>
    <t>ی روز مدالشونو تقدیم #رهبری کردن بعد چفیه انداختن گردنشون فیلم ضبط کردن گفتن بسیجی هستیم در حضور خانوم چرخنده گفتن جوگیر نشدیم و چادری شدیم بعد رفتن همون مدالو تقدیم #روحانی کردن با شال بنفش حالا هم رفتن گفتن به ما وعده پولو خونه دادن واسه چادری شدن فریبمون دادن عزیز خودت فریبی</t>
  </si>
  <si>
    <t>«ذبیح الله خدائیان»، معاون حقوقی قوه قضاییه: سوال از دکتر #روحانی در صورتی که تخلف یا استنکاف از اجرای قانون باشد به این قوه ارسال می‌شود، در غیر این صورت اگر هیچ یک از این موارد نباشد، طبیعتا پرونده سوال از رییس جمهوری به قوه قضاییه ارجاع نمی‌شود.</t>
  </si>
  <si>
    <t>https://pbs.twimg.com/media/Dl_6vW-U4AAoqJp.jpg</t>
  </si>
  <si>
    <t>کنایه بی قانون به درگیری‌های لفظی نمایندگان مجلس #جار #کیوسک_جار #طنز #مجلس</t>
  </si>
  <si>
    <t>نسبت به وطن و مردم نمی توان بی تفاوت بود با هرکس که با عزت و سرافرازی وطنم مشکل دارد،سر جنگ دارم</t>
  </si>
  <si>
    <t>امروز مطالبه از نمایندگان مجلس به یک خواست عمومی تبدیل شده است نمایندگان #مجلس _پاسخگو در مورد عملکرد خود و نقش نظارتیشان باید باشند #گونی</t>
  </si>
  <si>
    <t>سبا</t>
  </si>
  <si>
    <t>مافياى چند هزار ميلياردى كتاب هاى كمك درسى و آموزشگاه هاى آمادگى كنكور كه يك سرش هم تو صدا و سيما است رسما نمايندگان مجلس رو خريده براى #استيضاح_وزير_آموزش_و_پرورش فساد تو قلب #مجلس رخنه كرده</t>
  </si>
  <si>
    <t>‏‏‏‏‏‏اهل سینما و اهلی کتاب | فرهنگ》سیاست http://ble.im/darhambaaf‎</t>
  </si>
  <si>
    <t>ما توی این مملکت دو تا #قانون بیشتر نداریم: ۱- قانون اساسی ۲- قانون مصوب مجلس تا حالا از این زاویه به فاجعه #مجلس نگاه کرده بودید؟</t>
  </si>
  <si>
    <t>فاطمه ترکاشوند</t>
  </si>
  <si>
    <t>فقط مونده #اصلاح_طلب ها و ذوب شدگان در ولایت میرالمومنین سمت کوچه اختر نمازشون رو ادا کنن. حالا مگه #خاتمی و #روحانی چه گلی به سرتون زد که #ميرحسين_موسوى به سرتون بزنه.</t>
  </si>
  <si>
    <t>دولت با در رفتن فنر دلار و خارج شدن آن از دستش فنر اقتصاد و معیشت مردم از دستش خارج شده و چاره ای جز پخش کالا برگ ندارد. #روحانی</t>
  </si>
  <si>
    <t>#روحاني ميداند مملكت در داخل دچار مشكل است نه از خارج اما وي برنامه و انگيزه اين كار را ندارد زيرا حاميانش كه براي راي اوردنش سرمايه گذاري كرده اند خود جزوي از اين مشكل هستند و مرام حزبي #اصلاحات هميشه منافع #ژن_خوب را بر منافع ملي برتر ميداند #افکار_عمومي #تابستان_نارضایتی</t>
  </si>
  <si>
    <t>: وزارت اطلاعات #روحانی چرا داره این همه فعالان مدنی و وکلا و... رو می‌گیره؟ _قصدشون خیره! می‌خوان اینا رو از دست ا.س نجات بدن! #الکی</t>
  </si>
  <si>
    <t>YasTBT🇮🇷</t>
  </si>
  <si>
    <t>#وزرا سعی کنند که گذرشان به #مجلس نیفتد #جعفرزاده_ایمن_آبادی: به نظر من، ادامه این وضعیت دو قطبی به صلاح مردم نیست. اگر از من می پرسید، باید بگویم در این شرایط، #وزرا سعی کنند که گذرشان به مجلس نیفتد، چون فعلا فضا در مجلس مناسب حال وزرا نیست.</t>
  </si>
  <si>
    <t>‏‏‏‏مدیر مسئول دوهفته نامه فریادخوزستان، مدیرمسئول پایگاه خبری یاران۳۱۳، معلم و نویسنده.</t>
  </si>
  <si>
    <t>https://pbs.twimg.com/media/DmACWrdXgAEYWew.jpg</t>
  </si>
  <si>
    <t>۱.آژانس انرژی اتمی ۲۰بار درطی این سه سال پایبندی ایران به تعهداتش در #برجام رو تایید کرده. ۲. #روحانی و #ظریف و #صالحی و #سیف رئیس سابق بانک مرکزی صریحاً میگن آمریکا (به تعهداتش دربرجام پایبند نبود حالا #محمدجواد_فتحی (ساسان) میگه که #دلواپسان مقصر خروج #ترامپ ازبرجام بودن!</t>
  </si>
  <si>
    <t>داود مدرسی یان</t>
  </si>
  <si>
    <t>‏‏‏‏‏‏‏‏‏‏‏‏گر می نخوری طعنه مزن، غره مشو ، صدلقمه خوری که می غلامست آنرا .... در هم برهم می نویسم.تف به چپ و راس. تعصب ندارم تعصب نداشته باش . بزن قدش 🤝 😋</t>
  </si>
  <si>
    <t>https://www.instagram.com/p/BnLfKvhnTIc/?utm_source=ig_twitter_share&amp;igshid=1u2h54nbb75wm</t>
  </si>
  <si>
    <t>عکس جدید #میرحسین_موسوی . . . . . . . #روحانی #سلبریتی #بنفش #ظریف #انتخابات #برجام #جهانگیری #میرحسین #سلام #اصلاحات #خاتمی #تدبیر #فریب #ایران #تزویر #فتنه #سبز انقلاب…</t>
  </si>
  <si>
    <t>یه جون عاشق اطلاعات نظامی و سیاسی؛ دیوانه وار رخداد های نظامی منطقه و جهان رو بررسی میکنم</t>
  </si>
  <si>
    <t>https://pbs.twimg.com/media/DmAC7RzW4AAndiA.jpg</t>
  </si>
  <si>
    <t>دلار امروز ۱۱۱۰۰ تومان به فروش رسید. روحانی روز ۳‌شنبه در مجلس مدعی شده بود دلار به ثبات خواهد رسید. درحالیکه آنروز ۱۰۷۰۰ تومان بود و تنها در ۴روز ۴۰۰تومان جهش داشته است!!!!😐 #روحانی</t>
  </si>
  <si>
    <t>Danial</t>
  </si>
  <si>
    <t>هر چند از #حسن_روحانی خوشی ندارم و کلی غر و انتقاد دارم.اما یه مطلبی که هست اینه که #رییس_جمهور.اینکه مثل #دوره_محمود #مجلس سنگ اندازی کنه جلو راه ها اینا از بیراهه باز فساد می کنن.درضمن #جهانگیری و #نوبخت چه فرقی دارن که تو مجلس سر #راه_کاراشون دعواست.اصلا چه #راه_کار_علمی دارن؟</t>
  </si>
  <si>
    <t>M Hassan DF</t>
  </si>
  <si>
    <t>نظر قوه قضائیه درخصوص #سوال_از_رییس‌جمهور «خدائیان»، معاون حقوقی قوه قضاییه: سوال از دکتر روحانی در صورتی که تخلف یا استنکاف از اجرای قانون باشد به این قوه ارسال می‌شود، در غیر این صورت اگر هیچ یک از این موارد نباشد، طبیعتا پرونده سوال از رییس جمهوری به قوه قضاییه ارجاع نمی‌شود</t>
  </si>
  <si>
    <t>تو کشوری که با دروغ و وعده های توخالی میتونی حاکم مردم بشی امام زمان رد سلاحیت میشه</t>
  </si>
  <si>
    <t>اون #مجلسی که تو 20دقیقه #برجام رو تصویب کرد تو 10دقیقه نماینده هارو مجبور کرد امضای طرح #استیضاح_روحانی رو پس گرفتند. #لاریجانی #رئیس_مجلس #رئیس_جمهور #خائن_انگلیسی #شفافیت</t>
  </si>
  <si>
    <t>Ramin</t>
  </si>
  <si>
    <t>اقاین #نمایندگان محترم #مجلس ! چه عملکردی از بنده انتظار دارید؟اینها به رای #مردم تمکین نکردند،کشور رو9ماه به آشوب کشیدند با امریکایی ها صحبت کردند تحریم ها بیشترشود آوار برداری این خسارات 10 سال طول میکشد، عاملین باید اعدام شوند بخشی از سخنان روحانی اگر 88 تا 92اگر رئیس دولت بود</t>
  </si>
  <si>
    <t>دانشجوی روابط بین الملل و علوم دیپلماتیک، ایتالیا و حامی #جبهه_مقاومت * ریتوییت هر مطلب صرفا تایید همان مطلب است نه نویسنده یا نشر دهنده. *</t>
  </si>
  <si>
    <t>Italia</t>
  </si>
  <si>
    <t>#دولت و دولتیان از کلامشون پیداست هیچ ایده و برنامه ای برای حل #بحران ندارن و منتظر اقدام #اروپا و #چین برای خط مستقیم مالی نشستن! #مجلس فشل تر از آن چیزیست که تصور میشه. آلترناتیو هر دو هم چیز بیشتری از اینها نیستند. #قرارداد_اجتماعی راه حل و علاج است همین.</t>
  </si>
  <si>
    <t>Amin PSP🇮🇷🇮🇹</t>
  </si>
  <si>
    <t>اوست نشسته در نظر...</t>
  </si>
  <si>
    <t>من: #احمدي_نژاد ٤سال اول خوب كار كرد #سبز: از اول گند زد! من: #روحاني هم كه كشتين خودتون رو خيلي بيشتر گند زده تا الان! بنفش: #رييس_جمهور هيچ كاره است مشكل از كل نظامه! 😕</t>
  </si>
  <si>
    <t>ali shakib</t>
  </si>
  <si>
    <t>نگران دراندیشه فردای وطن.سکوت ما جرم ماست. لودگی مان خیانت به آیندگان</t>
  </si>
  <si>
    <t>Iran Shiraz</t>
  </si>
  <si>
    <t>https://pbs.twimg.com/media/DmAFoAaX0AA8L2j.jpg</t>
  </si>
  <si>
    <t>هشتگ #استیضاح_بطحایی محل تجمع #قلم_فروشان و #تویت_فروشان برعلیه یا موافق #استیضاح #بطحایی وزیر آپ است.خبری از اختلاس صندوق ذخیره فرهنگیان٫سعید امامی و شهرزادواختلاسش ازبانک سرمایه افشاگری #محمود_صادقی زندان #فتوره_چی سهم خواهی نمایندگان ودولتی که سهمش به صندوق را نپرداخته نیست</t>
  </si>
  <si>
    <t>sHiRaZi</t>
  </si>
  <si>
    <t>https://pbs.twimg.com/media/DmAGAUPXsAArN0P.jpg</t>
  </si>
  <si>
    <t>به صفحات مجازی تک تک اعضای #شورایعالی_اصلاحطلبان، نمایندگان #فراکسیون_امید، اعضای #شورای_شهر آقای #روحانی #وزیر هاشون و همه اونایی که به اعتبار و اسم #اصلاحات #حصر #میرحسین #جنبش_سبز وارد #مجلس یا شورا شدن این عکس رو زدن یا نزدن همین</t>
  </si>
  <si>
    <t>غُراب جامعه سالم را جامعه مسئول می‌داند برای ایجاد سلامت جامعه را نقد و پژوهش می‌کند •</t>
  </si>
  <si>
    <t>pic.twitter.com/xbWb47mKRq</t>
  </si>
  <si>
    <t>_ #سهم_خواهی مدیرانِ احزابِ #اصلاحات فرصتِ بوجود آمده برای احیای اصلاحات را ب مهلکه‌ای برای تمامِ اندیشه‌ی اصلاحات تبدیل کرد _ ـ اَزْ یَکْ‌جـا شُروعْ کُنیم ـ #ایران #غراب #از_یکجا_شروع_کنیم #آگاهی #اسلامی #فرهنگ #دولت #حکومت_اسلامی #مردم #خبر #روحانی</t>
  </si>
  <si>
    <t>غراب سفید</t>
  </si>
  <si>
    <t>https://pbs.twimg.com/media/Dl_v2KPXsAA6vDV.jpg</t>
  </si>
  <si>
    <t>بطحایی سه شنبه به مجلس می رود #استیضاح</t>
  </si>
  <si>
    <t>همون کسانی که زمانی آویزون #خاتمی و #روحانی بودن و این عالیجنابان اصلاح و اعتدال رو تقدس می کردند و این دو رو کعبه ی آرزوهاشون می دیدن الان آویزون #ميرحسين_موسوى شدن. نمی فهمن مشکل اصلی دائم الاویزون بودن خودشونه چرا که هر کس تو این سیستم به قدرت می رسه نهایتا گه می زنه به خودش</t>
  </si>
  <si>
    <t>انتهای راهرو، سمت راست / اگر هم نظر نیستیم ولی هموطن هستیم/در کرب و بلا, بی طرفان, بی شرفان اند تاریخ همان است ,حسینی و یزیدی</t>
  </si>
  <si>
    <t>یک ضرب‌المثل آمریکایی میگه اعداد هرگز دروغ نمی‌گویند. معادل فارسی آن میشه؛ اعداد هرگز دروغ نمی‌گویند مگر اینکه آقای #روحانی از آنها استفاده کند.</t>
  </si>
  <si>
    <t>قبیله یه نفره</t>
  </si>
  <si>
    <t>مدرس دانشگاه- مستند ساز - مشاور تربیت فرزند</t>
  </si>
  <si>
    <t>سخنان #روحانی در #سوال_از_رییس‌جمهور میزان تسلطش رو در اداره کشور نشون داد آقا اگر این کاره نیستید دارید خیانت می کنید که مسئولیت می پذیرید و همچنین اونایی که تبلیغ یه چنین آدمی رو می کنند.</t>
  </si>
  <si>
    <t>سید کمیل حسینی</t>
  </si>
  <si>
    <t>journalist/روزنامه‌نگار در کیهان لندن</t>
  </si>
  <si>
    <t>#فرخ_فروزان و #پیام_درفشان در حالی بازداشت شدند که فرزند خردسال فرخ فروزان همراه پدرش بود و با بگیروببند مأموران امنیتی دچار هراس شده است. در ماه‌های گذشته دست‌کم هشت وکیل دادگستری در ایران بازداشت شدند! این نتیجه منشور حقوق شهروندی #روحانی است آیا؟! #فرقه_تبهکار #دولت_فریب</t>
  </si>
  <si>
    <t>روشنک آسترکی</t>
  </si>
  <si>
    <t>‏‏‏‏‏‏‏حدیث ظلم شما و نکبت ما حقیقت است چرا صحبت از مجاز کنیم!</t>
  </si>
  <si>
    <t>بن بست قدیمی !</t>
  </si>
  <si>
    <t>#سوال_از_رئیس‌جمهور مواضع خامنهای در مورد قطع امید از اروپاییها وقتی مذاکره با آمریکا با حکم خامنه‌ای ممنوع اعلام شده و حالا قرار است روی اروپا به ویژه سه کشور فرانسه و آلمان و انگلیس حساب باز نشود، آیا رژیم قادر خواهد بود خود را از تنگنایی که در آن گرفتار آمده نجات دهد؟</t>
  </si>
  <si>
    <t>کٍشماتی🏳</t>
  </si>
  <si>
    <t>#روحانی در #سوال_از_رئیس‌جمهور بسیاری از مشکلات گردن نوع نگرش مردم به آینده انداخت. مگر این نگرش تحت تاثیر عملکرد شما نبوده؟ ربط دادن همه چی به برجام و کم کاری و .... و اینکه شما چه کار کردید که بتونید جو روانی و هیجانی رو مدیریت کنید؟</t>
  </si>
  <si>
    <t>#ایران #تهران #قم #فوری درادامه #اعتراضات #مردم #روحانی :در روایات از #همتی رئیس بانک مرکزی #دولت #فساد اهل بیت ال عبا #رهبر_انقلاب وشرکا امده است سیستم بانکداری اسلامی #رهبرفرزانه, #استجازه استفاده از برخی ابزارها را به #بانک مرکزی نمی‌دهد</t>
  </si>
  <si>
    <t>خادم الزینب سلام الله علیها</t>
  </si>
  <si>
    <t>Syrian Arab Republic</t>
  </si>
  <si>
    <t>https://pbs.twimg.com/media/DmALGQDWsAAKLH0.jpg</t>
  </si>
  <si>
    <t>ای آنکه مطالبه شعارت گونی نمایندگان در انتظارت... هرچه بگندد نمکش میزنند، وای به روزی که بگندد #نمک #علی_الاسلام_سلام #علی_مطهری #لباس_پیغمبر #روحانی #گلپایگان #نقد #ایران</t>
  </si>
  <si>
    <t>Abdolzahra</t>
  </si>
  <si>
    <t>در اوضاعی هستیم که #رئیس_جمهور مملکت میره توچال! وزیر بهداشت وقت جراحی داره پا میشه میره تله کابین سواری! وزیر ارتباطات میره از ورزشکارا تقدیر میکنه! نایب رئیس مجلس میره راجب مسائل دینی حرف میزنه! اخوند مملکت مردمو میخاد بکنه تو گونی! کلا هیچکس سرجای خودش نیست :/</t>
  </si>
  <si>
    <t>شما خیلی بدید. حالم از همه تون بهم میخوره</t>
  </si>
  <si>
    <t>بی افتخار جمهوری اسلامی ایران</t>
  </si>
  <si>
    <t>چه رئیس جمهور خوبی داریم #پوشک چقدر ارزونه، شیرخشک چقدر فراوونه #روحانی خیلی دوست دارم #دیوی</t>
  </si>
  <si>
    <t>دیوی</t>
  </si>
  <si>
    <t>حالا فهمیدید #روحانی کیه؟؟؟ فهمیدی جانم به قربانت ولی حالا چرا بی وفا حالا که ما افتاده ایم از پا چرا</t>
  </si>
  <si>
    <t>وقتی #حسین_فریدون صدای #رئیس_جمهور رو تقلید میکنه و دستور صدور مجوز میده،مگه #وزیر_بهداشت چُلاغه؟ اونم پول میگیره یه دکتر دیگه میفرسته واسه عمل #قاضی‌زاده_گیت</t>
  </si>
  <si>
    <t>اینقدر پوشک سربازای آمریکا رو مسخره کردیم، کاری کردن پوشک گرون بشه، نظر #روحانی و دوستاش</t>
  </si>
  <si>
    <t>http://tn.ai/1816663</t>
  </si>
  <si>
    <t>#ایران #تهران #فوری درادامه #اعتراضات #مردم #روحانی :در راستای تحقق مطالبات #دولت #فساد اهل بیت ال عبا #رهبر_انقلاب وشرکا آخرین اخبار از اقدامات شورای نگهبان #اختلاس این #رهبرفرزانه شورای فقهی مجتهد متجزّی #بانک_مرکزی</t>
  </si>
  <si>
    <t>https://pbs.twimg.com/media/DmAP7_lXsAA8KLk.jpg</t>
  </si>
  <si>
    <t>قابل توجه اوناییکه میگن #روحانی کاره ای نیست #سلبریتی_های_بیسواد #Iran</t>
  </si>
  <si>
    <t>بنده ی خدا جواد کاظمی</t>
  </si>
  <si>
    <t>جمهوری اسلامی ایران IRI اصفهان</t>
  </si>
  <si>
    <t>https://twitter.com/mohamad_mirzaee/status/1035841985502949377
https://www.farsnews.com/news/13970610000749/%DA%AF%D8%B2%D8%A7%D8%B1%D8%B4-%D9%86%D9%87%D8%A7%DB%8C%DB%8C-%DA%A9%D9%85%DB%8C%D8%B3%DB%8C%D9%88%D9%86-%D8%A2%D9%85%D9%88%D8%B2%D8%B4-%D9%85%D8%AC%D9%84%D8%B3-%D8%AF%D8%B1%D8%A8%D8%A7%D8%B1%D9%87-%D8%A7%D8%B3%D8%AA%DB%8C%D8%B6%D8%A7%D8%AD-%D8%A8%D8%B7%D8%AD%D8%A7%DB%8C%DB%8C-%D8%AF%D8%B1-%DB%B1%DB%B6-%D9%85%D8%AD%D9%88%D8%B1-</t>
  </si>
  <si>
    <t>مجلس اگر به جای #شریعتمداری نالایق و مفسد پرور ، #بطحایی که جزو پاسخگو ترین وزرای دولت ناکارآمد فعلی است را استیضاح کند ثابت کرده که دستان پشت پرده را محکم فشرده است #مجلس #استیضاح RT @mohamad_mirzaee: اگر میخواهید بدانید چه کسانی در شرایط فعلی اقتصادی ترجیح داده‌اند به جای رفتن سراغ وزیر صنعت، معدن و تجارت و وزیر راه و شهرسازی، سیدمحمدبطحایی وزیر آموزش و پرورش را استیضاح کنند، خبر زیر را بخوانید:</t>
  </si>
  <si>
    <t>Javad Kazemi 🇮🇷</t>
  </si>
  <si>
    <t>من هیچی که نمیگم، دروغه!</t>
  </si>
  <si>
    <t>فکر نکنم سوئیس زندگی نکنیم</t>
  </si>
  <si>
    <t>چه رئیس جمهور خوبی داریم #پوشک چقدر ارزونه، شیرخشک چقدر فراوونه #روحانی خیلی دوست دارم #دیبی</t>
  </si>
  <si>
    <t>دیبی</t>
  </si>
  <si>
    <t>‏‏‏‏خدایا خدایا تا انقلاب مهدی از نهضت خمینی محافظت بفرما</t>
  </si>
  <si>
    <t>در حقیقت #برانداز اصلی بعد از #روحانی و #لاریجانی #صدا_و_سیماست کارخانه تولید #شاخ_مجازی با پوشاندن #چادر زوری و حجاب بدون اعتقاد قلبی</t>
  </si>
  <si>
    <t>نام من :هیچکس</t>
  </si>
  <si>
    <t>https://eitaa.com/Mostafa_Ghafari</t>
  </si>
  <si>
    <t>‏‏‏‏‏</t>
  </si>
  <si>
    <t>https://pbs.twimg.com/media/DmASRkhW4AE_gnC.jpg</t>
  </si>
  <si>
    <t>دواتفاق اخیر؛ یکی در #قم ویکی #گلپایگان؛ یکی تبدیل به پرونده جنایی (قتل #هاشمی،تهدیدبه قتل #روحانی) شد؛ ودیگری #سانسور! #تا_۱۴۰۰_با_گونی</t>
  </si>
  <si>
    <t>مصطفی غفاری</t>
  </si>
  <si>
    <t>‏با وجود ابرهای سیاه در آسمان نمیتونی ماه و ستاره‌ها‌رو ببینی. باید برای تماشایشان ابرهای سیاه کنار بروند.</t>
  </si>
  <si>
    <t>https://pbs.twimg.com/media/DmASh-IXgAEptKP.jpg</t>
  </si>
  <si>
    <t>بعد ازجلسه سوال از #رئیس_جمهور درمجلس خیلیا گفتن اون #پنکه مال رئیس جمهور نبوده و از اموال مجلسه ولی بابررسی تصاویرمشخص شد که این پنکه سرجهازی ایشونه و هرجا می ره همراهشه #تا_1400_با_گونی</t>
  </si>
  <si>
    <t>Ebrahim_hadi</t>
  </si>
  <si>
    <t>‏‏‏‏‏‏‏‏‏‏‏‏#‏عقیده_آزاد_است...ما هم قبل از اینکه تئوریسین‌های شما به «عقیده آزاد» برسند ۱۴ قرن پیش به «لا اکراه فی الدین» رسیدیم</t>
  </si>
  <si>
    <t>مشــــــهد</t>
  </si>
  <si>
    <t>یه #خبر_خوب دارم و یه خبر بد! خبر خوب: یک سال و یک ماه از ریاست جمهوری #روحانی گذشت. #خبر_بد: هنوز ۳ سال دیگه از ریاست جمهوری #روحانی مونده :)) #روحانی_استیضاح</t>
  </si>
  <si>
    <t>ابوریحان‌درونی</t>
  </si>
  <si>
    <t>‏‏‏‏‏‏برای حفظ تعادل رکاب میزنم (شوهری مهربان_پدری دلسوز_پشمالو) به زودی از فیروزه مینویسم ✍👪🏕🕞💍</t>
  </si>
  <si>
    <t>بالای،ابرا</t>
  </si>
  <si>
    <t>بیشترکه فکر میکنم ما به کلید رای ندادیم به یه قفل گنده رای دادیم #روحاني</t>
  </si>
  <si>
    <t>kamran</t>
  </si>
  <si>
    <t>Son, Brother, Former cyber journalist, now active in #Iran #Entrepreneurship Ecosystem • I tweet in both Persian &amp; English • RT &amp; Follow NOT Endorsement.</t>
  </si>
  <si>
    <t>https://twitter.com/shirankhorasani/status/1027482400564150273</t>
  </si>
  <si>
    <t>• تامین نیازهای اساسی مردم در شرایط وخیم اقتصادی با #کوپن_الکترونیکی ، دقیقا دو نکته مهم است که رضا شیران خراسانی، نماینده مردم #مشهد از ماه های گذشته مطالبه کرده است. • و فردا، طرح دو فوریتی تامین کالای اساسی با بهره گیری از کوپن الکترونیکی در صحن علنی #مجلس مطرح می شود. RT @shirankhorasani: بازهم تاکید میکنم که بهترین راهبرد نجات محرومین از تورم، توزیع عادلانه کالاهای اساسی به طریق کوپنی(کالابرگ) است. #محرومین #تورم #دولت #کالاهای_اساسی #دولت #عدالت</t>
  </si>
  <si>
    <t>Behrooz Riazi</t>
  </si>
  <si>
    <t>خدایا توروخدا #روحانی و #مطهری و #ظریف و #عراقچی و #زنگنه و #شریعتمداری و #نهاوندیان و #نیلی و قس علی هذا رو تا آخرِ #ماه_محرم اَزمون بگیر. این نفرین نیست، دعای آزادیست برای ۹۶٪ های مقیم ایران... #دعا</t>
  </si>
  <si>
    <t>https://pbs.twimg.com/media/DmAWVt7WsAA8Hvr.jpg</t>
  </si>
  <si>
    <t>دستیار ویژه رییس جمهور در حقوق شهروندی به #سرمشق_نیوز گفت: #استیضاح وزیر ۲۰ روز قبل از #مهر لطمه جبران ناپذیری به تنه دانش آموزی کشور میزند. چیزی را اصلاح نمیکند بلکه باعث خراب تر شدن اوضاع خواهد شد. #بطحائي</t>
  </si>
  <si>
    <t>#کامپیوتر می خونم|#پایتون دوست دارم|گاهی عکس میگیرم|برنامه نویس ها و عکاس ها رو دوست دارم:)</t>
  </si>
  <si>
    <t>اینا انگار یادشون رفته آقای #گونی_به_دست یک روحانی بوده و اصلا برای مردم مهم نیست که حامی #روحانی یا #مطهری یا هر کس دیگه‌ای بوده، مهم اینه که این ادبیات #گونی رو از دهان صاحبانش شنیدیم و شبیه به یک اعترافه! این دومین اعتراف اخیر روحانیت بوده #استخرِ_فرح</t>
  </si>
  <si>
    <t>mh nabi</t>
  </si>
  <si>
    <t>https://pbs.twimg.com/media/DmAYNeLUUAAbKoy.jpg</t>
  </si>
  <si>
    <t>. پرزیدنت #ترامپ در مصاحبه با خبرگزاری بلومبرگ: «سیاستهای دولت من احتمالا به سرنگونی رژیم ایران منجر خواهد شد.» #استیضاح #جنگ #ری_استارت_تنها_راه_نجات #interview_Restartleader #Seyed_Mohammad_Hosseini #Restart_Opposition</t>
  </si>
  <si>
    <t>عجب مملکت باحالی داریم هر روز تورم و گرونی بیشتر از دیروز... هر روز وعده جدید... اخه دروغ تا کی؟ سرگرم کردن مردم به وعده های پوچ و خالی تا کی؟ مقاوت تا کی؟ ظلم به مردم تا کی؟ #ارز #خودرو #مسکن #دارو #سکه #روحاني #ترامپ #خواهان_صلح_با_امریکا #زنده_باد_امریکا #ننگ_بر_دروغگو</t>
  </si>
  <si>
    <t>اما من می ترسم اگه تصویب نشه #روحانی بگه شما نمی ذارین ما به اهدافمون برسیم !اگر هم تصویب بشه و مثل برجام باعث ایجاد مشکل برای کشور بشه بیاد بگه من تصویب نکردم که! همش زیر نظر مستقیم! رهبری بوده</t>
  </si>
  <si>
    <t>@Zoha.rezvani</t>
  </si>
  <si>
    <t>pic.twitter.com/78tEkBP0xN</t>
  </si>
  <si>
    <t>https://twitter.com/mohamadrezapar5/status/1035019764664545280</t>
  </si>
  <si>
    <t>جمهوری اسلامی در حال غذا دادن به مسئولین خود رهبر در حال تقسیم غنائم بین مسئولان و مزدوران #ظریف #روحانی #رهبری #قحطی #فساد #اختلاس RT @mohamadrezapar5: اگر از شغلت ناراضى هستى، اين ويدئو رو ببين</t>
  </si>
  <si>
    <t>http://etehadonline.com/news/636875/</t>
  </si>
  <si>
    <t>راه حل های «روحانی» شکست خورده است/ نظارت مجلس باید به موقع باشد  #روحانی #نظارت_مجلس #دولت_نهم #مجلس</t>
  </si>
  <si>
    <t>#سؤال و #استیضاح برای اونهایی است که وظیفه ی قانونی و شرعی خود را بلد نیستند و یا در انجام آن #قصور و کوتاهی صورت گرفته است.</t>
  </si>
  <si>
    <t>https://pbs.twimg.com/media/DmAa0R2X0AAUfyX.jpg</t>
  </si>
  <si>
    <t>http://tn.ai/1817447</t>
  </si>
  <si>
    <t>خانه تکانی حزب نزدیک به #روحانی؛ چرا چهره‌های شاخص به جلسات اعتدال و توسعه نمی‌روند؟/ روز گذشته خبری مبنی بر عدم حضور فاطمه هاشمی، مرتضی بانک و اکبر ترکان در جلسات اعتدال و توسعه منتشر شد گزارش #تسنیم را اینجا بخوانید:</t>
  </si>
  <si>
    <t>"قفسه‌های خالی داروخانه‌ها از داروهاي غيرحياتی همچون مكمل‌هاي تغذيه‌اي و نیز داروهای ضروری از جمله داروی بيماران قلبی، اعصاب و روان، مبتلايان فشار خون و برخي داروهاي شيمي درمانی، حق قدرت انتخاب را از مراجعان دريغ كرده است". روزنامه اعتماد حسن #روحاني گفته است والله بحران نداریم</t>
  </si>
  <si>
    <t>https://pbs.twimg.com/media/DgceHIaXcAEkupn.jpg</t>
  </si>
  <si>
    <t>https://twitter.com/shirankhorasani/status/1010809753377918976</t>
  </si>
  <si>
    <t>#کوپن_الکترونیکی طرحی مهم برای نجات مردم در شرایط وخیم اقتصادی است. رضا شیران خراسانی، نماینده #مجلس امروز از طرح دو فوریتی این برنامه در صحن علنی فردا خبر داد. @Majlis_ir #دیدبان_مجلس #اقتصاد RT @shirankhorasani: جنگ استکبار علیه ما جنگ اقتصادی است. بهترین راهبردمان برای نجات محرومین در شرایط فعلی میتواند توزیع کمک های غیر نقدی(احیای سیستم کوپنی) باشد. #جنگ_اقتصادی #کوپن</t>
  </si>
  <si>
    <t>اعتراف به ناتوانی توسط نایب رئیس مجلس خودش نقطه عطفی در رفتار جمهوری اسلامی هست کم کم ادبیاتشون از میتوانیم به نمیتوانیم تغییر کرده #دلار #ارز #مطهری #مجلس #برانداز</t>
  </si>
  <si>
    <t>آقایان می فرمایند اگر #رئیسی برنده انتخابات بود هم،وضع همینطوریا بدتر بود؟ گفتم؛اگر بجای ترامپ،اوباما بودچی؟ گفت؛معلومه که اوباما فهمیده تر بود! گفتم؛شما بین ترامپ واوباما تفاوت را متوجه می شوید،اما بین رئیسی و #روحانی را نه؟ یانمی خواهید بفهمید یا خودتان را به نفهمی زده اید!</t>
  </si>
  <si>
    <t>‏‏‏‏I'm ‎‎‎‎#firefighting and ‎‎‎‎#safety expert I have 15 years of ‎‎‎‎#experience ‎‎‎‎#مدرس ‎‎‎‎#بازرس ‎‎‎‎#صلاحیتدار مرکز تحقیقات وزارت کار ‎‎‎#آتشنشانی ‎‎‎#</t>
  </si>
  <si>
    <t>Mashhad Iran</t>
  </si>
  <si>
    <t>یه بابایی خطاب به روحانیون مسیحی میگفت: دست از اثبات حقانیت مسیحیت بردارید؛ چون مسیحیت واقعاً برحق است، بیایید اثبات کنید که خودتان مسیحی هستید ... این چیزی ست که نیاز به اثبات دارد... #روحاني محترم ادیان مختلف دنیا لطفا بخودت بگیر...😉😉</t>
  </si>
  <si>
    <t>hamedrezaazizi</t>
  </si>
  <si>
    <t>Iranian Reformist politician_ research and development/M.A in politic science _B.A in language teaching&amp; interpretation,marketing degree from Tehran University</t>
  </si>
  <si>
    <t>نمایندگان محترم مجلس ؛ دقت کنید،صندوق ذخیره فرهنگیان و شرکت‌های تابعه بعلت اختلاس قبلی خالی و با تراز منفی مواجه است، #بطحایی برای گذار از #استیضاح هر قولی بدهد،اجرا نمی شود،لطفاً فریب نخورید و به فکر اعتمادعمومی مردم وجامعه ی بزرگ فرهنگیان به خود باشید @ir_aref @sfaridmousavi</t>
  </si>
  <si>
    <t>🇮🇷Mahdi_khalili❄</t>
  </si>
  <si>
    <t>#جهرمی شاید فکر میکنه خیلی دانشمنده و دکترای کامپیوتر و فن آوری اطلاعات رو داره اونم با سابقه بالا وچون تو #ایران مهندس کامپیوترپیدا نمیشد اونم در حد ایشون #روحانی کردش وزیر!!#روحانی آدم فریبکاریه که خواست بگه من به جونا میدون میدم آره به اقوام و دوستان خودش و #جهرمی هم.</t>
  </si>
  <si>
    <t>Teheran</t>
  </si>
  <si>
    <t>فقط خدا رحم کرد #روحانی حقوقدان است این همه #وکیل بدبخت بازداشت میشن و گرنه اگر اقتصاد دان بود که ................... فاتحه</t>
  </si>
  <si>
    <t>Mohsen.Sohanaki</t>
  </si>
  <si>
    <t>ما همیشه بازماندگانیم. کافکا</t>
  </si>
  <si>
    <t>کاش #جمهوری_اسلامی برای بقای خودشم شده آدم بفرسته توو #وزارت خونه ها و #مجلس بگه : از دم اخراج! #انتهاری</t>
  </si>
  <si>
    <t>سقوط</t>
  </si>
  <si>
    <t>https://www.isna.ir/news/97061004595/</t>
  </si>
  <si>
    <t>#ایران #تهران #روحانی: اخباریه #ورزش #دولت #اختلاس اهل بیت ال عبا #رهبر_انقلاب وشرکا با عنایات صاحب⏱️ الهام #چرخنده مجذوب ولایت #فساد این #رهبرفرزانه پیشنهاد داده #ورزشکاران خواهران منصوریان اگر چادر سرتان کنید به جایش پول، خانه و ماشین به شما می دهم</t>
  </si>
  <si>
    <t>Labor activist ✌, boxer 🥊🥊 معروف به کاپیتان هوک</t>
  </si>
  <si>
    <t>برجام قرار بود فصل الختام موقت تنش‌های بین سرمایه‌داری حاکم بر ایران (و مؤتلفین روسی‌اش) با سرمایه‌داران جهانی باشد و جمهوری اسلامی سخت روی رفع تحریم‌ها و آزاد شدن دارایی‌های بلوکه‌شده و بهبود روابط تجاری متقابل حساب باز کرده بود که ... #دلار #فقر #روحانی #برجام</t>
  </si>
  <si>
    <t>sia🚩</t>
  </si>
  <si>
    <t>https://pbs.twimg.com/media/DmAhUCqXgAA4v-2.jpg</t>
  </si>
  <si>
    <t>❓چرا همه باید با استیضاح وزیر آموزش و پرورش مخالفت کنیم؟ ✍️ محمد درویش 🔴 معلومه وزیری که به جنگ مافیای ۸هزارمیلیاردتومانی #کنکور برود، باید همواره خود را مهیای اخراج و #استیضاح بداند؛ وزیری که بخواهد کودکان در محیطی شاد در دبستان‌ها کودکی کنند، کتاب‌های کمک درسی را حذف کند.</t>
  </si>
  <si>
    <t>poya rezvani</t>
  </si>
  <si>
    <t>سال تحصيلي كه با #استيضاح #وزير ش آغاز شود ، قطعا مشكلات اقتصادي كشور حل مي شود 😳😧😧</t>
  </si>
  <si>
    <t>قرار نیست اینجا به شما چیزی را بفهمونم، میخام گفتگو کنیم تا خودم بیشتر بفهمم</t>
  </si>
  <si>
    <t>سایت #نماینده وابسته به خاندان حداد عادل تمام قد از #بطحایی حمایت میکنه حداد عادلها از مدیران مدرسه دار ایران هستند</t>
  </si>
  <si>
    <t>میثم سعادت🇮🇷</t>
  </si>
  <si>
    <t>#اهل_درد طلبه هستم البته ار نوع فیلمسازش، اونم با چاشنی انتقاد و آرمانخواهی، باشد که رستگار شویم. Cameraman, Editor, Graphist</t>
  </si>
  <si>
    <t>https://pbs.twimg.com/media/DmAjx2KV4AEVBGp.jpg</t>
  </si>
  <si>
    <t>{سید شهیدان اهل قلم}؛ در عالم رازیست که جز به بهای خون فاش نمی شود... . . آقای #روحانی، چطور میتونی جواب خون شهید #روحانی رو بدی...؟ @Rouhani_ir</t>
  </si>
  <si>
    <t>🇮🇷 حسن میرزاحسن</t>
  </si>
  <si>
    <t>#ایران #تهران #فوری درادامه #اعتراضات #مردم #روحانی :در راستای تحقق مطالبات #دولت #فساد #اختلاس اهل بیت ال عبا #رهبر_انقلاب وشرکا در خاطرمان هست که #رهبرفرزانه فرمودند که #فاجعه_منا رخ داده است احتمال عمد بودن در آن قوی است</t>
  </si>
  <si>
    <t>Iran 🇮🇷 Tweets in Farsi &amp; English. RT not endorsement. Header photo: David Burnett, 1979 Islamic Revolution</t>
  </si>
  <si>
    <t>Tehran.Iran</t>
  </si>
  <si>
    <t>مجتبی ذالنور گفته طرح #استیضاح وزیر آموزش و پرورش #بطحایی را امضا نکرده‌ و نخواهد کرد و در زمان رای‌گیری در صحن علنی نیز به این مسئله رای منفی خواهد داد. @zonnour</t>
  </si>
  <si>
    <t>Fereshteh Sadeghi</t>
  </si>
  <si>
    <t>https://pbs.twimg.com/media/DmAkUNMXoAAprSs.jpg</t>
  </si>
  <si>
    <t>فاجعه اخلاقی! #انسانیت م آرزوست طرف مادرش رو برای جراحی چشم برده پیش وزیر بهداشت، روز جراحی به اسم دکتر #قاضی_زاده پول عمل داده امااا.. همون ساعت جراحی.. آقای وزیر با #رئیس_جمهور رفته بوده توچال! #وجدان های خواب آلود #رژیم#رژیم_بد #وزیریهداشت #روحانی zeze🎈</t>
  </si>
  <si>
    <t>روحانی در سخنرانی ۳۰ مرداد به مناسبت "روز صنعت دفاعی" از لزوم تقویت نیرو های نظامی برای "صلح پایدار" خبر داد. احتمالا منظور از صلح، سرکوب معترضین و ماجراجویی در منطقه است. #روحانی #نظامی</t>
  </si>
  <si>
    <t>http://Instagram.com/mo.che</t>
  </si>
  <si>
    <t>من‌عکاسـم‌‌وازتصويرافسـانه‌مےسازم....</t>
  </si>
  <si>
    <t>دروطن‌خویش‌غریب</t>
  </si>
  <si>
    <t>موتور گرفتم از بازار تا خونہ، بهش میگم یه طرفه نرو خلافِ، میگه #رییس_جمهور خلاف میکنه و زبونش هم درازِ !! من با چند متر خلاف زبونمم دراز نیست! یکی بگه چرا خلاف اومدین میگم ببخشید^__^</t>
  </si>
  <si>
    <t>ɱoɔɥє🦋</t>
  </si>
  <si>
    <t>https://pbs.twimg.com/media/DmAMZ_OXsAApbcy.jpg</t>
  </si>
  <si>
    <t>https://twitter.com/Remisa77/status/1035841811187736576</t>
  </si>
  <si>
    <t>همیشه در دنیا یک استثنا وجود دارد #روحانی به برکت صنعت گریم پیر نمیشود RT @Remisa77: همه #پیر میشوند.. طی یک دهه گذشته شخصیت های سیاسی زیادی تغییر چهره ی #ميرحسين_موسوي را تجربه کرده اند!!</t>
  </si>
  <si>
    <t>Why so serious so?</t>
  </si>
  <si>
    <t>Gatham City</t>
  </si>
  <si>
    <t>سید جلال حسینی گفته:ما در دوحه بودیم، اولین بار هم نبود به آنجا می‌رفتیم اما وقتی امکانات و شرایط آنها را می‌بینیم به خودمان باید بگوییم ما اینجا و در این مرحله چه می‌کنیم؟(ادامه در این رشته توییت) #براندازم #اعتصاب_سراسری #ایران_را_پس_میگیریم #روحانی #پرسپولیس</t>
  </si>
  <si>
    <t>مستر جوکر</t>
  </si>
  <si>
    <t>http://www.adelkhani.ir</t>
  </si>
  <si>
    <t>معلم و فعال فرهنگی / دانشجوی ارشد فیزیک / SRTTU</t>
  </si>
  <si>
    <t>#استیضاح حق نمایندگان است، اما..... در آستانه آغاز مدارس یعنی ضربه دیگر به بدنه آموزش و پرورش #استیضاح_بطحایی</t>
  </si>
  <si>
    <t>محمدرضا عادل خانی</t>
  </si>
  <si>
    <t>http://mehrnews.com/news/4390461</t>
  </si>
  <si>
    <t>#ایران #تهران #قم #فوری درادامه #اعتراضات #مردم #روحانی لاکن بیانیه #دولت #فساد #اختلاس اهل بیت ال عبا #رهبر_انقلاب وشرکا سازمان تامین اجتماعی #رهبرفرزانه 3500 میلیارد تومان بدهکار است,مطالبات سال ۹۷ #داروخانه ها را نیز پرداخت شد #کذب است</t>
  </si>
  <si>
    <t>Left Iranian #HumanRights #Activist#Photographer. Born: #Moft_Abad_Tehran.</t>
  </si>
  <si>
    <t>استراتژی وعملکرددولت طی یکسال گذشته جای تردیدی باقی نمی‌گذاردکه #حسن_روحانی میان دو گزینه "محبوبیت مردمی"و"رضایت رهبری" گزینه دوم راانتخاب کرده است. تمجیدات کم سابقه رهبری نظام ازآقای #روحاني پس از جلسه #مجلس ودعای خیراوهم مویداین استکه روحانی درجلب این رضایت تاحدی هم موفق بودست</t>
  </si>
  <si>
    <t>آرش کمانگیر</t>
  </si>
  <si>
    <t>کاش قلم ها به کندی فکر باشند تا تیزی زبان INSTA: @arefane_110</t>
  </si>
  <si>
    <t>#خاتمی گفته تقلب نشده اصلا #روحانی میگه #رفع_حصر لازم نداریم اصلا اون مرحوم میگفت اشتباه خودشون بوده در88 حالا هم ریشای سفید #میر_حسین دل میبره چقد سخته #اصلاحاتی بودن و درک اینا...</t>
  </si>
  <si>
    <t>https://pbs.twimg.com/media/DmAt9cAVAAAPmFH.jpg</t>
  </si>
  <si>
    <t>بعضیا تو مجلس هستند که یه بار 20 دقیقه ای #برجام رو تصویب میکنن ولگد آمریکا به برجام رو بی انضباطی میدونن وهنوزم که هنوزه نگاهی ملتمسانه به اروپا دارندوهویت سیاسی خودشونو به برجام گره زدن👇 یه بارم سنگ میندازن تو راه ارسال نتایج طرح #سوال_از_رییس‌جمهور به قوه قضائیه</t>
  </si>
  <si>
    <t>https://pbs.twimg.com/media/DmAusx0XsAYIx4M.jpg</t>
  </si>
  <si>
    <t>http://tn.ai/1817602</t>
  </si>
  <si>
    <t>#پراید ۲۲ میلیونی را ۴۰ میلیون نخرید!/رئیس کمیسیون صنایع و معادن #مجلس: قیمت کارخانه‌ای پراید ۲۲ میلیون تومان است/مافیای دلالان بیشتر از کارخانه‌ با این همه کارگر، سود می‌برند/در همه جای دنیا وقتی چیزی گران می‌شود مردم آن را نمی‌خرند اما در ایران برعکس است</t>
  </si>
  <si>
    <t>‏اگر خدا بخواد ‏منتظر ظهور...</t>
  </si>
  <si>
    <t>درسته مسائل اقتصادی تو اولویته، اما الان وزیر ورزش نباید #استیضاح بشه؟</t>
  </si>
  <si>
    <t>S.sahami</t>
  </si>
  <si>
    <t>‏‏‏پیشمرگ سید علی</t>
  </si>
  <si>
    <t xml:space="preserve"> Iran,Kourdestan, Sanandaj</t>
  </si>
  <si>
    <t>امروز یه فیلم تو فضای مجازی دیدم داغون شدم . فیلمی که در اون یه سری افغانی پول ملی ایران رو که عکس امام خمینی روشه رو داشتن باتمسخر میرختن تو سطل اشغال . آقای #روحانی بلای دیگه ای مونده سره مردم بیاری . کسایی که تا دیروز گدایی میکردن تو کشور الان مسخرمون میکنن</t>
  </si>
  <si>
    <t>🇮🇷Farshid Rastin🇮🇷</t>
  </si>
  <si>
    <t>" An Iranian Muslim " . . . جان من و جان تو گویی که یکی بودست،سوگند به این یک جان کز غیر تو بیزارم</t>
  </si>
  <si>
    <t>https://pbs.twimg.com/media/DmAvVgEWsAAzOJa.jpg</t>
  </si>
  <si>
    <t>گندی که حاجی بابایی به #آموزشـوپرورش زد هیچ وزیری نزده بود نمیدونم چرا #استیضاح نشد شاید نماینده های #مجلس از بگم بگم های #احمدي_نژاد ترسیدند بعدشم هرکی اومد همون گندرو ادامه داد تا الان گویا پایه های علمی کشور زیاد مهم نیستن</t>
  </si>
  <si>
    <t>Bahman Sameti</t>
  </si>
  <si>
    <t>امیدوار بودم آقایان بتوانند تدبیری داشته باشند که مراسم دیدار سه جانبه #روحاني #پوتین و #اردوغان رو بدون اینکه از طرف پانترکها آبروریزی بشه در #تبریز برگزار کنن تا یک حس غروریم به مردم بده اما برای عدم آبروریزی تدبیری از پیش لازم بود و نمیشد. در چنین حالتی، لغو بهترین راه بود.</t>
  </si>
  <si>
    <t>#روحانی با نحوی حضورش در #مجلس اعلام کرد داعیه #رهبری دارد و نه تنها مجلس بل #ملت هم تخمش نیستند! مجلسیان پوفیوز و جیره خور هم مثل همیشه شرفشان را به عنوانشان فروختند. مملکت ما پر شده از مزدوران #انگلیسی و #امریکایی و #روسی و جایی برای خادمین با شرف نمانده! تُف بر شما</t>
  </si>
  <si>
    <t>https://pbs.twimg.com/media/DmAuUfsW4AAUsuX.jpg</t>
  </si>
  <si>
    <t>https://www.mehrnews.com/photo/4387223</t>
  </si>
  <si>
    <t>#ایران #تهران #قم #فوری درادامه #اعتراضات, #روحانی :لاکن در راستای تحقق مطالبات #دولت #اختلاس #فساد اهل بیت ال عبا #رهبر_انقلاب وشرکا از #بودجه #مردم با عنایات صاحب ⌚️و حوزه #هنر تشنه لب #کربلا #نمایش کریم و معارفه روسای سازمان تبلیغات #رهبرفرزانه</t>
  </si>
  <si>
    <t>https://pbs.twimg.com/media/DmA08fBXgAAkP3p.jpg</t>
  </si>
  <si>
    <t>بعد از سوختن همه مهره هاى نظام يك اميركبير جديد رويت شده ، شما او را ميشناسيد؟ @nikahang @Afsheenn #فشافويه #تحريم #ژنو #مذاكره #تدبير #روحانى #ظريف</t>
  </si>
  <si>
    <t>تهیه کننده، کارگردان، مستندساز تلویزیون کارشناس ارشد روابط بین الملل تا خودمان اصلاح نشویم، کشور اصلاح نمیشود</t>
  </si>
  <si>
    <t>#نمایندگان #استیضاح کننده به دنبال بهبود شرایط کشور هستند یا #باج_خواهی؟بیست روز مانده به بازگشایی مدارس واقعا عقلانی است که #وزیر_آموزش_پرورش استیضاح شود؟ #لیاخوف کجایی؟؟دقیقا کجایی؟؟</t>
  </si>
  <si>
    <t>Hesam asgari</t>
  </si>
  <si>
    <t>🎙️مُدیر دوبلاژ: فرشته‌‌ی تاریکی #مترجم #طراح_وب‌سایت [بدنبالِ حقیقت تاریک سیاست]</t>
  </si>
  <si>
    <t>انتخاب بین دو گزینه‌ی بد و بدتر یک دروغ بزرگ و شیوه‌ی حکومت‌های فاشیست و دیکتاتوری برای سرکوب بیشتر مردم است. وقتی بد را انتخاب کنید فرصت کافی برای بدتر شدن را هم به آن هدیه داده‌اید. -هانا آرنت #روحانی #احمدي_نژاد #ميرحسين_موسوي</t>
  </si>
  <si>
    <t>فرشته تاریکی</t>
  </si>
  <si>
    <t>#ساعت_6 آزادی خواه. دموکرات. سلطنت طلب. جمهوری خواه. ضد آخوند. وطن پرست. عنقلابیون 57 و تجزیه طلبان 🚷📛</t>
  </si>
  <si>
    <t>مسعود نیلی، مشاور اقتصادی #رییس_جمهور : هیچ موقعیتی در #تاریخ #ایران به اندازه آنچه امروز در آن قرار داریم خطیر نبوده است کمپین #ساعت_6</t>
  </si>
  <si>
    <t>🏳️ ساعت_براندازان#</t>
  </si>
  <si>
    <t>حشمت الله فلاحت پیشه، رئیس کمیسیون امنیت ملی #مجلس با اشاره به برگزاری نشستی با مدیران عامل بانک‌ها گفت: #عملکردبانکها در شرایطی که برجام و حدود اعتباری #ایران در خارج از کشور مطرح است را بررسی خواهیم کرد./خانه ملت</t>
  </si>
  <si>
    <t>وقاحت، تناقض و پر رویی اگر یک سرش جنبش سبز باشد سر دیگر آن بهاری ها هستند. بعد از اوضاع وخیم کشور در دو سال آخر #احمدی_نژاد و بعد از کلی اتفاقات از سال ۸۸ تاکنون ، معتقدند احمدی نژاد هنوز ۲۴ میلیون رای داره! و توقع دارند دولت #روحانی که همین پارسال ۲۴ میلیون رای آورده باید بره!</t>
  </si>
  <si>
    <t>این اکانت هیچ ربط معناداری با "من" در دنیای واقعی ندارد.</t>
  </si>
  <si>
    <t>کاری که #نوبخت و #واعظی با #روحانی کردن، #مشایی و #بقایی با #احمدي_نژاد نکردن. آقای روحانی ریدی؛ بد هم ریدی.</t>
  </si>
  <si>
    <t>MoMo</t>
  </si>
  <si>
    <t>هنگامی که وعده حق فرا رسد، گروهی از بندگان پیکارجوی خود را بر ضد شما می‌انگیزیم تا شما را سخت در هم کوبند و این وعده‌ای است قطعی</t>
  </si>
  <si>
    <t>#روحانی امروز خواستم برم پوشک بخرم یه سفر ماه عسل هم با عمه ات رفتم و برگشتم ... راضی باش خلاصه</t>
  </si>
  <si>
    <t>🇮🇷 ‏ پیکارجو</t>
  </si>
  <si>
    <t>اینکه تا دیروز همه را تشویق می کردید به رأی دادن به آقای #روحانی و هشتگ می زدید #با_روحانی_تا_۱۴۰۰ و می خواستید حماسه ای دیگر را " تَکرار" کنید؛ ولی امروز پا پس می کشید نه #رسم_مردانگی است و نه بهانه ای برای #فرار_از_پاسخگویی. امروز همه باید برای #ایران، #دولت را یاری کنیم.</t>
  </si>
  <si>
    <t>Industrial Engineer, Automotive technician. Human rights &amp; political activist. Jesus is our Lord.</t>
  </si>
  <si>
    <t>https://pbs.twimg.com/media/DmA82IvVAAALIp4.jpg</t>
  </si>
  <si>
    <t>#ظریف و #روحانی خیلی از این حرفها میزنند!</t>
  </si>
  <si>
    <t>Babak</t>
  </si>
  <si>
    <t>خداي من شراب سرخيست كه از انگور باغهاي شيراز درست شده. 🍷</t>
  </si>
  <si>
    <t>در طويله #مجلس امروز. #مطهري خطاب به كوچك زاده: اقاي كوچكوف كه ريشه روسي دارن، بعداً تبديل به كوچكزاده كردن، و در ادامه ميگه خفه شو، بتمرگ، بتمرگ پفيوز</t>
  </si>
  <si>
    <t>freeland</t>
  </si>
  <si>
    <t>سردار #غیب‌پرور : ۲ نامه به #رئیس_جمهور در خصوص مسائل #اقتصادی نوشتم و‌‌ پاراف هم شده اما متاسفانه روی آن اقدام نشده است. 🔸ادعای حل همه مشکلات اقتصادی را نداریم با روش‌های جهادی می‌توان کارها را انجام داد. + #دولت نمیخواهد. #استیضاح #ارسال_پرونده_روحانی_قوه_قضاییه #ساکتین_مجلس</t>
  </si>
  <si>
    <t>‏‏‏‏‏ ناگهان چقدر زود دیر میشود!</t>
  </si>
  <si>
    <t>دوستم حالش بود یه سرماخوردگی ساده، بردمش مطب هزینه ویزیت و دارو و تزریقاتش با دفترچه بالای 60 هزارتومان شد 😒بنده خدا کلا توبه کرد دیگه مریض نشه #سوال_از_رییس‌_جمهور #تا_1400_با_گونی</t>
  </si>
  <si>
    <t>چُمْ براه</t>
  </si>
  <si>
    <t>https://pbs.twimg.com/media/DmBAwPOW4AILGUj.jpg</t>
  </si>
  <si>
    <t>#روحانی: ولله ما دچار #بحران نيستيم؛ ما در مرحله آسيب هستيم منتظر #پراید ۱۰۰ میلیونی باشید</t>
  </si>
  <si>
    <t>https://pbs.twimg.com/media/DmBAn7DXgAAjero.jpg</t>
  </si>
  <si>
    <t>#شرمن داره ابزار شرمندگی میکنه! #مکارهست! ولی خوبه بازم فهمیده چه غلطی کرده!یادش بخیر!یه بنده خدایی با وقاحت توچشم #مردم نگاه میکردمیگفت #شرمنده_نیستیم! @Rouhani_ir #روحانی الان چی #شرمنده نیستی بابت این اوضاعی که واسه مردم درست کردی؟؟لاقل یه چی بگوبفهمم #طلبکاری ازمردم یا نه؟!😏</t>
  </si>
  <si>
    <t>https://pbs.twimg.com/media/DmBC8taW0AA683z.jpg</t>
  </si>
  <si>
    <t>ژن خوب مشترك بين شخصيت هاى سوخته ، ايدئولوژى نخ نما، ملت سردرگم بدنبال ناجى و تخريب چهره منفور روزانه براى فحش دادن و تخليه عصبانيت، چهل سال چرخه باطل #روحاني #خاتمى #اصلاحات #تندرو #دولت #مخالفان #برانداز #خنده #شيخ #زاهد #تحريم #مذاكره #برجام #مهاجرانى #فساد #اقتصاد #ديپلماسى</t>
  </si>
  <si>
    <t>http://ageOfinheritors.com</t>
  </si>
  <si>
    <t>‏‏‏‏‏‏‏‏پزشک عمومی (دانشگاه ع.پ. شهید بهشتی)؛ بهداشت و پزشکی انفورماتیک (دانشگاه براندایس)؛ دیپلمات نیستم، انقلابیم. _________________ 《بددهنی و بی‌ادبی = بلاک</t>
  </si>
  <si>
    <t>https://pbs.twimg.com/media/DmBDQ79UwAAEbyv.jpg</t>
  </si>
  <si>
    <t>بسمه تعالی یک فقره #افشاگری: دولت آقای #روحانی یک دولت فاسد و ناکارآمد است. (لطفا ۲۰٪ بودجه‌ی ۹۷ را به حساب اینجانب واریز فرمائید.) 😎 با تچکر</t>
  </si>
  <si>
    <t>توحید عزیزی 🇺🇸🇮🇷</t>
  </si>
  <si>
    <t>#روحانی خطاب به مردم: چه خبرتونه!؟ همینی که هست! هرکی ام اعتراض داره عکسش رو میگیرم میکنمش تو #گونی</t>
  </si>
  <si>
    <t>peymans_89</t>
  </si>
  <si>
    <t>این همه میایی دروغ میگی ما مشکل ارز نداریم و همه چیر گل و بلبل دلار ۱۱.۱۴۰ تومان به چی میرسی؟ یکم شفاش باش اقای رئیس جمهور @Rouhani_ir #rouhani #روحانی</t>
  </si>
  <si>
    <t>‏‏‏‏‏‏راه ظهورت را بستم... قبول... اما خدا را چه دیدی...شاید قرار است حُر تو باشم</t>
  </si>
  <si>
    <t>https://twitter.com/keramati013/status/1035669174406791168</t>
  </si>
  <si>
    <t>اینکه جناب زین الدین حمله و مطالبه به حقی از مطهری دارن بر کسی پوشیده نیست اینکه تمام تقصیرات رو میخواد گردن مجلس بندازه دور از انصافه #مجلس و #دولت هر دو مقصر بوجود آمدن وضع حال هستن، ولاغیر RT @keramati013: یه چیز میگم فعلا بین خودمون بمونه، این احمد زین الدینِ هست، منتقده مطهری، مث اینکه موقع انتخابات ب روحانی رای داده بوده :)))</t>
  </si>
  <si>
    <t>🇮🇷تاراج🇮🇷</t>
  </si>
  <si>
    <t>#میرحسین غمت نباشه #روحانی با رمز #رفع_حصر رئیس جمهور شد اما الان 6 ساله ازش خبری نیست! لیست امید #مجلس و شورای شهر به اسم تو راهی مجلس و شورا شدند اما این دو سه روزه حتی ترسیدن عکس تورو لایک کنن.. تاریخ به یاد خواهد داشت چقدر مرد بودی وچه کسایی حتی به اسمت چه کاسبی هایی کردند..</t>
  </si>
  <si>
    <t>برای عشق به زندگی می نوازم</t>
  </si>
  <si>
    <t>زمین و زمان</t>
  </si>
  <si>
    <t>https://pbs.twimg.com/media/DmBJOXDUcAEMN_Z.jpg</t>
  </si>
  <si>
    <t>شخصی که در کنار علی مطهری، منتقد را با جمله «میکنمت توی گونی» تهدید می‌کند، سیدمحمد میرشریفی ریاست ستاد انتخاباتی حسن #روحانی در شهر گوگد #گلپایگان می باشد! #اصفهان #متحد_شويم #اعتراضات_سراسري #براندازم #ايران #IranRegimeChange #قيام_تا_سرنگوني</t>
  </si>
  <si>
    <t>manuchehr ziaii</t>
  </si>
  <si>
    <t>‏‏‏ما انقلاب نکردیم تا عده ای رانت خوار را پروار کنیم انقلاب اسلامی شروع یک مبارزه برای رفع فقر و ریشه کنی فساد بود و باید با جدیت ادامه یابد</t>
  </si>
  <si>
    <t>روی اعصاب بعضی ها !</t>
  </si>
  <si>
    <t>https://pbs.twimg.com/media/DmBJld5XsAAUm3N.jpg</t>
  </si>
  <si>
    <t>🗣 حسين‌ابراهيمي، عضو جامعه روحانیت مبارز : کسانی که به حسن روحانی تهمت زدند به عذاب الیم دچار می شوند ________________________جناب روحانیت مبارز!!!عذابی سخت تر و مصیبتی بالاتر از خود #روحانی هم مگر هست که باید تا 1400 تحملش کرد استخوان در گلو و نمک روی زخم</t>
  </si>
  <si>
    <t>‏... وَحْلُلْ عُقْدَةً مِنْ لِسانَيْ يَفْقَهُوا قَوْلَيْ.</t>
  </si>
  <si>
    <t>https://pbs.twimg.com/media/DmBJnQOXsAEhdnm.jpg</t>
  </si>
  <si>
    <t>#فاجعه_اخلاقی ! طرف مادرش رو برای جراحی چشم برده پیش وزیر بهداشت، روز جراحی به اسم دکتر #قاضی_زاده پول عمل داده اما بعد فهمیده همون ساعت جراحی، آقای #وزير با #رئیس_جمهور رفته بوده توچال!</t>
  </si>
  <si>
    <t>علی رحیمی</t>
  </si>
  <si>
    <t>آقای #روحانی خودت را چند فروختی ؟ خدا کنه به حسین فریدون تنها راضی نشده باشی</t>
  </si>
  <si>
    <t>http://www.hemlavantage.no</t>
  </si>
  <si>
    <t>Mechanical engineer Consulting Hemla http://vantage.co political activist Environmentalist</t>
  </si>
  <si>
    <t>نمایندگان #مجلس باید بدنبال علت ها باشند، برای مثال علت بالارفتن قیمت خودرو داخلی و خارجی چیست؟ یا قیمت کالاهای دیگر! بله! وقتی تنها به ده کالای ضروری ارز ۴۲۰۰ تومانی می رسد مشخص است قیمت لوازم خانگی و #خودرو و ... بالا می رود. نماینده جان! استیضاح وزرا چاره کار نیست #وزارت_صمت</t>
  </si>
  <si>
    <t>mohsen biglarbeigi</t>
  </si>
  <si>
    <t>pic.twitter.com/e33xkjq3v0</t>
  </si>
  <si>
    <t>🔻یک شیشه کوچک دارو را ۷شهریور فروخته‌اند ۳۹هزار تومان، درحالیکه یک ماه و نیم پیش همین دارو ۱۶هزار تومان بود. و #روحانی میگوید تورم را مهار کردیم! #متحد_شويم #اعتراضات_سراسري #براندازم #ايران #IranRegimeChange #قيام_تا_سرنگوني</t>
  </si>
  <si>
    <t>‏‏‏‎‎‎#پلی_تکنیکی هستم از نوع ‎‎‎#صنایع ایِ ‎‎‎#انقلابی ش گفت می‌خواهم بدانم کیستی گفتمش آقای من ‎‎‎#سید_علی است...</t>
  </si>
  <si>
    <t>حس میکنم اگه به #روحانی بگن یکی از طرف خودتون به مردم گفته می کنمتون تو گونی یکی پیدا بشه بگه اگر رغیب رای میاورد بجای گونی میکردتون تو چرخ گوشت ، دلار هم همون یکسال قبل میشد 10تومن #گونی #گونی_به_دست</t>
  </si>
  <si>
    <t>🇮🇷Zeytooooon🇱🇧🇵🇸🇾🇪🇮🇶</t>
  </si>
  <si>
    <t>http://akharinkhabar.com/Pages/News.aspx?id=4556518</t>
  </si>
  <si>
    <t>#بطحایی: سوء تفاهمات موجود را در #مجلس رفع می کنم</t>
  </si>
  <si>
    <t>http://khabarfoori.com/detail/562450</t>
  </si>
  <si>
    <t>نایب رییس‌ #مجلس شورای اسلامی: احتمال استیضاح وزیر کشور وجود دارد ادامه در👇</t>
  </si>
  <si>
    <t>در راستای اطلاع‌رسانی درباره لایحه تامین امنیت زنان تلاش میکنیم</t>
  </si>
  <si>
    <t>https://pbs.twimg.com/media/Dl67mXfU8AAn9ZE.jpg</t>
  </si>
  <si>
    <t>https://twitter.com/s_fatemehoseini/status/1035471582305632256</t>
  </si>
  <si>
    <t>#لایحه #تامین_امنیت_زنان کجاست؟ #زنان #مجلس RT @S_FatemeHoseini: جلسه بسیار خوب #فراکسیون_زنان با رئیس مجلس، فرصت مغتنمی بود تا بتوانیم برخی مشکلات حوزه #زنان و #خانواده و نیز طرح ها، برنامه ها و ایده های زنان نماینده برای رفع این مشکلات، ارتقای جایگاه آنان و افزایش #مشارکت_سیاسی_زنان در جامعه را با دکتر #علی_لاریجانی در میان بگذاریم.</t>
  </si>
  <si>
    <t>#ایران #تهران #قم #فوری درادامه #اعتراضات #مردم #روحانی لاکن بیانیه #دولت #فساد #اختلاس اهل بیت ال عبا #رهبر_انقلاب وشرکا با توجه به #تحریم‌ بانکی و محدودیت‌های #دلار #اروپا یی‌ها ابراز تمایل کردند که به صورت اعتباری به #رهبرفرزانه جنس بدهند اما قوانین #ارز این اجازه را نمی‌دهد</t>
  </si>
  <si>
    <t>https://pbs.twimg.com/media/DmBXq4NW0AA51Zt.jpg</t>
  </si>
  <si>
    <t>اگر بر کشوری نوای دلنشین تفکر بسیجی طنین انداز شد چشم طمع دشمنان و جهانخواران از آن دور خواهد گردید #رزمایش_خدمت #جاجرم #روحاني</t>
  </si>
  <si>
    <t>گمنام: 🔴اون غدیری که #علی مطهری درباره اش صحبت میکنه تهش ختم میشه به کربلایی که #روحانی ازش درس #مذاکره می گیره!</t>
  </si>
  <si>
    <t>صبح سپید</t>
  </si>
  <si>
    <t>شیعه‌ی علی باید بداند که ایشان هرگز کسی را به چیزی که لایقش نبود نستود. آنچه از #رهبری در مورد ستایش #دولت شاهد هستیم در خوشبینانه‌ترین حالت نتیجه‌ی بی‌خبری از مغز اخبار و #مشاوره‌های_غلط اطرافیانشان است. #رهبر #رهبر_انقلاب #روحاني #روحانی_برو</t>
  </si>
  <si>
    <t>http://miladkamali.blog.ir</t>
  </si>
  <si>
    <t>لَتُبَلْبَلُنَّ بَلْبَلَةً وَ لَتُغَرْبَلُنَّ غَرْبَلَةً ** گور بابای چپ و راست ** میزان خط انقلاب حسین(ع) است.</t>
  </si>
  <si>
    <t>به‌به جانم به #عمران_خان نخست‌وزیرِ #پاکستان در اولین قدم از عمل به وعده‌های انتخاباتیش، ۸۰ دستگاه بنز و بی‌ام‌دبلیوی مربوط به دفتر نخست‌وزیری رو مرخص کرد. عمل به وعد یعنی این یاد بگیر آقا ریش‌قشنگه #روحانی</t>
  </si>
  <si>
    <t>🇵🇸میلاد کمالی🇮🇷</t>
  </si>
  <si>
    <t>آقاي #روحاني رهبر انقلاب به روشني و به تندي از #ديواربلندبانك ياد كردند و گفتند كه #غلط_كرده_بانك البته بسياري منظور معظم له را متوجه شدندو مالكين و دارندگان بانك هم فهميدنداماپيگيري خراب كردن ديوار آن بانكها و موسسات مالي و اقتصادي ديگري كه با پول مردم ديوار بلند ميسازندبا شماست</t>
  </si>
  <si>
    <t>‏‏‏‏‏We will build Iran with millions of opinions and ideas together➖ ما ایران را با میلیون ها عقیده،نظرات و ایده های هماهنگ خواهیم ساخت</t>
  </si>
  <si>
    <t>🅘🅡🅐🅝</t>
  </si>
  <si>
    <t>#نظرسنجي #IranRegimeChagne #ایران #روحانی {لطفا ریتویت کنید آمار بره بالا} آیا ایران به جایگاه اصلی خودش برمیگردد؟؟❔❓❔❓❔❓❔❓❔❓❔❓❔</t>
  </si>
  <si>
    <t>ⓅⒺⓄⓅⓁⒺ ⒸⓄⓜⓜⒺⓃⓉ</t>
  </si>
  <si>
    <t>http://mehrnews.com/news/4391103</t>
  </si>
  <si>
    <t>#ایران #تهران #مشهد #فوری درادامه #اعتراضات #مردم #روحانی لاکن بیانیه #دولت #فساد #اختلاس اهل بیت ال عبا #رهبر_انقلاب وشرکا فرماندار خواف مدافع حرم #رهبرفرزاته بازداشت شده است علت بازداشت #موضوعات_مالی بوده است</t>
  </si>
  <si>
    <t>#اقتدار_نظام مسئله این است #سوال از #رئیس_جمهور یا توانمندی در تولیدات و رضایتمندی مردم و پاکی مسولین و عدالت در قوه ها؟؟؟ #رهبری #پرسش #نمایندگان_مجلس #احمدی_نژاد #روحانی</t>
  </si>
  <si>
    <t>Salmansaljooghi</t>
  </si>
  <si>
    <t>https://pbs.twimg.com/media/DmA7AIgXsAA1dXA.jpg</t>
  </si>
  <si>
    <t>https://twitter.com/FarsNews_Agency/status/1035892794995425281</t>
  </si>
  <si>
    <t>📝 #روحانی در پیامی درخشش مقتدرانه همراه با کسب بیشترین مدال و بهترین نتایج تیمی از سوی ورزشکاران عزیز کشورمان در بازیهای آسیایی «جاکارتا ۲۰۱۸» را به ملت بزرگ #ایران، ورزشکاران، مدیران و مربیان پر تلاش کاروان ورزشی کشورمان تبریک گفت. RT @FarsNews_Agency: 🏆تثبیت جایگاه ششمی ایران با طلا و نقره بلندقامتان والیبال و بسکتبال در بازی های آسیایی جاکارتا</t>
  </si>
  <si>
    <t>دبیر سرویس سیاسی خبرگزاری فارس(خراسان رضوی) صفحه کاملا شخصی است</t>
  </si>
  <si>
    <t>مجاور امام رضا علیه‌السلام</t>
  </si>
  <si>
    <t>زمستون پارسال بود در مقابل مردمی که می‌گفتند موسسه قرض‌الحسنه فلان(ورشکست شده و حتی نشده)اصل پول ما رو نداده و تسویه حساب نهایی کرده واقعا هیچ چیزی برای گفتن نداشتم... نمایندگانی که گفتید چاره فقط #سوال_از_رییس‌جمهور است، کجای مجلسید؟ #بانک_غلط_میکند پول مردم را می‌خورد</t>
  </si>
  <si>
    <t>sahami</t>
  </si>
  <si>
    <t>‏‏ای خدایی! که آن بالا نیستی اما دوزخت این پایین است</t>
  </si>
  <si>
    <t>سر زاغه</t>
  </si>
  <si>
    <t>https://pbs.twimg.com/media/DmBjQyCXoAET2Vp.jpg</t>
  </si>
  <si>
    <t>از عجایب روزگار این که کسانی که با اسم #میرحسین و به اعتبارش به #مجلس و #شورا و #ریاست_جمهوری رسیدن و بارها #تکرار کردن حتی کوچکترین واکنشی به عکس و موج حمایت از میر نشان نمیدهند نماز در پشت سر #علی كامل ترین نمازاست و غذای #معاویه چرب ترین غذاها</t>
  </si>
  <si>
    <t>بچه سر زاغه</t>
  </si>
  <si>
    <t>#ایران #تهران #مهم #فوری #بازار #هشدار درادامه #اعتراضات #مردم #روحانی لاکن بیانیه #دولت #فساد #اختلاس اهل بیت ال عبا #رهبر_انقلاب وشرکا با #نرمش_قهرمانانه این #رهبرفرزاته در #برجام نیاز #دارو کشور قابل تامین است #کذب است</t>
  </si>
  <si>
    <t>#روحانی از #احمدي_نژاد به مراتب بدتره چون احمدی نژاد از روز اول هدفش مشخص بود ولی روحانی مردم رو گول زد به قولی راهنمای چپ زد پیجید به راست</t>
  </si>
  <si>
    <t>http://www.modafeharam.com</t>
  </si>
  <si>
    <t>we are here to introduce 1. Real Islamic resistance in Iran 2. Irainian martyr against terrorism 3.Indicate resistance policy in west of Asia</t>
  </si>
  <si>
    <t>٦ سال است كه منتقدان را به جهنم يا گوني حواله ميدهند اما در #انتخابات طرف مقابل را به لوله كردن متهم ميكنند. در يكسال اخير هر چه به طرف مقابل بستند سرشان امد و اينست سزاي دروغگويان و فريبكاران. #روحاني #مطهري #قاليباف</t>
  </si>
  <si>
    <t>Moqavemat_Resistance</t>
  </si>
  <si>
    <t>radiology student :] felan hamin</t>
  </si>
  <si>
    <t>رئيس كمسيون غذا و دارو #مجلس: مردم نگران پوشك و #شير_خشك نباشند! انگار تو كشور جنگ زده زندگى ميكنيم :|</t>
  </si>
  <si>
    <t>morteza roueinfardi</t>
  </si>
  <si>
    <t>#Subversion In the sixties, I love #Iran Pro- #RazaPahlavi and the parliamentary monarchy #Aysite Bamid of Iran #Freedom and good days for Iranian and Iranian</t>
  </si>
  <si>
    <t>هیچ #روحانی تا امروز بدست #دانشمندی کُشته نشده اما هزاران ،بلکه میلیونها دانشمند بدست روحانیون کشته شده‌اند</t>
  </si>
  <si>
    <t>آریا مهر 👑</t>
  </si>
  <si>
    <t>#من_يك_رى_استارتى_هستم 🕊 در انتظار باشكوه ترين #حكومت_تصوف در ايران 💪🏻❤️</t>
  </si>
  <si>
    <t>توئى كه صبح زود شناسنامه اتو برداشتى رفتى به #روحانى راى دادى انقدر #حكومت_جمهورى_اسلامى رو قابل اعتماد ميدونستى كه رفتى پاى صندوقهاى رأيش ميشه دهنتو ببندى از #سياست حرف نزنى لطفا؟ توى كه راى دادى از نظر من رسما توى ديوارى جا بحث كردن ندارى اصن #interview_Restartleade #Restart</t>
  </si>
  <si>
    <t>Mitra</t>
  </si>
  <si>
    <t>اگرقراراست بارفتن #بطحایی اوضاع تغییری نکند وبدترشود. اگرقراراست مسیرهمان مسیرقبل باشد. خواهش می کنم زحمت نکشید #استیضاح سوری وبی حاصل نکنید</t>
  </si>
  <si>
    <t>#ایران در دوره‌ی #احمدی_نژاد تو #بازی‌های_آسیایی چهارم شد. در دوره‌ی اول #روحانی پنجم و در دوره دوم روحانی، ششم.</t>
  </si>
  <si>
    <t>University Lecturer| Mech PhD| Journal Referee| Entrepreneur| Analyst| IR &amp; N. America| Pseudoscience</t>
  </si>
  <si>
    <t>https://tejaratnews.com/%D8%B1%DA%A9%D9%88%D8%B1%D8%AF-23-%D8%B3%D8%A7%D9%84%D9%87-%D8%AA%D9%88%D8%B1%D9%85-%D8%B4%DA%A9%D8%B3%D8%AA</t>
  </si>
  <si>
    <t>#رکورد ۲۳ ساله #تورم شکست! پ.ن: باوجود #برجام به این مهم دست پیدا کردیم! بعبارتی در21سال بی برجامی هم نتوانسته بودیم چنین رکوردی بزنیم! @Rouhani_ir #روحاني #دولت</t>
  </si>
  <si>
    <t>بخاطر وضعیت بد اقتصادی شکافی بین مجلس و دولت ایجاد شده! مجلس با سوال از روحانی قانع نمیشود دست به #استیضاح وزرا میزند، مجلس که میداند با تغییر وزرا وضعیت اقتصادی تغییر نمیکند چرا مردم را ملعبه بازی خود میکنید؟ در بازی سیاسیون بازنده مردمی هستند که احمق ها را انتخاب میکنند.</t>
  </si>
  <si>
    <t>رسول فلاحتی</t>
  </si>
  <si>
    <t>‏‏‏‏‏‏من ملک بودم و فردوس برین جایم بود. ژنتیک با جهش آورد در این دیر خراب آبادم</t>
  </si>
  <si>
    <t>چهار کیلو گوشت دویست و بیست هزار اجاره یک میلیون و ششصد هزار مهد بچه و کمی مهربانی چهار صد هزار. خرید ده روز آشپزخونه یک میلیون حقوقم امروز تموم شد. #WeAreNotBots #روحانی بی ناموس جمهوری اسلامی دزد کس کش ها. ریدم تو اعتقادتون فیک هم خود مادر جندتی. ریدم تو حکومت علویتون ببخشید</t>
  </si>
  <si>
    <t>crocodile</t>
  </si>
  <si>
    <t>کاندوم بسته ای 30 هزار تومان. آقای #روحانی فکر سلامت مادرتون باشید لااقل .</t>
  </si>
  <si>
    <t>خودی نیستم،خودی نشو زود،به خاطر خودت میگم...!</t>
  </si>
  <si>
    <t>https://pbs.twimg.com/media/DmBrtesXoAQG-Jr.jpg</t>
  </si>
  <si>
    <t>اینجا سوییسه،اونم منم دارم از شرایط ومنظره وآفتاب لذت میبرم، #روحانی هم #رئیس_جمهور مونه #ظریف هم وزیرخارجمونه،انقدرسیاه نمایی نکنید #ما_خودمان_انتخاب_کردیم در #توئيتر #ربات باشیم،انقدر #وقیح نباشیدودروغ توئیت نزنید،وضعیت همینقدرکه میبینیدعالیه،دم #خامنه‌ای و #عرازشه هم گرم</t>
  </si>
  <si>
    <t>KANDID...!🎭</t>
  </si>
  <si>
    <t>https://pbs.twimg.com/media/DmBsqk9W4AA2pVa.jpg</t>
  </si>
  <si>
    <t>🔸🔶 اتَّقُوا اللَّهَ وَ قُولُوا قَوْلاً سَديداً 🔹🔷 #تقوا ی الهی پیشه کنید و سخن حق بگویید 📗قسمتی از آیه 70 سوره #احزاب #استیضاح #حسن_روحانی @Rouhani_ir @kavakebian_ir @alimotahari_ir @mah_sadeghi</t>
  </si>
  <si>
    <t>Hossein</t>
  </si>
  <si>
    <t>هر روز یه قضیه ای رو علم میکنن تا حواس ما رو پرت کنن . ولی ما حواسمون هست #سوال_از_رئیس‌جمهور به کجا رسید ؟</t>
  </si>
  <si>
    <t>سیگنال و تحلیل سهام در بورس با بازدهی ۱۰ درصد و بیشتر http://10darsad.ir‎‎</t>
  </si>
  <si>
    <t>https://pbs.twimg.com/media/DmBttquXcAEQCgl.jpg</t>
  </si>
  <si>
    <t>http://www.10darsad.ir</t>
  </si>
  <si>
    <t>#سیگنال_خرید #سهام به همراه #تحلیل_تکنیکال آن با امکان بازدهی سی درصدی داخل وبسایت گذاشته شد. لینک داخل قسمت بیوگرافی پیج ✅📌🔖 @10darsad  #سهام #10_درصد #بورس #اقتصاد #دلار #روحانی #خبر #سرمایه_گذاری #سرمایه</t>
  </si>
  <si>
    <t>10darsad.ir</t>
  </si>
  <si>
    <t>Electrical engineer</t>
  </si>
  <si>
    <t>پاداش سکوت و خایمالی #روحانی توسط رهبر : رشد اقتصادی خیلی خوبی داشتیم صادرات افزایش۲۰% و واردات ۵% کاهش داشته که این خیلی خوب است، کارهای خیلی بزرگی انجام شده توسط رییس‌جمهور محترم ولی متاسفانه هم من هم دولت در تبلیغات خوب عمل نمیکنیم دستگاه تبلیغاتی حرفه ای نداریم. لوووول</t>
  </si>
  <si>
    <t>mostafa siamak</t>
  </si>
  <si>
    <t>https://pbs.twimg.com/media/DmBuPxuX4AEkPWe.jpg</t>
  </si>
  <si>
    <t>امروز دولتی بر سر کار است که از رئیس دولت تا وزرا و حامیانش همگی جزو حامیان #فتنه88 هستند وضع افتضاح اقتصادی نتیجه تفکر این قشر است حالا فکر کنید #دولت_فتنه شکل می گرفت شاید امروز دلار چهل هزار تومان بود ... #فتنه_سبز #تکرار_میکنم #ميرحسين_موسوي #خاتمی #جنبش_سبز #روحانی</t>
  </si>
  <si>
    <t>#روحانی بطور قطع همان دولت #میرحسین_موسوی است پس چرا جنبش سبزیها باز ریختن تو توییتر بفرمایید گند این یکی را علی الحساب جمع کنید ضمنا قابل توجه سرمایه گذاران #دلار تا آخر ماه ۱۵۰۰۰ تومن.</t>
  </si>
  <si>
    <t>#آذری_جهرمی و #محسن_هاشمی #رفسنجانی هردو شون تیر کردن #رئیس_جمهور بشن یعنی #شهرداری #تهران و #وزارت_ارتباطات کلا در اختیار این دو نفره #جهرمی جاه طلب و سرکوبگری با سابقه درشنود #رئیس_شورای شهر #تهران در فکر انتقام #هاشمی رفسنجانی بازی ها زیادی در راهه.</t>
  </si>
  <si>
    <t>این جوری که #روحانی و #ظریف دروغ میگن #مموتی نمیگفت! هااان،چی؟!! منم #ربات م؟! باشه،توراست میگی #روحانی_خفه_شو #ظريف_خفه_شو #KANDID #Iran #WeAreNotBots</t>
  </si>
  <si>
    <t>فعال رسانه ای حوزه سیاسی و بخش سلامت</t>
  </si>
  <si>
    <t>مجلسی ها بیشتر کاسب رسانه ای هستند تا پیگیر مطالبات اقشار مختلف، #استیضاح راه بهبود و تغییر روش ها نیست.</t>
  </si>
  <si>
    <t>s ali torab jahromi</t>
  </si>
  <si>
    <t>#رهبر_انقلاب در ديدار اعضاى دولت : همين دولت اقاى #روحانى و هم دولت قبل دلشون نميايد #اصل٤٤ را اجرا كنند.</t>
  </si>
  <si>
    <t>#استیضاح وزیر کار و اقتصاد چه سودی برای مردم داشت که #استیضاح_بطحایی داشته باشد؟</t>
  </si>
  <si>
    <t>هکاتوم</t>
  </si>
  <si>
    <t>از پایان دنیا نمیترسم، از این می ترسم که دنیا بدون هیچ تغییری ادامه یابد.</t>
  </si>
  <si>
    <t>در دوره اعتماد به تفکر غرب گرایی با پرچم داری دولت #روحانی، در ورزش هم افت کردیم و با سقوط دو پله ای در #آسیا تاریخ ساز شدیم. باشد که ایمان بیارید... #بازیهای_آسیایی</t>
  </si>
  <si>
    <t>زکریای ناراضی</t>
  </si>
  <si>
    <t>pic.twitter.com/EQmHhVMi5s</t>
  </si>
  <si>
    <t>https://twitter.com/FarsNews_Agency/status/1035947302052093953</t>
  </si>
  <si>
    <t>#ایران #فوری #جدی #روحانی اخباریه #دولت #اختلاس و #فساد اهل بیت ال عبا #رهبر_انقلاب وشرکا با عنایات امام پنهان چاه #جمکران,این #رهبرفرزانه از اقدامات #صالحی که زاده #کربلا در عراق است معاون رئیس‌جمهور و رئیس سازمان انرژی اتمی ایران است با خبر است #کذب است RT @FarsNews_Agency: 🎥 رهبر انقلاب در دیدار با رئیس جمهور و اعضای هیئت دولت: از من گاهی سوال میشود که شما گفتی #برجام را آتش میزنیم، چرا نزدید؟</t>
  </si>
  <si>
    <t>بیرون زدن رگ گردن ها برای #رفع_حصر را نبین. اگر #میرحسین_موسوی رییس جمهور شده بود مثل #روحانی از حامیان دیروزش فحش می‌خورد. بعد از 96 فهمیدم دل بستن به فرد و یک #سیاست‌مدار خاص چیزی جز ناامیدی نمی آورد. زندگی در #جامعه_کوتاه_مدت همین است.</t>
  </si>
  <si>
    <t>kia rash</t>
  </si>
  <si>
    <t>‏معلمی دلسوز، بیست سالگی عاشق شدم ازدواج کردم، انگار بهش نرسیده ام، پدر سه فوق لیسانس، وام ندارم اما خودرو هم ندارم، از, دروغگو و بی ادب بدم میاد،نماز وکتاب</t>
  </si>
  <si>
    <t>Ilam abdanan</t>
  </si>
  <si>
    <t>یعنی چون #روحانی افشاگری نکرده ,دیگر باید ازش تقدیر هم بشود؟ الان تکلیف خانه های خراب شده ,آوار روی مردم چیست و جوابگویش کیست؟</t>
  </si>
  <si>
    <t>mahmood cheraghi</t>
  </si>
  <si>
    <t>‏‏‏‏‏دانشجوی علوم سیاسی، دبیر سرویس سیاسی روزنامه «روزان»، عضو حزب اتحاد ملت</t>
  </si>
  <si>
    <t>1-وضعیت #روحانی و دولتش به لحاظ سیاسی به نظر حتی نابسامانتر ازوضعیت دولت #خاتمی بعد از برگزاری انتخابات مجلس هفتم و دولت #احمدی_نژاد در دو سال پایانی است.دراین #رشته_توییت سعی کردم توضیح دهم که چگونه #روحانی در حالیکه میکوشد ناجی نظام باشد،به قربانی اصولگرایان تندرو مبدل شده است.</t>
  </si>
  <si>
    <t>🇮🇷علیرضا خوشبخت</t>
  </si>
  <si>
    <t>من #مسلمانم به اسلام #علی</t>
  </si>
  <si>
    <t>هر چی بالا پایین کردم جز بی تدبیری چیزی در دولت روحانی نمیبینم که امید مردم رو نشانه رفته کدوم احمقی شعار این دولت رو تدبیر وامید گذاشته بود؟؟ #روحانی #کله_پا</t>
  </si>
  <si>
    <t>#رهبرانقلاب : اون روزى كه #اوباما با اقاى #روحانى تلفنى صحبت كرد جشن گرفتن پ.ن: بعضى عناصر داخلى هم جشن گرفتن، دل به دل راه داره ديگه</t>
  </si>
  <si>
    <t>KIAN/ Editor in Chief at Tasnim News Agency سردبیر خبرگزاری تسنیم</t>
  </si>
  <si>
    <t>Tehran-Iran</t>
  </si>
  <si>
    <t>#رهبر_انقلاب: آن زمان كه #اوباما موفق شد با رييس جمهور ما(#روحانی) تلفنی صحبت كند از منابعي مطلع شديم كه آنجا جشن گرفته بودند. آنها(امريكاييها) به اين چيزها نياز دارند، لزومي ندارد ما نيازهاي آنها را برآورده كنيم ديدار اخير با هيات دولت</t>
  </si>
  <si>
    <t>Kian Abdollahi</t>
  </si>
  <si>
    <t>Master of Communication/ Media Consultant journalist</t>
  </si>
  <si>
    <t>https://twitter.com/khoshbakht_a/status/1035956997764444165</t>
  </si>
  <si>
    <t>حتما این رشته #توئیت را بخونید علیرضا خوشبخت تحلیل خوبی از وضعیت دولت #روحانی ارائه کرده است. RT @khoshbakht_a: 1-وضعیت #روحانی و دولتش به لحاظ سیاسی به نظر حتی نابسامانتر ازوضعیت دولت #خاتمی بعد از برگزاری انتخابات مجلس هفتم و دولت #احمدی_نژاد در دو سال پایانی است.دراین #رشته_توییت سعی کردم توضیح دهم که چگونه #روحانی در حالیکه میکوشد ناجی نظام باشد،به قربانی اصولگرایان تندرو مبدل شده است.</t>
  </si>
  <si>
    <t>Elaheh ebrahimi</t>
  </si>
  <si>
    <t>‏‏‏‏‏‏‏...(و زمانی خواهد رسید که آفتاب از غرب طلوع کند و از مسلمانان پیشی گیرند علی (ع</t>
  </si>
  <si>
    <t>جمهوری اسلامی فرق داره با انقلاب اسلامی آقای #روحانی شما آدم #جمهوری_اسلامی هستی نه #انقلاب_اسلامی</t>
  </si>
  <si>
    <t>سید مظلوم - سید هند</t>
  </si>
  <si>
    <t>‏‏‏‏‏‏‏‏‏‏‏‏سلام, محمدم, دانشجوی مکانیک خواجه‌نصیر ... :)</t>
  </si>
  <si>
    <t>Iran , Tehran</t>
  </si>
  <si>
    <t>برخی از دوستانمون مدت‌ها وقت گذاشته محتوا درست می‌کنند تا دورویی بازیگر‌ها را در ایام #انتخابات و الان مقایسه کنند. اما چرا هیچ محتوایی درباره‌ی #شورای_نگهبان که پدیده‌ای به نام #روحانی را تایید صلاحیت کرد تولید نمی‌شود؟ #یک_بام_و_دو_هوا #نظارت_استصوابی</t>
  </si>
  <si>
    <t>غرق تمنای تو</t>
  </si>
  <si>
    <t>‏‏‏‏‏‏‏‏‏‏‏کارشناس اتاق عمل● پیرو مهدی(عج) و نائبش(حفظه الله) ● مابا اسراییل وارد جنگ خواهیم شد. هرکس با ماست؛ بسم‌ الله! هرکس با ما نیست، خداحافظ!</t>
  </si>
  <si>
    <t>رهبر انقلاب : برجام هدف نیست ، وسیله است روحانی با خود میگوید : برجام ۲ و ۳ باید بیاد تا اقتصاد حل بشه ، تا نون مردم حل بشه ، تا آب مردم حل بشه ، تا زندگی مردم توش حل بشه ، تا سپاه منحل بشه ، تا کشورو بدیم بره 😌✌ #برجام #هدف #وسیله #مشکلات #روحانی</t>
  </si>
  <si>
    <t>mohamad feyzi</t>
  </si>
  <si>
    <t>pic.twitter.com/dssxBF3fY7</t>
  </si>
  <si>
    <t>فرنوش امیرشاهی، روزنامه‌نگار در #چشم‌انداز : مدتی است رابطه دولت و نمایندگان حامی او در #مجلس به سردی گراییده. بعضی از نمایندگان محتاط برخورد می‌کنند برای اینکه در دوره های بعد رای بیاورند. @farnoosh_a</t>
  </si>
  <si>
    <t>‏‏‏‏اَمان از روز آخر ...!</t>
  </si>
  <si>
    <t>یه روزی #روحانی از #کربلا درس مذاکره مشق میکرد ؛ و امروز #مطهری از #غدیر چه درسی را مشق می کند ؟؟؟</t>
  </si>
  <si>
    <t>TahaJavadi</t>
  </si>
  <si>
    <t>زندگی مردم از شدت فقر و نابسامانی اقتصادی جهنم شده والبته به آقای #روحانی مربوط نمیشه چون یادمون رفته ایشون به بهشت و جهنم مردم کاری ندارند</t>
  </si>
  <si>
    <t>آقا چند وقت پیش برای بار چندم تأکید کرد که این آشوب‌هایی که تو ایران میشه طراحی چند ساله دشمنه ولی #روحانی تو‌ روز #سؤال_از_رئیس_جمهور گفت همه چی آروم بود تا اینکه اغتشاش دی شد و‌ ترامپ تصمیم گرفت کشور ایران‌رو به هم بریزه</t>
  </si>
  <si>
    <t>اذریایجان از #روسیه ۵ میلیارد تسلیحات خریده اگر نبود احمق هایی که تحریم ده ساله نظامی #ایران تویه #برجام رو امضا کنن احتمال اون ۵ میلیارد رو ما می خریدیم #روحانی #ظریف</t>
  </si>
  <si>
    <t>Warrior</t>
  </si>
  <si>
    <t>https://pbs.twimg.com/media/DmBaz03W0AEr6jz.jpg</t>
  </si>
  <si>
    <t>https://twitter.com/digiato/status/1035927762115158016
http://dgto.ir/11ac</t>
  </si>
  <si>
    <t>در روزهایی که #خودروسازان از ورشکستگی صنعت خودرو خبر می‌دهند و #وزیر_صنعت قرار است #استیضاح شود؛ بد نیست نگاهی بیندازیم به چالش‌های این صنعت پرحاشیه RT @Digiato: خودروسازی به سبک ایرانی؛ صنعتی پر رونق در مرز زیان و ورشکستگی</t>
  </si>
  <si>
    <t>Pegahtousi</t>
  </si>
  <si>
    <t>https://youtu.be/sLWAJIcPfMw</t>
  </si>
  <si>
    <t>📽️🔴#ایران #تهران #مهم #فوری درادامه #اعتراضات #مردم #روحانی لاکن بیانیه #ظریف #دولت #فساد #اختلاس اهل بیت ال عبا #رهبر_انقلاب وشرکا با عنایات صاحب⌚️ #دشمن با #نرمش_قهرمانانه به گفته این #رهبرفرزاته در #برجام بازی و شوخی میکند😁</t>
  </si>
  <si>
    <t>مهندس عمران (‏تخصص حمل و نقل و ترافیک) 🛤🛫🛣🛳🚸🚴🚦🚧🚢🚟🚞🚚🚛🚜🚝🚘🚗🚕🚔🚥🚎🚍🚌🚊🚅🚇🚈🚉🚄🚃🚂🚁 🏘🏛🏣🏢🏨🏪🗼Civil Eng</t>
  </si>
  <si>
    <t>Tehran , Iran</t>
  </si>
  <si>
    <t>واکنش مردم موقع خرید هر کالایی: چه خبرتونه ؟ چه خبرتوووووووووونه؟ [با لحن مَموتی بخونید 😜] #گرانی #أرز #احمدی_نژاد #ایران #روحانی #رفراندوم</t>
  </si>
  <si>
    <t>سید امیر قاضی طباطبائی</t>
  </si>
  <si>
    <t>هيچ.</t>
  </si>
  <si>
    <t>١٧ سال پيش ، مصلحت انديشي خاتمي شد پمپاژ نا اميدي ، و نتيجه شد احمدي نژاد، امسال پمپاژ نا اميدي شد و چند سال بعد نتيجه ايي مشخص. تنها سرمايه حاصل اين نا اميدي ، بي اعتماديست.#روحانی #خاتمی #اميد_بذر_هويت_ماست</t>
  </si>
  <si>
    <t>saied morvarid</t>
  </si>
  <si>
    <t>http://yon.ir/EITAS</t>
  </si>
  <si>
    <t>‏‏‏‏‏‏‏‏‏‏‏‏‏‏‏‏‏‏‏‏‏‏‏‏دانش آموخته سیاست از دانشگاه تهران🎓 تنها ادعایم [استقلال قلم] است✏</t>
  </si>
  <si>
    <t>ولی هنوزم بعضی ها دوران "روحانی با #پوشک گرون" رو به دوران "احمدی نژاد با پرتاب موجود زنده به فضا" ترجیح میدن! از ماست که بر ماست...! #احمدی_نژاد #روحانی</t>
  </si>
  <si>
    <t>فائزه اکبرشاهی🇮🇷</t>
  </si>
  <si>
    <t>ای چرخ فلک خرابی از کینه توست... کون لق #ظریف ودروغاش واربابانش #روحانی و #خامنه‌ای #WeAreNotBots</t>
  </si>
  <si>
    <t>‏‏‏‏‏‏‏‏‏‏‏‏‏‏‏‏‏‏‏‏‏‏‏‏‏‏ خوردن خربزه و عسل مثل داشتن آزادی در جمهوری اسلامي است مجاهدین رو فالو نمیکنم.بقیه فالو=فالو #براندازم</t>
  </si>
  <si>
    <t>جزایر قناری</t>
  </si>
  <si>
    <t>سوال از #روحانی در مجلس میشه نماد اقتدار نظام،ولی سوال اعضاي خبرگان از عملکرد رهبری میشه خط قرمز نظام استاندارد دوگانه یعنی همین</t>
  </si>
  <si>
    <t>گالوس</t>
  </si>
  <si>
    <t>https://plus.google.com/+MahmoodAgahi</t>
  </si>
  <si>
    <t>خدا میدونه #نگران ایرانیم سوپاپ اطمینان هم نداره این دیگ در حال انفجار آهای آقای #رئیس_جمهور به جای برج عاج نشینی صدای مردم را بشنو. همین امشب یک خط بنویس و #برو #روحانی_برو</t>
  </si>
  <si>
    <t>Mahmood A</t>
  </si>
  <si>
    <t>‏‏‏‏‏روزنامه‌نگارم،درگير سياست،اما سياسی‌كاری نه. مهم رسالت روزنامه‌نگار ه که در باور منه و سعی به عمل دارم برای بهبود journalist🇮🇷</t>
  </si>
  <si>
    <t>https://pbs.twimg.com/media/DmCBxXqX0AApnL9.jpg</t>
  </si>
  <si>
    <t>معلوم نیست #مجلس و #شورای_شهر_تهران و #شورای_نگهبان چرا دارند این کار رو با شهر تهران میکنن.اگر این اتفاق عملی شه،در یکسال #تهران سه #شهردار داشته و هر بار که به #اعضای_شورای_شهر گفتیم فلان موضوع مهمه گفتند:درگیر انتخاب شهرداریم. کاش لااقل این قانون در مورد تهران استثنا داشت./۱</t>
  </si>
  <si>
    <t>Shahed Hallaj🇮🇷</t>
  </si>
  <si>
    <t>I am interested in technology, marketing, designing and web platforms.</t>
  </si>
  <si>
    <t>#روحانی این روزها که یاران غار و دوستان هم‌حزبی شما همانند مخالفان شما به شما پشت کردند به یاد داشته باشید اعتماد چه مردمی را در کمتر از دوسال از دست دادید. یادتان باشد فرصت جبران برای هیچ یک از رییس‌جمهوران قبلی به دست نیامده است! واقعیت‌ها را مردانه بگویید</t>
  </si>
  <si>
    <t>Baroonian</t>
  </si>
  <si>
    <t>pic.twitter.com/RboAQFTgvt</t>
  </si>
  <si>
    <t>علیرضا صلواتی، کارشناس اقتصاد سیاسی در #چشم‌انداز : دولت دوم #روحانی فکر می کرد با توجه به #ابرجام شرایط خوب خواهد بود و نیازی به مدیریت اقتصادی ندارد.</t>
  </si>
  <si>
    <t>من اگه ميدونستم چي ميخوام،اوني كه پيدا كرده بودمو گم نميكردم:/</t>
  </si>
  <si>
    <t>جايي كه قراره بهتر بشه:/</t>
  </si>
  <si>
    <t>امروز رفتم ازون پسته ها كه عاشقشم(همون كه پوست داره و تازست)بخرم..كرك و پرم ريخت وقتي قيمتشو گفت:/ كيلو شصت فاكين تومن😳 پارسال همينو بيست ميخريديم😔 حالا بايد با همينم كات كنم ديگه:( خاك تو سرت #روحاني</t>
  </si>
  <si>
    <t>بچه نافِ لَندَن</t>
  </si>
  <si>
    <t>ما گذشتيم و گذشت</t>
  </si>
  <si>
    <t>تخمِ اين بدبختيارو #هاشمی_رفسنجانی پاشيد #خاتمي آبش داد #احمدي_نژاد كودشُ ريخت #روحاني هم گلدونشُ بزرگتر كرد خدا بعديُ رحم كنه</t>
  </si>
  <si>
    <t>Farshid</t>
  </si>
  <si>
    <t>خبر و سیاست IRIB🇮🇷</t>
  </si>
  <si>
    <t>#روحانی علت وضعیت بد اقتصادی رو حادثه دی ماه عنوان کرد که #ترامپ رو به طمع انداخت حالا بهتر میشود به عمق خیانت #میرحسین در سال ۸۸ پی برد</t>
  </si>
  <si>
    <t>Hamed Safaei</t>
  </si>
  <si>
    <t>دغدغه های یک ارزشی دگراندیش ...</t>
  </si>
  <si>
    <t>ایران در بازی های آسیایی 1974، 36 مدال طلا و مجموعا 81 مدال کسب و دوم شد. #روحانی اما در پیام امشبش به کاروان ایران، کسب بیشترین تعداد مدال در تاریخ بازی های آسیایی در این دوره را به کاروان و ملت ایران تبریک گفت.</t>
  </si>
  <si>
    <t>Didehbaan</t>
  </si>
  <si>
    <t>https://pbs.twimg.com/media/DmCLLa0XsAEhuqt.jpg</t>
  </si>
  <si>
    <t>دنیای عجیبیست! حتی مرز معنا و مفهوم کلمات هم جابجا شده #احمق #نادان #نماینده</t>
  </si>
  <si>
    <t>ms.mousavi</t>
  </si>
  <si>
    <t>همه چیزِ این مملکت دست #رئیس_جمهور ِ کاش برای انتخابش یه مکانیزم بهتر از این شکل انتخابات که در کشور هست وجود داشت ... اینجوری اشتباهه ، کشور داره آسیب میبینه</t>
  </si>
  <si>
    <t>i said</t>
  </si>
  <si>
    <t>IRAN Golestan Kordkuy</t>
  </si>
  <si>
    <t>نامم را پدرم انتخاب کرد نام خانوادگی ام را یکی از اجدادم، دیگر کافی است بگذارید طرز زندگی ام را جواد ظریف انتخاب کند #ظریف #روحانی #ما_انتخاب_کردیم #ما_انتخاب_نکردیم #مجلس</t>
  </si>
  <si>
    <t>https://pbs.twimg.com/media/DmCMu79X4AEnylA.jpg</t>
  </si>
  <si>
    <t>‏‏‏‏‏‏‏‏‏‏‏‏‏‏‏‏‏‏‏‏هرچه خواستیم نشد... لطفی کنید و بر سنگ قبرمان بنویسید: آرمیده در گور آرزوهایش!</t>
  </si>
  <si>
    <t>https://pbs.twimg.com/media/DmCPS-IX0AUJDqc.jpg</t>
  </si>
  <si>
    <t>حجم بیکاران تاکسی های زرد نشون از بیکاری زیاد توی سنندج داره و مسئولینی که برای ایجاد شغل فقط سهمیه‌ تاکسی فروختن روحانی روباه بنفش دم از ایجاد شغل هفتصدهزار نفری میزنه #روحانی #IranRegimeChange #IslamicRegimeMustGo #براندازم #براندازیم #سنندج #کردستان</t>
  </si>
  <si>
    <t>✌😶Mohammad🏳️</t>
  </si>
  <si>
    <t>👊 مخاطب این عتاب جدی کیست ؟ 📢 رهبر معظم انقلاب: 💥بانکها #غلط می‌کنند #بنگاه_داری کنند و با پول #مردم برای خودشان امکانات درست کنند چه کسانی باید به این قضیه رسیدگی کنند؟ چه کسانی باید با این مساله برخورد کنند؟ #رئیس_جمهور | #هیئت_دولت | #مجلس #دستگاه_قضایی | #بانک_مرکزی</t>
  </si>
  <si>
    <t>golestani</t>
  </si>
  <si>
    <t>‏مَِثَِ سَِگَِ کَِاَِرَِ مَِیَِکَِنَِمَِ کَِهَِ مَِثَِ سَِگَِ زَِنَِدَِگَِیَِ نَِکَِنَِمَِ</t>
  </si>
  <si>
    <t>چن وقت دیگه #روحانی میاد مصاحبه میکنه میگه:مردم ناراضی بودن ازم.از عمد همچیو گرون کردم چششون دراد :) #محسن_قهرمانی</t>
  </si>
  <si>
    <t>فامیل نزدیک</t>
  </si>
  <si>
    <t>‏سر به سر با هفت هزار سالگان</t>
  </si>
  <si>
    <t>مرکز پژوهش های مجلس پی دی اف قوانین رو به "حق کپی رایت محفوظ است" مزین می کنه! این یعنی مرکز علمی و پژوهشی #مجلس مملکت یا معنی #کپی_رایت رو نفهمیده یا معنی #قانون رو! محتمل تر البته هر دو گزینه است!</t>
  </si>
  <si>
    <t>مولک</t>
  </si>
  <si>
    <t>سخنرانی غدیر علی #مطهری و کربلای حسن #روحانی حرف خودشونه اونم از بی برنامه گی نه حرف خدا و پیغمبر</t>
  </si>
  <si>
    <t>حجت الاسلام انجوی نژاد در واکنش به تهدید یک جوان معترض به آقای #مطهری توسط آخوند مسئول ستاد تبلیغاتی آقای #روحانی -آبروی عباوعمامه و لباس پیامبر را آخوندهای دولتی متوهمی چون شما برده اند -چهل سال است شما اسلام را پای اشخاص ذبح کرده اید</t>
  </si>
  <si>
    <t>https://pbs.twimg.com/media/DmCS8VKX0AAJo5F.jpg</t>
  </si>
  <si>
    <t>#ظریف : امسال #عربستانی ها با ما رفتار خوبی داشتند پ ن: اها ؛ خوب خدارو شکر امسال مارا نکردند 😊 #روحانی #احمدی_نژاد #مشایی</t>
  </si>
  <si>
    <t>mojtahed</t>
  </si>
  <si>
    <t>‏‏student of politics in the university of tehran</t>
  </si>
  <si>
    <t>تو ممالک خارجی مسئول وقتی نمیتونه کاری رو انجام بده استعفا میده یا سوسولاشون خودکشی میکنن باخودم گفتم عجب خرین، مسئول ایرانی اینقدر روحیه خدمت رسانیش بالاست، بهش میگی آقا نمیخوایم خدمت کنی،خسته میشی،اوف میشی برو استراحت کن... اصلا ول کن نیست،میگه راه نداره،باید خدمت کنم😕 #روحانی</t>
  </si>
  <si>
    <t>mohammad ali  usefnejad</t>
  </si>
  <si>
    <t>http://Telegram.me/semahos</t>
  </si>
  <si>
    <t>(انسان كامل) .. يكي از ارتش ميليونىِ "ري استارت"..به ميليون ها ري استارتى بپيونديد..خبري در راه است..لطفا در كانال هاي زير عضو بشيد http://Telegram.me/pastonews</t>
  </si>
  <si>
    <t>pic.twitter.com/XJJNJQWYra</t>
  </si>
  <si>
    <t>http://t.me/semohos1/2583</t>
  </si>
  <si>
    <t>#امريكا #ايران #اسرائيل #روسیه #فوري #ترامپ #سپاه #پهلوي #بسيج #روحاني #iran #آمدنيوز #اعتراضات #مجاهدین_خلق #ري_استارت 🔴یک سال پیش... 🔽  #interview_restart_leader #support_restart_opposition #گامبى_شاه #چالش_سکوت_حسینی #نه_شاه_نه_خميني_خدا_ميهن_حسيني</t>
  </si>
  <si>
    <t>RESTART</t>
  </si>
  <si>
    <t>https://pbs.twimg.com/media/DmCTR8FX0AA3C0f.jpg</t>
  </si>
  <si>
    <t>🔴 #احتکار یک میلیون بسته #پوشک #بچه 😳😔 #ایرانی را چه شده که حتی به #نوزاد رحم نمیکند.. #دولت #روحانی #وزارت_اطلاعات #وزارت_صنعت #قوه_قضائیه همه شما مسئول این وضعید.. اسامی و چهره #محتکران را همه جا معرفی کنید تا آبرویی برای این بی شرفها نمونه..</t>
  </si>
  <si>
    <t>فلجتم رفيق، مَرد تنهاي شب الشيخ جابي @jurdinoo</t>
  </si>
  <si>
    <t>limbo</t>
  </si>
  <si>
    <t>https://pbs.twimg.com/media/DmCUA-2X4AYIWDG.jpg</t>
  </si>
  <si>
    <t>دکتر #روحانی در کتاب خاطرات خود گفته است زمانی که درس روحانیت میخواندم ، طلبه ها معتقد بودن در آینده اسم آیت الله فریدون مناسب یک روحانی نیست من هم فامیلم را از فریدون به روحانی تغییر دادم!</t>
  </si>
  <si>
    <t>سامي لِگْ</t>
  </si>
  <si>
    <t>به نظرم الان وقتشه یکی ازین عرزشیا توییت کنه اگه خیلی زرنگین به جای ۱۰۰ میلیون #الهام_چرخنده برین به اون همه وعده میلیاردی #روحانی که همش الکی بود گیر بدین اصلاح طلبام بیان زیرش یقه جر بدن</t>
  </si>
  <si>
    <t>‏‏‏با ‎‎#ولایت تا ‎‎#شهادت، ان شاءالله</t>
  </si>
  <si>
    <t>pic.twitter.com/17b2uRJPHd</t>
  </si>
  <si>
    <t>وقتی نخست وزیر جدید پاکستان در راستای عمل به وعده ها ماشین‌های لوکس دولتی را حراج کرد #روحانی #دولت_وعده</t>
  </si>
  <si>
    <t>حیدری ام</t>
  </si>
  <si>
    <t>دغدغه ي مسئولين از موشك رسيده به پوشك! جناب #پرزيدنت، با ايران ما چه كردي؟! #قفل_تدبير #روحاني</t>
  </si>
  <si>
    <t>تخم‌مرغ دقیق.</t>
  </si>
  <si>
    <t>اصلاحطلبا و جنبش سبزیا نمیخوان تاثیر سانسور و سکوت رو تو محبوبیت #میرحسین قبول کنن! بترسید از شرم اون روزی که میرحسین شروع به حرف زدن و واکنش سیاسی کنه و ببینید که فرقی با #روحانی و عارف و حسن خمینی نداره! چه بسا بدتر و خشن‌تر از اینا باشه...</t>
  </si>
  <si>
    <t>Egg Zactly</t>
  </si>
  <si>
    <t>حساب کتابا همه دستمه</t>
  </si>
  <si>
    <t>#استیضاح نبود که افتیضاح بود</t>
  </si>
  <si>
    <t>مهران</t>
  </si>
  <si>
    <t>‏مستندساز و ‏‏معلم علوم سیاسی</t>
  </si>
  <si>
    <t>#ای_آنکه_مذاکره_شعارت بیا بریم خونمون یه فیل داریم ماشین میشوره #روحاني #استخرِ_فرح</t>
  </si>
  <si>
    <t>حبیب زمانی</t>
  </si>
  <si>
    <t>https://youtu.be/aNEuurD-fy4</t>
  </si>
  <si>
    <t>در برنامه‌‌ی #چشم‌انداز | ۱۰ شهریور | همراه با فرنوش‌امیرشاهی به بررسی پرسش‌های نمایندگان از حسن #روحانی در جلسه علنی مجلس پرداختم... @IranIntl @farnoosh_a</t>
  </si>
  <si>
    <t>https://pbs.twimg.com/media/DmCagPjUcAAfwcL.jpg</t>
  </si>
  <si>
    <t>https://twitter.com/A_Raefipour/status/1035997806459277312</t>
  </si>
  <si>
    <t>#الهام_چرخنده در فیلمی علیه منافقین بازی می کنه. خواهران #منصوریان علیه الهام چرخنده ادعایی کردند. #روحانی در کمپین انتخاباتی از منصوریان تقدیر کرده. #شورای_نگهبان روحانی را تایید صلاحیت کرده. #رهبری مستقیم و غیر مستقیم اعضای شورای نگهبان را منصوب کرده. (رائفی پور طور) RT @A_Raefipour: #الهام_چرخنده : همانند #مهران_مدیری که دروغ گویی #شرق را در دادگاه اثبات کرد بزودی ادعای #خواهران_منصوریان و رسانه انتشار دهنده این اکاذیب در دادگاه محک خواهد خورد الهام چرخنده پس از ۵سال دوری از سینما در حال بازی در فیلمی علیه منافقین است آیا بین این دو اتفاق ارتباطی وجود دارد؟</t>
  </si>
  <si>
    <t>‏محبت،شاه‌کلیدهستی؛پس بی‌دلیل مهربان باشید😀</t>
  </si>
  <si>
    <t>اینکه میگن تا این حد #پوشک_بچه کمیاب شده، پس ربطی به نوع #مدیریت مدیران کشور نداره؟! 🤔 #تدبیر #امید #اعتدال #اصلاحات #بهاری #میرحسین_موسوی #روحانی #خاتمی #هاشمی #لیبرال #لیبرالیسم #غربگرا</t>
  </si>
  <si>
    <t>Zakhmigerash</t>
  </si>
  <si>
    <t>#وزیرنیرو رفته بازید سرزده بین مردم و بازار؛ البته با دوربین شبکه خبر! #وزیرارتباطات به ورزشکار هدیه میده و هرجایی هست! #نوبخت رییس برنامه بودجه میره بازدید پروژه ریلی. کی سرجاشه که #روحانی میگه بحران نداریم و آسیبه! #دولت #روحانی #صمت #بحران #اسیب</t>
  </si>
  <si>
    <t>I love god and life</t>
  </si>
  <si>
    <t>https://pbs.twimg.com/media/DmCqfFrXgAAjFTJ.jpg</t>
  </si>
  <si>
    <t>⭕️ قابل توجه اوناییکه میگن روحانی کاره ای نیست 👇 #سلبریتی_های_بیسواد #سلبریتی #روحانی #استیضاح</t>
  </si>
  <si>
    <t>Atn</t>
  </si>
  <si>
    <t>زندگی روزی تمام میشود که درمقابل چیزهایی که اهمیت دارند سکوت کنی. در كربُبَلا بي طرفان بي شرفانند.../آرمانگراي متنفر از چپ و راست. دانشگاه شهيد بهشتي</t>
  </si>
  <si>
    <t>#خواهران_منصوریان برعكس چيزي كه ادعا ميكنند با وعده ي چرخنده فريب نخوردند بلكه عضوي از تيم جنگ رسانه اي و رواني #روحانی شدند تا مواقع نياز به او كمك كنند كم كم اين باور به جامعه القاء خواهد شد كه همه ي چادري ها #ولايت_معاش اند و بخاطر چادري بودن پول و خونه و ماشين ميگيرند</t>
  </si>
  <si>
    <t>sepehriism</t>
  </si>
  <si>
    <t>Relax</t>
  </si>
  <si>
    <t>Santa Ana, CA</t>
  </si>
  <si>
    <t>#محجبه‌های_صدمیلیون_تومانی شرافت چیزی که ازخمینی تا تمام انسان نماهایشان #خاتمی #روحانی #ظریف #خامنه‌ای و... ذره ای در وجودشان پیدا نخواهید کردید. از #الهام_چرخنده که نه از روی نیاز سیر کردن شکم خانواده، بلکه با تمام حقارت به خودفروشی پرداخته انتظار چه دارید</t>
  </si>
  <si>
    <t>Rod Moshtagh</t>
  </si>
  <si>
    <t>‏تحقیق</t>
  </si>
  <si>
    <t>ye jaie</t>
  </si>
  <si>
    <t>#روحانی عجله کردیم و ندانستیم! کلید ممکن است ؛ قفل را محکمتر کند! #نه_به_جمهوري_اسلامي</t>
  </si>
  <si>
    <t>محقق</t>
  </si>
  <si>
    <t>"اگر الان به رييس بانك مركزيم بگم مثل شهريور پارسال عمل كن، شما بدونيد در عرض دو هفته قيمت ارز ميفته به قيمت پارسال". هممون تو فاميل يكى يدونه ازين خرا داريم كه ميگه #دولت كاره اى نيست! اگه بازم تكرار كرد، با اين جملاتِ #روحانى بزنين تو دهنش.</t>
  </si>
  <si>
    <t>نه بسته ام به كَس دل / نه بست كَس به من دل / چو تخته پاره در موج / رها رها رهااا من</t>
  </si>
  <si>
    <t>من بعد از 40 سال فهمیدم 'ما' با 'ما' فرق می کنه! مثلا وقتی #رییس_جمهور محترم میگه "ما مشکل #ارز نداریم"، 'ما' تو اون 'ما' نیستیم. 'ما' منظورش 'ما'ی اونهاست نه 'ما'ی 'ما'. حالا تازه فهمیدم 'ما' الکی خودمون رو قاطی 'ما'ی اونها کردیم.</t>
  </si>
  <si>
    <t>AtwoC</t>
  </si>
  <si>
    <t>به کارگیری بازنشستگان ممنوع است به جز در این سمت‌ها: روسای سه قوه، اعضای شورای نگهبان، وزرا، معاونان وزیر، نواب رییس مجلس و … یاد این بیت افتادم: گفته بودم که دگر "می"‌ نخورم در همه عمر به جز از امشب و فردا شب و شب‌های دگر #قانون_منع_به_کار_گیری_بازنشستگان #جوان #روحانی</t>
  </si>
  <si>
    <t>مرتضی فاطمی نژاد</t>
  </si>
  <si>
    <t>http://asrema.blog.ir/</t>
  </si>
  <si>
    <t>‏‏‏همسر | پدرِ پسران | ارشد مدیریت رسانه | کارشناس علوم‌اجتماعی | نویسندگی و کارگردانی ____ تو را دارم چه غم دارم... که دگر هیچ ندارم 🇮🇷</t>
  </si>
  <si>
    <t>هیچ کس از مطرح شدن گزینه جدید دارو دسته های #روحانی برای انتخابات باکی نداره٬ چون هیچ کس دیگه به کسی مثل روحانی رأی نمیده... اما امان از مردان دوچهره عالم سیاست٬ که شریک دزدند و رفیق قافله! #آذري_جهرمي #لاریجانی</t>
  </si>
  <si>
    <t>سعید عنایتی</t>
  </si>
  <si>
    <t>‏‏‏‏حالا بازم هههههی بدو برو تو صف انتخابات رای بده، بدو جانمونی</t>
  </si>
  <si>
    <t>https://pbs.twimg.com/media/DmDo1jsWsAA4clX.jpg</t>
  </si>
  <si>
    <t>چقدر پول گرفتی که #حجاب سر بگیری و با پولهای خورد ته جیبت حجاب سر بقیه کنی؟!؟!شرم بر تو #الهام_چرخنده #گزارشگر #منوتوخبر #روحانی #خامنه‌ای #اعتراف #محجبه‌های_صدمیلیون_تومانی #براندازم #من_ربات_نیستم #من_و_سانسورچی #مسیح_علینژاد</t>
  </si>
  <si>
    <t>توضیح المسائل</t>
  </si>
  <si>
    <t>دانشجوى پزشكى ع.پ اراك | كمى شاعر| علاقمند به سياست| پيغام كربلا به نجف برد جبرئيل/ يا مرتضى على پسرى داشتى چه شد؟</t>
  </si>
  <si>
    <t>چند سال پيش: ١-ايران غنى سازى٢٠٪ اورانيوم را آغاز كرد ٢-ايران براى اولين بار موجودزنده به فضا فرستاد امروز: مردم نگران نباشند در تامين شيرخشك و #پوشك مشكلى نداريم! #روحانى بلايى سر اين كشور آورده كه سطح انتظار مردم به پوشك رسيده است اى آنكه مذاكره شعارت پوشك شده سطح انتظارت!</t>
  </si>
  <si>
    <t>محمدرضا قاسملويان</t>
  </si>
  <si>
    <t>دغدغه دولت #انحرافی!! تهیه قطعات ماهواره بود دغدغه دولت #امید تهیه #پوشک بچه ببین تفاوت ره کز کجاست تا به کجا #احمدي_نژاد #روحاني</t>
  </si>
  <si>
    <t>Mahdavi🇮🇷</t>
  </si>
  <si>
    <t>‏اگه درست و با قشنگ، متفاوت دیدیم اونوقت فرق فضای مجازی دروغ و با حقیقت می‌شناسیم</t>
  </si>
  <si>
    <t>ببین ملتی که ی روز با ساخت #موشک دست دشمن و کوتاه کردند وعزتمند بودند حالا با #پوشک چه دست و پنجه ایی نرم میکنند با #روحانی تا1400</t>
  </si>
  <si>
    <t>http://www.rahatrack.ir</t>
  </si>
  <si>
    <t>https://twitter.com/mr_golestani/status/1035985701022703616</t>
  </si>
  <si>
    <t>ملت سوال دارند: واقعا چرا با این عده این قدر مماشات می شود. #رئیس_جمهور #دستگاه_قضایی #قوه_قضاییه #بانک_مرکزی #مجلس #هیات_دولت RT @mr_golestani: 👊 مخاطب این عتاب جدی کیست ؟ 📢 رهبر معظم انقلاب: 💥بانکها #غلط می‌کنند #بنگاه_داری کنند و با پول #مردم برای خودشان امکانات درست کنند چه کسانی باید به این قضیه رسیدگی کنند؟ چه کسانی باید با این مساله برخورد کنند؟ #رئیس_جمهور | #هیئت_دولت | #مجلس #دستگاه_قضایی | #بانک_مرکزی</t>
  </si>
  <si>
    <t>رضاجامی</t>
  </si>
  <si>
    <t>اغای #روحانی در #مجلس اعتراف کرد ایجاد #بحران‌گرانی خودش بوده و #سیاست غلطش را در جهت منافع #بانک جهانی و نوکری #بیگانه و نابودی ارزش #پول ملی و به #فقر کشاندن #خانوار ایرانی ادامه میدهد. تاکید کرد اگر بخواهد به #بانک مرکزی دستور میده #دلار برگرده به قیمت سابق! ولی نمیخواهد!</t>
  </si>
  <si>
    <t>‏‏درس نشد چسبیدم به کاسبی</t>
  </si>
  <si>
    <t>با سلام خدمت آقای روحانی ظاهرا نوزاد برجام تمامی پوشک های موجود را مصرف نموده وهمچنان در حال تررر زدن است لطفا رسیدگی بفرمایید که نوزاد شما که دیگر سنی از او گذشته چرا همچنان در حال ترررر زدن است #روحانی #برجام #دلار #فتنه</t>
  </si>
  <si>
    <t>میثمم</t>
  </si>
  <si>
    <t>http://Ensafnews.com</t>
  </si>
  <si>
    <t>پایگاه خبری و تحلیلی انصاف</t>
  </si>
  <si>
    <t>https://pbs.twimg.com/media/DmD3FokXgAAJgVm.jpg</t>
  </si>
  <si>
    <t>http://ensafnews.com/131785</t>
  </si>
  <si>
    <t>استیضاح بطحایی منتفی شد بنابر شنیده‌های انصاف نیوز، با پس گرفتن امضای نمایندگان #مجلس، #استیضاح #بطحایی وزیر #آموزش_و_پرورش از حد نصاب افتاد و از دستور کار سه شنبه خارج شد</t>
  </si>
  <si>
    <t>انصاف نیوز</t>
  </si>
  <si>
    <t>#شفافیت_آراء_نمایندگان یعنی اینکه مردم حق دارن بدونن نماینده ای که انتخاب کردن به دغدغه ی مردم رو داره یا دغدغه قدرت و ثروت... #شفافیت #مجلس</t>
  </si>
  <si>
    <t>Seyed_mohsen</t>
  </si>
  <si>
    <t>فالو و فالو بک دمتون گرم</t>
  </si>
  <si>
    <t>#شفافیت هرچی قدیمی گفت راست بود به قول بابابزرگم آدم باید #نر و #مادگیش #معلوم باشه #خواهران_منصوریان #لاریجانی #روحانی #ظریف #وقس_علی_هذا #منافق إه عذر میخوام منافق نر و مادگیش معلوم نیست گاهی با ماست گاهی علیه ما</t>
  </si>
  <si>
    <t>فری پر طلایی</t>
  </si>
  <si>
    <t>https://www.mehrnews.com/news/4390957/</t>
  </si>
  <si>
    <t>دهقان نماینده مجلس در گفتگو با مهر گفته است: #استیضاح بطحایی به مصلحت کشور نیست و نمایندگان باید به دنبال تغییر تیم اقتصادی دولت باشند.</t>
  </si>
  <si>
    <t>https://pbs.twimg.com/media/DmD-8vzWsAA2zYM.jpg</t>
  </si>
  <si>
    <t>#استیضاح بطحایی #منتفی شد عباسی عضو کمیسیون آموزش و تحقیقات مجلس در گفتگو با باشگاه خبرنگاران جوان: نمايندگان مجلس امضاى خود را براى استيضاح سید محمد بطحایی وزیر آموزش و پرورش پس گرفتند، بنابراين استیضاح وزیر منتفی شد</t>
  </si>
  <si>
    <t>https://pbs.twimg.com/media/DmD_wOsUUAA6RbF.jpg</t>
  </si>
  <si>
    <t>https://www.ilna.ir/fa/tiny/news-663168</t>
  </si>
  <si>
    <t>حاجی دیگانی در گفت‌وگو با #ایلنا مطرح کرد؛ تعداد امضای استیضاح‌کنندگان #شریعتمداری به ۷۰ نفر رسید/ شرط نمایندگان برای پس گرفتن #استیضاح وزیر صنعت/ مجلس بنای لجبازی با دولت را ندارد</t>
  </si>
  <si>
    <t>اسداله عباسی، عضو کمیسیون آموزش و تحقیقات مجلس: همکاران امضای خود را برای #استیضاح پس گرفتند این موضوع منتفی شد. با توجه به شرایط زمانی و آغاز سال تحصیلی در آموزش و پرورش و اولویتی که در کشور با مسائل اقتصادی وجود دارد، این موضوع فعلا ملغی است.</t>
  </si>
  <si>
    <t>عضو کمیسیون آموزش و تحقیقات مجلس: #استیضاح وزیر آموزش و پرورش منتفی شد عباسی: ▫️نمايندگان مجلس امضاى خود را براى استيضاح #سیدمحمد_بطحایی وزیر آموزش و پرورش پس گرفتند، بنابراين استیضاح وزیر منتفی شد./باشگاه خبرنگاران @sm_bathaei</t>
  </si>
  <si>
    <t>‏‏یک عدد زلم زیمبو باز</t>
  </si>
  <si>
    <t>با پس گرفتن امضای نماینده های مجلس برای استیضاح بطحایی میشه به این نتیجه رسید که اوضاع خراب ی ارگان رو میشه چند روزه گل و بلبل کرد! #استیضاح</t>
  </si>
  <si>
    <t>زلم زیمبو</t>
  </si>
  <si>
    <t>http://www.khabaronline.ir</t>
  </si>
  <si>
    <t>اینستاگرام: https://www.instagram.com/khabaronline/</t>
  </si>
  <si>
    <t>عضو کمیسیون آموزش و تحقیقات مجلس: #استیضاح وزیر آموزش و پرورش منتفی شد عباسی: نمايندگان مجلس امضاى خود را براى استيضاح #سیدمحمد_بطحایی وزیر آموزش و پرورش پس گرفتند، بنابراين استیضاح وزیر منتفی شد./باشگاه خبرنگاران</t>
  </si>
  <si>
    <t>خبرآنلاين</t>
  </si>
  <si>
    <t>https://pbs.twimg.com/media/DmEBA0nWsAAFp-z.jpg</t>
  </si>
  <si>
    <t>طرف مادرش رو برای #جراحی چشم برده پیش #وزیر_بهداشت، روز جراحی به اسم دکتر قاضی زاده پول عمل داده اما بعد فهمیده همون ساعت جراحی، آقای #وزیر با #رئیس_جمهور رفته بوده #توچال!</t>
  </si>
  <si>
    <t>#استیضاح بطحایی منتفی شد عباسی عضو کمیسیون آموزش و تحقیقات مجلس: 🔹نمايندگان مجلس امضاى خود را براى استيضاح سید محمد بطحایی وزیر آموزش و پرورش پس گرفتند، بنابراين استیضاح وزیر منتفی شد.</t>
  </si>
  <si>
    <t>http://titre1.ir/</t>
  </si>
  <si>
    <t>news agency</t>
  </si>
  <si>
    <t>alborz</t>
  </si>
  <si>
    <t>#استیضاح بطحایی منتفی شد ‌ عباسی عضو کمیسیون آموزش و تحقیقات #مجلس: نمايندگان #مجلس امضاى خود را براى استيضاح #بطحایی وزیر آموزش و پرورش پس گرفتند، بنابراين استیضاح #وزیر منتفی شد</t>
  </si>
  <si>
    <t>شبکه خبری تیتریک</t>
  </si>
  <si>
    <t>http://tasnimnews.com/Home/Category/1/</t>
  </si>
  <si>
    <t>‏خبرنگار پارلمانی خبرگزاری تسنیم</t>
  </si>
  <si>
    <t>#استیضاح #بطحایی در #مجلس منتفی شد #وزارت آموزش و پرورش</t>
  </si>
  <si>
    <t>meysam hamzehloo</t>
  </si>
  <si>
    <t>خوشحالی همکاران از منتفی شدن #استیضاح نشان از معرفت و بصیرت ایشان است، چرا که اگر از تلاش ها و خدمات انقلابی آقای بطحایی هم بگذریم، نتیجه این رخداد در این زمان جز صدمه به بدنه آموزش و پروش و لطمه به دانش آموزان و فرهنگیان به همراه نداشت #مهربابطحایی #استیضاح_بطحایی</t>
  </si>
  <si>
    <t>Architect / book&amp;movie&amp;anime</t>
  </si>
  <si>
    <t>بوشهر</t>
  </si>
  <si>
    <t>خوب به سلامتي #استيضاح وزير آموزش و پروش منتفي شد 🙁 #بطحایی</t>
  </si>
  <si>
    <t>🌛سفير ماه 🌜 🎗 🇮🇷</t>
  </si>
  <si>
    <t>#استیضاح #بطحايي وزير آموزش و پرورش منتفي شد! #خيانت</t>
  </si>
  <si>
    <t>کشور به سمتی داره میره که دغدغه اول مسئولان مسیر عوض کرده و از سمت #موشک به سمت #پوشک میره. #عاقبت_اعتماد_به_سلبریتی‌ها #روحانی #مجلس</t>
  </si>
  <si>
    <t>پیر بجستانی</t>
  </si>
  <si>
    <t>https://pbs.twimg.com/media/DmEE4pgXgAEOdxI.jpg</t>
  </si>
  <si>
    <t>http://tn.ai/1817999</t>
  </si>
  <si>
    <t>طرح #استیضاح وزیر #آموزش‌وپرورش منتفی شد/ امیرآبادی فراهانی: نمایندگان #مجلس به دلیل بازگشایی مدارس امضاهای خود را پس گرفتند</t>
  </si>
  <si>
    <t>pic.twitter.com/TFzWwXBoA7</t>
  </si>
  <si>
    <t>شناسایی خرابکاران حوزه #پوشک ، مأموریت جدید #دولت_امنیتی خدا کنه تو این یکی مأموریت سربلند باشن آخه تو که نمیتونی #پوشک رو مدیریت کنی چرا اندازه #موشک ادعا میکنی #گرانی #احتکار #روحانی</t>
  </si>
  <si>
    <t>A.farrokhi</t>
  </si>
  <si>
    <t>اگه بک مهمه یاادوری کن قار قار نکنم چه کنم سخن تازه بگو شما بگو راه دیگه ای داریم؟؟</t>
  </si>
  <si>
    <t>فکر نمی کنید این جنگ دعوا #مجلس با #دولت هم یک فیلم باشه واسه سر کار گذاشتن ما؟؟</t>
  </si>
  <si>
    <t>مرغ 31م( کلاغ تنها)</t>
  </si>
  <si>
    <t>استیضاح بطحایی منتفی شد #استیضاح</t>
  </si>
  <si>
    <t>#استیضاح #وزیرآموزش_و_پرورش منتفی شد ▪️طرح استیضاح وزیر آموزش و پرورش، با ۲۹ امضاء تقدیم هیات رییسه شد که نمایندگان متقاضی استیضاح در جلسه علنی صبح امروز (یکشنبه) مجلس شورای اسلامی امضاهای خود را پس گرفتند و از هیات رییسه خواستار شدند که استیضاح از دستور کار خارج شود</t>
  </si>
  <si>
    <t>اگر یک نفر تصادفی میشد رئیس‌جمهور، از #روحاني بهتر عمل میکرد. مردم در انتخابات #روحانی اشتباه کردند و در اشتباهشان ذوب میشوند. ایا شورای نگهبان و #رهبر هیچ مسئولیتی ندارند؟ اساساً اینکه انتخاب مردم محدود میشود چه کار کردی دارد؟ #چالش_دعوت_به_عملیات #براندازم #تهران</t>
  </si>
  <si>
    <t>وقاحت،تناقض و پررویی اگر یک سرش جنبش سبز باشد سر دیگر آن بهاری ها هستند. بعد از اوضاع وخیم کشور در دو سال آخر #احمدی_نژاد و بعد از کلی اتفاقات از سال ۸۸ تاکنون ، معتقدند احمدی نژاد هنوز ۲۴ میلیون رای داره! و توقع دارند دولت #روحانی که همین پارسال ۲۳ میلیون رای آورده باید بره!!</t>
  </si>
  <si>
    <t>https://t.me/harfbemanbot?start=MzAwNjU2Njg</t>
  </si>
  <si>
    <t>اینجا تهران است حوالی فرهنگ</t>
  </si>
  <si>
    <t>بندهای #استیضاح وزیر آموزش و پرورش رو دیدم؛ انگاری کل توقعات از آموزش و پرورش رو از دوران چهل ساله‌ی انقلاب فهرست کرده‌اند!:))))</t>
  </si>
  <si>
    <t>عباس حسین‌نژاد</t>
  </si>
  <si>
    <t>Entrepreneur, Turkmen horse lover, CSPO. VP @ http://hitrado.com</t>
  </si>
  <si>
    <t>#مطهری در جواب #منقد که شاید کمی آداب انتقاد را نمیدانست گفت "احمق و نادان". مطهری اگر هم نماینده خوبی باشد باید بخاطر این رفتارش برکنار می شد. اما هیچ کس قدرت برکنار کردن هیچ نماینده ای را ندارد. بدتر از او آن #روحانی بود. آبروی #عمامه اش رفت. و گفت بکنیدش تو #گونی. اینها به چه</t>
  </si>
  <si>
    <t>اکانت قبلی‌ام بسته شد | همچنان بانشاط و پرانرژی | و البته بنده کوچک خدای بزرگ</t>
  </si>
  <si>
    <t>میشه تو این قصه گرانی و رکود و احتکار هی نزنیم تو سر مردم؟ هی نگیم تقصیر خودتون بوده به #روحانی رأی دادین؟ هی دموکراسی و رأی و انتخاب و آزادی رو کوچیک نکنید؟ میشه؟</t>
  </si>
  <si>
    <t>شقایق منطقی دوم</t>
  </si>
  <si>
    <t>#استیضاح_بطحایی منتفی شد. بعد باز بگید روحانی در جریان #سوال_از_رییس‌جمهور بد عمل کرد. کلا بازیشون به هم ریخت : ))</t>
  </si>
  <si>
    <t>Shahin Zeinali</t>
  </si>
  <si>
    <t>موضوع اجلاسیه آتی #خبرگان که در تاریخ 14 و 15 شهریورماه برگزار می‌شود موضوعات اقتصادی و مشکلات معیشتی مردم خواهد بود نماینده مردم گیلان در #مجلس #خبرگان #رهبری #من_ربات_نیستم تخم سگ</t>
  </si>
  <si>
    <t>کافه گرد</t>
  </si>
  <si>
    <t>وقتی به قول #روحانی مشکلات متعدد فعلی به خاطر اغتشاشات چند ساعته دی ماه 96 هستش ببین فتنه و آشوب هشت ماهه سال 88 چه بلایی سر کشور آورده. #امید_اسراییل_در_ایران #فتنه88</t>
  </si>
  <si>
    <t>‏ارزیابی مستقل و منصفانه‌ی وعده‌ها و عملکرد دولت حسن روحانی ‎#روحانی‌سنج http://t.me/RouhaniMeter‎</t>
  </si>
  <si>
    <t>pic.twitter.com/Yb1hqXCtdh</t>
  </si>
  <si>
    <t>«گزارش سالانه روحانی‌سنج» کارنامه دولت #روحانی در پایان پنجمین سال ریاست‌جمهوری‌اش👇</t>
  </si>
  <si>
    <t>روحانی‌سنج | Rouhani Meter</t>
  </si>
  <si>
    <t>https://pbs.twimg.com/media/DmEVeHcXsAIFKh8.jpg</t>
  </si>
  <si>
    <t>جلسه دوم دادگاه "اسفندیار رحیم #مشایی" رییس دفتر #رئیس‌جمهور سابق از دقایقی پیش با حضور وی در شعبه اول دادگاه انقلاب اسلامی به ریاست قاضی غضنفرآبادی آغاز شد</t>
  </si>
  <si>
    <t>بنظرتون #نماینده هایی که حاضر نیستن #قانون شفافیت آرای خودشون رو امضاء کنن ، لیاقت این رو دارن که دوباره به عنوان نماینده انتخاب بشن...؟ #شفافیت_آراء_نمایندگان #مجلس #نمایندگان</t>
  </si>
  <si>
    <t>https://www.instagram.com/roshangarii</t>
  </si>
  <si>
    <t>توئیتر رسمی روشنگری تحلیلهای ضروری روز، پیامهای روشنگرانه</t>
  </si>
  <si>
    <t>جوان #منتقد که #علی_مطهری او را نادان و احمق خطاب کرد،از هواداران #روحانی در انتخابات ۹۶ و فرد روحانی همراه علی مطهری که اين جوان را با جمله "میکنمت داخل گونی " تهدید کرده بود، رییس ستاد انتخاباتی حسن روحانی در همانجاست!امیدواریم بقیه رای دهندگان به روحانی تا 1400 داخل گونی نشوند</t>
  </si>
  <si>
    <t>روشنگری</t>
  </si>
  <si>
    <t>نمایندگان #مجلس با قید دو فوریت با بررسی طرح تأمین #کالاهای_اساسی موافقت کردند. با تصویب این طرح دولت مکلف مي‌شود با تخصیص #ارز ۴۲۰۰ تومانی، #کالاهای_اساسی را تأمین کند و اقدامات اساسی را برای تأمین کالاهای ضروری در حجم مناسب انجام دهد.</t>
  </si>
  <si>
    <t>https://telegram.me/dar2delbot?start=send_g5vR4e</t>
  </si>
  <si>
    <t>اهل تبریز است و جان قربان جانان می کند || پیام ناشناس👇</t>
  </si>
  <si>
    <t>ایمن آبادی نماینده رشت تو #مجلس گفته؛ نتونستم جواب خانوادم رو برای گرونی 1.5 میلیونی ماشین ظرفشویی تو نصف روز رو بدم، بعد ما انتظار داریم این نماینده ها جواب ملت رو بدن. خب معلومه به مطالبه گر میگن احمق دیگه #مطهری #گونی</t>
  </si>
  <si>
    <t>محممد</t>
  </si>
  <si>
    <t>فعال دانشجویی... پژوهشگر</t>
  </si>
  <si>
    <t>#الهام_چرخنده بعد ۷ سال #ممنوع_التصویری فیلمی در مورد #منافقین میسازد... و منافقین داخلی دست به کار شدند. #روحانی #رائفی_پور #شرق #منصوریان</t>
  </si>
  <si>
    <t>احمدرضا امینی زاده</t>
  </si>
  <si>
    <t>در میانه‌ی آتش</t>
  </si>
  <si>
    <t>https://pbs.twimg.com/media/Dl4PTDeWsAAlRo7.jpg</t>
  </si>
  <si>
    <t>https://twitter.com/ali_rajabi/status/1035281791366639617</t>
  </si>
  <si>
    <t>«کاسبی روحانی با حصر» یعنی اینکه #روحانی با وعده رفع حصر ۲۴ میلیون رای اورد؟:))))) احمدی‌نژاد چقدر رای داشت؟ آها اون فرق می‌کنه؟؟ باشه‌باشه =))))))))) RT @Ali_Rajabi: از: یک شهروند عادی به: رئیس‌محترم شورای‌عالی امنیت ملی لطفا هرچه سریع‌تر به "کاسبی آقای حسن روحانی از #رفع_حصر" پایان داده و آقای موسوی را برای محاکمه به دادگاه انقلاب معرفی کنید. از صاحب این عکس، به دلیل برهم‌زدن آرامش کشور، ۸ماه لشکرکشی خیابانی و ۲۰ماه فتنه‌گری شکایت دارم.</t>
  </si>
  <si>
    <t>بردمن🐋</t>
  </si>
  <si>
    <t>http://www.trt.net.tr/persian/mntqh/2018/09/02/nmyndh-jdyd-szmn-mll-dr-rq-t-yyn-shd-1041415</t>
  </si>
  <si>
    <t>#نماینده جدید #سازمان_ملل در #عراق تعیین شد دبیرکل سازمان ملل جنین هنیس پلاسچارت، وزیر دفاع سابق هلند را به عنوان نماینده ویژه این سازمان در عراق تعیین کرد.</t>
  </si>
  <si>
    <t>https://pbs.twimg.com/media/DmEZ26NXoAYUmTj.jpg</t>
  </si>
  <si>
    <t>http://tn.ai/1818095</t>
  </si>
  <si>
    <t>تصویب دوفوریت طرح "تأمین کالاهای اساسی" با #ارز ۴۲۰۰ در #مجلس/ #لاریجانی: کمیسیون برنامه و بودجه سریعا این طرح را بررسی کند تا در جلسه روز سه‌شنبه و یا چهارشنبه آن را بررسی کنیم</t>
  </si>
  <si>
    <t>https://telegram.me/moosavitehrani_room</t>
  </si>
  <si>
    <t>‏‏‏‏‏‏‏‏‏‏‏‏‏‏⭕‏مدرس ادیان و فرق ⭕استاد رسمی تبلیغات اسلامی ⭕کارشناس اجتماعی رادیو ⭕دانشجوی مکتب ‎‎‎‎‎‎‎‎‎‎‎احمدی نژاد</t>
  </si>
  <si>
    <t>https://pbs.twimg.com/media/DmEa5llXgAEQGAG.jpg</t>
  </si>
  <si>
    <t>رسانه های چپ و راست در مورد #دادگاه #مشایی مرتبا او را معاون #احمدی_نژاد در دولت معرفی می کنند. این در حالی است که اتهامات وی مربوط به سال ۹۶ است و در این سال ایشان معاون #رئیس_جمهور نبوده؟ این سبک اطلاع رسانی و انتشار خبر ناشی از نوعی #دیاثت رسانه ای است!</t>
  </si>
  <si>
    <t>سید کاظم موسوی طهرانی</t>
  </si>
  <si>
    <t>https://pbs.twimg.com/media/DmEdLxIX4AE1nfO.jpg</t>
  </si>
  <si>
    <t>شرح با شما ولی راست می گن کمال هم نشین اثر می کنه، خدا رو شکر جمالشون اثر نداره که اونوقت ... #دفترکار #نخبه #نماینده #ظریف_ارومیه</t>
  </si>
  <si>
    <t>hesam HES</t>
  </si>
  <si>
    <t>‏‏پژوهشگر،علاقمند به خبرنگاری، امیدوار به آینده کشور، مسئولیت کامنت ها به عهده بنده نمی باشد</t>
  </si>
  <si>
    <t>دختر مظلوم وزیر تو این شرایط، دارو #احتکار کرده و اون عده زیادی که تا همین چند ماه پیش همشون یه بیمار سرطانی داشتن که به خاطر تحریم های ظالمانه #ترامپ در حال مرگ بود،خبری ازشون نیست. انگار که بیمارشون شفا گرفته و خوب شده الحمدالله #شبنم_نعمت_زاده #روحانی #جهانگیری</t>
  </si>
  <si>
    <t>nimeyepenhanemah</t>
  </si>
  <si>
    <t>https://pbs.twimg.com/media/DmEdfMRX4AAqI-j.jpg</t>
  </si>
  <si>
    <t>-الو رئیس لو رفتیم، همه فهیمدن من از کی خط میگیرم.حالا میگی چیکار کنیم؟ +غمت نباشه جواد جون، برو بگو تلگرام قراره رفع فیلتر شه همه چی حله... #آذري_جهرمي #روحانی</t>
  </si>
  <si>
    <t>کار بجایی رسیده که رهبری از #روحانی میخواهد بفکر #پوشک نوزادان باشد بعد ما توقع #هسته_ای داریم! بنازم اون مردیکه هرسالی که رهبری #شعار_سال را اعلام میکردند نمیگذاشت حرف رهبری روی زمین بماند #احمدي_نژاد #احمدی_نژاد #اصلاح_طلبان</t>
  </si>
  <si>
    <t>امروز #مجلس ایجاد هشت #منطقه_آزاد #اقتصادی و هشتادوشش منطقه ویژه را تصویب کرد.#نمایندگان مجلس مگر مغز خر خورده اند؟مشخص است که آنها بدنبال برآوردن انتظارات غیر منطقی #مردم حوزه های انتخابیه خود هستند-آنهم بعد از شکست طرحهای قبلی مناطق آزاد و ویژه در #کشور.1/</t>
  </si>
  <si>
    <t>#خواهران #منصوریان دمشون گرم که از صفر با تلاش و زحمت خودشون و از باتلاق فقر و نداری نجات دادن. اما این وسط بخاطر پول تو ستاد #روحانی کف و سوت هورا کشیدن و بخاطر پول #چادر پوشیدن و بخاطر #پول چادر و در اوردن و بخاطر پول هر کاری تونستن کردن به علاوه ورزش. #آفتاب_پرست</t>
  </si>
  <si>
    <t>آ سید رامین</t>
  </si>
  <si>
    <t>#روحانی خودشو گم کرد هنوز فکر کرده 24ملیون رای داره یادش باشه #خاتمی دو باررای بالا آورد اما الان جرات نداره جلوی یه دوربین ظاهر بشه .#هاشمی رفسنجانی دوبار #رئیس_جمهور شد جوری خفش کردن که انگار یه گوسفندو کشتن اسمشو ببری جرمه.#محسن_هاشمی هم دچار همون توهمه.</t>
  </si>
  <si>
    <t>آقای #زم #روحانی خودشو گم کرد هنوز فکر کرده 24ملیون رای داره یادش باشه #خاتمی دو باررای بالا آورد اما الان جرات نداره جلوی یه دوربین ظاهر بشه .#هاشمی رفسنجانی دوبار #رئیس_جمهور شد جوری خفش کردن که انگار یه گوسفندو کشتن اسمشو ببری جرمه.#محسن_هاشمی هم دچار همون توهمه.</t>
  </si>
  <si>
    <t>شعبده‌بازی نامه #کروبی /1 او نوشته پس از انتخاب آیت‌الله #خامنه‌ای به رهبری عده‌ای در شورای بازنگری قانون اساسی دنبال این بودند که در قانون حق انحلال #مجلس را به #رهبری بدهند. #رشته_توییت</t>
  </si>
  <si>
    <t>aminfarajj</t>
  </si>
  <si>
    <t>نامه مهدی #کروبی رو بخونید مشکل مملکت رو دقیق تشریح کرده بدون ترس مشکل اصلی رو هدف گرفته حالا شما برو به #روحانی فحش بده! #شجاعت #اصلاحات</t>
  </si>
  <si>
    <t>Tehran, Iran 🇮🇷 - Dubai, United Arab Emirates 🇦🇪</t>
  </si>
  <si>
    <t>https://pbs.twimg.com/media/DmEizrbXsAEt_-i.jpg</t>
  </si>
  <si>
    <t>مستر پرزیدنت مسولین محترم وقتی این عکس از "لابه‌لای نیزارهای جزیره مجنون" را میبینید چه حرفی دارید برای گفتن ... اسلحه خود را تا آخرین لحظه رها نکرده است .... #30A30 #روحاني #سیاسی #علی_مطهری</t>
  </si>
  <si>
    <t>https://pbs.twimg.com/media/DmEmgdKXgAETUb5.jpg</t>
  </si>
  <si>
    <t>#ظرافت_ظریف در برابر #مجلس. پاسخ به #سوالات_نمایندگان.</t>
  </si>
  <si>
    <t>#استیضاح وزیر صمت جدی تر شده با۷۰امضا معلومه #شریعتمداری بره مجلس سقوط میکنه برا همین امروز با ترفندهای قیمت خودروهارو یکم کاهش دادند! نتیجه میگیریم افزایش قیمتها از طرف خوددولت مردان #ایران ای شارلاتان های کلک باز!</t>
  </si>
  <si>
    <t>perspolisi enviromentalist فالو=بک</t>
  </si>
  <si>
    <t>یکی از خبرگزاری ها تیترزده #درگیری شدید و الفاظ رکیک در #مجلس بین دو نماینده.. بعد توو شرحش نوشته #لاهوتی به #نماینده دیگر با صدای بلند گفته اح*ق بابا ما فک کردیم گفته ک**ش</t>
  </si>
  <si>
    <t>yoosha</t>
  </si>
  <si>
    <t>https://pbs.twimg.com/media/DmEqJdEW0AElC4D.jpg</t>
  </si>
  <si>
    <t>#ظریف امروز به سوال‌های سه #نماینده پاسخ می دهد #مجلس #ایران #برجام #فرسان_خبر</t>
  </si>
  <si>
    <t>‏‏‏‏‏‏‏‏‏‏‏‏‏‏‏یه سیاستمدار فسیل شده با تفکرات ‎‎‎‎‎‎‎‎‎‎‎‎انقلابی بیشتر اوقات فکر، یا شایدم مطالعه،گاهی اوقات طنز سیاسی و همیشه یک ‎#سیاستمدار</t>
  </si>
  <si>
    <t>وضعیت کشورمون داره از وضعیت علی برکت الله میرسه به . . . امن یجیب المضطر اذا دعاه #روحانی</t>
  </si>
  <si>
    <t>سیاستمدار فسیل شده</t>
  </si>
  <si>
    <t>آیا #خواهران_منصوریان برای اهدا مدال های خود به پرزیدنت #روحانی هم پول گرفتن؟ با وعده خانه و ماشین؟!</t>
  </si>
  <si>
    <t>PhD of political science Work at Hamshahri publications</t>
  </si>
  <si>
    <t>یکی از وزرای اسبق نحوه #وزیر شدن خود را اینگونه تعریف کرده که شب میره پیش #رئیس_جمهور منتخب و یهو متوجه میشن کاندیدای مدنظرانصراف داده و صبح هم ک بایدلیست اعلام میشده درنتیجه ایشون به صورت کاملاعلمی و منطقی بعنوان وزیر معرفی میشه پ ن :همچنان شخص خاصی مدنظرم نیست #مدیریت_فله_ای</t>
  </si>
  <si>
    <t>mahdi Pourashour</t>
  </si>
  <si>
    <t>https://pbs.twimg.com/media/DmEsAnIWsAALitL.jpg</t>
  </si>
  <si>
    <t>#استیضاح وزیر آموزش و پرورش #ايران لغو شد #مجلس #فرسان_خبر</t>
  </si>
  <si>
    <t>https://telegram.me/HarfBeManBot?start=NzEyMDU2MjU</t>
  </si>
  <si>
    <t>جامانده از دی ماه ۹۴</t>
  </si>
  <si>
    <t>دیگه نه حنای #روحانی رنگ داره نه #احمدی_نژاد و #مشایی و ...</t>
  </si>
  <si>
    <t>فارغ التحصیل سرباز شده</t>
  </si>
  <si>
    <t>#استیضاح #آخوندی از اون حرفای خنده داره بازم خرجش دو تیکه زمینه و بیشتر از دور قبلی رای میاره تمام</t>
  </si>
  <si>
    <t>شیر فرهاد</t>
  </si>
  <si>
    <t>‏‏‏‏‏‏‏‏من که خوب می دانم بعد شب های سیاه سحر می آید که زمستان سرد به سر می آید و گل لاله به ثمر می آید. (یک میرحسینی و اصلاح طلب در همه‌ی امور )</t>
  </si>
  <si>
    <t>https://pbs.twimg.com/media/DmEuaNWXgAYLR1f.jpg</t>
  </si>
  <si>
    <t>#کروبی : همانطور که #رئیس‌جمهور و وزراء در مقابل مجلس پاسخگو و قابل #استیضاح و عزلند، #رهبری که بالاترین مقام سیاسی کشور است و تصمیمات این مقام بیشترین تأثیر را بر سرنوشت مردم و کشور دارد باید در قبال تصمیمات، سیاست‌های اتخاذی و عملکرد زیر مجموعه‌اش پاسخگو باشد.</t>
  </si>
  <si>
    <t>🇮🇷شیما گلمرادیان</t>
  </si>
  <si>
    <t>Political science graduate. بگویید این جمله در گوش باد/ چو ایران نباشد تن من مباد. خداوند سرنوشت هيچ قومي و «ملّتي» را تغيير نمي دهدمگر آنكه آنها خود تغييردهند</t>
  </si>
  <si>
    <t>وقتی تندروها در مجلس توهم توطئه رو به جلو میبره، #کریمی_قدوسی عامل #دولت_پنهان درون #مجلس ادعا میکنه: #دری_اصفهانی با پیش بینی اوضاع #موسسات_مالی_اعتباری به آمریکایی ها نشان داد چگونه کشور دچاد مشکل می شود. دقیقا به جایی اشاره میکنه که آبشخور خودشون و همفکراش بوده و هست.</t>
  </si>
  <si>
    <t>آریو برزن. 🇮🇷</t>
  </si>
  <si>
    <t>‏معلم بازنشسته اجباری. از برنامه ده ماده ای خانم مریم رجوی حمایت می کنم.</t>
  </si>
  <si>
    <t>pic.twitter.com/TeOXFqkFQN</t>
  </si>
  <si>
    <t>#سوال_از_رئیس‌جمهور 💥ری توئیت کاربران توئیترباهشتگ #سوال_از_رئیس_جمهور خشمشون رو نسبت به بازی سوال ازروحانی درمجلس که نمایش مشترک۲باندحکومت بود،نشون دادن #براندازم #IranRegimeChange</t>
  </si>
  <si>
    <t>Fatemeh Aslerousta</t>
  </si>
  <si>
    <t>https://pbs.twimg.com/media/DmEvNiZXoAAW6l8.jpg</t>
  </si>
  <si>
    <t>حجم بیکران تاکسی های زرد نشانه بیکاری زیاده و مسئولینی که برای ایجاد شغل فقط سهمیه‌ تاکسی فروختن! اشتغالزایی به این میگن #رئیس_جمهور</t>
  </si>
  <si>
    <t>من تحقیق کردم هر وقت هشتگ #رئیس_جمهور میزنم بعدش لاک میشم</t>
  </si>
  <si>
    <t>Journalist,Tehran based</t>
  </si>
  <si>
    <t>سؤالات کریمی قدوسی از #ظریف در مجلس رای نیاورد. نمایندگان حاضر در جلسه امروز #مجلس وارد بودن سؤالات #کریمی_قدوسی از ظریف را به رای گذاشتند و رای نیاورد. @JZarif</t>
  </si>
  <si>
    <t>akram sharifi</t>
  </si>
  <si>
    <t>‏‏‏‏سلام دوستان عزیز فرستاده حضرت مهدی علیه‌السلام، #احمد_الحسن سالهاست که آمده است! تحقیق کنید تا به نتیجه برسید!</t>
  </si>
  <si>
    <t>https://pbs.twimg.com/media/DmEwPBpX4AA6mwC.jpg</t>
  </si>
  <si>
    <t>ما #انقلاب اسلامی #ایران و سید #خمینی رحمت الله علیه را قطعا و یقیناً به صاحبش امام مهدی و فرزند و فرستاده‌اش #احمد_الحسن علیهماالسلام تحویل خواهیم داد! حتی اگر #خامنه‌ای و #روحانی و ق.ق و مستکبران راضی نباشند! بزودی #مردم_ایران مؤمن به #احمد_الحسن خواهند شد!😊</t>
  </si>
  <si>
    <t>https://pbs.twimg.com/media/DmEw2aqXsAA8AbV.jpg</t>
  </si>
  <si>
    <t>بازی #استیضاح با مهره‌ها که خود حلقه‌ای از همین زنجیره فاسد و معیوب نظام سراپا تبهکار در شرایطی ست که استبداد مطلقه ولایت فقیه عملاً در بن‌بست قرار دارد آب در هاون کوبیدن است .راه‌حل واقعی همان #اعتراضات_سراسری برای اصل تغییر در کل نطامی سراپا فاسد #قیام_تاسرنگونی #براندازم</t>
  </si>
  <si>
    <t>‏‏‏‏‏‏‏‏‏‏‏من به قدقامت یاران نرسیدم ای کاش لا اقل رکعت آخر به جماعت برسم</t>
  </si>
  <si>
    <t>گویا کارگروه پیگیری بررسی #سوال_از_رئیس_جمهور اعلام کرده بررسی این سوال طبق آیین نامه مجلس دارای ابهاماتی بوده و قرار شده نمایندگان گزارش سوال خود از رئیس جمهور را به قوه قضاییه ارسال و پیگیری نکنند و بدین ترتیب موضوع از دستور کار هییت رییسه مجلس خارج شد!</t>
  </si>
  <si>
    <t>http://saeednevesht.blog.ir</t>
  </si>
  <si>
    <t>فرزند، برادر، همسر، دانشجو و علاقه‌مند به #فرهنگ و پژوهش آن | کارشناسی ارشد؛ مدیریت فرهنگی و کارشناسی؛ فقه و حقوق</t>
  </si>
  <si>
    <t>#شفافیت_آراء_مجلس #رشته_توییت 1. بی‌خبری #مردم درباره اینکه تو #مجلس چه میگذره؛ کیفیت قانونگذاری رو پایین میاره! مثلاً مجلس که عامل خیلی از اتفاقات خوب و بد در کشوره (ناشی از وضع قانون)، جایگاه خودشو در نظر مردم در حد کاریابی و ساخت وساز و دریافت وام و کارراه اندازی تنزل داده</t>
  </si>
  <si>
    <t>سعید ابوالحسنی‌نژاد</t>
  </si>
  <si>
    <t>https://pbs.twimg.com/media/DmExRhwXgAAIjcm.jpg</t>
  </si>
  <si>
    <t>http://tn.ai/1818317</t>
  </si>
  <si>
    <t>ارجاع #سؤال_از_رئیس‌جمهور به #قوه‌قضائیه فعلا منتفی شد/عضو هیئت رئیسه مجلس:ارجاع سؤال از رئیس‌جمهور به قوه قضائیه فعلا منتفی شده مگر اینکه سوال‌کنندگان مدارکی را ارائه کنند که بتوان استنکاف از قانون را اثبات کرد و این موضوع را به قوه قضائیه ارجاع داد</t>
  </si>
  <si>
    <t>دولت و سیاست وضعیت آب و هوایی اخبار موسیقی بازی‌ها</t>
  </si>
  <si>
    <t>یعنی مزخرف تر از #کریمی_قدوسی کی می تونه باشه؟؟؟اومده تو #مجلس کلی اراجیف گفته که رای هم نیاورده...تکرار مزخرفات!!!</t>
  </si>
  <si>
    <t>Zhila. M</t>
  </si>
  <si>
    <t>‏‏‏♏ منم بلدم حرف بزنم 👪 متعهد ، متاهل ، متفکر ، پیگیر ✌هر حرفی زدن هنر نیست 👍درست حرف زدن هنره 🗒اگه دیگه حرفی نیست برم به کارم برسم !</t>
  </si>
  <si>
    <t>https://pbs.twimg.com/media/DmExtvkX0AcGDj7.jpg</t>
  </si>
  <si>
    <t>#احتکار یک میلیون بسته #پوشک #بچه #ایرانی راچه شده که حتی به #نوزاد رحم نمیکند. #روحانی #وزارت_صنعت #قوه_قضائیه همه شما مسئول این وضعید</t>
  </si>
  <si>
    <t>منم بلدم</t>
  </si>
  <si>
    <t>Azərbaycan sənsən mənim. hürriyyətim şan şöhrətim</t>
  </si>
  <si>
    <t>now, south Azerbaijan</t>
  </si>
  <si>
    <t>طرح تامین کالاهای اساسی از طریق سهمیه بندی #کوپن تعاونی در #مجلس تصویب شد نمایندگان مجلس دو فوریت طرحی را به تصویب رساندند که به موجب آن، دولت موظف به تامین کالاهای اساسی جامعه و توزیع آنها از طریق تعاونی های مصرف خواهد شد.</t>
  </si>
  <si>
    <t>یالقیز⁦⁦🇺🇿⁩</t>
  </si>
  <si>
    <t>https://pbs.twimg.com/media/DmExx_iWsAA1SNF.jpg</t>
  </si>
  <si>
    <t>#میرحسین #کروبی : همانطور که #رئیس‌جمهور و وزراء در مقابل مجلس پاسخگو و قابل #استیضاح و عزلند، #رهبری که بالاترین مقام سیاسی کشور است و تصمیمات این مقام بیشترین تأثیر را بر سرنوشت مردم و کشور دارد باید در قبال تصمیمات، سیاست‌های اتخاذی و عملکرد زیر مجموعه‌اش پاسخگو</t>
  </si>
  <si>
    <t>الهامـ</t>
  </si>
  <si>
    <t>pic.twitter.com/XoBGvou8KC</t>
  </si>
  <si>
    <t>اگر شما طلا نداشته‌اید چرا دولت شما بازار را #تحریک کرده و مردم را برای خرید سکه به صف کرد و بیش از 61 تن #سکه را به کمتر از نصف قیمت به #تعداد_معدودی فروخت و هزاران میلیارد تومان #سرمایه_مردم را به جیب تعدادی #دلال و #سودجو واریز کرد؟ #سوال_از_رئیس‌جمهور</t>
  </si>
  <si>
    <t>اعتدال و توسعه</t>
  </si>
  <si>
    <t>کسانی که میگفتند #برجام هیچ است، حالا فریاد وا برجاما سر میدهند. #برجام #اعتدال #روحانی #جواد_ظریف</t>
  </si>
  <si>
    <t>http://t.me/masaebeensanboodan</t>
  </si>
  <si>
    <t>اصلاحطلب/میرحسینی</t>
  </si>
  <si>
    <t>نامه #مهدی_کروبی را خواندم... شجاعانه،دلیرانه،آزادیخواهانه و عزتمندانه در #مجلس خبرگان چه کسی اولین چراغ را روشن می کند ؟ این #سکوت_قبرستانی را چه کسی می شکند؟</t>
  </si>
  <si>
    <t>ابن‌آدم، ضدصهیون، حزب تک‌نفره، بی‌قرار، عاشق به چالش کشیدن اعتقاداتم</t>
  </si>
  <si>
    <t>https://pbs.twimg.com/media/Dll400PW4AAlfR8.jpg</t>
  </si>
  <si>
    <t>https://twitter.com/tp4_ir/status/1033990605381296129</t>
  </si>
  <si>
    <t>پیگیر #نماینده شهر خود باشید #شفافیت_آراء_مجلس RT @tp4_ir: 🔰 «نمایندگان کدام استان‌ها از شفافیت آراء اعلام حمایت کرده‌اند؟ | ۴ شهریورماه» ▫️با افزایش درخواست مردم از نمایندگان خود در #مجلس_شورای_اسلامی ، تعداد نمایندگان موافق طرح #شفافیت_آراء_نمایندگان به ۱۳۷ نفر رسیده است.</t>
  </si>
  <si>
    <t>🇮🇷ALonelyBoy🇵🇸</t>
  </si>
  <si>
    <t>کمی تا قسمتی امیدوار اندکی ناامید متنفر از عرزشی دشمن خونی آدم نفهم</t>
  </si>
  <si>
    <t>دولت #روحاني ارزهایی که برای روز مبادا ذخیره کرده شیاف کند. از روز مبادا رد شدیم وارد روز مرگ می شویم #دلار15000</t>
  </si>
  <si>
    <t>ژوزف</t>
  </si>
  <si>
    <t>https://pbs.twimg.com/media/DmE0CX7UwAUXXdU.jpg</t>
  </si>
  <si>
    <t>https://www.ilna.ir/fa/tiny/news-663667</t>
  </si>
  <si>
    <t>کاتب در جمع خبرنگاران خبر داد؛ تصویب ممنوعیت استفاده از تلفن همراه در صحن توسط نمایندگان/ ایجاد شعبه ویژه در دادسرای تهران برای بررسی ارجاعات #مجلس</t>
  </si>
  <si>
    <t>‏‏‏‏‏‏‏‏نماینده مجلس شورای اسلامی از حوزه انتخابیه تهران، ری، شمیرانات، اسلامشهر و پردیس || عضو هیآت رئیسه مجلس شورای اسلامی Member of Parliament</t>
  </si>
  <si>
    <t>I.R of Iran</t>
  </si>
  <si>
    <t>شهامت دکتر ظریف در دفاع از آقای دری اصفهانی(که آماج اتهامات رسانه ای مخالفان دولت نیز شده است) در #مجلس ستودنی است. قبلا نیز دکتر #ظریف در کمیسیون #امنیت با قسم جلاله گفته بود شهادت میدهم که حضور آقای #دری_اصفهانی در مذاکرات برجامی خدمت صادقانه به منافع ملی کشور بوده است #برجام</t>
  </si>
  <si>
    <t>علیرضا رحیمی Alireza Rahimi</t>
  </si>
  <si>
    <t>#حجامت_نظام جز از طریق #شفافیت ممکن نیست، شفافیت هم جز از طریق قوانین و پیگیری اجرای اونها توسط یک #مجلس سالم. مجلس رو باید حجامت کرد اول. #شفافیت_آراء_مجلس</t>
  </si>
  <si>
    <t>ان شاءالله نماز جماعت را در قدس خواهیم خواند</t>
  </si>
  <si>
    <t>در حالی ایران در ساخت #موشک و #جنگنده و.... در حال پیشرفت است که نمی توانیم #پوشک برای بچه ها پیدا کنیم.... کجای راه رو اشتباه رفتیم؟ #پوشک_بچه #نوار_بهداشتی #روحاني #دولت</t>
  </si>
  <si>
    <t>حاج رضوان</t>
  </si>
  <si>
    <t>https://pbs.twimg.com/media/DmE2ZATXcAAu2X3.jpg</t>
  </si>
  <si>
    <t>پیام #رهبری در تاریخ ۱۵بهمن۱۳۸۷ به مناسبت پرتاب ماهواره ملی نظر رهبری در تاریخ ۹شهریور1397درخصوص کمبود پوشک #احمدي_نژاد #روحانی #دولت انحرافی😏</t>
  </si>
  <si>
    <t>https://pbs.twimg.com/media/DmE2efUX4AE934S.jpg</t>
  </si>
  <si>
    <t>ارجاع #سوال_از_رئیس_جمهور به قوه قضائیه فعلا منتفی شد عضو هیئت رئیسه مجلس: در جلسه‌ای که در هیئت رئیسه در این باره داشتیم به این جمع‌بندی رسیدیم که رئیس‌جمهور استنکاف از قانون نداشته و فعلا نباید به قوه قضائیه ارجاع شود.</t>
  </si>
  <si>
    <t>قصه شهر جادو : اکانت معترض و برانداز نویسنده اش : دانشجوی فلسفه (مهندس سابق) ؛ ولاگر (بلاگر سابق) ؛ آتئیست ، از اهالی ناشناخته موسیقی.</t>
  </si>
  <si>
    <t>یعنی در قاب تصویر دو چهره کاملا جدی #خامنه‌ای رهبر مملکت و #روحانی رییس جمهور مملکت رو مشاهده میکنیم ، حالا چی میگه ؟؟؟ میگه کمبود #پوشک_بچه خرابکاری دشمن است !!!! باورم نمیشه 40 ساله به این کته کله ها رای میدین</t>
  </si>
  <si>
    <t>قصه شهر جادو 🆗</t>
  </si>
  <si>
    <t>https://pbs.twimg.com/media/Dl_urKKXoAAqA6I.jpg</t>
  </si>
  <si>
    <t>https://twitter.com/KayhanLondon/status/1035808888619032576
https://kayhan.london/fa/?p=128492</t>
  </si>
  <si>
    <t>مطلبم پیرامون حضور روحانی در مجلس برای پاسخگویی به پرسش‌های نمایندگان و صف‌بندی‌های درون نظام که «جدی‌تر» و «پررنگ‌تر» از پیش می‌شوند! #روحانی #مجلس #استیضاح RT @KayhanLondon: کوله‌بار پر از دروغ یک مقام پرمدعا در کنار همه‌ی اختلافات و تسویه حساب‌هایی که مدت‌هاست علنی شده‌اند به نظر می‌رسد خروج #آمریکا از #برجام و بازگشت #تحریم‌ ها تنش در #جمهوری_اسلامی را افزایش داده و رویارویی جناح‌های مختلف، نظام را به شدت سردرگم کرده است...</t>
  </si>
  <si>
    <t>ارجاع #سوال_از_رئیس‌جمهور به قوه قضائیه فعلا منتفی شد عباسی عضو هیئت رئیسه مجلس: در جلسه‌ای که در هیئت رئیسه در این باره داشتیم به این جمع‌بندی رسیدیم که رئیس‌جمهور استنکاف از قانون نداشته و فعلا نباید به قوه قضائیه ارجاع شود.</t>
  </si>
  <si>
    <t>‏‏‏‏فعلا یک دانشجو</t>
  </si>
  <si>
    <t>#شهید_رجایی:یک نان را ۳۶میلیون نفر (جمعیت ایران در آن زمان )با هم میخوریم اما زیر بار #ذلت نمیرویم. #روحانی:باید #مذاکره کنیم تا مشکل آب خوردن مان حل شود. تفاوت #گفتمانی این دو فرد در کجاست؟ کدام یک میتواند راه حل برون رفت ما از مشکلات باشد؟ #هفته_دولت</t>
  </si>
  <si>
    <t>محمدرضا فرزانه</t>
  </si>
  <si>
    <t>pic.twitter.com/PdRWF7fZHx</t>
  </si>
  <si>
    <t>وقتی شخص اول مملکت در دیدار با هییت دولت اینجور مساله کمبود پوشک را مثال میزند یعنی بدجور کار از دست رفته! زبان بدن #روحانی روایتی جز درماندگی ندارد! امیدی نیست... #دشمن_ما_همینجاست #پوشک_بچه</t>
  </si>
  <si>
    <t>مبارزه با فساد پشتوانه مردمی می‌خواد. وزیر می‌ترسه؛ #نماینده می‌ترسه؛ قاضی می‌ترسه که با دست‌های درگیر بشه؛ اما وقتی مردم ببینن و در صحنه باشن کسی از مبارزه نمی‌ترسه. #شفافیت_آراء_مجلس</t>
  </si>
  <si>
    <t>https://pbs.twimg.com/media/DmE6dVxUwAARiF1.jpg</t>
  </si>
  <si>
    <t>🎖️بازیهای آسیایی ۲۰۱۴ رتبه مرغوبیت مدال: پنجم رتبه مجموع مدال: پنجم ⚠️بازیهای آسیایی ۲۰۱۸ رتبه مرغوبیت مدال: ششم رتبه مجموع مدال: دهم اونوقت #روحانی چیرو تبریک گفته!؟ آقاااااااا اُفت کردیم! اُفت ت ت ت ت😳🙄</t>
  </si>
  <si>
    <t>یجوری #رای_ممتنع دادن که ادم فکر‌میکنه #نماینده ها نیم خیز موندن از هول حلیم. پاشو اخوی #شفافیت_آراء_نمایندگان #شفافیت_آرا_نمایندگان</t>
  </si>
  <si>
    <t>http://Instagram.com/javad_izadi</t>
  </si>
  <si>
    <t>#Architect 👷🏻</t>
  </si>
  <si>
    <t>دکتر #ظریف چقدر بدبخت شدی که نماینده ای همچون #کریمی_قدوسی داره از شما سوال میکنه #مجلس</t>
  </si>
  <si>
    <t>javad izadi</t>
  </si>
  <si>
    <t>در جلسه امروز کارگروه بررسی #سوال_از_رئیس‌_جمهور، با توجه ابهامات موجود در آیین‌نامه داخلی مجلس قرار شد نمایندگان گزارش سوال خود از رئیس‌جمهور را به قوه قضائیه ارسال و پیگیری نکنند. بر این اساس، موضوع ارسال سوال به دستگاه قضا از دستور کار هیئت رئیسه مجلس خارج شد. /Yjc</t>
  </si>
  <si>
    <t>انگار نه انگار که #روحانی همین چند روز پیش تو مجلس اعتراف کرد خودشون قیمت ارز و طلا رو بالا نگه میدارن تا خزانشون پر بشه! اگه بخوان میتونن دو هفته ای قیمت هارو مثل سال 96 کنن! طبق معمول ما فقط تماشا کردیم و فراموش کردیم...</t>
  </si>
  <si>
    <t>https://pbs.twimg.com/media/DmE-0maW0AA9jNq.jpg</t>
  </si>
  <si>
    <t>http://v.aa.com.tr/1244450</t>
  </si>
  <si>
    <t>وزیر خارجه #ایران امروز در صحن علنی #مجلس این کشور به سوال نمایندگان درباره ادای احترام وی به پرچم #اقلیم_کرد_عراق در مراسم ترحیم #طالبانی پاسخ داد.</t>
  </si>
  <si>
    <t>‏‏دانشجوی کارشناسی ارشد روابط بین الملل دانشگاه علامه طباطبایی</t>
  </si>
  <si>
    <t>https://pbs.twimg.com/media/DmE_AsEXsAEYaRY.jpg</t>
  </si>
  <si>
    <t>#ظريف امروز در #مجلس: از #دری‌_اصفهانی چیزی جز خدمت ندیدم. آقای #ظريف معلومه وقتی برجام رو نعمتی می دونی که شکرش رو نکردیم، دری اصفهانی #جاسوس رو هم خادم و خدمتگذار می دونی.</t>
  </si>
  <si>
    <t>https://pbs.twimg.com/media/DmE-7q2WwAMiydy.jpg</t>
  </si>
  <si>
    <t>http://l.tp4.ir/mhvLc9</t>
  </si>
  <si>
    <t>«مجلس آمریکا، با نمایندگانی شفاف» 🔰‌اطلاعات مربوط به نمایندگان مجلس سنای آمریکا، به شکلی که برای عموم و مؤسسات قابل تحلیل باشد منتشر می‌شود. ببینید:  #شفافیت #شفافیت_آرا_نمایندگان #مدعیان_شفافیت_لیست_امید #مجلس</t>
  </si>
  <si>
    <t>https://pbs.twimg.com/media/DmFAHnIX4AAPFHx.jpg</t>
  </si>
  <si>
    <t>و این چنین بود :پایان شیرین فیلم سینمایی امشب سینماهای سراسر کشور #سوال_از_رئیس‌جمهور : ارجاع سوال به قوه قضاییه منتفی شد #شفافیت_آراء_مجلس</t>
  </si>
  <si>
    <t>خوبه امریکا هیچ غلطی نمیتونه بکنه ها! اگه یه غلطهایی میکرد چی میشدیم! #پوشک #پوشک_بچه #ایران #روحانی #دلار #شما</t>
  </si>
  <si>
    <t>‏‏‏ یه چیزایی هست که واقعا نمیفهمم و تو مخ من نمیره😑🙄😐</t>
  </si>
  <si>
    <t>تا وقتی طرح #شفافیت_آراء_مجلس با #شفافیت رای گیری نشه اتفاقی نمیوفته #مجلس</t>
  </si>
  <si>
    <t>mr nafahm</t>
  </si>
  <si>
    <t>‏‏‏‏ما دهه شصتیا هر جا رفتیم مملکت رو با مشکل مواجه کردیم</t>
  </si>
  <si>
    <t>میدان شاه عباس کبیر</t>
  </si>
  <si>
    <t>وااای #پراید ارزووووون شد اگر #رییسی #رییس_جمهور بود عمرا پراید 10 میلیون ارزون میشد #مچکریم_روحانی #تغییرات_منحوس #ملت_احمق</t>
  </si>
  <si>
    <t>آرشیتکت شهر مورچه ها</t>
  </si>
  <si>
    <t>در چهره‌ی تو صبح و به موی تو شب کنم ...</t>
  </si>
  <si>
    <t>https://pbs.twimg.com/media/DmFBjnwXoAEoAvy.jpg</t>
  </si>
  <si>
    <t>امسال هیچی ، سال بعدم هیچی ! سال بعدشو میخوایم چیکار کنیم ؟! مگه آینده این کشور فقط سال آینده‌س ؟!؟ #مجلس #دولت #قوه_قضائیه #پوشک #شیر_خشک</t>
  </si>
  <si>
    <t>أَلْشَیْنْ ⁦⁦⁦⁦⁦⁦⁦⁦⁦⁦⁦⁦⁦⁦⁦⁦⁦</t>
  </si>
  <si>
    <t>https://pbs.twimg.com/media/DmFBzQFX4AEbuDt.jpg</t>
  </si>
  <si>
    <t>http://bit.ly/2PqQm7C</t>
  </si>
  <si>
    <t>#مجلس از منتفی شدن ارجاع سوال از #رئیس_جمهور به قوه قضاییه خبر داد</t>
  </si>
  <si>
    <t>دلار ۱۱۸۰۰ نیسبت به هفته ی پیش ۱۵۰۰ افزایش قیمت به خدا اگه پت رو میزاشتیم رییس جمهور مت رو هم میزاشتیم وزیر اقتصاد الان دلار نهایتا در اوج بدبینی ۵۰۰۰ تومن بود... #دلار #روحانی #نگران_نیستیم #خودمون_انتخاب_کردیم</t>
  </si>
  <si>
    <t>شارژر</t>
  </si>
  <si>
    <t>pic.twitter.com/cmwp4a17mQ</t>
  </si>
  <si>
    <t>لاریجانی در صحن مجلس: سوال از رئیس‌جمهور قابل ارجاع به قوه قضاییه نیست بعد از نمایش مضحک و از پیش طراحی شده دولت و #خامنه‌ای و زهر چشم گرفتن از #روحانی بیشتر از این پرداختن به سوالات ضرر است اونهم در این شرایط حساس داخلی و خارجی #IranRegimeChange #براندازم</t>
  </si>
  <si>
    <t>دلار به کانال ۱۲۰۰۰ تومانی وارد شد. تا دو ماه آینده وارد شدن به کانال ۱۶۰۰۰ دور از انتظار نیست. آقای روحانی به پایان سلام کن. #دلار #ارز #روحانی #نوبخت #حجتی #نهاوندیان #واعظی</t>
  </si>
  <si>
    <t>Sepehr Masoudi</t>
  </si>
  <si>
    <t>http://www.irna.ir/fa/video/3645394</t>
  </si>
  <si>
    <t>📽️🔴#ایران #تهران #مهم #مشهد #فوری درادامه #اعتراضات #مردم #روحانی لاکن بیانیه #ظریف #دولت #فساد #اختلاس اهل بیت ال عبا #رهبر_انقلاب وشرکا با عنایات ضامن اهو #قوه_قضاییه کرامات خفیه #رهبرفرزاته, ازدواج #کودک دختر 9 ساله با صیغه چند ساعته نبوده #کذب است</t>
  </si>
  <si>
    <t>مبارزه با فساد پشتوانه مردمی می‌خواد. وزیر می‌ترسه؛ #نماینده می‌ترسه؛ قاضی می‌ترسه که با دست‌های پشت‌پرده درگیر بشه؛ اما وقتی مردم ببینن و در صحنه باشن کسی از مبارزه نمی‌ترسه. #شفافیت_آراء_مجلس</t>
  </si>
  <si>
    <t>#شریعتمداری وزیرصمت فقط بخاطراستنکاف ازاعلام اسامی دریافت کنندگان ارز #۴۲۰۰ تومانی مستحق مجازات وحتی معرفی به دستگاه قضایی و #استیضاح میباشد</t>
  </si>
  <si>
    <t>https://pbs.twimg.com/media/DmFDqNAXgAA0kTr.jpg</t>
  </si>
  <si>
    <t>علی لاریجانی گفته: "ایران در حوزه هسته‌ای حرف بلندپروازانه نمی‌زند!" نمیدانم منظورش از بلندپروازانه چیست؟! اما به لطف او و تصویب #برجام(معاهده خلع سلاح) در ۲۰دقیقه، اگر ما بتوانیم حق بدیهی و اولیه ی مان را هم بگیریم هنر کرده ایم!! #مجلس</t>
  </si>
  <si>
    <t>امیرتوحید فاضل. روزنامه نگار دبیر سرویس سیاسی خبرگزاری موج</t>
  </si>
  <si>
    <t>http://www.mojnews.com/fa/tiny/news-241186</t>
  </si>
  <si>
    <t>25 روز از وعده #علی_لاریجانی گذشت. تکلیف اتهامات جلسه #استیضاح #علی_ربیعی چه شد؟</t>
  </si>
  <si>
    <t>amirtohid fazel</t>
  </si>
  <si>
    <t>http://rookhsat.blogfa.com</t>
  </si>
  <si>
    <t>مقصد اگر پرواز است؛ قفس ویران بهتر.</t>
  </si>
  <si>
    <t>امروز در جریان سوال #کریمی‌قدوسی از #ظریف بخش‌هایی از یک #مستند در #مجلس پخش شد که به گفته #نماینده_مشهد از سوی #اطلاعات_سپاه تهیه شده و نسخه کامل آن امروز منتشر می‌‌شود. #عبدالرسول_دری‌اصفهانی #مشکات_مشکور #محمدعلی_شعبانی #سیروس_ناصری #حسین_موسویان #کیان_تاجبخش #حمید_واعظی</t>
  </si>
  <si>
    <t>Vahid Azimnia</t>
  </si>
  <si>
    <t>gorgan</t>
  </si>
  <si>
    <t>#هیچی_به_هیچی!؟ عباسی: عضو هیئت رئیسه مجلس: ارجاع #سوال_از_رئیس‌جمهور به قوه قضائیه فعلا منتفی شده است مگر اینکه سوال کنندگان مدارکی را ارائه کنند که به توان استنکاف از قانون را اثبات کرد و این موضوع را به قوه قضائیه ارجاع داد. پس همه سر کار بودیم</t>
  </si>
  <si>
    <t>MahdiNabat</t>
  </si>
  <si>
    <t>http://AdelBarkam.ir</t>
  </si>
  <si>
    <t>‏‏‏‏‏‏‏‏‏‏‏‏معلم ، مهندس ، توسعه دهنده ، برنامه نویس، فعال اجتماعی و فعال اسبق دانشجویی ،دبیر حزب (گفتن فعلا اسمشوبردارم!)یزد مسئولیتی در قبال کامنت ها ندارم</t>
  </si>
  <si>
    <t>https://pbs.twimg.com/media/DmFEX4uW4AASeEx.jpg</t>
  </si>
  <si>
    <t>وقتی میرین #مجلس اگه کارمند مجلس باشی می تونی از پل عابر پیاده استفاده کنی اونم با آسانسور! ولی اگه مراجع باشی ، یعنی همونایی که فقط رای میدن! ، باید از وسط خیابون رد بشی! اینقدر ضایع هست اون نوشته " ویژه کارمندان" که اجازه عکس برداری هم ندادند!</t>
  </si>
  <si>
    <t>Adel Barkam |🇮🇷 عادل برکم</t>
  </si>
  <si>
    <t>#ایران #تهران #روحانی: اخباریه #ورزش #دولت #اختلاس اهل بیت ال عبا #رهبر_انقلاب وشرکا با عنایات صاحب ⌚️جهاد سربازان گمنام مجذوب #فساد ولایت #رهبرفرزانه عملیات احداث #زورخانه بین المللی🤓 #همدان آغاز شد</t>
  </si>
  <si>
    <t>دیروز رئیس بانک مرکزی گفت اراده‌ای برای کنترل نقدینگی وجود ندارد و قصد نداریم نرخ سود را افزایش بدهیم..امروز #دلار رسید به مرز 12000 تومن! #روحانی</t>
  </si>
  <si>
    <t>سکه ۴۴۵۰؟؟ #رئیس_جمهور</t>
  </si>
  <si>
    <t>https://pbs.twimg.com/media/DmFH2RdX0AAITq8.jpg</t>
  </si>
  <si>
    <t>https://www.farsnews.com/news/13970611000558</t>
  </si>
  <si>
    <t>یعنی همه چیز کشک بود !!!  #روحانی #روحاني #اصلاحات #نمایش #لاریجانی #دروغ #سرکاری</t>
  </si>
  <si>
    <t>وَ ذَبَحُوهُ عَطشان... حقوق خوانِ حقوقدان و کمی هم طلبه و گاهی شاعر https://t.me/xHarfBot?start=322486550</t>
  </si>
  <si>
    <t>دیارِ میرزا</t>
  </si>
  <si>
    <t>#روحانی کاملا علنی داره گند میزنه تو مملکت ولی هنوز طرفداراش معتقدن که همه ی اینا تقصیره سپاهه...بعد انتظار دارید با #شفافیت_آراء_مجلس یه عده به این نماینده ها پشت کنن؟!!!</t>
  </si>
  <si>
    <t>حاج آقا تَقَبَّلَ الله...✪</t>
  </si>
  <si>
    <t>پلتفرم مبادلات ارزهای دیجیتال(به زودی...)</t>
  </si>
  <si>
    <t>#رییس_جمهور #کلمبیا قول داده است که از شرکت هایی که در حوزه #بلاکچین و ارزهای دیجیتال فعالیت دارند، #مالیات نگیرد.</t>
  </si>
  <si>
    <t>wallex</t>
  </si>
  <si>
    <t>https://pbs.twimg.com/media/DmFIYx4WsAEHmX7.jpg</t>
  </si>
  <si>
    <t>نان به نرخ روز خور یعنی هم پیش #چرخنده چادر به سر کنی،هم پیش #روحانی روسری بنفش سر کنی،بعدش بیای اسرار دوران دوستی را در دوران دشمنی بگی! #سلبریتی</t>
  </si>
  <si>
    <t>سیدی از دیار حرم... محتاج نگاه مادر...</t>
  </si>
  <si>
    <t>آهای آقای #نماینده!!! اندکی اندر حرای دل نشین ترک خود کن سوی #حق هجرت گزین اقبال لاهوری #شفافیت_آراء_نمایندگان</t>
  </si>
  <si>
    <t>seyedghadir</t>
  </si>
  <si>
    <t>http://alwahabiyah.com</t>
  </si>
  <si>
    <t>https://sapp.ir/alwahabiyah_com https://t.me/alwahhabiyah_com</t>
  </si>
  <si>
    <t>https://pbs.twimg.com/media/DmFJsKfW0AAaoPu.jpg</t>
  </si>
  <si>
    <t>خبر اختصاصی موسسه اشهاد رسانه وابسته به #داعش با انتشار این پوستر، #ترامپ، #پوتین و #روحانی را تهدید به #قتل کرد!</t>
  </si>
  <si>
    <t>نقد وهابیت</t>
  </si>
  <si>
    <t>نکته ظریف حرف های کریمی قدوسی در مجلس بیان این نکته بود که در نجف آبادی به آمریکاییها گفته که : رهبری چه نقاط ضعفی دارد و کجا ضعف دارد و کجا قدرت دارد و کجاها زورش نمی رسد و .... #ظریف #ربات_سخنگو #ربات_ظریف‌ #مجلس #جاسوس</t>
  </si>
  <si>
    <t>#شفافیت_آراء_نمایندگان برای خیلیا یعنی خداحافظ #مجلس. شمر زمانه ات را بشناس . ربطی نداشت 😜ولی اون نماینده زیر و رو کش از شمر بدتره</t>
  </si>
  <si>
    <t>Much that once was is lost; for none now live who remember it.</t>
  </si>
  <si>
    <t>قاعدتا شمال</t>
  </si>
  <si>
    <t>https://pbs.twimg.com/media/DmFJADnUwAArPer.jpg</t>
  </si>
  <si>
    <t>عکس #موسوي ر با 8 سال قبلش مقایسه میکنین و تعجب میکنین که چرا پیر شده؟؟؟!!! پس برین خدا ر شکر کنین که #رئیس_جمهور نشد، وگرنه که بعد 4 سال اینطوری میشد، حتی اگه رئیس جمهور #آمریکا شده بود... #احمدی_نژاد #اوباما</t>
  </si>
  <si>
    <t>persian leopard 🇮🇷</t>
  </si>
  <si>
    <t>http://pooriast.wordpress.com</t>
  </si>
  <si>
    <t>A Believer in Friendship &amp; Helpfulness; Entrepreneur Playing with #SocialMedia &amp; #BigData Analysis. #TwitterForIran</t>
  </si>
  <si>
    <t>خبر #خوب اینکه #استیضاح_بطحایی منتفی و از دستور کار خارج شد. خبر #بهتر اینکه تعداد امضاهای #استیضاح_شریعتمداری به ۷۰ نفر رسید. امیدوارم #مجلس ادامه دهد ولی استیضاح و برکناری پایان حساب‌کشی از شریعتمداری نباشد و محاکمه و مجازات را هم ببینیم.</t>
  </si>
  <si>
    <t>Pooria Asteraky ⁦🇮🇷⁩</t>
  </si>
  <si>
    <t>ارسال سؤال از رئیس جمهور به #قوه_قضائیه منتفی شد سخنگوی هیات رئیسه #مجلس گفت: جمع‌بندی هیات رئیسه مجلس این است که در سؤال از #رئیس_جمهور موضوع استنکاف از قانون قید نشده است، لذا ارجاع سؤال به قوه قضائیه منتفی شد.</t>
  </si>
  <si>
    <t>من باز تاکید می کنم چرا توی #مجلس شورای اسلامی باید میکروفن ها اکو داشته باشند!!! مگه کنسرت یا مجلس ختمه!!! بابا یه خورده حرفه ای تر باشید آدم میخواد نطق هر کسی رو در مجلس بشنونه انگار تو حموم عمومی دارن حرف میزنند انقدر اکو زیاده!!!!</t>
  </si>
  <si>
    <t>اقای #روحانی دی ماه تخم مرغ شد۹تومن قیام سنگینی شکل گرفت!یادتونه؟ الان مرغ و تخم مرغ بالای۱۵تومنه گوشت بالای۶۰تومن #پوشک وشیرخشک که جای خود صبر مردم تموم شده اینبار قیامی شکل بگیره قابل فروکش نیست از فردانمیترسید؟ طوفان نزدیک است هرچه سریعتر برنامه بدین وگرنه همه باهم نابود میشیم</t>
  </si>
  <si>
    <t>http://www.leader.ir/fa/book/1</t>
  </si>
  <si>
    <t>#ایران #تهران #قم #فوری #روحانی: لاکن در راستای تحقق مطالبات #دولت #اختلاس #فساد اهل بیت ال عبا #رهبر_انقلاب وشرکامطابق علوم خفیه دروس خارج #رهبرفرزانه گاه، #جنگ و جهاد به #آتش_بس منجر می شود كه در مهادنه #دشمن نيرومندتر از مسلمانان است</t>
  </si>
  <si>
    <t>جهت ثبت و آرشیو مواضع مناقشه‌برانگیز روزنامه‌نگاران، تحلیل‌گران، شخصیت‌ها و فعالان رسانه‌ای ایرانی. کانال تلگرام: https://t.me/hafezeye_tarikhi</t>
  </si>
  <si>
    <t>https://pbs.twimg.com/media/DmFPxdwX0AAcK3J.jpg</t>
  </si>
  <si>
    <t>https://goo.gl/nPPCsE</t>
  </si>
  <si>
    <t>مقاله روزنامه شرق در دوران تبلیغات انتخابات ریاست‌جمهوری #روحانی درباره وضعیت اقتصادی در صورت عدم رای، اردیبهشت ۹۶</t>
  </si>
  <si>
    <t>حافظه‌ تاریخی توییتر فارسی</t>
  </si>
  <si>
    <t>تظاهرات همگانی را هرگز نمیتوان سرکوب کرد،مخالف قاطع سازمان لجن مجاهدین خلق،کمونیست ها و جمهوری اسلامی هستیم،جمهوری خواه سکولار Freedom for all organization</t>
  </si>
  <si>
    <t>هواداران #موسوی و #اصلاح_طلب ها چرا طرفدار موسوی هستن؟اگه موسوی تو #انتخابات_88 پیروز میشد(که به حق پیروز #انتخابات بود)چی کار مفیدی میکرد؟مگه #خاتمی و #روحانی چه کار مثبتی کردن،که موسوی هم میخواس بکنه؟تظاهرات همگانی را هرگز نمیتوان سرکوب کرد #تظاهرات_سراسری #مرگ_بر_جمهوری_اسلامی</t>
  </si>
  <si>
    <t>سازمان آزادی برای همه</t>
  </si>
  <si>
    <t>وزیر آموزش و پرورش را بدلیل شروع سال تحصیلی جدید استیضاح نمیکنند ! چه دلیل محکمی آوردند نماینده ها برای اینکه استیضاح نکنند وزیر رو .... خدا شاهده الان چهار ستون کرباسیان بعد از بیکاری از وزارت داره عربی میرقصه ! #بطحایی #وزیرآموزش_وپرورش #استیضاح</t>
  </si>
  <si>
    <t>یک فعال صنفی بازنشسته فرهنگی در شهرستان فریدونشهر</t>
  </si>
  <si>
    <t>#نمایندگان محترم مجلس حنای بی رنگ #استیضاح درمجلس، که مشکلی از#معیشت بازنشستگان حل نکرد !!! #حنای استیضاح #معیشت بازنشسته</t>
  </si>
  <si>
    <t>مدافع حقوق بازنشستگان</t>
  </si>
  <si>
    <t>#مجلس #استیضاح_بطحایی رو پس گرفت! تو این چند روز مشکلات فرهنگیان حل شده یا باز هم حکایت مهمانی شبانه و هدایا و لابیه!</t>
  </si>
  <si>
    <t>این مجلس بیشتر از اینکه #مجلس باشه #مخلس [ mokh less] می نماید #شفافیت_آراء_مجلس</t>
  </si>
  <si>
    <t>عباسی عضو هیئت رئیسه مجلس: 🔹 در جلسه‌ای که در هیئت رئیسه در این باره داشتیم به این جمع‌بندی رسیدیم که رئیس‌جمهور استنکاف از قانون نداشته و فعلا نباید به #قوه_قضائیه ارسال شود ان شا الله این موضع باعث به راه آمدن #روحاني و ترس از قدرت مجلس باشد وگرنه باعث بیخیالی خواهد شد</t>
  </si>
  <si>
    <t>https://pbs.twimg.com/media/DmFShiiX4AAcsrh.jpg</t>
  </si>
  <si>
    <t>الان کی به کیه؟ کی پاسخگوه؟؟ #رئیس_مجلس ؟ #رئیس_جمهور ؟ #نماینده_مجلس ؟ کسی نمیدونه!!!! وتا وقتی قانون #شفافیت در #مجلس تصویب نشود آش همین آش و کاسه همین کاسه س 🙂 #لاریجانی #روحانی #شفافیت_آراء_نمایندگان</t>
  </si>
  <si>
    <t>ما باید با دنیا مذاکره کنیم تا مشکل #پوشک حل بشه #پوشک_بچه #روحاني #برجام #دولت_بی_کفایت</t>
  </si>
  <si>
    <t>پرنده مهاجر 🇮🇷</t>
  </si>
  <si>
    <t>‏‏‏‏‏حمایت از دوستان انقلابی مخصوصا تازه وارده‌ش | معتقد به حمله‌ی مقدس</t>
  </si>
  <si>
    <t>https://twitter.com/Tasnimnews_Fa/status/1036163577307176961
http://tn.ai/1818317</t>
  </si>
  <si>
    <t>#سوال_از_رئیس‌جمهور هم مالیده شد RT @Tasnimnews_Fa: ارجاع #سؤال_از_رئیس‌جمهور به #قوه‌قضائیه فعلا منتفی شد/عضو هیئت رئیسه مجلس:ارجاع سؤال از رئیس‌جمهور به قوه قضائیه فعلا منتفی شده مگر اینکه سوال‌کنندگان مدارکی را ارائه کنند که بتوان استنکاف از قانون را اثبات کرد و این موضوع را به قوه قضائیه ارجاع داد</t>
  </si>
  <si>
    <t>Amin Mosavi</t>
  </si>
  <si>
    <t>فکرش را بکنید! وکیلی با اختیارات محدود در پرونده‌ای تعیین کرده باشید ولی ببینید رفتارش غیرشفاف و غیرقابل دفاع است، آیا یک روز هم او را به وکالت خود ابقا میکنید؟! پس چطور وکلایی با این همه اختیارات و رفتار غیرشفاف و عملکرد غیرقابل دفاع را در #مجلس تحمل میکنیم؟! #شفافیت_آراء_مجلس</t>
  </si>
  <si>
    <t>تنها در تو به حیرت می نگرم ری‌را!</t>
  </si>
  <si>
    <t>Rockingham, WA</t>
  </si>
  <si>
    <t>https://pbs.twimg.com/media/DmA5ZVyU8AAdr5K.jpg</t>
  </si>
  <si>
    <t>https://twitter.com/ABC7/status/1035891044867432448
https://abc7.la/2C7zD7D</t>
  </si>
  <si>
    <t>مثلا روزی رو فرض کنید که #رهبر از سه رئیس جمهور در قید حیات دعوت می کرد و کنار هم می نشستند. تصویر #خاتمی و #احمدی_نژاد و #روحانی کنار هم و آقای خامنه ای چقدر می تونست برای طرفداران این ۴ نفر وحدت زا باشه. اما این اتفاق نمی افته چون رهبر خودش جامعه رو شقه شقه می کنه. RT @ABC7: #LIVE Three former presidents and first ladies seated alongside one another at John McCain's memorial service</t>
  </si>
  <si>
    <t>Amin Hadjaran</t>
  </si>
  <si>
    <t>https://pbs.twimg.com/media/DmFT3z3W4AA67il.jpg</t>
  </si>
  <si>
    <t>http://www.leader.ir/fa/content/21276</t>
  </si>
  <si>
    <t>#ایران #تهران #قم #فوری #روحانی: لاکن اهل بیت ال عبا #رهبر_انقلاب وشرکابا تماسات فراجوی #رهبرفرزانه با اعماق چاه #جمکران استفتائات جدید 🔴پوشیدن کفش و یا روسری رنگی جایز نیست 🔴برای معتکف بوییدن عطر و گیاهان خوش بو برای لذّت بردن ، حرام است</t>
  </si>
  <si>
    <t>http://bit.ly/2C9lKpl</t>
  </si>
  <si>
    <t>حقوقدانان شهردار رامشمول قوانین ادارات دولتی نمی‌دانند،اما نمایندگان #مجلس بر این موضوع تأکید دارندکه شهرداری‌ شامل چنین قانونی می‌شود.اما ازنظر رئیس فراکسیون مدیریت شهری مجلس،شهرداری‌ها و #شهردارتهران شامل قانون #منع_بکارگیری_بازنشستگان نمی‌شوند.</t>
  </si>
  <si>
    <t>#روحانی بیا بگو #پوشک حبابه تا قیمتش خیلی ظریف سقوط کنه</t>
  </si>
  <si>
    <t>https://pbs.twimg.com/media/DmFWwVkU0AA1OZE.jpg</t>
  </si>
  <si>
    <t>https://www.ilna.ir/fa/tiny/news-663738</t>
  </si>
  <si>
    <t>شاعری در نطق میان دستور: شاید نمایندگان به خاطر مصلحت کشور «ارجاع سوال از #رئیس‌جمهور به قوه قضاییه» را پیگیری نکنند</t>
  </si>
  <si>
    <t>https://t.me/mehdi_rostampour/8469</t>
  </si>
  <si>
    <t>محاله کسانی که پیام تبریک #روحانی به مناسبت مثلا موفقیت ورزشکاران ایرانی در مسابقات آسیایی رو تنظیم کردند اینهمه اشتباهات آماری فاحش کرده باشند، دروغ میگن آقا دروغ دروغ دروغ.تعمدا و با علم اینکه دارن دروغ میگن. این فایل صوتی مهدی رستم پور رو بشنوید</t>
  </si>
  <si>
    <t>سؤال از حسن #روحانی به قوه قضائیه فرستاده نمی‌شود عضو هیئت رئیسه مجلس: در جلسه‌ای که در هیئت رئیسه در این‌باره داشتیم، به این جمع‌بندی رسیدیم که رئیس‌جمهوری استنکاف از قانون نداشته و فعلا نباید به قوه قضائیه ارجاع شود</t>
  </si>
  <si>
    <t>https://pbs.twimg.com/media/DmFXkfYUUAA3tUa.jpg</t>
  </si>
  <si>
    <t>http://tn.ai/1817970</t>
  </si>
  <si>
    <t>چرا هنوز قانونِ بانک مرکزیِ #پهلوی را اجرا میکنیم؟/ رئیس کمیسیون اقتصادی #مجلس: به روز رسانی قانون #بانک_مرکزی (که از زمان #رضاشاه هنوز تغییر نکرده) و اصلاح و تغییر ساختار آن در دستور کار کمیسیون اقتصادی مجلس است</t>
  </si>
  <si>
    <t>‏‏‏‏‏‏مرگ بر اسرائیل هستم/چی میشه ما باشیم اون قومی که قراره اون لحظه بزرگ و ببینه/</t>
  </si>
  <si>
    <t>#شفافیت_آراء_مجلس باعث میشه منی که به نمایندم رای دادم و وارد #مجلس شده بدونم اون دنیا بخاطر رائ که دادم مواخذه میشم یا نه؟؟ در قبال هر رای ما مسئولیم</t>
  </si>
  <si>
    <t>مشت مسود🇮🇷</t>
  </si>
  <si>
    <t>یا علی (ع)</t>
  </si>
  <si>
    <t>خدا ازت نگذره آقای رئیس جمهور که باعث شدی شرکت تعدیل نیرو کنه بیکار بشم #روحانی #ارز</t>
  </si>
  <si>
    <t>بی نام</t>
  </si>
  <si>
    <t>https://pbs.twimg.com/media/Dl_YetnWwAA33S8.jpg</t>
  </si>
  <si>
    <t>https://twitter.com/ahmadkaramad/status/1035784529145995266</t>
  </si>
  <si>
    <t>نیاز نیست آزادی را از جامعه ای بگیری، آن جامعه را به هرچیزی می توانی دغدغه مند کنی تا خودش از آزادی دور شود، وای به حال جامعه ای که به زنده بودن قانع باشند. وقتی روحانی در مجلس می گوید مردم ما قانع نیستند! باید گفت به چه چیز؟ زنده بودن یا زندگی کردن. #گرانی #آزادی #روحانی RT @ahmadkaramad: پوشک مولفیکس شماره پنج ، 140 هزارتومان شد، تازه اگر گیر بیاد! هیچ وقت فکر نمی کردم ، دغدغه ام پوشک بچه بشه :(</t>
  </si>
  <si>
    <t>#استیضاح حق مجلس است به شرط این که #حق_خوری نکند! #رضاالهامی</t>
  </si>
  <si>
    <t>یک انقلابی بیزار از چپ و راست////// حزب فقط حزب الله</t>
  </si>
  <si>
    <t>يكي از چند ويژگي مثبت دولت #احمدي_نژاد نسبت به #روحاني اين بود دولت يك دست بود و تنها هدفش خدمت بود اما اين ويژگي در اين دولت نيست حداقل در پيشبرد اهداف حزبش هم يكدست نيستند</t>
  </si>
  <si>
    <t>https://pbs.twimg.com/media/DmFaZ4rXoAAQCzQ.jpg</t>
  </si>
  <si>
    <t>#ظریف: حضور ما در #عراق تأثیرگذار و ضروری است #مجلس #استیضاح #ايران #فرسان_خبر</t>
  </si>
  <si>
    <t>. #عالي_ جنابان مجلس نشین باوربفرماییدحنای #استیضاح آنچنان بیرنگ شده است که درکوره آبادی های سیاست پیشگی نیزهیچ غارنشین تمدن ندیده ای هم دیگر سراغی ازآن نمی گیرد.</t>
  </si>
  <si>
    <t>مگر در #مجلس چه اتفاقی میفته که مردم نباید از اون خبر داشته باشن یا شاید اتفاقی نمیوفته که دلشون نمیخواد شفاف سازی کنند. #شفافیت_اراء_مجلس</t>
  </si>
  <si>
    <t>میگه اینقدر تو سر مردم میزنیم که بفهمن دیگه فریب امثال #روحاني رو نخورن! استاااد! انتخاب روحانی نتیجه‌ی فریب مردم توسط امثال خودت و اون ژنرال‌های #اصولگرا ست!</t>
  </si>
  <si>
    <t>امروز #لایحه افزایش مناطق #ویژه و #آزاد اقتصادی در #مجلس تصویب شد. متاسفم که به دلیل اقدام جزیره ای دوستان خوبم از #مازندران در #خانه_ملت و بی مهری #دولت_دوازدهم #بندر_امیر_آباد به عنوان #منطقه_آزاد در این مصوبه نبود. امیدوارم روزی برسد که تفکر اقدامات جزیره ای را درجامعه نبینیم.</t>
  </si>
  <si>
    <t>آفرين به دولت فخيمه #روحاني كه دغدغه مردان و زنان اين مرز و بوم را از موشك به #پوشك ارتقا داد</t>
  </si>
  <si>
    <t>https://pbs.twimg.com/media/DmFcOSQXsAExPjU.jpg</t>
  </si>
  <si>
    <t>در پایان جلسه سئوال از دکتر ظریف، رئیس جلسه اعلام کرد افرادی که (در صحن) اسم از آنها برده شده حق دفاع از خود را دارند. مستند قانونی دفاع افرادیکه حین مذاکرات مجلس اسم آنها توسط نماینده برده می شود ماده ۷۸ آیین نامه داخلی مجلس است. #مجلس #حقوق_شهروندی #قانون</t>
  </si>
  <si>
    <t>به اعتقاد نمایندگان #مجلس مردم «نادان»تشریف دارن نیازی به #شفافیت_اراء_مجلس ندارن اگر نادان نبودن به وعده های ما اعتنا نمیکردند #شفافیت_اراء_مجلس</t>
  </si>
  <si>
    <t>pic.twitter.com/EaQGvVxiZy</t>
  </si>
  <si>
    <t>قیمت #دلار به 12200 و #سکه به 4.450.000 رسید رونوشت : #روحانی ، #جهانگیری ، #همتی</t>
  </si>
  <si>
    <t>https://kokchapress.com</t>
  </si>
  <si>
    <t>رسانه غیر وابسته ای که به نشر #اخبار #افغانستان و تحولات مهم #جهان در حوزه های #سياست، #اقتصاد، #ورزش، #فرهنگ #هنر و #جامعه می پردازد.</t>
  </si>
  <si>
    <t>#افغانستان</t>
  </si>
  <si>
    <t>https://pbs.twimg.com/media/DmFdZ86U0AEn0pX.jpg</t>
  </si>
  <si>
    <t>https://kokchapress.com/%d8%ac%d8%b0%d8%a8-%d8%b9%d8%a7%d9%84%d9%85%d8%a7%d9%86-%d8%af%db%8c%d9%86-%d8%a8%d8%b1%d8%a7%db%8c-%d8%aa%d8%af%d8%b1%db%8c%d8%b3-%d8%af%d8%b1-%d9%85%da%a9%d8%aa%d8%a8%e2%80%8c%d9%87%d8%a7/</t>
  </si>
  <si>
    <t>کمیسیون فرهنگی و معارف #مجلس #سنا می‌گوید که وزارت #معارف باید راهکارهای را روی دست گیرد تا شیوه‌های #آموزش دهی کهنه تغییر کرده و معارف #افغانستان با روش‌های پیشرفته جهانی عیار شود.</t>
  </si>
  <si>
    <t>آژانس خبری بین المللی کوکچه</t>
  </si>
  <si>
    <t>https://pbs.twimg.com/media/DmFdafHVAAEtn5W.jpg</t>
  </si>
  <si>
    <t>سطح دغدغه ي مسئولين از موشك رسيده به پوشك! جناب #پرزيدنت، با ايران ما چه كردي؟! #قفل_تدبير #روحاني</t>
  </si>
  <si>
    <t>Busy with PhD &amp; STUFF, in a home very far from HOME</t>
  </si>
  <si>
    <t>هم به آقاي كروبي راي دادم و هم به رييس جمهور روحاني!!هر وقت نامه اي از #حصر مياد به راي اولم افتخار مي كنم ولي متأسف ميشم كه آقاي #روحاني با راي هاي ما معامله كرد و نهايت شجاعتش اين بود كه گفت "بگم؟!" و "خواهم گفت" #فرزند_احمد #خبرگان_اگر_خبرگان_باشد</t>
  </si>
  <si>
    <t>MarZZieH</t>
  </si>
  <si>
    <t>اگر نمایندگان #مجلس به قانون #شفافیت_اراء_مجلس رای بدند پس چگونه خود را برای دور بعد اماده میکنند #شفافیت_اراء_مجلس</t>
  </si>
  <si>
    <t>https://pbs.twimg.com/media/DmFejVeVAAAl7GI.jpg</t>
  </si>
  <si>
    <t>http://tn.ai/1816042</t>
  </si>
  <si>
    <t>عضو حزب #کارگزاران: #نوبخت دستورات #روحانی را اجرا نمی‌کند/ #لاریجانی استعداد جذب رای ندارد/ ما امروز همه مکلفیم با توجه به شرایط از #دولت حمایت کنیم که دولت موفق باشد اما این مانع این نمی‌شود که از #دولت انتقاد نکنیم</t>
  </si>
  <si>
    <t>اهای اونایی که میخواستید قانون افزایش حقوق نمایندگان #مجلس رو تصویب کنید مگر برای رای ممتنع هم حقوق لازم است؟#شفافیت_اراء_مجلس</t>
  </si>
  <si>
    <t>ولی انصافا احساس می‌کنم باید چند واحد جریان‌شناسی پاس کنیم تا دیگه کسی حتی علی الظاهر هم که شده به #هاشمی_رفسنجانی، #روحانی یا مثلا #مطهری نگه اصلاح‌طلب!!</t>
  </si>
  <si>
    <t>#حزابله ی محترم اگر #رهبری درهرحال حجت هستند ایشان همین چند روز پیش بود که فرمودند #دولت در یکسال گذشته خدمات بسیاری کرده که #مردم باید آگاه شوند پس لعنت بر کسی که دوباره دولت مورد تأیید #رهبر_انقلاب را به خیانت و کم‌کاری مگر در زمینه‌ی #دلار۱۲۰۰۰تومنی متهم کند.😁 #روحاني</t>
  </si>
  <si>
    <t>برگشتم خیلی سخت بود ولی نمیشه مردم رو تنها گزاشت بادرد زندان هنگامه شهیدی یه کاریش میکنم من وطنم را خیلی دوست دارم</t>
  </si>
  <si>
    <t xml:space="preserve">IRAN!＝JAPAN </t>
  </si>
  <si>
    <t>خداشاهده به مولا من یک بار فقط یک بار تو عمرم، یه دفعه #کوکاین تو دماقی زدم البته خون دماغ شدم ولی حالتی که ااالان #روحانی داره بهم دست داد :))))))))))))</t>
  </si>
  <si>
    <t>لامصبا یه جوری با همه جا بستن که حتی یک خبر هم درمورد #شریعتمداری نمی‌شه پیدا کرد. با این وجود #استیضاح ایشون سه‌شنبه اعلام وصول می‌شود.</t>
  </si>
  <si>
    <t>تا ارديبهشت ٩٨ نه #دلار نه مايحتاج مردم ديگه گرون نميشه. آقاي #روحاني دقيقا ما رو به كجات گرفتي؟ از طرف: كارافرين كنجكاو.</t>
  </si>
  <si>
    <t>http://www.farsnews.com/farsplus-magazine</t>
  </si>
  <si>
    <t>http://ble.im/Fars_Plus</t>
  </si>
  <si>
    <t>https://pbs.twimg.com/media/DmFhsRhXgAE6iwF.jpg</t>
  </si>
  <si>
    <t>دروغ تازه #کروبی! چرا «حق انحلال #مجلس توسط رهبری» به قانون اساسی اضافه نشد؟!</t>
  </si>
  <si>
    <t>فارس پلاس</t>
  </si>
  <si>
    <t>قابل توجه انگشت بنفش‌ها و تا ۱۴۰۰ با روحانی‌ها: فقط در عرض یک سال: ۱۰ شهریور ۹۶ : قیمت #دلار ۳۸۸۰ تومان ۱۰ شهریور ۹۷: قیمت دلار ۱۱۵۰۰ تومان یعنی تقریبا سه برابر ! دیگه تا ۱۴۰۰ رو خودتون حساب کنید😱 حالا بماند که امسال کار #روحانی و نظامش باهم تمومه✌️✌️ #IranRegimeChange</t>
  </si>
  <si>
    <t>هدف از این #خیمه_شب_بازی های #مجلسیون چیه؟ هر روز یه #خری را میکشانند به #مجلس با های و هوی! در جلوی #تریبون دوتا تَشَر به هم میزنند بعد از مراسم #چلو_مرغ را با هم کوفت میکنند و به ریش #ملت میخندند!که چی؟مجلس نسبت به #دولت واکنش نشان میدهد!یه روز #روحانی یه روز #ظریف ...</t>
  </si>
  <si>
    <t>اگه جای این نماینده ها یه درخت میزاشتیم اونجا تا الان میوه داده بود #شفافیت_آراء_مجلس #مجلس</t>
  </si>
  <si>
    <t>اگر اجرای #سیاستهای غلط #دولتی که باعث #بیکاری و به رنج افتادن #ملت و نابودی #پول ملی و #احتکار و #رانت و #غارت بیت المال و #ارز و خالی کردن #خزانه #مملکت شود ؛ با نقض #قانون مغایرت ندارد پس به نظر #مجلس چی مغایرت دارد؟</t>
  </si>
  <si>
    <t>https://pbs.twimg.com/media/DmFjgUiWwAA3dj5.jpg</t>
  </si>
  <si>
    <t>سوال از #روحانی به قوه قضاییه ارجاع نمی شود #مجلس #استیضاح #ایران #فرسان_خبر</t>
  </si>
  <si>
    <t>‏‏‏‏‏‏‏‏‏‏‏مشکل ترتیب آوردن تکنولوژی، ارایه توییتر پس از اختراع تلویزیون و رادیو است.</t>
  </si>
  <si>
    <t>Golpaygan, Iran</t>
  </si>
  <si>
    <t>از وقتی فهمیدم #روحانی چطور با یک #کلید و چند بار منبر رفتن سر من تحصیلکرده را شیره مالیده، دیگه به پدرم گیر نمیدم که چرا #انقلاب کرده آخوندا #خدعه می‌کنند و پاسخگو نیستند #فرقه_تبهکار #ميرحسين_موسوي @Rouhani_ir</t>
  </si>
  <si>
    <t>سکولاریسم 🇮🇷</t>
  </si>
  <si>
    <t>http://etehadonline.com/news/647989/</t>
  </si>
  <si>
    <t>حبیبی: پیش از طرح استیضاح ، تغیرات در کابینه انجام شود  #استیضاح #رئیس_جمهور</t>
  </si>
  <si>
    <t>‏صلاح کار کجا، من ِ خراب کجا</t>
  </si>
  <si>
    <t>روزنامه جوان ارگان #سپاه با انتقاد از منتقدان #روحانی که خواستار بیان #موانع_پشت_پرده شده بودند،مشکلات اقتصادی را مساله اصلی کشور معرفی و با #کنایه پرسیده لابد از نظر منتقدان این مشکلات به خاطر سپاه،سیاستهای #رهبری،#نظارت_استصوابی،عدم #مذاکره با آمریکا و خروج ترامپ از برجام بوده؟</t>
  </si>
  <si>
    <t>Pedram Sohrabloo</t>
  </si>
  <si>
    <t>pic.twitter.com/JeuGjRoCVe</t>
  </si>
  <si>
    <t>وقتی صحبت @zonnour پخش شدباشناختی که از #زهرا_سعیدی_مبارکه داشتم برایم غیرقابل باوربوداوامضایش راپای طرح #سوال_از_رئیس‌جمهور درمعامله با #معاون_رییس_جمهور پس گرفته باشد. توضیحات #ذوالنور ثابت کردشناخت مادرست بود. انصافا #سعیدی_مبارکه نماینده مردمی،خستگی ناپذیروشجاع در مجلس است.</t>
  </si>
  <si>
    <t>نترسید خیلی بعیده با #شفافیت_آراء_نمایندگان هیچکدومشون برن تو گونی، گونی فقط دست رفقای #روحانی و بس #شفافیت_آراء_مجلس</t>
  </si>
  <si>
    <t>جامعه ی که سر تا سرش رو لجن و کثافت و گناه و نفاق گرفته ...بایدم انتخابش یه همچین موجودی باشه که خلاصه ی از همون خصوصیاته #روحانی</t>
  </si>
  <si>
    <t>چرا #سلبریتی ها فکر میکنند بیشتر از مردم میفهمند؟!!!مگر ثمره ی شعور سیاسی آنها #روحانی نیست!!!</t>
  </si>
  <si>
    <t>http://www.mohammadhamidi.ir</t>
  </si>
  <si>
    <t>من گنگ خواب دیده و عالم تمام کر،من عاجزم ز گفتن و خلق از شنیدنش، یک عدد حج مَمِد از اصفهان، برنامه نویسی که از محیط علم و کامپیوتر به بازار صنعت فولاد کوچ کرد</t>
  </si>
  <si>
    <t>https://twitter.com/sbiabanaki47/status/1036201032143986688</t>
  </si>
  <si>
    <t>از #روحانی بپرسی میگه اینم تقصیر دولت قبله چون سپاه به اندازه کافی موشک درست کرد ولی نرفت صنعت پوشک رو توسعه بده و به اندازه نیاز پوشک هم تولید کنه 😂😂😂 RT @sbiabanaki47: در شرایطی هستیم که موشک به میزان لازم داریم ، ولی پوشک نداریم....!</t>
  </si>
  <si>
    <t>حج مَمِد</t>
  </si>
  <si>
    <t>http://fna.ir/boeelt</t>
  </si>
  <si>
    <t>کدام مستند در #مجلس برای #ظریف به نمایش درآمد؟ مستند اقدامات جاسوسی و اعترافات #دری_اصفهانی</t>
  </si>
  <si>
    <t>يعني انتظار داريد كه نماينده هاى #مجلس به طرحى كه بتونه جلوى لابي بازيشون رو بگيره، راى بدن؟! #شفافیت_آراء_مجلس</t>
  </si>
  <si>
    <t>‏‏‏‏‏‏‏‏صرفاً برای انجام تکلیف فعالیت میکنم</t>
  </si>
  <si>
    <t>https://pbs.twimg.com/media/DmFp75KW4AIbAck.jpg</t>
  </si>
  <si>
    <t>چرا بقیه نمایندگان نمیخواهند خدماتی که برای #مردم در"مجلس مردم" انجام میدهندشفاف باشد؟ این دیگر چه جور #نماینده بودن است؟ #شفافیت_آراء_مجلس</t>
  </si>
  <si>
    <t>العبد</t>
  </si>
  <si>
    <t>http://tlgrm.me/fasle_vasl</t>
  </si>
  <si>
    <t>يك عدد اديبِ تازه به دوران رسيدہ</t>
  </si>
  <si>
    <t>فکر کردیم کلید #روحانی واقعاً قراره توی قفل‌هایی بچرخه‌. منتها ایشون کلیدو سر و ته کرده، زده توی آب‌ریکا و آورده بیرون، هی داره توش فوت می‌کنه.</t>
  </si>
  <si>
    <t>خانوم آقاى ميم</t>
  </si>
  <si>
    <t>موضوع ارسال گزارش سوال از #رئیس_جمهور به #قوه_قضاییه از دستور کار هیئت رئیسه #مجلس خارج شد. _ غیر از این محال بود ولی تا به همین جا هم پیشرفت خوبی بود.به هر حال بقای نمایندگان به ارای مردمیست. #شفافیت_آراء_نمایندگان</t>
  </si>
  <si>
    <t>https://pbs.twimg.com/media/DmFrwpMX0AAb69w.jpg</t>
  </si>
  <si>
    <t>واکنش عجیب #رحیم_پور_ازغدی به سخنان مراجع تقلید: آیاآن بچه‌طلبه‌ای که آن تابلو رابالا برده، #مرحوم_هاشمی راکشته و آمده آنجا اعتراف به قتل کرده و حالا هم می‌گوید می‌خواهم شما را هم بکشیم؟/#روحانی در مجلس گفت در #فیضیه می‌خواستند من را بکشند!معلوم بود که اینها حاشیه‌سازی است/ فارس</t>
  </si>
  <si>
    <t>طرف از #روحانی می‌ناله بهش میگم پس چرا بهش رأی دادی میگه من آخه خیلی سیاسی نیستم. خب اگه سیاسی نبودن به همین وضعیت منجر میشه پس ادامه بدید. همین جوری خوبه</t>
  </si>
  <si>
    <t>#کریمی_قدوسی شما حرف نزنید بهتون نمیگن لال هستی نماینده بی خاصیت #مجلس که عدم خضورش در مجلس خیلی مثبت تر از حضور پر از نکبت و تهمت و زیان اوره.</t>
  </si>
  <si>
    <t>https://pbs.twimg.com/media/DmFr2NXWsAAWLyy.jpg</t>
  </si>
  <si>
    <t>🔰 «نمایندگان کدام استان‌ها از طرح شفافیت آرا اعلام حمایت کرده‌اند؟» (۱۱ شهریور) 🔴 ️با افزایش درخواست مردم، تعداد نمایندگان موافق شفافیت آرا به «۲۰۷» نفر رسیده است. ☎ پیگیر نمایندگان شهرمان باشیم. #شفافیت #شفافیت_آرا_نمایندگان #مدعیان_شفافیت_لیست_امید #مجلس</t>
  </si>
  <si>
    <t>http://t.me/SISYPH_0</t>
  </si>
  <si>
    <t>‏‏دوست داشت نقاش بشه اما خسته بود</t>
  </si>
  <si>
    <t>بسیار منطقی ست اگر بعنوان رای دهندگان و مطالبه گران، خواستار #استیضاح رییس جمهوری باشیم که خلاف وعده هایش عمل کرده است. سپس خواستار رای گیری زودهنگامی باشیم که نظارت استصوابی در آن جایگاهی نداشته باشد. این یکی از راههای مبارزه مدنی ست پیش از آنکه برای تغییر رژیم خونی ریخته شود.</t>
  </si>
  <si>
    <t>معشوقه سیزیف</t>
  </si>
  <si>
    <t>واقعا یعنی میشه تو یه همچین مجلسی که همه ملت ازش نا امید شدن طرح #شفافیت_آراء_مجلس به تصویب برسه.!!! البته باید این اتفاق بیوفته چون ملت ایران درخواست دارن و اگه واقعا نماینده هامردم رو ولی نعمت خودشون میدونن بایدبه نظرات مردم و درخواست هاشون احترام بزارن #مجلس #شفافیت_آراء_مجلس</t>
  </si>
  <si>
    <t>🇮🇷 ج.خسروی 🇮🇷</t>
  </si>
  <si>
    <t>https://pbs.twimg.com/media/DmFuy38X4AE8Jeb.jpg</t>
  </si>
  <si>
    <t>« #حسین_فریدون » فردا از رساله دکترای خود دفاع می‌کند 🔹این دفاع در حالی انجام میشود که چند نفر از اعضای کمیسیون آموزش #مجلس به خبرگزاری فارس گفتند تخلف در روند تحصیلی وی محرز شده است</t>
  </si>
  <si>
    <t>هر روزه در اطرافِ ما اتفاقات زیادی می‌افتد... در واکنش به برخی از آن‌ها فقط می‌توان تعجب کرد!!!</t>
  </si>
  <si>
    <t>...ایران؛ ای سرای امید</t>
  </si>
  <si>
    <t>- بین روح و روان فرقی هست به نظرت؟! + نه - پس میشه از این به بعد به جا #روحانی بهت بگم #روانی ؟! والا به خدا اعصاب واسه جوان این مملکت نذاشته</t>
  </si>
  <si>
    <t>مُتُعَجِب‌ُالْمَمالِکْ</t>
  </si>
  <si>
    <t>#فرض کنید که اگه #شفافیت_آراء_مجلس رای بیاره بعضی نماینده ها میرن با دکمه ها بغل دستیاشون رای میدن . یه همچین نماینده هایی داریم تو #مجلس</t>
  </si>
  <si>
    <t>https://pbs.twimg.com/media/DmFvtuFWwAImOuf.jpg</t>
  </si>
  <si>
    <t>ببین چی پیدا کردم براتون ، عکس نایابی از #روحاني قبل از اینکه #الهام_چرخنده بهش پیشنهاد 100 میلیونی و خونه و ماشین بده ... #خواهران_منصوریان</t>
  </si>
  <si>
    <t>نامه #کروبی به خوبی نشان میدهد که #اصلاح_طلبان برای برون رفت از بن بست سیاسی باید نقدهای خود را متوجه هسته سخت قدرت کنند. مسیری بر خلاف آنچه برخی با حمله به دولت #روحانی و نادیده انگاشتن نقش تندروها در پیش گرفته اند، رویه ای که فرصت طلبانه و البته بزدلانه است! #فرزند_احمد</t>
  </si>
  <si>
    <t>میگن #میر_حسین تو #حصره ، #کروبی هم هر از چند گاه افاضات داره . الحمدلله #روحانی ما رو برد به دهه شصت دیگه #موسوی لازم نیست همون کابینه دهه شصت و حالا هم اقتصاد #کوپنی. راستی #پوشک دونه ای چند ؟؟؟؟؟ از عزت #احمدی_نژاد تا ذلت در دولت #روحانی. از #موشک تا #پوشک</t>
  </si>
  <si>
    <t>PhD Candidate at AUT</t>
  </si>
  <si>
    <t>https://pbs.twimg.com/media/DmFxg-2XoAE2Pk3.jpg</t>
  </si>
  <si>
    <t>کماکان علت عدم موافقت دیگر نمایندگان مجلس از جمله #حسن_کامران #نماینده #اصفهان با طرح شفافیت آراء، برای ما روشن نیست !! جای خالی دیگر #نمایندگان #اصفهان هم خالی است. #امتحان_نمایندگی #مجلس #شفافیت_آرا_نمایندگان #شفافیت</t>
  </si>
  <si>
    <t>Sayed Esfahani</t>
  </si>
  <si>
    <t>https://pbs.twimg.com/media/DmFxlAxVAAAsSdz.jpg</t>
  </si>
  <si>
    <t>«#حسین_فریدون» فردا از رساله دکترای خود دفاع می‌کند/ این دفاع در حالی صورت می‌گیرد که از سوی تعدادی از اعضای کمیسیون آموزش #مجلس اعلام شده بود تخلف در روند تحصیلی وی محرز شده است</t>
  </si>
  <si>
    <t>توی توییتر بچه های تازه وارد را لایک نمیکنید چون عضو باندی نیستن بعد دم از فساد و لابی در #مجلس و #دولت میزنید و دم از #شفافیت میزنید؟</t>
  </si>
  <si>
    <t>https://www.instagram.com/ceyed_ir</t>
  </si>
  <si>
    <t>سیدعلیرضا👋👌جهاني بدون جنگ آرزوست. یه ولایتی و انقلابی❤️ #متعهد</t>
  </si>
  <si>
    <t>همون جایی که یار خونه داره</t>
  </si>
  <si>
    <t>یادتون میاد که میدونم میاد اقا با احمدی نژاد در مورد مسائل مهم کشور نظیر #موشک صحبت میکرد در حدی که فریاد میکشید ولی این دوره چی با اقای روحانی راجب #پوشک حرف میزنه ،ببینید چقدر فرق رو !ببینید روحانی در چه مرتبه ای قرار داره ! کشور رو داره ذلیل میکنه این #روحانی! #روحانی_خفه_شو</t>
  </si>
  <si>
    <t>Radicalism</t>
  </si>
  <si>
    <t>https://pbs.twimg.com/media/DmEiZqkX4AAMxfb.jpg</t>
  </si>
  <si>
    <t>https://twitter.com/JeanValjean65/status/1036147335770849280</t>
  </si>
  <si>
    <t>جناب آقای نوریان، #نماینده مرکز استان چهارمحال و بختیاری، لیست تو کو؟ RT @JeanValjean65: علاوه بر #شفافیت_آراء_مجلس مردم باید از میزان حضور نمایندگانشون هم باخبر باشند،معمولا بین 60 تا 90 نفر در اکثر جلسات حضور ندارند و این یعنی میزان حضور در جلسات تاسف باره،کاری که آقای قاضی زاده کرد واقعا جای تحسین داره.دست چنین نماینده مردمی رو باید بوسید.دمش گرم</t>
  </si>
  <si>
    <t>آقا جان ، دارد زمان آمدنت دير ميشود...اللهم عجل لوليك الفرج</t>
  </si>
  <si>
    <t>آقای #ظریف در #مجلس گفت که بر وطن پرستی #دُري_اصفهانی شهادت میدهد . ولي نگفت کدام وطن دُري!!! #ایران یا #انگلیس ??? به روباهه گفتن شاهدت كو؟برگشت گفت دمم #جاسوس_دوتابعيتي</t>
  </si>
  <si>
    <t>نيكنام ايران نژاد</t>
  </si>
  <si>
    <t>ساربانا مهلتی دارم در این جا مشگلی رفته از دستم گلی از وی نبردم حاصلی اندر این دشت بلا رفته زدستم نوگلی من حسین باوفا آرام جان گم کرده ام</t>
  </si>
  <si>
    <t>#صداوسیما سانسورچی #قوه_قضائیه مصلحتی #دولت محرمانه #مجلس یک فوریتی به نظر شما میشود عرصه را بر اخلال گران #اقتصادی تنگ کرد</t>
  </si>
  <si>
    <t>بی سر و سامان توام یا حسین(ع)</t>
  </si>
  <si>
    <t>دولت #روحانی تو هرچیزی ناتوان بوده، تو منزجر کردن طرفدارانش (و بخش زیادی از دیگران) از مجموعه نظام خیلی خوب عمل کرده.</t>
  </si>
  <si>
    <t>‏‏‏‏‏‏‏‏پــیــــــر مــــا گــــفــــت: کـــــه جــــنــــــگ اســــــت قــــلــــــم بــــــرداریــــــــــد...</t>
  </si>
  <si>
    <t>انقلاب اسلامی جهانی</t>
  </si>
  <si>
    <t>https://pbs.twimg.com/media/DmF6BPGX4AAWR18.jpg</t>
  </si>
  <si>
    <t>آقای #رئیس_جمهور ، دیگر چطور باید بگوییم که برای کمک به دولت آماده ایم؟! #رزمایش_خدمت</t>
  </si>
  <si>
    <t>دانیال</t>
  </si>
  <si>
    <t>https://pbs.twimg.com/media/DmF6G6KX4AA2Ofy.jpg</t>
  </si>
  <si>
    <t>«#قالیباف، #جلیلی و #حدادعادل پشت #روحانی نماز می‌خونن! یادتونه اینا به هم می‌گفتن #دزد؟! امیدوارم متوجه شده باشین که ما مردم کجای کاریم!» #براندازم #من_مرتد_هستم #ما_ربات_نيستيم #IranRegimeChange #IranProtests</t>
  </si>
  <si>
    <t>‏‏‏‏‏ای هست ما از هست تو در سر هزاران مرحبا</t>
  </si>
  <si>
    <t>جدی جدی هیچکی اندازه ی #ظریف نابود نکرده خودش رو یعنی هم از توبره میخوره هم از آخور،تمامی دیکته هایی که بهش میشه رو مو به مو اجرا میکنه البته به خوبی میدونه راه فرار از #استیضاح بافتن مشتی کسشر است. بالاخره این صندلی دیگه شایدنصیبش نشه! #من_ربات_نیستم</t>
  </si>
  <si>
    <t>آتش</t>
  </si>
  <si>
    <t>ولی وضعیت مملکت اونقدرم که میگید خراب نیست، ما امروز تونستیم نهار بخوریم تازه الانم شام داریم! #روحانی #مرسی_که_هستی #پراید :/</t>
  </si>
  <si>
    <t>در یاد مانده 🍃</t>
  </si>
  <si>
    <t>خدمتی که خانم #نرگس_کلباسی به مردم زلزله زده #کرمانشاه کرده کل دولت #روحانی نکرده.</t>
  </si>
  <si>
    <t>مرا عهديست با جانان كه تا جان در بدن دارم هواداران كويش را چو جان خويشتن دارم</t>
  </si>
  <si>
    <t>pic.twitter.com/kT3vkXsqZb</t>
  </si>
  <si>
    <t>🔴فیلمی از آخوندى که در کنار علی مطهری نایب رئیس #مجلس مردم معترض رو تهديد به «داخل گونى» كرد #دشمن_ما_همينجاست #براندازم</t>
  </si>
  <si>
    <t>𝓐𝔃𝓪𝓭𝓮𝓱 𝓶𝓸𝓻𝓼𝓱𝓮𝓭𝓲</t>
  </si>
  <si>
    <t>✴چه آسان است گفتن از #حق و چه سخت است عامل بودن بدان✴خواهی نباشم و خواهم بود دور از دیار نخواهم شد تا گود هست میان دارم اهل کنار نخواهم شد یک دشت شعر و سخن..</t>
  </si>
  <si>
    <t>chabahar</t>
  </si>
  <si>
    <t>https://pbs.twimg.com/media/DmF9t5EWwAAO-LX.jpg</t>
  </si>
  <si>
    <t>این حجم از تخلف و اختلاس در شهرداری ها ناشی از قدیمی بودن قانون شهرداری ها(بلدیه)که از 1334دست نخورده باقی مانده است.#لایحه_مدیریت_شهری در #مجلس باسنگ اندازی لابی زر و زور #کلان_شهرها تاتصویب نشود بیت المال حیف ومیل وچهره شهرهاعوض نمیشود .#اختلاس</t>
  </si>
  <si>
    <t>abadiman</t>
  </si>
  <si>
    <t>http://t.me/HidenChat_bot?start=162668251</t>
  </si>
  <si>
    <t>‏‏مهندسِ پزشک؛ ‏‏‏‏‏‏‏‏‏‏‏‏‏دانشجوی ساده‌‌ی دانشگاه سیاسی صنعتی امیرکبیر(پلی تکنیک)// 🇮🇷🇵🇸🇾🇪🇧🇭🇮🇶🇱🇧🇸🇾</t>
  </si>
  <si>
    <t>هر کجا مبارزه هست</t>
  </si>
  <si>
    <t>گویا #روحانی دوباره قراره بره دانشگاه تهران. امیدوارم همونجور که نزدیک #انتخابات برای پرکردن فیلم‌ انتخاباتیش، گازانبرشو غلاف کرد و پای انتقادات دانشجوها نشست، این بارم بشینه و ببینه که حتی #پادو های انتخاباتیش هم ازش شاکین!</t>
  </si>
  <si>
    <t>s.fallah</t>
  </si>
  <si>
    <t>‏‏‏‏‏‏‏‏‏‏‏‏‏‏‏‏‏‏#دلواپس _ضد #فتنه_گران آمریکایی و #انحرافیون #نوفرقانی➖➖➖➖➖➖➖➖ ‎اینستا: http://instagram.com/toofan.toofani‎‎‎‎‎‎‎‎‎‎‎‎</t>
  </si>
  <si>
    <t>https://pbs.twimg.com/media/DmGCu29WsAEOwpM.jpg</t>
  </si>
  <si>
    <t>الان #روحانی میگه: کپی کاری نکنید، جوسازی نکنید. یه جایی یه جنبش فلان درصد بوده، کپی نکنید. بذارید این واقعیت ها پدر اقتصاد رو در بیاره و صداشو در نیارید</t>
  </si>
  <si>
    <t>طوفان طوفانی</t>
  </si>
  <si>
    <t>Life is Life! music lover 🎼🎤🎷🎸🎺. No Religions! I suspect! #WeAreHostages. من يك رباتم در حال براندازي ج.ا</t>
  </si>
  <si>
    <t>https://twitter.com/hassanrouhani/status/339764118317838336</t>
  </si>
  <si>
    <t>به علت خودشيفتگي و عدمِ مشورتِ #دلار با #روحاني ، قيمتش روز به روز بالاتر ميره. دلار بيشعور ! RT @HassanRouhani: "#دلار به چندین برابر قیمت افزایش پیدا می‌کند..مشکل کجاست؟ عدم مشورت، خودشیفتگی، عدم استفاده از ابزار علمی برای اداره کشور و بی‌ثباتی‌ها"</t>
  </si>
  <si>
    <t>A Warrior ✏️🏹 robot</t>
  </si>
  <si>
    <t>https://twitter.com/asoupar/status/1035941755915526145</t>
  </si>
  <si>
    <t>آقای #روحاني و دلتمردان #لیبرال درعجبم که چرا شما از این همه ننگ و خفت هنوز زنده این و نفس می کشین. RT @asoupar: وقتی رئیس فراکسیون غذا و داروی مجلس می‌گوید: "مردم نگران نباشند؛ در تامین شیرخشک و پوشک بچه مشکلی نداریم." فکر می‌کنم دولت و مجلس باید از خجالت بمیرند؛ دغدغه‌ی کشور از موشک دوربرد و پرتاب ماهواره و نانو و سلول‌های بنیادین رسیده به پوشک بچه! آقای روحانی! تو با این مملکت چه کردی؟!</t>
  </si>
  <si>
    <t>English Literature/Translation/ NEWS translation in Persian/ Humanity my religion</t>
  </si>
  <si>
    <t>http://www.yjc.ir/fa/news/6653686/%D8%B1%D9%88%D8%B2%D9%86%D8%A7%D9%85%D9%87-%DA%86%DB%8C%D9%86%DB%8C-%D8%A2%DB%8C%D8%A7-%D8%B1%D8%A6%DB%8C%D8%B3%E2%80%8C%D8%AC%D9%85%D9%87%D9%88%D8%B1-%DA%A9%D8%B1%D9%87-%D8%AC%D9%86%D9%88%D8%A8%DB%8C-%D8%A8%D8%A7-%D8%AF%D9%88%D8%B3%D8%AA%DB%8C-%D9%85%D8%A7%D9%86%D9%86%D8%AF-%D8%AA%D8%B1%D8%A7%D9%85%D9%BE-%D8%A8%D9%87-%D8%AF%D8%B4%D9%85%D9%86-%D9%86%DB%8C%D8%A7%D8%B2-%D8%AF%D8%A7%D8%B1%D8%AF</t>
  </si>
  <si>
    <t>روزنامه چینی: آیا #رئیس‌جمهور #کره جنوبی با دوستی مانند #ترامپ، به دشمن نیاز دارد؟  via @yjcagency</t>
  </si>
  <si>
    <t>Parisa Rad</t>
  </si>
  <si>
    <t>https://twitter.com/shaghayegh_313/status/1036129931435102208</t>
  </si>
  <si>
    <t>میشه یه ذره فکر کنیم و اگرم دنبال مقصریم راه و کجکی نریم؟؟ مقصر همونایین که میخوان مردم بگن اشتباه کردیم به #روحانی رأی دادیم، بخدا فهمیدنش هوش زیادی نمیخواد ! RT @shaghayegh_313: میشه تو این قصه گرانی و رکود و احتکار هی نزنیم تو سر مردم؟ هی نگیم تقصیر خودتون بوده به #روحانی رأی دادین؟ هی دموکراسی و رأی و انتخاب و آزادی رو کوچیک نکنید؟ میشه؟</t>
  </si>
  <si>
    <t>https://youtu.be/3XwIEJ1PqoE</t>
  </si>
  <si>
    <t>فوری/ جواد ظریف در مجلس: من در سیاست خارجی تصمیم گیر نیستم. نظام تصمیم گیرنده است. امروز یک شنبه ۱۱ شهریور ۹۷ محمد #جواد_ظریف در #مجلس حضور پیدا کرد و به سوالات نمایندگان پاسخ داد. نمایندگان نیز از پاسخ های او قانع شدند.</t>
  </si>
  <si>
    <t>وزیر محترم جناب #بطحایی خوشبختانه #استیضاح شما کنسل شد ولی برادر یکی دو تا از نیروهای مخلص #قالیباف را لااقل می داشتید بیکار بمونن. همه رو اتوبوسی بردی کانون پرورش فکری کودکان ?</t>
  </si>
  <si>
    <t>https://twitter.com/ilnanews/status/1036166612095848448
https://www.ilna.ir/fa/tiny/news-663667</t>
  </si>
  <si>
    <t>#مجلس بدون موبایل چه شکلیه؟ RT @ilnanews: کاتب در جمع خبرنگاران خبر داد؛ تصویب ممنوعیت استفاده از تلفن همراه در صحن توسط نمایندگان/ ایجاد شعبه ویژه در دادسرای تهران برای بررسی ارجاعات #مجلس</t>
  </si>
  <si>
    <t>قناعت را از نمایندگانی بیاموزید که از پاسخ‌های #استیضاح شوندگان قانع می‌شوند.</t>
  </si>
  <si>
    <t>روحانی میخواست موشکها رو هدف بگیره زمین بزنه نتونست... حمله کرده پوشکها رو زده زمین از لج😁 #روحانی #پوشک #موشک #برجام</t>
  </si>
  <si>
    <t>https://pbs.twimg.com/media/DmGHol9X4AUOLDk.jpg</t>
  </si>
  <si>
    <t>http://bit.ly/2Q3zOnw</t>
  </si>
  <si>
    <t>#مهدی_کروبی در نامه خود به اعضای #مجلس #خبرگان چه گفت؟</t>
  </si>
  <si>
    <t>از اينكه راي ندادم احساس غرور ميكنم! #روحاني</t>
  </si>
  <si>
    <t>یه قانون تصویب کردن به نام #منع_به_کار_گیری_بازنشستگان! هزاران حرف و حدیث بهش وارد هستش! و هر روز هم یه چیزی گفته میشه یعنی از پس تصویب یک قانون شفاف هم بر نمیان این نمایندگان #مجلس؟</t>
  </si>
  <si>
    <t>‏‏‏بنده عشقم و از هر دو جهان ازادم //فالو می کنی نخواه زود برو</t>
  </si>
  <si>
    <t>ببین منو خود امام خمینی بیاد بگه مقداد جان #روحانی باید بمونه و مشکلات رو حل کنه من قبول نمی کنم حالا هی از اتحاد بگو واسه من روحانی باید برود... ردحانی باید برود...</t>
  </si>
  <si>
    <t>Meghdad</t>
  </si>
  <si>
    <t>انتخاب میان آقای #روحانی یا #رییسی دو قطبی نظام نبود؛ اما نمیدانم چطور شد که امروز، رای دهندگان به آقای روحانی (اعم از بازیگر و جوان و ورزشکار) مخالف نظام شده اند و ما رای دهندگان به آقای رییسی، باید از دولت آقای روحانی، در برابر حملات طرفداران آقای روحانی دفاع کنیم!!!</t>
  </si>
  <si>
    <t>https://pbs.twimg.com/media/DmGKZMcWwAEvcN_.jpg</t>
  </si>
  <si>
    <t>پیام #رهبر انقلاب به اعضای کاروان ورزشی ایران در بازی‌های آسیایی: مدال آوران عزیز به همه شما تبریک می‌گویم و از همه شما تشکر می‌کنم. ملت ایران را شاد کردید و پرچم سرافراز ما را عزت بخشیدید. . . . . کجاست آن عزت آورنده برای مردم ایران #روحانی</t>
  </si>
  <si>
    <t>درس عبرت : _ما بیش از دو میلیون شغل ایجاد کردیم +شما قبلا گفته بودید سه میلیون آقای.. =مگر آدم عقلش کم باشد که چنین حرفی بزند :) #استیضاح</t>
  </si>
  <si>
    <t>درس عبرت هستم</t>
  </si>
  <si>
    <t>https://www.instagram.com/samsam_1371/</t>
  </si>
  <si>
    <t>بسم الرب الزینبـــــــ من همان سرباز از لشکر جدا افتاده ام میکشی آخر مرا یا که اسیرم میکنی</t>
  </si>
  <si>
    <t>https://pbs.twimg.com/media/DmGK0nrW4AIEmID.jpg</t>
  </si>
  <si>
    <t>یعنی بقیشون از چی میترسن که به این طرح رای نمیدن؟ جز منافق کسه دیگه ای با شفافیت مخالف نیست... #شفافیت_آراء_مجلس #مجلس #نمایندگان_مجلس</t>
  </si>
  <si>
    <t>M.M</t>
  </si>
  <si>
    <t>بلوچستان ایران</t>
  </si>
  <si>
    <t>تو قرن ۲۱ دغدغه مون شده #پوشک_بچه ، پراید ۴۰ میلیونی به کنار به کجا می رویم؟ آقای #روحانی ، آقای #وزیر جواب؟ صبر کنید..... ادامه دارد</t>
  </si>
  <si>
    <t>دوستدار خوبان</t>
  </si>
  <si>
    <t>https://pbs.twimg.com/media/DmGNUYTXcAEgpAQ.jpg</t>
  </si>
  <si>
    <t>دولت روحانی تا کنون با 9 #استیضاح بالاترین رکورد را دارد. عباس آخوندی وزیر راه و شهرسازی نیز با 3 استیضاح و رای گرفتن از مجلس سلطان استیضاح وزرای طول تاریخ جمهوری اسلامی است. با عزل #کرباسیان توسط نمایندگان، تعداد وزرای برکنار شده ی روحانی و احمدی نژاد با استیضاح برابر شده است.</t>
  </si>
  <si>
    <t>pic.twitter.com/hla49ehyMq</t>
  </si>
  <si>
    <t>#ظریف در جلسه علنی #مجلس به دلیل سفر به فرانسه همزمان با کهکشان بدون برآورد اطلاعاتی و امنیتی مورد سؤال قرار گرفت. منافقین متاسفانه از زمانیکه در حدود دهسال قبل از فهرست گروههای تروریستی خارج شدند هر ساله مراسمی را در پاریس برگزار میکنند بیشتر در کلیپ</t>
  </si>
  <si>
    <t>Urme</t>
  </si>
  <si>
    <t>ادای احترام به نماد و نشان های یک ملت(#پرچم-کوردستان) برای عده ای که سالیان متمادی یاد گرفته اند که پرچم آتش بزنند و برای بیش‌تر مردمان جهان آرزوی مرگ کنند، یک امر غیرطبیعی است. #ظريف #مجلس</t>
  </si>
  <si>
    <t>Dr. Seyed rasoul Ghorishi</t>
  </si>
  <si>
    <t>‏روزنامه نگار حوزه فرهنگ و هنر</t>
  </si>
  <si>
    <t>توی این دو ماهه هم #ماشین خارجیش چندبرابر شده و هم #خونه لواسونش. یه پاش هم میندازه رو اون پاش عاقل اندر سفیه میگه آدم باس شم #اقتصادی اش قوی باشه. تو شم اقتصادی‌ات قویه؟ پس #روحانی این وسط چیکاره‌ است. #باجناق #اقتصاد_شرتکی</t>
  </si>
  <si>
    <t>معین احمدیان</t>
  </si>
  <si>
    <t>چطور میشه نماینده ها برای استیضاح وزیر اقتصاد امضاشون را پس بگیرند استیضاح از رسمیت نمی افته، اما برای وزیر آموزش پروش میشه این کار را کرد! #مجلس #استیضاح #روحانی</t>
  </si>
  <si>
    <t>mohammad_firoozi</t>
  </si>
  <si>
    <t>به نوشته #ایسنا، یکی از بیشترین افزایش قیمت‌ها مربوط به #موز می‌شود که دو و نیم برابر نسبت به پارسال گران شده است. موز همان میوه‌ای است که پدر داماد حسن #روحاني چندی پیش به بهانه وارد کردن آن، میلیون‌ها دلار از دولت ارز دریافت کرد</t>
  </si>
  <si>
    <t>همه فکر میکنن که #پراید شده ۴۰ میلیون ! نه آقااااااااا یکم فکر کن ۴۰ میلیون ارزشش شده اندازه یه پراید #روحانی #ظریف #ایران #ما_انتخاب_نکردیم #WeAreNotBot</t>
  </si>
  <si>
    <t>pic.twitter.com/ddyiR5tNi6</t>
  </si>
  <si>
    <t>وقتی می‌گیم #طویله_بهارستان حتما دلیل داره ، ببینید اینجا #مجلسِ اگه نگرفته بودنش احتمالن با قمه ميزدش :)) #مسئولین_بی‌لیاقت #ایران_را_پش_میگیریم</t>
  </si>
  <si>
    <t>http://yeniyol.wordpress.com/</t>
  </si>
  <si>
    <t>سئودیقیم گونئی آزربایجان باغیمسیزلیقی دی خواهان بدست گرفتن خاک آزربایجانجنوبی هستم ولاغیر. اگر مشکلی داری بزن بیرون</t>
  </si>
  <si>
    <t>آزربایجانجنوبی</t>
  </si>
  <si>
    <t>درباره عدم استیضاح #بطحایی حرف های زیادی است مثلا عدم مصلحت بودن #استیضاح را را مطرح کردند در این اوضاع اقتصادی وزیر کار و یا وزیر صنعت استیضاح میشه اما کسی که بر ضد تورک ها حرف زده استیضاح نمیشه چه جریان فاسد و تباهی پشت این ماجراست ؟؟</t>
  </si>
  <si>
    <t>BagimsizGuneyAz</t>
  </si>
  <si>
    <t>https://twitter.com/AkhbarFori/status/1036274497718968321</t>
  </si>
  <si>
    <t>#روحانی در مجلس گفت در فیضیه می‌خواستند من را بکشند! معلوم بود که اینها حاشیه‌سازی است 🔹اگر سخنانم در مورد سکولاریسم در حوزه توهین است پس آقایان اول باید امام را محاکمه کنند. /فارس #سیاسی @AkhbareFori RT @AkhbarFori: واکنش #رحیم‌پور_ازغدی به حواشی مدرسه فیضیه فضاسازی اخیر کاری رسانه‌ای بود که از #تهران هدایت می‌شد و در قم اجرا شد. آیا آن بچه‌طلبه‌ای که آن تابلو را بالا برده، مرحوم هاشمی را کشته و آمده آنجا اعتراف به قتل کرده و حالا هم می‌گوید می‌خواهم شما را هم بکشیم؟ @AkhbarFori</t>
  </si>
  <si>
    <t>ای انکه خوش رقصی برای حضرت اقا کارت بدان و اگاه باش استخر فرح در انتظارت #هاشمی #روحانی #نامه_کروبی اگر گوش شنوایی باشد که نیست.</t>
  </si>
  <si>
    <t>جنبش سبز</t>
  </si>
  <si>
    <t>//عدالت طلب// دنیا و آخرت به نگاهی فروختیم / سودا چنین خوش است که یکجا کند کسی....</t>
  </si>
  <si>
    <t>https://pbs.twimg.com/media/DmGZWesXsAEY24M.jpg</t>
  </si>
  <si>
    <t>از افتتاح همزمان ۴۶۲۳ طرح عمرانی در زمان دکتر #احمدی‌نژاد رسیدیم به افتتاح #سرسره در دولت آقای #روحانی! از دغدغه داشتن چرخه کامل سوخت هسته‌ای و فرستادن انسان به فضا هم رسیدیم به قطعی برق و کمبود پوشک بچه!</t>
  </si>
  <si>
    <t>سید احمد علوی</t>
  </si>
  <si>
    <t>دانشجو کارشناسی علوم سیاسی و دکتری عمومی دامپزشکی</t>
  </si>
  <si>
    <t>این که #استیضاح وزیر آموزش و پرورش اعلام وصول بشه و بعدش حتی یک امضا پای نامه استیضاح نمونه اصلا مسئله ساده ای نیست که از کنارش راحت بگذریم. به خصوص که ما ذهنیتی بسیار منفی از استیضاح پانصد میلیونی آقای #ربیعی داریم. #شفافیت_آراء_نمایندگان #مجلس</t>
  </si>
  <si>
    <t>https://pbs.twimg.com/media/DmGZq8NUcAAjO1r.jpg</t>
  </si>
  <si>
    <t>https://www.ilna.ir/fa/tiny/news-663948</t>
  </si>
  <si>
    <t>لیلاز در نشست «حاکمیت قانون تنها راه مبارزه با فساد»: تا زمانی که #نفت داریم به جایی نخواهیم رسید/ #مجلس خبرگان به جای عمل به وظیفه‌اش کمیته‌هایی برای نظارت بر دولت تشکیل داده است</t>
  </si>
  <si>
    <t>https://pbs.twimg.com/media/DmGZyTKXoAAlxTr.jpg</t>
  </si>
  <si>
    <t>اوایل ریاست #روحانی بود تو مترو صحبت قطع شدن یارانه ها. این پیرمرد همین شکلی با کوله سنگینش وقتی شنید از شدت ناراحتی نشست. گفت تروخدا میخوان قطع کنن؟ من بیچاره میشم... امیدوارم یارانه اش قطع نشده باشه ولی با ۴۵ تومن چه میکنه؟ پیرمرد تو سن بازنشستگی مجبوره دست فروشی کنه.</t>
  </si>
  <si>
    <t>pic.twitter.com/wFB8NHA6p9</t>
  </si>
  <si>
    <t>باز هم تهدید به قتل #روحانی! «منصور ارضی» مداح خامنه‌ای،روز عرفه در خیابان سعدی #تهران،بار دیگر به قتل هاشمی رفسنجانی اعتراف و روحانی راهم تهدید به قتل کرد! تصویری از نظام در هم شکسته ولایت فقیه در روزهای آخرین. #IranRegimeChange #براندازم #تظاهرات_سراسری</t>
  </si>
  <si>
    <t>#کروبی : در بازنگری قانون اساسی لفط مطلقه به سفارش شخص رهبری اضافه شد مدت زمان #رهبری به پیشنهاد هاشمی از ده سال به مادام العمر تبدیل شد خوشبختانه انحلال #مجلس توسط رهبری رای نیاورد. #مجلس_خبرگان</t>
  </si>
  <si>
    <t>IRAN_Golestan_Kordkuy</t>
  </si>
  <si>
    <t>ما دقیقا باید چجوری #اعتراض کنیم ولی بهمون نگن #منافق ، مخالف #رژیم ، #برانداز ، #دست_نشانده ، #غرب_زده و هر چیز دیگه ای ؟ من یک جوان #ایرانی هستم که به وضعیت مملکت معترضم #من_حق_اعتراض_دارم #روحانی #ظریف #ایران</t>
  </si>
  <si>
    <t>‏مراجانی طرب پیشه که بی مطرب نیارامد/من این جان طرب جو را نمی دانم نمیدانم/مراگوید مرو هرسو تو اِستادی بیا این سو/که من آنسوی بی سو را نمی دانم نمی دانم</t>
  </si>
  <si>
    <t>سال ۹۶ دو ماه مونده به امتحان بورد رفتم تو خیابونای شهر با مردم حرف زدم که به #روحانی رای بدن و #پشیمانم من یک #اصلاح_طلب دو آتیشه بودم ولی واقعا اوضاع فعلی جای دفاع از هیچ کسی رو باقی نمیذاره آقای #جمهوری_اسلامی به ما رحم نمیکنی به خودت رحم کن</t>
  </si>
  <si>
    <t>آن سو...</t>
  </si>
  <si>
    <t>https://pbs.twimg.com/media/DmGdT-gW4AADSUa.jpg</t>
  </si>
  <si>
    <t>https://www.hra-news.org/interviews/a-110/?tg_rhash=22a41dd9689763</t>
  </si>
  <si>
    <t>بررسی گزارش اخیر مرکز پژوهش های #مجلس در خصوص #حجاب؛ در گفتگو با ناهید توسلی</t>
  </si>
  <si>
    <t>http://www.trt.net.tr/persian/wrzsh/2018/09/02/pygm-tbrykh-ry-ys-jmhwr-trkhyh-bh-mly-pwsh-trkh-1041634</t>
  </si>
  <si>
    <t>#پیغام تبریک #رئیس_جمهور ترکیه به ملی پوش #ترک رجب طیب اردوغان رئیس جمهور ترکیه، تلگراف تبریکی به یاسمین اجم آناگوز که در مسابقات قهرمانی اروپا مدال طلا کسب کرده است، ارسال نمود.</t>
  </si>
  <si>
    <t>‏‏‏‏پیرمردی ۲۸ ساله که جامعه شناسی میخواند، خبرنگار هم هست و وصیتش آن است که بر سنگ مزارش بنویسند هم عصر شجریان</t>
  </si>
  <si>
    <t>عبدالله ناصری: اگر یک جا بقای آقای #روحاني با منافع ملی مردم و موکلان نمایندگان اصلاح‌طلب تعارض داشته باشد دومی را ترجیح می‌دهند و اول را رها می‌کنند.</t>
  </si>
  <si>
    <t>Kiavash Hafezi</t>
  </si>
  <si>
    <t>راستی اون مقام #دو_تابعیتی کی بود؟چی شد؟ مقام #اسکاتلندی ایرانی را چه کردید؟ #روحانی</t>
  </si>
  <si>
    <t>با تلاش و همت نمایندگان عزیز مطئنا #شفافیت-آرای -نمایندگان به سرنوشت _فرزندت"کجاست دچار خواهد شد. #مجلس #زالو</t>
  </si>
  <si>
    <t>‏‏سیاست، اخبار، سرگرمی،‌ سبک زندگی و فرهنگ</t>
  </si>
  <si>
    <t>https://pbs.twimg.com/media/DmGf2QOWsAIgreg.jpg</t>
  </si>
  <si>
    <t>اهای اونی که برای اینده ی بچه ات کورکورانه به #روحانی رای دادی ولی الان حتی نمیتونی براش پوشک بخری #شب_تو_هم_بخیر 😕 #تا1400باروحانی #ایران</t>
  </si>
  <si>
    <t>🇮🇷 ابوریحان 🇮🇷</t>
  </si>
  <si>
    <t>‏کارمند ساده، ساکن شهر عشق، فدایی اسلام و انقلاب و وطن، عاشق سید علی</t>
  </si>
  <si>
    <t>مشهد الرضا</t>
  </si>
  <si>
    <t>نمایندگان #مجلس از جواب #ظریف در پاسخ به سوال وجود 4 #دو_تابعیتی (بخوانید جاسوس) در تیم #مذاکرات_هسته_ای قانع شدند!!! ما هم که از اول قانع بودیم نباشیم هم مهم نیست</t>
  </si>
  <si>
    <t>گندم</t>
  </si>
  <si>
    <t>نماینده مردم قصرشیرین، سرپل ذهاب و گیلانغرب در #مجلس : لایحه منطقه آزاد تجاری #قصرشیرین امروز در صحن علنی مجلس مطرح و با ۱۴۱ رای موافق و ۷۵ رای مخالف به تصویب نمایندگان مردم در خانه ملت رسید./ایرنا</t>
  </si>
  <si>
    <t>فعلا ک هیچ... :|</t>
  </si>
  <si>
    <t>تفکرات بطحایی دو روزِ عوض شد؟، اون چه نمایندگان در نظر داشتن دو روزِ بدست اومد؟، یا معجزه ای چیزی شده تو بحث آموزش که استیضاح وزیر با پس گرفتن امضا ها لغو شد :| #شفافیت_آراء_نمایندگان #استیضاح #بطحایی</t>
  </si>
  <si>
    <t>عاسُپاس</t>
  </si>
  <si>
    <t>https://pbs.twimg.com/media/DmGidj3W0AATjsZ.jpg</t>
  </si>
  <si>
    <t>ارتباط مستقیم امشب از سیمای آزای تلویزیون ملی #ایران ساعت ۲۰۰۰ به وقت اروپا ساعت۲۲۳۰ به وقت ایران موضوع برنامه : ازهم گسیختگی نظام - برکناری وزیران و سئوال از #روحانی</t>
  </si>
  <si>
    <t>#روحانی: رهنمودهای #رهبرانقلاب راهگشای حرکت دولت است. توصیه ایشان به همه برای کمک به دولت دراین مسئولیت خطیر پشتوانه‌ای ارزشمند برای دولت درانجام بهتر مسئولیت‌هاست.ضرورت دارد به گونه‌ای عمل شود که پس ازمدت کوتاهی گزارش اقدامات خود رادر اجرای این فرمایشات خدمت ایشان ارایه کنیم</t>
  </si>
  <si>
    <t>اینکه نمایندگان از پاسخ #روحانی قانع نشدند و سوالات به #قوه_قضاییه ارجاع داده نمیشه مفهومش اینه ، قانع نشدین؟ به درک. #لاریجانی #مجلس_بی_کفایت</t>
  </si>
  <si>
    <t>عمو جان شمايي كه بعد از ٨ سال حبس توي يه اتاق هنوز از لفظ #منحوس براي رژيم #پهلوي استفاده ميكني همون اون تو بموني بهتره، منحوس تمام #سيستم، #نظام، #مجلس،#خبرگان، #رهبر و خودت هستي كه تازه دمه مٌردن ياد #مردم افتادي</t>
  </si>
  <si>
    <t>Maziyarr</t>
  </si>
  <si>
    <t>pic.twitter.com/jmchD6HkLb</t>
  </si>
  <si>
    <t>ـ ما در برابرِ #مردم ایستاده‌ایم هرچند همیشه درمیانشان بودیم و بهایِ بیانِ خواسته‌ها و #مطالباتِ_مردمی چ حقّه و چ احساسی را گران پرداخته‌ایم • #از_یکجا_شروع_کنیم #مردم_باید_تغییر_کنند ـ #ایران #غراب #آگاهی #اسلامی #رهبری #آرمان #فرهنگ #دولت #مردم #روحانی #خبرنگار</t>
  </si>
  <si>
    <t>خانم حدیث از تهران شما روی ایر هستین و حدیث تمام رشته‌های #بی‌بی‌سی رو پنبه کرد، انقدر شسته رفته حرف زد، انقدر قشنگ نگاه کرد، راه‌حل واقع بینانه برای کوتاه مدت داد، حرف های کلی و مهمل نزد، انتقاد رو از خودش شروع کرد و رسوند به بالا. کاش حدیث جای #نوبخت تو تیم اقتصادی #روحانی بود.</t>
  </si>
  <si>
    <t>واسه بی عرضگی دولت #روحانی همین بس که رهبری در مورد #بحران_پوشک صحبت کنه و مستقیم ورود کنه عرضه ندارین #پوشک_بچه هم تامین کنید؟؟ #بی_عرضه</t>
  </si>
  <si>
    <t>Android developer</t>
  </si>
  <si>
    <t>jahrom</t>
  </si>
  <si>
    <t>https://pbs.twimg.com/media/DmGlnFAW0AAFC0N.jpg</t>
  </si>
  <si>
    <t>هنوزم دوستتون دارم ۲۴ ملیونی ها #روحانی #با_روحانی_۱۴۰۰</t>
  </si>
  <si>
    <t>omiderfanmanesh</t>
  </si>
  <si>
    <t>زندگی من به داشتن و نداشتن #کار بند شده . منم مثل #روحانی نیستم فقط شعار بدم .من فقط #کار میخوام ،تمام دنیا مال شما یک گوشه این دنیا یک #کار سهم من نیست ؟</t>
  </si>
  <si>
    <t>نه کسی منتظر است نه کسی چشم به راه ....</t>
  </si>
  <si>
    <t>خوشم میاد #روحانی در ادامه چرخش بی سابقه هنوز و بعد از یک هفته از سوال مجلس داره از رهبری تشکر میکنه!! #روحانی_مچکریم</t>
  </si>
  <si>
    <t>Vahid</t>
  </si>
  <si>
    <t>#امید_بذر_هویت_ماست 🌱</t>
  </si>
  <si>
    <t>https://twitter.com/alhosseini/status/1035966317688487936
https://twitter.com/spectatorindex/status/1035957963637354498</t>
  </si>
  <si>
    <t>فعلا عزمی برای حل بحران موجود نمایان نیست حل بحران نیاز به وحدت همگانی،تلاش فراوان،مبارزه با فساد،اعتماد به داخل و بازگشت به قانون اساسی به معنای واقعی دارد.. #ونزوئلا #ایران #روحانی #دولت RT @alhosseini: سال ۱۹۵۰ #ونزوئلا چهارمین کشور جهان در میزان تولید ناخالص داخلی سرانه بوده است! تصمیمات غلط اقتصادی کشوری با آن جایگاه را به کجا رساند؟ به منطق اقتصاد بازگردیم. #ایران پتانسیل‌های بزرگی برای رشد و رهایی از این بحران دارد. قدر این کشور را بدانیم و قدرت علم اقتصاد را باور کنیم</t>
  </si>
  <si>
    <t>Moein</t>
  </si>
  <si>
    <t>https://pbs.twimg.com/media/DmGnoa0XoAAvRod.jpg</t>
  </si>
  <si>
    <t>#کروبی چرا «حق انحلال #مجلس توسط رهبری» به قانون اساسی اضافه نشد؟</t>
  </si>
  <si>
    <t>Jst stop watchin porn.</t>
  </si>
  <si>
    <t>Esf</t>
  </si>
  <si>
    <t>دیروز مامانم خورشت بدون گوشت پخته بود. عااااایِ #روحانی ما اون قدرها هم فقیر نبودیم ولی ظاهرن داریم میشیم.</t>
  </si>
  <si>
    <t>‏‏‏شناختی ..؟</t>
  </si>
  <si>
    <t>فهمیدی زنگ بزن 911</t>
  </si>
  <si>
    <t>درست نتونستن #کاخ_سفید رو طویله کنن ولی خانه ملت ( #مجلس ) رو تونستن طویله کنن.</t>
  </si>
  <si>
    <t>جیگساو 👺</t>
  </si>
  <si>
    <t>مقاومه و بس... و علاقمند به مطالعه و پیگیری رخدادهای منطقه بویژه سوریه, لبنان, سعودی و یمن</t>
  </si>
  <si>
    <t>https://pbs.twimg.com/media/DmGp2UfXcAAMFW9.jpg</t>
  </si>
  <si>
    <t>اگه بخواید نظام یه کشور رو سرنگون کنید چه میکنید؟ غیر از ضربه به مشروعیت حاکمیت و فاسد کردن و فاسد نشان دادن مسئولین و فشار اقتصادی به مردم, چیز دیگه ای هم به ذهنتون میرسه؟ #روحانی</t>
  </si>
  <si>
    <t>نماینده</t>
  </si>
  <si>
    <t>21 و 9 روز. در غربت . من از سراب آسمون هم توبه کردم.</t>
  </si>
  <si>
    <t>همه جا</t>
  </si>
  <si>
    <t>با شرایط جدیدی که #روحانی بوجو آورده صرفا می تونم بگم وارد عصر جنگل وحش ایران شدیم هر جایی میری ی حیوون قوی تر هست که بخواد شما رو ببلعه .</t>
  </si>
  <si>
    <t>حمید</t>
  </si>
  <si>
    <t>https://pbs.twimg.com/media/DmGqYe-XcAIhRt0.jpg</t>
  </si>
  <si>
    <t>بقیه کسانیکه #شفافیت_آراء_مجلس رو امضا نکردن یعنی طرف دوست نداره ملتی که این نماینده رو انتخاب کردن داره چه غلطی میکنه تو #مجلس</t>
  </si>
  <si>
    <t>ما از تکرار #روحانی به قحطی #پوشک رسیدیم ،امیدوارم بی #تومبان نشویم #روحانی_مچکریم #پوشک_بچه</t>
  </si>
  <si>
    <t>‏‏‏نیمه ی زمستونِ ۶۹ به دنیا اومدمُ دیپلمه ی آرایشگری ام عشقِ سینما و تاریخ و غذا و پیدا کردن دوستانی از جان عزیزتر. در ضمن ایمان دارم آخرش همه چی درست میشه...</t>
  </si>
  <si>
    <t>https://pbs.twimg.com/media/DmGs0YzW4AAOaCY.jpg</t>
  </si>
  <si>
    <t>انصافا از جاذبه های توریستیِ کشورِ #قم همین روحانیونِ #موتوری هستن. 😇😇 #روحانی #آخوند #شیخ</t>
  </si>
  <si>
    <t>رحیمی هستم.</t>
  </si>
  <si>
    <t>یعنی دولتی که دیگه رهبر بخواد حتی نسبت به کمبود و گرانی #پوشک_بچه هرچند در قالب مثال گوشزدی داشته باشه بجای حقوق و مزایا و هزار مدل برخورداری دیگه عوضش لایق محتویات همون #پوشک بچه های مردمه.. #روحانی #دولت ناتوان</t>
  </si>
  <si>
    <t>بنده آنم که لطفش دائم است</t>
  </si>
  <si>
    <t>https://pbs.twimg.com/media/DmGtNRYUwAExypT.jpg</t>
  </si>
  <si>
    <t>رفتار #مشایی خصوصادرجلسات دادگاه نشان ازخطرناکی این مارخوش خط وخال داره سنگینی وخطرناکی برخی اتهامات مانندجاسوسی سرویسهای بیگانه و #نفوذ اودرآدم زحمتکشی مث #احمدي_نژاد(که امید زیادی ازسوی مردم به اوبسته شده بود)خیانتی نابخشودنیه که کمترین ضررآن اقبال مردم به فردی چون #روحاني شد</t>
  </si>
  <si>
    <t>Aliei</t>
  </si>
  <si>
    <t>‏کارشناسی ارشد روابط بین الملل| یه طلبه ساده مثل امام خمینی! | فعال فرهنگی| عاشق کوهنوردی، شکلات، وطن</t>
  </si>
  <si>
    <t>https://pbs.twimg.com/media/DmGtYh0XoAc84DG.jpg</t>
  </si>
  <si>
    <t>وقتی #حسین_فریدون برادر #رئیس_جمهور تو دانشکده تون غیر قانونی و با رانت و پول دکتری میگیره و تو هیچ غلطی نمیتونی بکنی!! متاسفم برا یک سری استاد که مثلا خودشون رو مشاهیر علوم سیاسی در ایران می دونند ولی تا خرخره درگیر فسادن</t>
  </si>
  <si>
    <t>#روحانی #جاسوس ه #انگلیس ه شک نکنین کارهای ارتباطیشو هم #آذری_جهرمی براش انجام میده انتخاب اون بی حکمت نیست بعدا گندش در میاد.</t>
  </si>
  <si>
    <t>http://akharinkhabar.ir/politics/4559571</t>
  </si>
  <si>
    <t>شرط نمایندگان برای پس گرفتن #استیضاح #شریعتمداری</t>
  </si>
  <si>
    <t>‏بیشتر چیزایی که دنبالشیم توهمات مشترک ذهنمونه</t>
  </si>
  <si>
    <t>تیم #روحانی و #مسئولین #پوشک زیاد استفاده و ذخیره کردند این دلیل #کمبود_پوشکه</t>
  </si>
  <si>
    <t>Target_Tunnel</t>
  </si>
  <si>
    <t>http://akharinkhabar.ir/politics/4559620</t>
  </si>
  <si>
    <t>تشکر ویژه #روحانی از #رهبر_انقلاب</t>
  </si>
  <si>
    <t>خب ظاهرن چاپ کتابمون یک ماه دیگه هم به تاخیر افتاد. ممنونم ازت #روحانی پ.ن: من میگم روحانی ولی خب شخص ایشون مد نظرم نیست.</t>
  </si>
  <si>
    <t>تو رو جدتون یکی بگه تو این مملکت چه خبره چه خبره چه خبره. #نماینده خواب #رهبر خواب #مجلس خواب #سپاه خواب #ارتش خواب #روحانی خواب #پلیس خواب. یکی بیدار بشه #پوشک بچه شده قیمت گوشت من که بچه ندارم ولی خداوکیلی اون کارگر چه کند بیشرفها بی عرضه ها . سگ به از شماست مسوولین مملکت.</t>
  </si>
  <si>
    <t>یا سیاست وروابطتتون رو با کشورای دیگه خوب کنید که تحریم نشید یا اگه شاخ و شونه میکشید برا همه، عِلمش رو داشته باشید که از طریق دیگه حلش کنید و اوضاع رو درست کنید.مردم خسته شدن اینقدر بهونه ی همیشگی #تحریم رو شنیدن. #فساد #برجام #گرانی #ظریف #روحانی</t>
  </si>
  <si>
    <t>Darma</t>
  </si>
  <si>
    <t>شفافیت و کاملاً علنی یعنی اطلاعات کاملاً در اختیار عموم قرار گیرد، و این به‌معنای امکان نظارت نیرومند مردمی و شروع اصلاح ساختار نظام تصمیم‌گیری است. #مجلس از خود شروع کند و به دولت و #قوه_قضائیه تعمیم دهد. #شفافیت_آراء_مجلس</t>
  </si>
  <si>
    <t>http://www.trt.net.tr/persian/yrn/2018/09/02/zhrt-dstyr-rwhny-drbrh-mhdwdythy-lmy-hl-tsnn-yrn-1041666</t>
  </si>
  <si>
    <t>اظهارات #دستیار #روحانی درباره محدودیت‌های علمای #اهل_تسنن #ایران دستیار رئیس‌جمهور ایران در امور اقوام و اقلیت‌ها از مخالفت دولت با محدودیت‌های اعمال شده برای علمای اهل تسنن این کشور خبر داد</t>
  </si>
  <si>
    <t>دورگه طوري 🇪🇸🇮🇷 / همانا كتاب و نوتلا و همسترم كافيست:)🌙♡</t>
  </si>
  <si>
    <t>Nowhere</t>
  </si>
  <si>
    <t>خلاصع حواستون ب نوزاداتون باشه؛ حالا ك #پوشك_بچه در محاصره دشمنه همين روزاس #روحاني پست بزاره "مردم نگران پوشك نباشن"؛ يهو ديدي بچه تو بغلت آب شد رف:|</t>
  </si>
  <si>
    <t>Soha Bellon | سـُها بِلـون</t>
  </si>
  <si>
    <t>https://pbs.twimg.com/media/DmGzgjUXsAAyuVs.jpg</t>
  </si>
  <si>
    <t>آن بلاهایی که به سر #ملت آمد ،مادرش #مجلس بود. تمام بدبختی ها در #حکومت از مجلس سرچشمه گرفت. مجلس است که اساس یک کشور را به صلاح می کشد یا اساس یک کشور را رو به #فساد می‌برد. #امام_خمینی . . . . . . #شفافیت_آراء_مجلس</t>
  </si>
  <si>
    <t>http://cm-netnameh.blog.ir</t>
  </si>
  <si>
    <t>media</t>
  </si>
  <si>
    <t>یعنی دولت #روحانی توان تامین #پوشک رو هم نداره؟ حداقل در این زمینه استراتژیک به تولید ملی اتکا میکردید.</t>
  </si>
  <si>
    <t>Seyyed mehdi</t>
  </si>
  <si>
    <t>خب... دستتون درد نکنه! واسه رای آوردن سال آینده‌ی خودتون، نصف مملکت رو آزاد کردین رفت!! فردا همین مناطق میشن محل تقاضای #ارز که اونم باعث افزایش قیمت و بدبختی مردم و ... البته به جهنم!! این خوبه که دور بعد شما رای بیاری وگرنه که مردم کیلویی چند؟! #مناطق_آزاد #مناطق_ویژه #مجلس</t>
  </si>
  <si>
    <t>‏‏ایرانی، مسلمان، شیعه، مهندس و مستقل/ فالو و ریتوییت به معنی تأیید محتوا نیست./ سعی می کنم منصفانه به قضایا نگاه کنم</t>
  </si>
  <si>
    <t>رئیس جمهور کشورم با سلام لطفاً نقش خود را به عنوان رئیس جمهور به جامعه بی سوادان توضیح دهید با تشکر #دلار #روحانی</t>
  </si>
  <si>
    <t>Mahmoud 🇮🇷</t>
  </si>
  <si>
    <t>تغییر قیمت کالاها در ایران و واکنش مردم: . ۲۰هزار تومن 😊 ۵۰هزار تومن 😠 ۶۰هزار تومن 😡 ۵۰هزار تومن 😊 ۸۰هزار تومن 😠 ۱۰۰هزار تومن😡 ۸۰هزار تومن 😊 . این داستان ادامه دارد... #دولت_تدبیر #روحانی</t>
  </si>
  <si>
    <t>ostad hashtroudsari</t>
  </si>
  <si>
    <t>دستاوردهای اقتصادی دولت #روحانی : 1- بدهی بانک به #بانک_مرکزی و بانکها به ترتیب 4.5 برابر و 3 برابرشد. 2- نقدینگی با رشد 2.5 برابری به بیش از 1600 هزارمیلیاردتومان رسید. 3- ارزش ریال دربرابر #دلار به 3.5 برابرکاهش پیدا کرد. 4- نرخ نقدینگی به GDP از 53 درصد به بیش از 110درصد رسید.</t>
  </si>
  <si>
    <t>#بسته_حمایتی #رییس_جمهور که بعنوان"برخوردارسازی آحادجامعه از کارت کالا"یاهمان"#کوپن_الکترونیکی"برای کالاهای اساسی میباشد.که بدون توجه به اصلاح ساختارها، فساد بیشترخواهدشد.بعبارت دیگر،تاساختار #اقتصاد ی اصلاح نگرددهرگونه سیاستگذاری منجربه پیچده ترشدن وضعیت وانبوه بحرانهاخواهد شد.</t>
  </si>
  <si>
    <t>نمایندگان #مجلس یجوری به طرح های مطرح شده رای دادن که اگر به طرح #شفافیت_اراء_مجلس رای میدادن اصلا روشون نمیشد بیان داخل مردم اخه چرا یکاری میکنید که روتون نشه خودتون ازش دفاع کنید #شفافيت_آراء_مجلس</t>
  </si>
  <si>
    <t>موافقت #مجلس با تشکیل ۸۶ منطقه ویژه اقتصادی این در حالی هست که خیلی از واحدهای تولیدی به دلیل نرسیدن #مواد_اولیه در حال تعطیلی هستند! حالا تو این #مناطق_ویژه چه چیزی قرار است تولید شود خدا می داند!</t>
  </si>
  <si>
    <t>آقای #روحانی فقط 1 سال از دوره دوم ریاست جمهوریت گذشته #دلار رو 3 برابر کردی؟ یاد این می افتم که هنوز 3 سال دیگه از دولتت باقی مونده تنم به لرزه در می یاد #تا_1360_با_روحانی #بازگشت_به_عقب</t>
  </si>
  <si>
    <t>https://pbs.twimg.com/media/DmG4MtFWsAIsFop.jpg</t>
  </si>
  <si>
    <t>پنچرگیری در بهارستان ——— صفحه نخست روزنامه #صبح_نو دوشنبه ۱۲ شهریور ۱۳۹۷ #استیضاح_شریعتمداری #شریعتمداری #وزیرصمت #استیضاح #مجلس #دلار #ایران_عراق #العراق_وإيران_إخوة</t>
  </si>
  <si>
    <t>medical student فعال فرهنگی - آموزشی</t>
  </si>
  <si>
    <t>شما فهمیدید نماینده های #مجلس چجوری نگاه کردن که ایجاد #منطقه_آزاد در راستای #اقتصاد_مقاومتی قرار گرفت؟ 🤔</t>
  </si>
  <si>
    <t>Khashayar Fahim</t>
  </si>
  <si>
    <t>http://www.hashtagbime.com</t>
  </si>
  <si>
    <t>This is great team which all members are hard worker and intelligent whom like to solve one of the biggest issue on selling online insurance.</t>
  </si>
  <si>
    <t>https://pbs.twimg.com/media/DmG5PNSW4AI_Amo.jpg</t>
  </si>
  <si>
    <t>چطور هشتگ بيمه را نصب كنيم؟ #بيمه #بيمه_آنلاين #گرانی #جديد #شفافیت #مشاوره #نماینده #تهران #ایران</t>
  </si>
  <si>
    <t>hashtagbime</t>
  </si>
  <si>
    <t>‏‏‏‏من خودم یکی از اون صد و بیست و چهار هزارتام!! . .</t>
  </si>
  <si>
    <t>حاجی شماها یه چی شنیدین با طنز میشه انتقاد سیاسی کرد؛ ولی ناموسن این شرایط دیگه جوک ساختن نداره #دلار۱۲۰۰۰تومنی #پوشک_بچه #سکه #خودرو #مسکن #آخوند #ظریف #مطهری #روحاني</t>
  </si>
  <si>
    <t>جناب سروان</t>
  </si>
  <si>
    <t>https://pbs.twimg.com/media/DmG6AAtXgAAQm34.jpg</t>
  </si>
  <si>
    <t>🔸#طنز: واکنش دلار به #ناموس‌پرستی رئیس #بانک_مرکزی! * ستون #طنز_شهرونگ #دلار۱۲۰۰۰تومنی #دلار #روحانی</t>
  </si>
  <si>
    <t>‏سیّد‌اهل‌بیت. برآن عهد که بودیم هستیم. سعادتِ شهادت نبود لیک،خون دلها داده‌ایم.هیهات مناالذلة. ‎‎‎‎‎#محورمقاومة #آتش‌_به‌_اختیار</t>
  </si>
  <si>
    <t>به رسم ثبت در تاریخِ کثیفِ سیاست: همزمانی توافق لوزان تیم مذاکره‌کننده روحانی، با حمله خبیثانه رژیم آل سعود به یمن مظلوم!!! #برجام #يمن #روحانی</t>
  </si>
  <si>
    <t>آسيّدِ ایران</t>
  </si>
  <si>
    <t>https://twitter.com/rahimporazghadi/status/1036310167934197761</t>
  </si>
  <si>
    <t>اگرچه بیان صورت مساله واضح به‌ صورت شورانگیز، خلق #انقلابی_گری سطحی است اما آیا تا به حال از خودتان پرسیدید در کدام #ساختار_دموکراتیک نمایندگانی برای #مجلس انتخاب می شوند که برخی #فاسد برخی #ترسو برخی #بی_سواد و عمدتا مجلس خودش منشا بسیاری #تصمیمات_نادرست است؟ @Hasan_Rahimpour RT @rahimporazghadi: #رحیم_پور_ازغدی مجلس شورای اسلامی نیازمند الگوهایی چون شهید مدرس! #شهید_مدرس خطاب به نمایندگان مجلس آن روز می گوید: شماها می ترسید، چون یا چیزهایی دارید که نگرانید آنها را از دست بدهید، یا چیزهایی ندارید و در پی به دست آوردن آنها هستید #شفافیت_آراء_نمایندگان #شفافیت_آراء_مجلس</t>
  </si>
  <si>
    <t>یکی از کسانی که موقع رای گیری ریاست جمهوری مسئول وارد کردن رای‌ها به سیستم بود میگفت (با افتخار!) چهارتا از رای رئیسی رو وارد نکرده! این نمونه‌ای بود از یک منطقه کوچک! حالا با چقدر تقلب #روحانی ؛ #رئیس_جمهور شد خدا میدونه!</t>
  </si>
  <si>
    <t>#فان_حزب_الله_هم_الغالبون</t>
  </si>
  <si>
    <t>به نظرتون با #شفافیت_آراء_مجلس آیا #عباس_آخوندی بازم از #استیضاح جان سالم به در می‌بره یا اینکه گیر میفته ؟؟؟ #آخوندی #شفافیت_آراء_نمایندگان #شفافیت #وزیر_راه</t>
  </si>
  <si>
    <t>vahidprog</t>
  </si>
  <si>
    <t>‏عاشق آن دمم که ساقی گوید جامی دگر گیر و من نتوانم...</t>
  </si>
  <si>
    <t>پیشنهاد بنده به مجلس اینه که؛ رای گیری در مجلس توسط اینستاگرام صورت بگیره و از آمار رای گیری هم اسکرین بگیرن بزارن استوری...😁 . والا . #مجلس #شفافیت_آراء_مجلس</t>
  </si>
  <si>
    <t>saeed lotfi</t>
  </si>
  <si>
    <t>https://pbs.twimg.com/media/DmG-InmXsAEGgad.jpg</t>
  </si>
  <si>
    <t>#روحانی: رهنمودهای رهبر انقلاب راهگشای حرکت دولت است. باید به گونه ای عمل شود که پس از مدت کوتاهی گزارش اقدامات خود را در اجرای این فرمایشات خدمت ایشان ارایه کنیم.</t>
  </si>
  <si>
    <t>programmer</t>
  </si>
  <si>
    <t>وحشت از آینده نامعلوم واقعا کشنده شده. #دلار #روحانی #سکه #مسکن</t>
  </si>
  <si>
    <t>نسترن</t>
  </si>
  <si>
    <t>‏‏خداوند رحمت کند کسی را که بداند از کجا آمده ، در کجاست و به کجا میرود. ﴿پیامبر اکرم ص﴾</t>
  </si>
  <si>
    <t>حداقل مزیت این طرح این است که میدانیم کدام یک از نمایندگان #مجلس را با خانه ی خاله اشتباه گرفته اند که هر موقع میخواهند در مجلس حضور دارند. #شفافیت_آراء_مجلس #شفافیت_آراء_نمایندگان</t>
  </si>
  <si>
    <t>AM!R</t>
  </si>
  <si>
    <t>Mordad IT</t>
  </si>
  <si>
    <t>Iran,esfahan</t>
  </si>
  <si>
    <t>جناح بازی های سیاسی #لیست_امید به جایی رسیده که گویا #الیاس_حضرتی هم به صدا در آمده. باید دید این اقدام او حقیقتا همراهی با مردم است یا هوشمندانه می خواهد از زیر بار حمایت از #دولت_ناکارآمد #روحانی شانه خالی کند تمام گندهای این دولت به پای حامیانش نوشته خواهد شد</t>
  </si>
  <si>
    <t>پرونده سوال از #رئیس_جمهور در ۴ پاسخ قانع نشده #نمایندگان_مجلس ،#فعلا از ارجاع به #قوه_قضائیه باز ماند،این تصمیم حاصل جمع بندی #هیات_رئیسه مجلس است. برگ های برنده در دستان دو برادر #برادران_لاریجانی #استیضاح_رئیس_جمهمور</t>
  </si>
  <si>
    <t>https://pbs.twimg.com/media/DmHAyvXW4AI8BS0.jpg</t>
  </si>
  <si>
    <t>ارتباط مستقیم ۱۱ شهریور۹۷ محمدعلی توحیدی: اولین محور ویژگی شرایط امروز این است که اعتراض پایئنی ها و مقاومت به رژیم تحمیل شده است ویژگی دوم این است که رژیم سعی میکند که بحران را از #خامنه‌ای برگرداند ویژگی سوم هم اینست که پروژه کلان امنیتی #روحانی را با شکست روبرو کرده</t>
  </si>
  <si>
    <t>چنان سوالات قاضی دادگاه #مشایی را پخش می کند که قاضی هم مدام سوالش این هست که چرا با فلانی ها ارتباط داشتی و حتی می گوید آن فلانی ها #جاسوس هستند! خب بفرمائید محصول این ارتباطات چه بوده؟! صرف یک عکس داشتن مگر دلیل ارتباط است؟! بگوئید مثلا مانند #روحانی و #ظریف چه #برجامی حاصل شد</t>
  </si>
  <si>
    <t>خواست ما رفع تبعیض ، حقوق مکفی و امنیت شغلی است ، آیا خواسته زحمتکشان عرصه تولید طلای سیاه زیاد است : قضاوت با شما ، البته قاضی اصلی خداست</t>
  </si>
  <si>
    <t>نمایندگان محترم مجلس آیا یک بار از خود پرسیده اید وضعیت کارگران این مملکت چگونه است و با این گرانی چطور باید امورات خود را بگذرانند ، سالی یه افزایش حقوق بخور نمیر داریم و در طی سال باید فقط و فقط خدا خدا کنیم که چرا بدنیا آمدیم #کارگران_پیمانکاری_صنعت_نفت #مجلس #نمایندگان</t>
  </si>
  <si>
    <t>کمپین کارگران پیمانکاری صنعت نفت</t>
  </si>
  <si>
    <t>https://pbs.twimg.com/media/DmHBToaW4AASXgO.jpg</t>
  </si>
  <si>
    <t>💢وقتی دغدغه کشور از #سلولهای_بنیادی به #پوشک میرسد؛ قطعاً تحریمها برای فشار بر مردم است اما شاید طراحان آنها نیز فکرش را نمیکردند که روزی پوشک بخواهد دغدغه‌ی ما شود! ‌ #دولت_بی‌برنامه #به_عقب_برگشتیم #روحاني</t>
  </si>
  <si>
    <t>سامان دارابی</t>
  </si>
  <si>
    <t>امروز؛ موضع متضاد #روحانی و #کروبی درباره رهبری! از کی انتظار #رفع_حصر دارین؟</t>
  </si>
  <si>
    <t>https://pbs.twimg.com/media/DmHDCWvX4AYyG9j.jpg</t>
  </si>
  <si>
    <t>ارتباط مستقیم ۱۱ شهریور۹۷ محمدعلی توحیدی: پروژه #روحانی، الان بجایی کشیده است که خودش را به #مجلس میبرند و این شکست بزرگی است. چون این پروژه در دیماه مهر باطل به انتخاب روحانی زد، فرو ریخت و بدست قیام کنندگان نتایج سیاسی فرو ریخت و روحانی را به این نقطه رساند</t>
  </si>
  <si>
    <t>https://twitter.com/sadeghzibakalam/status/1036290486791618562</t>
  </si>
  <si>
    <t>باشه آقای دکتر ‌@sadeghZibakalam ته این صحبتتون به اینجا میرسه که روحانیت با عملکردش جوونارو از دین زده کرده ولی بهتر قبلش پاسخگوی رأی هایی باشید که واسه #روحانی جمع کردید ٫ یا شاید فقر و بدختی هنوز به خونه شما نرسیده و فک میکنید روحانی انتخاب اصلح RT @sadeghZibakalam: ماکان نوه یکساله ام سرماخورده بود و ناآرمی میکرد.غروب باتفاق دخترم مریم بردیمش پارک کوچک سعادت آبادنزدیک منزلمان.خیلی شلوغ بود صدهانفر آنجابودند.پایین پارک مسجدی هست رفتم انجا برای نماز.خشکم زد.۲۰نفرهم نیامده بودند که ۱۰،۱۵نفرشان بواسطه کهولت پشت صندلی نمازمیخواندند.چه کرده ایم؟</t>
  </si>
  <si>
    <t>https://pbs.twimg.com/media/DmHCY_TU0AA2gH6.jpg</t>
  </si>
  <si>
    <t>اول اینکه اون #استان هایی که یک نفر مونده تلاششونو بیشتر کنن.دوم اینکه دم #البرز یاگرم که100%کردن.#کهکلویه_و_بویوراحمد چه خبره #شفافیت_آراء_نمایندگان در #مجلس ان شالله با این امضاها دیگه تصویبه . مگر اینکه #ایران دیگه...امید وارم با یه رای 100%کاممون عسل بشه.مبارک باشه شفافیت اول</t>
  </si>
  <si>
    <t>pic.twitter.com/ztaF6QDFHe</t>
  </si>
  <si>
    <t>https://twitter.com/divanen44/status/1036310531630686214</t>
  </si>
  <si>
    <t>از قیافه ی #روحانی مشخصه که توی #پوشک خودش ریده و انقدر گرون شده ک نمیتونه عوض کنه RT @divanen44: بزرگترین معرف کشور که باعث ناراحتی مردم شده #پوشک است #رژیم_را_سرنگون_کنیم @Iranncorg @ir_humanrights @USAdarFarsi @PahlaviReza @israelipm_farsi</t>
  </si>
  <si>
    <t>Freedom_Fighter1987</t>
  </si>
  <si>
    <t>‏‏سلامتی امام زمان(عج) شادی روح شهدا صلوات</t>
  </si>
  <si>
    <t>Dezful</t>
  </si>
  <si>
    <t>ای کاش موضوع #شفافیت_آرای_نمایندگان به رفراندم گذاشته شود یا استیضاح #روحانی.</t>
  </si>
  <si>
    <t>rahim tehrani</t>
  </si>
  <si>
    <t>‏‏‏اهل تهرانم . گاهی هم کارشناس فروش ، بازاریابی و تبلیغات تجاری ام ...</t>
  </si>
  <si>
    <t>https://twitter.com/Ned_Ned_/status/1036313373934342146?s=19</t>
  </si>
  <si>
    <t>خرها همون خرها هستند و فقط پالونشون عوض میشه ... #روحانی #موسوی #خاتمی #رفسنجانی #کروبی همه از یه قماشن. کلاش.ریاکار.فاسد.کذاب.گشنه.حریص.قاتل. همشون هم توی پرونده کاریشون،گوه کاری هست. همه هم میدونن پس لطفا روشون ماله نکشید و قدیسشون نکنید.RT @Ned_Ned_: @Leonm05 اقاى روحانى ٣٨ ساله كه همه جور پست مهمى تو ج.ا داشته و يك لحظه هم از قدرت كنار نرفته. مقايسه اش با اقاى موسوى مقايسه دقيقى نيست. تغيير رويه اين ١ سال و چرخش ١٠٠٪ به سوى بلوك قدرت هم نشون داده كه به راحتى به مردم پشت كرده.</t>
  </si>
  <si>
    <t>Loard Bealish</t>
  </si>
  <si>
    <t>https://pbs.twimg.com/media/DmHDmdqWsAQhfGd.jpg</t>
  </si>
  <si>
    <t>ارتباط مستقیم ۱۱ شهریور ۹۷ علیرضا معدنچی‌:شاید قبل از قیام دیماه میشد گفت که کی بازنده و کی برنده شده ولی بعد از قیام دیماه، همه چیز جامعه #ایران را دستخوش تغییر کرد و نمیشه گفت #روحانی خیلی مفتضح شد و سودش به جیب #خامنه‌ای رفته و او بالا رفته این وضعیت برای کل رژیم باخت است</t>
  </si>
  <si>
    <t>وقتی سخنانت میشه نشانه اقتدار معلومه که چه خبره #روحانی</t>
  </si>
  <si>
    <t>‏‏دور مانده از زادگاه ولی قلبش همچنان میتپد</t>
  </si>
  <si>
    <t>تبرستان</t>
  </si>
  <si>
    <t>یه روزی #روحانی میاد تلویزیون و با افتخار میگه تو دوران ریاست جمهوری من مواد مخدر هیچ وقت گرون نشد</t>
  </si>
  <si>
    <t>۴۴ _ شرق</t>
  </si>
  <si>
    <t>‏Art student uni damghan و خدایی که در این نزدیکی ست</t>
  </si>
  <si>
    <t>Shandermin</t>
  </si>
  <si>
    <t>https://pbs.twimg.com/media/DmHFRi4XcAEhUsH.jpg</t>
  </si>
  <si>
    <t>مردم دارن #گشنگی میمیرن این #نماینده ی محترم گرفته #مجوز اجرای عمومی کنسرت رو ..... بابا کنسرت خوبه ولی از اون بهتر نبودن #دزد تو مملکته ،تا زمانی دزد تو مملکت باشه مردم #خوشحال نیستن......</t>
  </si>
  <si>
    <t>سجاد</t>
  </si>
  <si>
    <t>https://pbs.twimg.com/media/DmHGMh0W4AAkNmv.jpg</t>
  </si>
  <si>
    <t>ارتباط مستقیم ۱۱ شهریور ۹۷ علیرضا معدنچی: باند دلواپسان #خامنه‌ای میخواستند #روحانی را #استیضاح کنند ولی بعد به سوال و جواب رضایت دادند شاید این را بازی بدانند ولی ما آنرا یک بازی سیاسی نمی بینمی در استیضاح دو وزیر دولت، این بهم ریختگی در باند روحانی هم قابل رویت بود</t>
  </si>
  <si>
    <t>https://pbs.twimg.com/media/DmHGkCJXsAI3QMd.jpg</t>
  </si>
  <si>
    <t>یه روز #ماعده_هژبری یه روز #خواهران_منصوریان و... دلار ،سکه،خودرو و.... اونا مهم نیست... خوب رو هوا هستید گوگولیا... #روحانی #مجلس #خواهران_منصوریان #شفافیت</t>
  </si>
  <si>
    <t>علی لازمی</t>
  </si>
  <si>
    <t>‏‏‏‏‏‏‏‏‏‏‏‏‏‏‏‏‏‏‏‏‏‏‏‏‏‏‏‏‏‏در سیاره کوچک ما عقاید بیشتر از طاعون و زلزله موجب بلا شده ✴ 🔴«عرزشی❇تجزیه طلب»🔁⛔</t>
  </si>
  <si>
    <t>https://pbs.twimg.com/media/DmHGv07UwAAbkwJ.jpg</t>
  </si>
  <si>
    <t>🔴آقای #روحانی فقط ۱۰ ثانیه خودت رو بجای پدری بگذار که از روی فرزندش شرمنده است! مردم خسته و درمانده شدند.. فقط کمی خجالت همین..❕ @Rouhani_ir</t>
  </si>
  <si>
    <t>S a m i</t>
  </si>
  <si>
    <t>http://STnews.ir</t>
  </si>
  <si>
    <t>‏‏‏ما به هوش و تخصص ایرانیان باور داریم. بزرگترین مرجع اخبار علمی کشور در شبکه های اجتماعی</t>
  </si>
  <si>
    <t>https://pbs.twimg.com/media/DmHHLPBWsAAu59O.jpg</t>
  </si>
  <si>
    <t>#حسین_فریدون برادر و دستیار ویژه #رئیس‌جمهور فردا از رساله دکترای خود دفاع می کند. این دفاع در حالی صورت می‌گیرد که از سوی تعدادی از اعضای کمیسیون آموزش و تحقیقات مجلس اعلام شده بود تخلف در روند تحصیلی حسین فریدون محرز شده است. این موضوع انتقادات زیادی را در پی داشته است.</t>
  </si>
  <si>
    <t>خبرگزاری علم و فناوری</t>
  </si>
  <si>
    <t>🔸رهبر انقلاب : اگر در یک جامعه #فساد در میان #مردم رواج داشت و مردم از اخلاق خوب برخوردار نبودند نمی شود مردم آن جامعه را ملامت کرد؛باید زمامداران آن جامعه را ملامت کرد #دولت #روحاني #فساد_اقتصادی</t>
  </si>
  <si>
    <t>http://sarshar.org</t>
  </si>
  <si>
    <t>‏‏‏‏‏‏‏‏‏محمدرضا سرشار (رضا رهگذر): داستان‌نویس، پژوهشگر و منتقد ادبی, راوی برنامه قصه ظهرجمعه رادیو// غمِ این خفته ی چند/ خواب در چشمِ ترم می شکند...</t>
  </si>
  <si>
    <t>جمعی از تشکل های دانشجویی دانشگاه شهید بهشتی با غیرقانونی و رانتی‌خواندن تحصیل برادر #رئیس_جمهور در مقطع دکترا خواستار توقف روند دفاع از پایان‌نامه‌ وی شدند.</t>
  </si>
  <si>
    <t>محمدرضا سرشار(رهگذر)</t>
  </si>
  <si>
    <t>آهای اونی که برای اینده ی بچت به #روحانی رای دادی ولی الان حتی نمیتونی براش پوشک بخری #شب_تو_هم_بخیر 😕😕</t>
  </si>
  <si>
    <t>توضیحی از وضعیت امروز #روحانی . یک تحلیل خوب و کامل RT @khoshbakht_a: 1-وضعیت #روحانی و دولتش به لحاظ سیاسی به نظر حتی نابسامانتر ازوضعیت دولت #خاتمی بعد از برگزاری انتخابات مجلس هفتم و دولت #احمدی_نژاد در دو سال پایانی است.دراین #رشته_توییت سعی کردم توضیح دهم که چگونه #روحانی در حالیکه میکوشد ناجی نظام باشد،به قربانی اصولگرایان تندرو مبدل شده است.</t>
  </si>
  <si>
    <t>https://pbs.twimg.com/media/DmHIpstW0AA0Ish.jpg</t>
  </si>
  <si>
    <t>ارتباط مستقیم ۱۱ شهریور ۹۷ علیرضا معدنچی: رژیم آنقدر شکننده است که در #استیضاح وزیر آموزش و پرورش را برخی‌ها پس گرفتند استیضاح وزیران #دولت، برای این است که آبی روی آتش قیام مردم بریزد ولی عاجز و ناتوان است که تا آخر ادامه بدهد و مشابه وضعیت دوران آخر زمان شاه است</t>
  </si>
  <si>
    <t>کو کوزه گر و کوزه خر و کوزه فروش!!!</t>
  </si>
  <si>
    <t>bojnord</t>
  </si>
  <si>
    <t>اشتباه یک پزشک زیر خاک دفن میشود، اشتباه یک مهندس روی خاک سقوط میکند، و اما اشتباه یک ملت،پشت میز می نشیند و مملکتی را به خاک سیاه می نشاند.. #نمایندگان #رئیس_جمهور</t>
  </si>
  <si>
    <t>Roya Ahmadi</t>
  </si>
  <si>
    <t>به نظر میرسد رفتار شتاب زده و اظهارات متناقض دولتمردان و تصمیمات تعجب برانگیز #مجلس از عمده ترین دلایل التهاب در #بازار و‌ باعث بروز نگرانی در مردم برای تامین‌ مایحتاج باشد. کاش میشد که این بزرگواران هیچ کاری نمی کردند و حرفی نمی زدند! #ارز #کالا #گرانی #تورم</t>
  </si>
  <si>
    <t>“Neck kisses, coffee dates &amp; midnight car rides.” ( i’m in ❤️ )</t>
  </si>
  <si>
    <t>آقای #ظریف، آقای #روحانی: جون بکنی از صبح تا شب! که در به در بشی دنبال یه آمپول ۷/۵۰۰۰/۰۰۰ تومنی! بعد بری خونه به مامان بگی ایشالا دو سه روز دیگه جور میشه! میفهمی ینی چی؟! میفهمی درد رو! میفهمی مادر رو؟ فرزند رو!؟جوونی رو؟ زندگی رو!</t>
  </si>
  <si>
    <t>سوزان</t>
  </si>
  <si>
    <t>دکتر حسن #روحانی گفت اگه دستور بدهد قیمت دلار به قبل از شهریور ۹۶ باز می گردد! دکترجان؛ با سیاست های پولی و مالی فعلی و اعضاء تیم اقتصادی دولت تدبیر وامید که امکان ندارد دستوری هم بتوانید قیمت دلار را کاهش دهید، نکنه با #حذف_صفر از واحد #پول_ملی می خواهید #نرخ_دلار را #کاهش دهید!</t>
  </si>
  <si>
    <t>ما همه جیره خور خوان کریمیم</t>
  </si>
  <si>
    <t>https://pbs.twimg.com/media/DmHLe2wW0AUIYdi.jpg</t>
  </si>
  <si>
    <t>اصن خود رای ها به این طرح توی مجلس باید علنی و شفاف باشه که ببینیم کی با #شفافیت_آراء_مجلس مخالفه. #شفافیت_آرا_نمایندگان #مجلس</t>
  </si>
  <si>
    <t>مهران شهروز</t>
  </si>
  <si>
    <t>عباسی عضو هیئت رئیسه مجلس: ارجاع #سؤال_از_رئیس‌جمهور به قوه قضائیه فعلا منتفی شد همانطور که طرح #اعاده_اموال_نامشروع_مسئولین از دستور کار مجلس خارج شد حالاهم نوبتی هم که باشه نوبت رد شدن طرح #شفافیت_آراء_نمایندگان مجلسه اینم از برکات ریاست #لابیجانی ببخشید لاری‌جانی است</t>
  </si>
  <si>
    <t>‏زمان که بگذرد دیگر مسئله‏ی اصلی خیانت معشوقه نیست، مهم‏ترین چیز شکست دادن رقیب است</t>
  </si>
  <si>
    <t>بایدبه گونه‌ای عمل شود که پس از مدت کوتاهی گزارش اقدامات خود در اجرای این فرمایشات را خدمت ایشان ارایه کنیم! جمله بالا پاسخ واقعی #روحانی به فرمایشات #رهبر در خصوص #پوشک است!!!،</t>
  </si>
  <si>
    <t>ماهدیس</t>
  </si>
  <si>
    <t>https://pbs.twimg.com/media/DmHNJEyX0AInqV8.jpg</t>
  </si>
  <si>
    <t>آقای دولت! #shake_yourself آقای #روحانی خودت را تکان بده به عبارت خودمانی: بجمب...دست روی دست گذاشتن بسه مطلب قابل تامل روزنامه وطن امروز در شماره فردا با تیتر فوق @vatan_emrooz</t>
  </si>
  <si>
    <t>که می‌آید به سر وقت دل ما جز پریشانی؟🤔 که می‌پرسد بغیر از سیل، راه منزل ما را؟😢</t>
  </si>
  <si>
    <t>وَلاَ يَجْرِمَنَّكُمْ شَنَآنُ قَوْمٍ عَلَى أَلاَّ تَعْدِلُواْ مبادا دشمنی شماباگروهی باعث بشه که ازعدالت دوربشید (قرآن_مائده_۸) #احمدی_نژاد #احمدی_نژادیها #مشایی #بقایی #دادگاه_علنی #صادق_لاریجانی #روحانی #رهبر #بیت_رهبری #فرقه_تبهکار</t>
  </si>
  <si>
    <t>آناخانومی</t>
  </si>
  <si>
    <t>‏‏‏بر سر تخت شما توی سر هم بزنید/ ما ته چاه عزیزیم برای خودمان</t>
  </si>
  <si>
    <t>گفته شده #رئیس_جمهور کسی رو برای #سرپرستی #وزارت_اقتصاد انتخاب کرده که سابقه #آموزشی داره اما سابقه #اقتصادی نداره. ای کاش لااقل #علوی رو سرپرست وزارت اقتصاد میکردی تا بتونه با #استدلال_قوی توجیهش کنه. اهل معرفت متوجه شدن چی گفتم. راهنمایی:#شبکه_اصفهان</t>
  </si>
  <si>
    <t>liberal منتقد وضع موجود...</t>
  </si>
  <si>
    <t>در مجلس سوالاتی از دکتر ظریف شد که مربوط به دوران سفارت وی بود ، قانونا طرح چنین مسائلی باید در زمان رای اعتماد صورت بگیرد و تنها موضوعات مربوط به دوران وزارت باید از وی پرسیده می شد. اتفاقات اخیر مجلس نشان از توطئه علیه دولت روحانی ست... #Iran #مجلس #روحانی</t>
  </si>
  <si>
    <t>MORTEZA</t>
  </si>
  <si>
    <t>https://telegram.me/STD_behbahani</t>
  </si>
  <si>
    <t>Phd of technology management-Modern Diplomacy- S&amp;T diplomacy,water diplomacy researcher- international political activist-technology and since policy making!</t>
  </si>
  <si>
    <t>Islamic Republic of Iran-teh</t>
  </si>
  <si>
    <t>کاش مثل قدیم ها #مردم میخندیدند، کاش مدیران مملکتم مثل انهاکه اول #انقلاب #شهید شدند،#وجدان داشتند، کاش #دلار همان۸۰۰بود، کاش الکی وزیر #استیضاح نمیکردند و کاش پدر مادرها نگران #پوشک بچه هایشان نبودند و جوون ها راحت ازدواج میکردند! اونموقع شاید من هم به چالش #سنی_دئیللر میپیوستم.</t>
  </si>
  <si>
    <t>sayedalireza_behbahani.ir</t>
  </si>
  <si>
    <t>نگرانی شدید از آینده،مقصر معرفی کردن #مردم،ترس از هوشیاری مردم،گروکشی جناحی و تهدید به افشاگری در لفافه ،اعتراف زیر پوستی به اینکه دزد خودمان هستیم و داروغه و قاضی و حاکم هم خودمان،رخوت و شلختگی و بی برنامگی و بوی گند فساد دروغ چیزهایی بود که از حرافی #روحانی میشد یافت.</t>
  </si>
  <si>
    <t>shab_cheragh</t>
  </si>
  <si>
    <t>آقای دکتر دکتر می شود!!! #روحانی</t>
  </si>
  <si>
    <t>http://gooyeh-qom.com/</t>
  </si>
  <si>
    <t>سید محمد حسین دریاباری مدیر مسئول روزنامه گویه ، سردبیر سابق نشریه تبیان و مسئول فضای مجازی مرکز بزرگ اسلامی غرب کشور کانال تلگرام https://t.me/daryabary1339</t>
  </si>
  <si>
    <t>فیروزکوه ، وشتان</t>
  </si>
  <si>
    <t>#مجلس شورای اسلامی وظیفه #قانونگذاری و مسؤولیت #نظارتی را بر عهده دارد نظارت عام نمایندگان شامل #تذکر #شفاهی ، تذکر #کتبی ، #سؤال ، #استیضاح ،#تحقیق و#تفحص است . الان که کشوربا #مشکلات عدیده مواجه شد و#انتخابات درراه است همه این وظایف یادتان آمد؟تابه حال #اسم شماچه بوده است؟</t>
  </si>
  <si>
    <t>سیدمحمدحسین دریاباری</t>
  </si>
  <si>
    <t>یه مهندس که باید اول خودشو بسازه (از نو)</t>
  </si>
  <si>
    <t>شاید باورتون نشه اما من تا حالا اسم و صدای نماینده های شهرمون رو توی مجلس نشنیدم نه تا حالا به عنوان موافق طرحی صحبت کردن و نه مخالف اسم و امضاشون رو تو هیچ طرحی ندیدم نه #شفافیت_آرا_نمایندگان و نه #سوال_از_رییس_جمهور شاید همونایی باشن که همیشه ممتنع هستن چون #شفاف نیست نمیدونم</t>
  </si>
  <si>
    <t>مهندس مهدی</t>
  </si>
  <si>
    <t>https://pbs.twimg.com/media/DmHRwjeXoAI3oLM.jpg</t>
  </si>
  <si>
    <t>http://tn.ai/1818803</t>
  </si>
  <si>
    <t>📸مراسم ترحیم مرحوم #قمشه معاون سابق امور #مجلس #کمیته_امداد امام خمینی(ره)</t>
  </si>
  <si>
    <t>اینجا بنا است خانه ای باشد برای افکار یک کوهنورد خسته .. #کرد_ایرانی #لیورپول مثلا آی تی من !</t>
  </si>
  <si>
    <t>ما به به #روحانی رای دادیم شما #برانداز های که بالا 10 میلیون بودین رای ندادین چرا به ما فحش می دین وجودش دارید 5 میلیون تون بریزید ج ا سرنگون کنید وجودش ندارید فحش ندین همه تو خارج از کشور می تونن باشن آبجو خنکشون بخورن دستور برندازی صادر کنن</t>
  </si>
  <si>
    <t>‏به نام خدا♡ همسر،پسر،برادر و پدر در اینده ی نزدیک. مُحِبِ اهل بیت . مُحِبِ صاحب الامر عج انشالله. توییت و ریتوییتر انقلابی ارزشی. فالو =فالو</t>
  </si>
  <si>
    <t>جهت ثبت در تاریخ #روحاني #ریتوییت_لطفا RT @asoupar: وقتی رئیس فراکسیون غذا و داروی مجلس می‌گوید: "مردم نگران نباشند؛ در تامین شیرخشک و پوشک بچه مشکلی نداریم." فکر می‌کنم دولت و مجلس باید از خجالت بمیرند؛ دغدغه‌ی کشور از موشک دوربرد و پرتاب ماهواره و نانو و سلول‌های بنیادین رسیده به پوشک بچه! آقای روحانی! تو با این مملکت چه کردی؟!</t>
  </si>
  <si>
    <t>#FarhaD_iR_♡</t>
  </si>
  <si>
    <t>#روحانی وقت میخرد.چرا؟ پشت برده چه میکند؟منتظر کدام توافق پنهانی است.پنبه کی را دارد میزند قَدْ #مَكَرَ‌ الَّذِينَ مِن قَبْلِهِمْ فَأَتَى اللَّهُ بُنْيَانَهُم مِّنَ الْقَوَاعِدِ فَخَرَّ‌ عَلَيْهِمُ السَّقْفُ مِن فَوْقِهِمْ وَ أَتَاهُمُ الْعَذَابُ مِنْ حَيْثُ لَا يَشْعُرُ‌ونَ</t>
  </si>
  <si>
    <t>https://pbs.twimg.com/media/DmHT20gWsAABRLx.jpg</t>
  </si>
  <si>
    <t>کمتر از 8ساعت دیگر #حسین_فریدون بردار #ريیس_جمهور از رساله اش در #دانشگاه_شهیدبهشتی دفاع می کند، قرار بود #نمایندگان_مجلس در کمیسیون آموزش و تحقیقات این ماجرا را پیگیری کنند و مانع این رانت شوند اما چه چیزی باعث شد تا بیخیال ماجرا شوند؟ نکند پای #رانت های دیگری در میان است!؟!</t>
  </si>
  <si>
    <t>‏‏‏‏‏‏‏‏‏ازدحام است سرکوی شما اذن بده ما بنشینیم همین آخرها ‎‎#عشقیمیز_اوزدیلیمیز</t>
  </si>
  <si>
    <t>ناامید "لطفا به بند اول سَبابه ات بگو" خود کرده را دولت تدبیر و امید نیست... #ابراهيم #روحانی</t>
  </si>
  <si>
    <t>اَبـُوحِلْــٰمأ</t>
  </si>
  <si>
    <t>https://pbs.twimg.com/media/DmHUilJVsAEXhEu.jpg</t>
  </si>
  <si>
    <t>این حالا روز سوال کنندگان ار بعضی از نمایندگان مجلسه... #گونی #مجلس #شفافیت_آراء_مجلس</t>
  </si>
  <si>
    <t>pic.twitter.com/9KrYov4t0L</t>
  </si>
  <si>
    <t>به قول آقای ظریف ما خودمون انتخاب کردیم طور دیگه زندگی کنیم #روحانی #ظریف #گرانی #تورم #تلخند</t>
  </si>
  <si>
    <t>mohsen.cow boy</t>
  </si>
  <si>
    <t>https://twitter.com/sam1kia/status/1036343464366166018</t>
  </si>
  <si>
    <t>همین الان که یه سری تو فکر عذاب وجدان روحانی هستند، یه سری تو فکر اینکه نمیذارن روحانی کار کنه، یا اینکه بودنش بهتر از نبودنشه؛ خود #روحانی رای‌شو جمع کرده و الان با خانواده و رفقا دارن با سرعت نور دزدی میکنن تا هم جیبشون پر شه هم همه فحش‌ها و خفت‌هاشون ارزش پیدا کنه. همین. RT @Sam1Kia: پرزیدنت روحانی شب چطوری می‌خوابه؟</t>
  </si>
  <si>
    <t>https://pbs.twimg.com/media/DmHYCR2W0AA1ZYc.jpg</t>
  </si>
  <si>
    <t>http://yon.ir/4lHPE</t>
  </si>
  <si>
    <t>بیرانوندی: آموزش و پرورش روی ریل است،نیازی به #استیضاح نبود❗️ 397/6/11 جزئیات خبر👇</t>
  </si>
  <si>
    <t>خدایا! اگر دستبند تجمل نمی بست دست کمانگیر مارا کسی تا قیامت نمیکرد پیدا از آن گوشه کهکشان تیر مارا</t>
  </si>
  <si>
    <t>IR.IRAN</t>
  </si>
  <si>
    <t>همیشه برام جای سوال بودِ چرا رای نمایندای که خودم رای دادم و رفته نشسته #مجلس باید از من مخفی باشه؟ #شفافیت_آراء_مجلس</t>
  </si>
  <si>
    <t>اُمید فٰارٰان</t>
  </si>
  <si>
    <t xml:space="preserve">Ankara </t>
  </si>
  <si>
    <t>https://pbs.twimg.com/media/DmHY8NKWwAAc_yp.jpg</t>
  </si>
  <si>
    <t>اعتراف @JZarif. آقای ظریف در مجلس اعتراف کرد که دولت @Rouhani_ir نماینده #Rothschild در ایران هستش. @georgesoros #روحانی #ظریف #دلار #دلار۱۲۰۰۰تومنی #بنیاد_جامعه_باز #جرج_سوروس #روزشایلد</t>
  </si>
  <si>
    <t>Mct Aghp🇦🇿🇹🇷</t>
  </si>
  <si>
    <t>روسیه یکی از نابغه های ریاضی اش را رئیس بانک‌مرکزی کرده و تحریم های #روسیه را خنثی کرده، #روحاني هم سیف و عراقچی بی تجربه و کم سواد را کرد مسئول پول کشور که تنها تخصصشان رفاقت و آقازاده بودن بوده</t>
  </si>
  <si>
    <t>https://pbs.twimg.com/media/DmHZgNdV4AAtTsB.jpg</t>
  </si>
  <si>
    <t>🔅با افزایش درخواست مردم، تعداد نمایندگان موافق #شفافیت آرا به «۲۰۷» نفر رسیده است. 🔺 خب، دیگه با این وجود وقتی رای گیری شکل بگیره، قطعا طرح باید تصویب بشه، مگر اینکه... #مجلس #شفافیت_آراء_مجلس</t>
  </si>
  <si>
    <t>دانش آموخته مهندسی فناوری اطلاعات و دانشجوی کارآفرینی</t>
  </si>
  <si>
    <t>دردآور تر از اینکه #مجلس هر چیزی که به ضررشون باشه رو تصویب نمیکنه چی میتونه باشه؟؟؟ /</t>
  </si>
  <si>
    <t>مفرد مذکر</t>
  </si>
  <si>
    <t>pic.twitter.com/cjindtxsLD</t>
  </si>
  <si>
    <t>🔴 بدل #خامنه‌ای و قیافه متعجب #روحاني!/ پوشک بچه ناگهان کمیاب می‌شود این خرابکاری ( منظور خرابکاری بچه است یا دشمن !) است،این کار دشمن است،می خواهد مردم از دولت و حکومت عصبانی شوند! ✍بازی پوشکی حکومت با ذهن مردم: ۴۰تومن😊 ۵۰تومن😠 ۶۰تومن😡 ۵۰تومن😍 ۸۰تومن😡 ۱۰۰تومن🤬 ۸۰تومن🤗</t>
  </si>
  <si>
    <t>اینکه یه #مجلس داریم متشکل از پزشک و سردار و ریاضیدان و خلبان و... مثل این میمونه که با بچه های دانشکده ادبیات و دانشکده برق سمپوزیوم آب مروارید چشم برگزارکنی!</t>
  </si>
  <si>
    <t>تاریخ #مجلس رو باید به دو بخش تقسیم کنیم؛ قبل از طرح #شفافیت_آراء_مجلس و بعد از طرح. اسامی دو جریان اصولگرا و اصلاح‌طلب رو هم بی‌خیال بشیم و نماینده‌ها رو تقسیم کنیم به؛ فراکسیون شفاف‌گرا و فراکسیون کدرگرای ضایع و اپوزیسیون گونی(همون امید سابق)!</t>
  </si>
  <si>
    <t>دلخوشی یعنی توی روضه... اشک چشام برات میریزه... روز قیامت پیش زهرا... گریه کنت خیلی عزیزه...</t>
  </si>
  <si>
    <t>زاهدی نماینده مردم کرمان: اینکه تا دیروز همه را تشویق می کردید به رأی دادن به آقای #روحانی و هشتگ می زدید. #با_روحانی_تا_۱۴۰۰ و می خواستید حماسه ای دیگر را " تَکرار" کنید؛ ولی امروز پا پس می کشید نه #رسم_مردانگی است و نه بهانه ای برای #فرار_از_پاسخگویی.</t>
  </si>
  <si>
    <t>حاج ولتر</t>
  </si>
  <si>
    <t>#مجلس=دزدخانه،#کابینه_دولت= دزد خانه، #قوه_قضائیه=دزد خانه، از صدر تا ذیل همه الحمدالله رب العالمین دزد، نکته جالب اینه که اینها به شدت خیر سرشان با #فساد می خواهند مبارزه کنند، وای به روزی که این #پا_برهنه_ها احقاق #حق کنند، بترسید از آن روز، که خیلی هم دیر نیست. #مبارزه_با_فساد</t>
  </si>
  <si>
    <t>ali.abedi</t>
  </si>
  <si>
    <t>‏‏‏‏‏من فاطی ام (مثل قیصر تلفظ کن)غلط املایی بگیر تا بلاک بشوی!! بانوی سیبیلویِ سیبیل دوست!!! توییتت رو برای ریت دایرکت بفرست!!! متاهل!!!!</t>
  </si>
  <si>
    <t>https://pbs.twimg.com/media/DmHfHnNXcAAH1dt.jpg</t>
  </si>
  <si>
    <t>روحانی: تو چی میخوردی موقع #سوال_از_رئیس_جمهور ؟ لاریجانی: گوه :))</t>
  </si>
  <si>
    <t>آوات(سیبیلوی سابق)</t>
  </si>
  <si>
    <t>https://www.instagram.com/amirwit</t>
  </si>
  <si>
    <t>Ai🌐 September💎 The world is changed...</t>
  </si>
  <si>
    <t>https://pbs.twimg.com/media/DmHnMSqXsAAwybU.jpg</t>
  </si>
  <si>
    <t>تا 1400 با روحانی🚀 #ایران #ایرانی #روحانی #اقتصاد #دلار #فقر #مردم #گرانی #بیکاری #ریال #پول #Iran #Iranian #Rouhani #USD #Dollar #economy #poverty #people #Unemployment #rial #money #bread #Food #Hunger</t>
  </si>
  <si>
    <t>Amir Moradi</t>
  </si>
  <si>
    <t>وسط این تایملاین شلوغ پلوغ یه چی بگم دل #دهه_شصتیها خنک بشه. با مصوبه امروز #مجلس عملا سیستم #کوپن برای کالاهای اساسی زنده شد. این یعنی بچه‌هایی که کوپن ندیدن هم باید توی صف برنج و شکر بایستند!! #روحانی_مچکریم که انتقام ما رو گرفتی و نذاشتی بچه‌های دهه ۷۰و۸۰و۹۰ ازصف کوپن در برن!!</t>
  </si>
  <si>
    <t>داداش #پوشک بچه و #سوال_از_رییس‌جمهور و #کروبی و #خاتمی و.... نگاییدم براندازم میفهمی فقط برانداز #براندازم حتی اگه دلار رو به هفت ریال برسونید بازم براندازم کس ننه مملکت دینی</t>
  </si>
  <si>
    <t>آیت الله شیاف الدین کاشانی</t>
  </si>
  <si>
    <t>‏‏انقلابی مد نظر رهبری . اهل اصفهانم . فعال در حوزه فرهنگی و سیاسی و مذهبی . مشاور امور جوانان شورای شهر (از لطف دوستانی که من رو همراهی میکنند سپاسگزارم)</t>
  </si>
  <si>
    <t>Esfahan_iran</t>
  </si>
  <si>
    <t>#روحانی یک کاری کرد با این مردم که #کلید ش بالای همه گوشی ها هست #فیلتر_شکن #فیلترینگ #آذری_جهرمی</t>
  </si>
  <si>
    <t>احسان معینی</t>
  </si>
  <si>
    <t>pic.twitter.com/oJ0NLwGnTa</t>
  </si>
  <si>
    <t>دستگاههای امنیتی وارد بنگاه‌داری شده‌اند بهروز نعمتی، عضو #مجلس : بسیاری از دستگاه ها که وظیفه امنیتی و نظامی در کشور دارند متأسفانه وارد حیطه بنگاه داری و مسائل اقتصادی کشور شده اند که این موضوع به شدت برای کشور نگرانی هایی را ایجاد کرده است #براندازم</t>
  </si>
  <si>
    <t>پروردگارا، مرا از كساني قرار ده كه در راه تو و زير پرچم هدايت تو و براي نصرت دين تو از زبان دشمنانت دشنام خورده و به دست شقي ترين بندگان نافرمانت كشته ميشود.</t>
  </si>
  <si>
    <t>#شفافیت_آراء_مجلس يعني حق ماست بدونيم جناب #محمودي_شاه_نشين نماينده شهريار قدس ملارد تو #مجلس چه غلطي ميكنه؟</t>
  </si>
  <si>
    <t>M</t>
  </si>
  <si>
    <t>‏‏‏‏‏آن را که خبر شد. خبری باز نیامد! دانشجوی مکانیک علم و صنعت سرباز سید علی❤️.🇮🇷🇱🇧🇵🇸</t>
  </si>
  <si>
    <t>نذاز بفهمن توي فكرت چي ميگذره همه چيو رو نكن خواسته هات ميشن نقطه ضعفِ ات ... (#نماینده #مجلس در حال گیر آوردن دلیل قانع کننده!😶😶😶😶) #شفافیت_آراء_مجلس #شفافیت_آراء_نمایندگان</t>
  </si>
  <si>
    <t>م.م.م✌️</t>
  </si>
  <si>
    <t>https://twitter.com/Peyman4835/status/1036364421554216961</t>
  </si>
  <si>
    <t>من فکر میکنم درسته که #روحانی گفت #به_عقب_بازنمیگردیم ،اما بجای اینکه دستش رو روی دکمه‌ی این &lt; شکلی بذاره، اشتباها دستش رفته روی دکمه‌ی این &gt;&amp;gt; شکلی! والا اینی که من میبینم زندگی نیست، کلاس فشرده‌ی عملیِ دوره کردنِ تاریخ معاصره!! RT @Peyman4835: وسط این تایملاین شلوغ پلوغ یه چی بگم دل #دهه_شصتیها خنک بشه. با مصوبه امروز #مجلس عملا سیستم #کوپن برای کالاهای اساسی زنده شد. این یعنی بچه‌هایی که کوپن ندیدن هم باید توی صف برنج و شکر بایستند!! #روحانی_مچکریم که انتقام ما رو گرفتی و نذاشتی بچه‌های دهه ۷۰و۸۰و۹۰ ازصف کوپن در برن!!</t>
  </si>
  <si>
    <t>در بخش پخش نشده جلسه مجلس #روحانی میگه ما کار احتیاطی برای ماه های آینده و سال آینده انجام می دهیم وگرنه می توانیم به بانک مرکزی بگوییم تنها در ۲هفته،نرخ ارز را به سال گذشته شهریوربرگردان</t>
  </si>
  <si>
    <t>https://pbs.twimg.com/media/DmHuYCFX0AA9CQJ.jpg</t>
  </si>
  <si>
    <t>ابوالفضل قدیانی از اعضای مجاهدین انقلاب اسلامی: برکناری #خامنه‌ای باید تبدیل به خواست عمومی شود وی با انتقاد از #روحانی، او را متهم کرد که به میلیون‌ها رأی خود پشت کرده و "همنوا با خامنه‌ای و سردمداران #سپاه رجز می‌خواند و درمنطقه هل من مبارز می‌طلبد</t>
  </si>
  <si>
    <t>‏‏‏‏‏‏‏‏‏فعال سیاسی،اجتماعی، ( به یاد شهید مدافع حرم رضا بخشی « فاتح دلها» )، عکس گرفتن از رفتار دیگران خطاست ، باید از رفتار دیگران فیلم بگیریم</t>
  </si>
  <si>
    <t>https://pbs.twimg.com/media/DmHxwMEXsAAFM-D.jpg</t>
  </si>
  <si>
    <t>آدم ع گندم خورد و از عرش به فرش رسید ما گول خوردیم و از عرش به فرش رسیدیم #کلید #رونق #هسته_ای #روحانی #پوشک</t>
  </si>
  <si>
    <t>🇮🇷فاتح nmahdi1396@</t>
  </si>
  <si>
    <t>#رهبر_پاسخگو 1مگه به #روحانی قبل از ورود به #مجلس چه گفیتید که نتوانست حرف دل مردم بگوید ؟</t>
  </si>
  <si>
    <t>TV producer @IranIntl | مطالب منتشر شده، در این صفحه بیانگر نظرات تلویزیون ایران اینترنشنال نیست</t>
  </si>
  <si>
    <t>یه کمی دیگه #مجلس و #دولت گیس هم رو بکشند دعواشون شبیه دعواهای زن و شوهرها میشه که بدبختیشون مال بقیه است و سالی۹بار دارن طلاق میگیرن و هر ۲سال هم ۱بچه وقوقو تحویل می‌دن! دیگه هر بار صدای دادشون می‌ره بالا، بغلی میگه ببند این پنجره رو صدای جیغ‌ویغشون نیاد، گرفتن مارو!</t>
  </si>
  <si>
    <t>Azadeh Assadi</t>
  </si>
  <si>
    <t>ما زنده به آنیم که آرام نگیریم#موجیم که آسودگی ما عدم ماست</t>
  </si>
  <si>
    <t>https://pbs.twimg.com/media/DmHzIpEW0AY3xH3.jpg</t>
  </si>
  <si>
    <t>اينم از شرايط ما كه تا ۱۴۰۰با #روحاني وفاي به عهد كرديم ‌‌‌‌‌‌‌‌‌‌‌‌‌‌‌‌‌‌‌‌‌‌‌‌‌‌‌‌‌‌‌‌‌‌‌‌‌‌‌‌‌‌‌‌‌‌‌‌‌‌‌‌‌‌‌‌‌‌‌‌‌‌‌‌‌‌‌‌‌‌‌‌‌‌‌‌‌‌‌‌‌‌‌‌‌‌‌‌‌‌‌‌‌‌‌‌</t>
  </si>
  <si>
    <t>Simin Asadi</t>
  </si>
  <si>
    <t>‏‏‏‏‏نام ایـران که در میان باشد جز سرافرازیش آرزویی باقی نمی ماند.. ‎‎‎@amnesty</t>
  </si>
  <si>
    <t>#روحاني توی شعار تبلیغاتی خودش گفته بود که سهم چشمگیری از تیم دولت و مدیران ادارات رو به #زنان اختصاص میدم، سید تو نمیتونی #نواربهداشتی زنان رو تامین کنی، پست و مقام بخوره توی سرت. #دولت #ایران_را_پس_میگیریم</t>
  </si>
  <si>
    <t>Persianbdr</t>
  </si>
  <si>
    <t>اگر واقعاً #وزارت_صمت نمی خواهد پاسخگو باشد،از #نمایندگان_مجلس استدعا می شود #استیضاح #وزیر_صمت را در دستور کار قرار دهند.</t>
  </si>
  <si>
    <t>♦️واکنش #رحیم_پور_ازغدی به حواشی #مدرسه_فیضیه 🔹#روحانی در #مجلس گفت در #فیضیه می‌خواستند من را بکشند! معلوم بود که اینها حاشیه‌سازی است 🔹اگر سخنانم در مورد #سکولاریسم در #حوزه توهین است پس آقایان اول باید #امام را محاکمه کنند.</t>
  </si>
  <si>
    <t>زیاد ناراحت نباشید فردا #حسین_فریدون که دفاع کنه، همه از آزمایشگاه میایم بیرون! همه چی هم به حالت عادی بر میگرده! بابا بنده خدا ۵ سال داشت رو تزش کار میکرد! #روحانی</t>
  </si>
  <si>
    <t>http://www.sadeghimoghadam.ir</t>
  </si>
  <si>
    <t>‏‏‏‏‏‏‏‏‏‏| فعال سیاسی اصلاح طلب | | عضو حزب کارگزاران سازندگی ایران |</t>
  </si>
  <si>
    <t>بیانیه #حزب_کارگزاران_سازندگی_ایران خطاب به دکتر #روحانی : - مردان « بزم » را در شرایط « رزم » نمی‌توان به کار گرفت - پیشنهاد مشخص ما به ریاست محترم جمهوری ، نوسازی دولت در هر دو عرصه‌ی سیاست گذاری و اجراست ، دولت خون تازه می‌خواهد .</t>
  </si>
  <si>
    <t>FarazSadeghiMoghadam</t>
  </si>
  <si>
    <t>ببانیه #حزب_کارگزاران_سازندگی_ایران خطاب به دکتر #روحانی : - مردم ایران گرچه همیشه آماده‌ی دفاع و مقاومت هستند اما همان‌طور که رئیس‌جمهور گفت نه جنگ می‌خواهند و نه قحطی .</t>
  </si>
  <si>
    <t>#مجلس ونمایندگان اگه میخواند خانه ملت درراس امورباشه #شفافیت روبایدازخودشروع کنند وبعدبه دستگاههای دیگه تکلیف کنند #شفافیت_آرا_نمایندگان !!!</t>
  </si>
  <si>
    <t>از وقتی کتاب #روحانی در یک نگاه رو خوندن!!البته یکمش رو!!! نمی دونم بگم #روحانی_خفه_شو یا بگم #اطلاعات_خفه_شود حداقل سیب زمینی نباشید در مورد این کتاب جواب دهید) ما همتون رو دوست داریم از جمله شما!!میدونی که!</t>
  </si>
  <si>
    <t>https://pbs.twimg.com/media/DmIqfjiUwAAdJ5L.jpg</t>
  </si>
  <si>
    <t>دولت #روحانی درفکرحل مشکلات سیاسی و اقتصادی ایران باتعاملات خارجی وبرجام بود امابعداز #برجام کابینه هیچ راه حل جایگزینی ارائه نداد. تبانی دولت درسایه برعلیه اصلاح طلبها و خروج میلیاردها ارز ازکشور توسط راست افراطی وضعیت وخیم اقتصادی کنونی رارقم زده👇🏼👇🏼</t>
  </si>
  <si>
    <t>دوباره می سازمت ایران</t>
  </si>
  <si>
    <t>#مجلس میخواد با حکم حکومتی #کنوانسیون_دریای_مازندران رو تصویب کنه ننگ بر #مجلس_بی_اختیار</t>
  </si>
  <si>
    <t>siroos</t>
  </si>
  <si>
    <t>مردی از جنس ماه آذر ...</t>
  </si>
  <si>
    <t>پیش به سوی ونزوئلایی شدن #دلار۱۲۰۰۰تومنی #ونزوئلا #روحاني #تحریم #تورم #اقتصاد_خراب</t>
  </si>
  <si>
    <t>این نیز بگذرد...</t>
  </si>
  <si>
    <t>‏‏🌟کُل الخَیر فی باب الحسین(ع)🌟</t>
  </si>
  <si>
    <t>#نماینده محترم جان اگر #ریگی به کفش نداری!!!؟ پس دلیل نداره با #شفافیت_آراء_مجلس مخالفتی داشته باشی نگی نگفتی!!</t>
  </si>
  <si>
    <t>🇮🇷Mahdiyar</t>
  </si>
  <si>
    <t>وقتی #علی_لاریجانی با ده ها سال سابقه کار اجرایی به مجمع نمایندگان خوزستان می گوید "اگر طرح دانشگاه تهران در مورد سد #گتوند قابل قبول است در #مجلس مطرح کنید " نشان می دهد به دیدگاه کارشناسی اعتقاد ندارد. در حالی که وزارتخانه مرتبط بهترین مرجع برای تصمیم گیری در این زمینه است.</t>
  </si>
  <si>
    <t>#روحانی ۹۷ همان #هاشمی ۶۷ هست.</t>
  </si>
  <si>
    <t>🇮🇷یاشار دارابیان</t>
  </si>
  <si>
    <t>خـیـبـری دود نداره! ســـوز داره...</t>
  </si>
  <si>
    <t>انقلاب کردیم که مردم را از فرش به عرش برسانیم، دولت فخیمه #روحانی مردم رو از عرصه موشک به #پوشک تنزل داد!</t>
  </si>
  <si>
    <t>حاج کاظم</t>
  </si>
  <si>
    <t>https://pbs.twimg.com/media/DmJAZ67XsAA9Oq4.jpg</t>
  </si>
  <si>
    <t>دولت میتواند ...ولی نمیخواهد #خیانت #روحاني #بنی_صدر #آفتاب_تابان #برجام</t>
  </si>
  <si>
    <t>https://pbs.twimg.com/media/DmJClvjWwAAbwgp.jpg</t>
  </si>
  <si>
    <t>♦️تحلیل «الاخبار» از حال و روز روحانی: مخالفان پیروز شدند؛ او نزد مردم تضعیف شده 🔹سرنوشت #روحانی چه خواهد بود؟/انتخاب</t>
  </si>
  <si>
    <t>همه دارن همه جوره مایه میذارن تا بلکه دولت در کُما رفته #روحانی ی تکونی بخوره ولی دریغ از تکون خوردن ى نوك انگشت یا پلک! اونایی که می گفتن با روحانی تا ۱۴۰۰ الان بازخورد صداشونو میشنون؟ #از_موشک_تا_پوشک</t>
  </si>
  <si>
    <t>مدرس دانشگاه فعال سياسي و مدني</t>
  </si>
  <si>
    <t>يه زماني دغدغه ي رئيس #دولت_تدبير_اميد و نمايندگان #مجلس به دنبال انرژي هسته اي #نانو #سلول هاي بنيادي #هوافضا و مديريت جهاني بودند الان در نيمه راه مستاصل از تامين #پوشك بچه.</t>
  </si>
  <si>
    <t>Ali Alamdari</t>
  </si>
  <si>
    <t>کارشناسی ارشد جامعه شناسی یکمی هم طراحی سایت می فهمم یکمی هم گرافیک آب حوض هم می کشیم...</t>
  </si>
  <si>
    <t>الان سطح مناقشات و توقعات و انتظارات مردم از «انرژی هسته ای حق مسلم ماست» رسیده به «پوشک بچه سایز بزرگ حق مسلم ماست» #روحانی_مچکریم #روحانی #تا_1400_با_روحانی #با_روحانی_تا_1400 #دلار_جهانگیری</t>
  </si>
  <si>
    <t>امین کشاورزی 🇮🇷</t>
  </si>
  <si>
    <t>https://pbs.twimg.com/media/DmCMdhfX0AE9K6F.jpg</t>
  </si>
  <si>
    <t>https://twitter.com/liea_abnos/status/1035982361773711360</t>
  </si>
  <si>
    <t>گفتن جملات احساسی فقط برای #میر_حسین_موسوی بده. راستی هزینه #پوشک_بچه رو هم از ایشون بگیرید نه #روحانی. RT @liea_abnos: #پدر_ایران</t>
  </si>
  <si>
    <t>jalali mahmood</t>
  </si>
  <si>
    <t>#روحانی در جلسه هیات دولت: رهنمودهای #رهبر_معظم_انقلاب راهگشا و راهنمای حرکت #دولت است. پ ن: از سال 92 هر باری که آقا صحبت میکنند دولت بلافاصله میگه صحبتهای رهبری راهگشا و مصلحانه است ولی کی میخواد به این حرفها عمل کنه، نمی دونم. #مخاطب_بایدها</t>
  </si>
  <si>
    <t>https://pbs.twimg.com/media/DmJT6nGUYAAIgwp.jpg</t>
  </si>
  <si>
    <t>https://www.ilna.ir/fa/tiny/news-663352</t>
  </si>
  <si>
    <t>مرعشی در گفت‌و‌گوی تفصیلی با #ایلنا:#آیت‌الله_هاشمی هم حریف برخی سیاست‌های #روحانی نمی‌شد/ به رفع محدودیت‌های #خاتمی خوش‌بین نیستم/ تمایل #رئیس‌جمهور برای حضور کمتر جهانگیری در دولت/ تشکیل شورای عالی سیاست گذاری در روزهای آتی</t>
  </si>
  <si>
    <t>#حسین_فریدون برادر #رییس_جمهور به دلیل عدم حضور برخی اساتید موفق نشد از رساله دکترایش دفاع کند! #دانشگاه_شهیدبهشتی</t>
  </si>
  <si>
    <t>همه ادیان الهی برای برچیدن بساط #ظلم آمدند اما نه ظلم پادشاهان که برای برچیدن بساط دیوانسالاری دینی و مدعیان نمایندگی خدا. در #اسلام و #قرآن مبین ما #روحانی و #کشیش و #خاخام و طلبه و میلغ دینی نداریم . دین نزد خداوند یکی است و آن سرسپردن به خداوند واحد و انجام ده فرمان است.</t>
  </si>
  <si>
    <t>http://Instagram.com/hamid__vakili</t>
  </si>
  <si>
    <t>📸Photojournalist in http://Snn.ir 📷 || 📰Journalist and young media activist🎥|| خبرنگار،عکاس خبری و فعال سیاسی و رسانه‌ای🎤</t>
  </si>
  <si>
    <t>با کلی خوشحالی تیتر یک زدن "پراید 10 میلیون ارزان شد و به 30 میلیون تومان رسید". خوشحالین که 10 تومن ارزان شد، 20 تومن بود !!! #پراید #دولت #اقتصاد #ارزانی #گرانی #تفکر #تیتر #روحانی</t>
  </si>
  <si>
    <t>Hamid Vakili</t>
  </si>
  <si>
    <t>‏‏‏‏‏‏‏‏‏‏‏‏‏‏مهندسی صنایع دانشگاه صنعتی امیرکبیر | دبیرسیاسی انجمن اسلامی دانشگاه امیرکبیر (عضو دفتر تحکیم وحدت) | «فالو لزوما به معنای تایید کامل نیست»</t>
  </si>
  <si>
    <t>pic.twitter.com/ypQGHLRKv1</t>
  </si>
  <si>
    <t>«فیلمی که باید بعد از صحبت های آقای #رییس_جمهور ،در مجلس پخش میشد» بله آقای روحانی! «همه میدانند». #مرکز_آمار #بانک_مرکزی #تورم</t>
  </si>
  <si>
    <t>Seyed Hamidreza Mojtabavi</t>
  </si>
  <si>
    <t>‏‏‏‏‏‏‏‏‏‏‏‏‏‏عاشقی رمزآلود، سراینده‌ای سوخته‌دل، دانای به نادانی خویش !</t>
  </si>
  <si>
    <t>Diaspora</t>
  </si>
  <si>
    <t>https://pbs.twimg.com/media/DmJYvk5W0AE5btb.jpg</t>
  </si>
  <si>
    <t>حسین فریدون، برادر "دکتر" حسن #روحانی قرار بود تا امروز دکتر شود. لیکن بدلیل عدم حضور برخی از اساتید در جلسه دفاع از تز دکترایش، این مهم به تعویق افتاد. #علی_برکة‌الله</t>
  </si>
  <si>
    <t>مــــزّه ®™⁦©</t>
  </si>
  <si>
    <t>برادر خاطرت هست؟</t>
  </si>
  <si>
    <t>نماینده مردم #طبس و #فردوس در #مجلس خواستار شد: ۱- #انتقال_آب از #یزد به طبس ۲- مجوز بهره برداری از #آبهای_ژرف در حوزه انتخابیه ۳- بهره برداری مکانیزه از #قنات #بلده فردوس (میراث معنوی #یونسکو) #ماهیچ_مانگاه #محیط_زیست #خشکسالی #بحران_آب #بحران_زیست_محیطی #آب_نیست</t>
  </si>
  <si>
    <t>Babak Sheibani</t>
  </si>
  <si>
    <t>https://pbs.twimg.com/media/DmJZeJgX4AE_VAR.jpg</t>
  </si>
  <si>
    <t>نماینده مردم #طبس و #فردوس در #مجلس خواستار شد: ۱- #انتقال_آب از #یزد به طبس ۲- مجوز بهره برداری از #آبهای_ژرف در حوزه انتخابیه ۳- بهره برداری مکانیزه از #قنات #بلده فردوس (میراث معنوی #یونسکو) #ماهیچ_مانگاه #محیط_زیست #خشکسالی #بحران_آب #بحران_زیست_محیطی #آب_نیست @KavehMadani</t>
  </si>
  <si>
    <t>بنا به ادعای مدیرعامل #ایرالکو، به دستور ستاد #اقتصاد_مقاومتی، این شرکت باید محصولی را که با #دلار۱۲۰۰۰تومنی تولید کرده است به #دلار ۴۳۰۰ تومانی آن هم فقط به افراد خاص در #بورس کالا عرضه کند و آن افراد هم ... مهم نیست مقصر #تحریم ها هستند😁 #روحانی #روحانی_برو #روحانی_استعفا</t>
  </si>
  <si>
    <t>#امام_حسنی_ام بابای سیدمحمدحسن</t>
  </si>
  <si>
    <t>آقای #روحاني سلام پوشک مستعمل بچه ام (از نوع شماره 2) توی هیکل نحس بی مصرفت والسلام</t>
  </si>
  <si>
    <t>SayedEsmaeel</t>
  </si>
  <si>
    <t>http://khabarfoori.com/detail/564429</t>
  </si>
  <si>
    <t>🔺مقامات عراقی صراحتا اعلام کردند تحریم های آمریکا علیه ایران را اجرا نمی کنند 🔹حواسمان به شیطنت رسانه های خارجی باشد شرح گفتگوی خبرفوری با سخنگوی کمیسیون امنیت ملی #مجلس👇</t>
  </si>
  <si>
    <t>هم وطن عزیز این خنده دار نیست که اقتصاد ما 18 اقتصاد برتر دنیاست گرانی های اخیر به خاطر سه برابر شدن حجم نقدینگی در کشور هست یعنی منابع کشور به جای تزریق در تولید در بازار تزریق شده ساده بگم نقدینگی سه برابر شده ارزش پول یک سوم #اقتصاد #روحانی</t>
  </si>
  <si>
    <t>استیضاح وزیر آموزش و پرورش را دوباره پیگیری میکنیم نماینده مردم شیراز: #استیضاح آقای بطحایی به دلیل رعایت ملاحظاتی منتفی شد، اما پس از آغاز سال تحصیلی مدارس و از بین رفتن این ملاحظات مجددا سوالات و ابهامات خود را از وی در قالب استیضاح مطرح خواهیم کرد/ ایسنا @AkhbarFori</t>
  </si>
  <si>
    <t>و در روزي‌ كه‌ در صور دميده‌ شود، تمام‌ كسانيكه‌ در آسمانها و كسانيكه‌ در زمين‌ هستند به...</t>
  </si>
  <si>
    <t>واقعا #شفافیت_آراء_مجلس که دیگه حق مسلم ماست!!! نیست😐 تو #استیضاح #وزیر #اقتصاد ۲ تا رای ممتنع داشتیم من واقعا می خوام بدونم اینا کی بودن</t>
  </si>
  <si>
    <t>اِسرافیل صور زن</t>
  </si>
  <si>
    <t>بازم زمان #احمدی_نژاد مشکل همه ی ما #موشک بود تو ایران.. ولی خدا رو شکر از بس تو این چند سال پیشرفت کردیم دغدغه ی #مجلس شده #پوشک ..... #تا_۱۴۰۰_با_روحانی</t>
  </si>
  <si>
    <t>‏کویر زاده / ‏‏‏‏‏‏‏دبیر جامعه اسلامی دانشگاه فرهنگیان یزد/ وبلاگ نویس کهنه کار، توئیتری نو رسیده/علاقه مند به سیاست و شعر</t>
  </si>
  <si>
    <t>انتخابات 96 یه کاری کردید که دیگه هیچ پوشکی کفاف نمیده !... #پوشک #پوشک_بچه #روحانی</t>
  </si>
  <si>
    <t>پطروس طلبکار</t>
  </si>
  <si>
    <t>بستنی پونصد تومنی شده ۱۰۰۰ چس فیل شده ۱۰۵۰۰ #روحانی تو روحت</t>
  </si>
  <si>
    <t>http://rezvane.blog.ir</t>
  </si>
  <si>
    <t>We are the mighty #Hezbollah We are the #Lions of #Haydar Muslim, Shia ,Blogger https://soundcloud.com/amdanesh http://amdanesh.tumblr.com/ 🇮🇷</t>
  </si>
  <si>
    <t>Iran - Tehran</t>
  </si>
  <si>
    <t>https://twitter.com/amirhossein693/status/1035901281485942784</t>
  </si>
  <si>
    <t>حدود 10 سال پیش یک #روحانی احمق در یک ارگان دولتی حین گزینش به من میگفت غسل کن! و میخواست کل توضیح المسائل را اجزایی کنم منم بهش گفتم خودت کل این را واو به واو حفظی؟ از پاسخ ماند ... RT @amirhossein693: عجیب ترین سوالی که موقع مصاحبه ازتون پرسیدن یا خواستن چی بوده؟ #کوت #ریتوئیت</t>
  </si>
  <si>
    <t>Alireza M.Danesh ヅ 🇮🇷</t>
  </si>
  <si>
    <t>https://pbs.twimg.com/media/DmJdAtAU8AICKvO.jpg</t>
  </si>
  <si>
    <t>علی عسگری مشاور معاون امور مجلس #روحانی : در شرایط فعلی #ایران ، هیچ کاری بدون #رانت و رابطه انجام نمی‌شود/ پرداخت #رشوه برای رأی‌آوری از زمان #طاغوت هم بیشتر شده</t>
  </si>
  <si>
    <t>https://pbs.twimg.com/media/DmJjPBUU8AABUqP.jpg</t>
  </si>
  <si>
    <t>http://tn.ai/1819015</t>
  </si>
  <si>
    <t>#محمود_واعظی از ریاست دفتر روحانی می‌رود؟/ #قانون_ممنوعیت_بکارگیری_بازنشستگان دامن بسیاری از دولتی‌ها را گرفته و بر همین اساس در صورت تصویب نهایی آن در #شورای_نگهبان، واعظی نیز باید از ریاست دفتر #روحانی کنار برود</t>
  </si>
  <si>
    <t>https://www.instagram.com/p/BnQP59Hg3Sz/?utm_source=ig_twitter_share&amp;igshid=k99zfsk09461</t>
  </si>
  <si>
    <t>دونه دونه دونه دونه 😂 حکایت این روزای ما #روحانی #گرانی #تورم #پوشک #روغن #لاستیک #پسته #آجیل #هرچی #همه_چی 🤣</t>
  </si>
  <si>
    <t>پیمان بیدهندی</t>
  </si>
  <si>
    <t>اگر #روحاني به #اصلاحات در تفكر و منش اقتصادي اصلاح طلباني اقدام نكند به زودي به پايان خواهد رسيد. جناب #رييس_جمهور دست #اصلاح_طلبان و تفكرات ليبرالي اقتصادي رو از سر كشور كوتاه كنيد لطفا</t>
  </si>
  <si>
    <t>http://www.ana.ir/service/22</t>
  </si>
  <si>
    <t>journalist علاقه‌مند به شعر</t>
  </si>
  <si>
    <t>https://pbs.twimg.com/media/DmJlo5mUwAYsWY4.jpg</t>
  </si>
  <si>
    <t>غلظت هوای سیستان به ۲۱ برابر حد بحران رسید آهای آقای #روحانی به داد مردم #سیستان برسید</t>
  </si>
  <si>
    <t>ahmad jannesari 🇮🇷</t>
  </si>
  <si>
    <t>از موشک به #پوشک رسیدن یعنی از عرش به فرش افتادن! تو چه کردی با ما آقای #روحانی؟!</t>
  </si>
  <si>
    <t>‏‏‏|| ○ منتظران مهدی آگاه باشید! || ● حسین را منتظرانش کشتند...</t>
  </si>
  <si>
    <t>فقط میشه گفت نیزه تفنگ #دلیران_تنگستان در اعماق ته مسئولین لیبرال که خدا با همان متجاوزین انگلیسی محشورشون کنه #شفافیت_آراء_مجلس #شفافیت_آراء_نمایندگان #خواهران_منصوریان #دلیران_تنگستان #رئیسعلی_دلواری #رئیس_جمهور #حسین_فریدون #ربا #بانک_غلط_میکند</t>
  </si>
  <si>
    <t>ابوالحتوف</t>
  </si>
  <si>
    <t>‏‏‏خبرنگار</t>
  </si>
  <si>
    <t>#زنگنه تا امروز زیر بار دور زدن تحریم و کارچاق کنی برخی نهادهای خاص نرفته و انشالله که از #استیضاح و تهدید هم نمیترسه</t>
  </si>
  <si>
    <t>arezoo farshid</t>
  </si>
  <si>
    <t>آقایان @IranNewspaper , @EhsanBodaghi #روحانی و باندش بار هفت پشتشان را بستند و خرشان را از پل مردم و #حصر رد کردند دیگر نیازی به ما و محصورین ندارند. اما شما که فردا دولت عوض شود بساطتان برچیده میشود چرا حتی یک کلمه هم این روزها نه از #میرحسین نوشتید نه از #کروبی . شرم بر شما</t>
  </si>
  <si>
    <t>https://www.aparat.com/rezamahmoudi.79</t>
  </si>
  <si>
    <t>, .......i am ما غایبیم و او منتظر امد ماست.</t>
  </si>
  <si>
    <t>pic.twitter.com/rdQZUHd2Ht</t>
  </si>
  <si>
    <t>#رائفی_پور :کی جرئت می کرد با #ایرانیا اینطور رفتار کنه که زنای مملکتمونو تو #گرجستان لخت کنن و به دو تا از نوجونامون تجاوز کنند . این از صدقه سر روحانیه #استاد_رائفی_پور #روحاني #منا #شفافیت_آراء_مجلس #شفافیت</t>
  </si>
  <si>
    <t>reza</t>
  </si>
  <si>
    <t>Political &amp; social analysts ✍️📰تحليلگر سياسی و صلح طلب🌱 👇🏻لینک کانال تلگرامم با عنوان 💦حزب آب💦</t>
  </si>
  <si>
    <t>حافظه تاریخی این مملکت #روحانی این روزها را از یاد نخواهد بود همانطور که #رفسنجانی دهه ۶۰ و ۷۰ را از یاد نبرده است.</t>
  </si>
  <si>
    <t>هعیییییی روزگارررررر😔😔</t>
  </si>
  <si>
    <t>قزوین</t>
  </si>
  <si>
    <t>#دلار۱۲۰۰۰تومنی شد و‌من منتظرم #روحانی بگه بحران نداریم و‌بشه ۲۰ هزار تومن</t>
  </si>
  <si>
    <t>امین قزوینی</t>
  </si>
  <si>
    <t>https://pbs.twimg.com/media/DmJv-4VU0AAL39p.jpg</t>
  </si>
  <si>
    <t>https://www.ilna.ir/fa/tiny/news-662524</t>
  </si>
  <si>
    <t>امیر آبادی فراهانی در گفت‌وگو با ایلنا: هیأت رئیسه اصراری برای اعلام وصول #استیضاح وزرا ندارد/ می‌گویند هر وزیری به #مجلس بیاید، استیضاح می‌شود</t>
  </si>
  <si>
    <t>https://pbs.twimg.com/media/DmJw2fdVsAEa0Nl.jpg</t>
  </si>
  <si>
    <t>محاکمه #مشایی و #بقایی به کنار، جلسه دفاع دکتر #فریدون چرا #غیرعلنی شد؟ #روحانی @hesamodin1</t>
  </si>
  <si>
    <t>https://pbs.twimg.com/media/DmJxXFMWwAA1wcZ.jpg</t>
  </si>
  <si>
    <t>🔻#دلار امروز ۱۲۱۰۰ تومان به فروش رسید. -۶روز پیش #روحانی گفت دلار تثبیت خواهد شد؛ آن روز ۱۰۷۰۰ بود و اکنون ۱۴۰۰تومان افزایش داشته است! بحران «بی‌راه‌حلی» نظام آخوندی یعنی این!</t>
  </si>
  <si>
    <t>حقوقدان و فعال سیاسی (این صفحه موقتا و تا آزادی دکتر #شعله‌سعدی توسط ادمین اداره می‌شود)</t>
  </si>
  <si>
    <t>https://pbs.twimg.com/media/DmJx2L6W0AASrTl.jpg</t>
  </si>
  <si>
    <t>دکتر #قاسم_شعله_سعدی که از ابتدای هفته پیش به بازداشتگاه نامعلومی منتقل شده بود طی دو روز گذشته به یکی از بندهای امنیتی در زندان #اوین انتقال یافته است. این فعال سیاسی و وکیل دادگستری که در اعتراض به #نظارت_استصوابی مقابل #مجلس بازداشته شده همچنان ممنوع‌الملاقات است.</t>
  </si>
  <si>
    <t>قاسم شعله‌سعدی</t>
  </si>
  <si>
    <t>ریتوئیتر بچه های انقلاب</t>
  </si>
  <si>
    <t>با افتخار میگم در انتخابات ۹۶ شرکت کردم و به #روحانی رای ندادم.</t>
  </si>
  <si>
    <t>مرا عهدیست با جانان که تا جان در بدن دارم هواداران کویش را چو جان خویشتن دارم</t>
  </si>
  <si>
    <t>قیمت #دلار مجدداً از ۱۲۰۰۰ هزار تومان گذشت #شفافیت_آراء_مجلس #شفافیت_آراء_نمایندگان #سوال_از_رئیس‌جمهور #روحانی</t>
  </si>
  <si>
    <t>مرتضی اسکندری</t>
  </si>
  <si>
    <t>‏‏روزنامه نگار http://sapp.ir/boroumand60‎‎‎‎‎</t>
  </si>
  <si>
    <t>https://pbs.twimg.com/media/DmJy4tvW4AAdYG7.jpg</t>
  </si>
  <si>
    <t>یادداشت امروز آقای #شریعتمداری در تحلیل جلسه چهارشنبه گذشته مجلس پیرامون #سوال_از_رییس_جمهور بسیار خواندنی است. راز تمام نشدن حاج حسین این است که همیشه #مستند و #مستدل مینویسد. عکس برای ۶ سال پیش است؛ موقعی که #دبیرسیاسی #کیهان بودم. آن روزگاران یادباد!</t>
  </si>
  <si>
    <t>حسام الدین برومند</t>
  </si>
  <si>
    <t>(‏فَطَالَ عَلَيْهِمُ الْأَمَدُ فَقَسَتْ قُلُوبُهُمْ وَكَثِيرٌ مِّنْهُمْ فَاسِقُون فرصتشان تمام و [قلب] هایشان سنگ شد.)</t>
  </si>
  <si>
    <t>https://pbs.twimg.com/media/DmJzTu2WwAAD0Uq.jpg</t>
  </si>
  <si>
    <t>ای آنکه اعتراض گشته کارت گونی #مطهری در انتظارت...! #گونی #علی_مطهری #ایران #حسین_فریدون #روحانی</t>
  </si>
  <si>
    <t>مثبت 18</t>
  </si>
  <si>
    <t>نماینده مردم شریف تهران، ری، اسلامشهر و شمیرانات در مجلس شورای اسلامی/عضو کمیسیون فرهنگی/عضو ناظر مجلس در شورایعالی میراث ‌فرهنگی، صنایع دستی و گردشگری</t>
  </si>
  <si>
    <t>بالاخره نوبت برای ایراد #نطق_سالیانه به من رسید. فردا دومین نطق سالیانه خود را از تریبون #مجلس خواهم داشت. اگر عمری باشد، چون گذشته صدای گویای #مردم خواهم بود.</t>
  </si>
  <si>
    <t>Parvaneh Salahshouri پروانه سلحشوری</t>
  </si>
  <si>
    <t>https://plus.google.com/u/0/104509671759946954655/posts</t>
  </si>
  <si>
    <t>همه مامن‌ها را از دست دادیم؛ ایمان، وطن، خانه و حتا آغوش؛ اقوام این چنین کوچگران به سراغ فتح می‌روند.</t>
  </si>
  <si>
    <t>همین الان با نایب رییس #کمیسیون_اقتصادی مجلس مصاحبه کردم؛ با کمال صداقت و وقاحت اعلام کرد: #مجلس هیچ طرح و برنامه مشخصی برای بهبود وضعیت اقتصادی ندارد!</t>
  </si>
  <si>
    <t>Mehdi Noroozi</t>
  </si>
  <si>
    <t>#حمید_روحانی #رییس_بنیاد_تاریخ_پژوهی_انقلاب_اسلامی در نشست با برخی رسانه ها گفت: شعار ای آنکه مذاکره شعارت، #استخر_فرح در انتظارت یک شعار مقدس و فوق العاده اخلاقی بوده است. پ. ن پ: (به نظرم حکم ترور #روحانی از سوی جماعت به اصطلاح خودسر صادر شده است)</t>
  </si>
  <si>
    <t>بعضی‌‌ها چرا از #شفافیت_آراء_مجلس می‌ترسند مگر چه رای میدن؟! یا موافقی یا مخالف دیگه ترسی نداره که مردم‌بفهمند؟!!! مگر اینکه نتیجه رای که میدید به ضرر مردم و به نفع خودتون باشه!؟؟؟؟؟ #شفافیت_آراء_نمایندگان #نمایندگان_مجلس #مجلس #نماینده #لاریجانی #ایران</t>
  </si>
  <si>
    <t>‏‏‏‏تا آخرین قطره ی خون پای کار انقلابیم ( فعال در حوزه جهادی و خدمت رسانی به مناطق محروم)</t>
  </si>
  <si>
    <t>https://pbs.twimg.com/media/DmJZ2b1XgAEC5tr.jpg</t>
  </si>
  <si>
    <t>https://twitter.com/hesamodin1/status/1036489852764782592</t>
  </si>
  <si>
    <t>چند میگیری از داداشی دفاع کنی! برنامه امروز مشاور #روحانی در زمانی که مردم در مایحتاج خود گرفتارند. چقدر دولت بفکری داریم ما #حسین_فریدون RT @hesamodin1: ای کاش به جای حاشیه نویسی در جلسه شرکت می کردید تا بتوانید کیفیت رساله و دفاع را بررسی و گزارش کنید.</t>
  </si>
  <si>
    <t>محمد رضا زارع 🇮🇷</t>
  </si>
  <si>
    <t>https://pbs.twimg.com/media/DmJ1cMjX4AEmXU8.jpg</t>
  </si>
  <si>
    <t>#دلار امروز ۱۲۱۰۰ تومان به فروش رسید ! اینهم از وعده های دروغ #روحانی که ۶ روز پیش در مجلس گفت دلار تثبیت خواهد شد. از آن روز تا کنون ۱۴۰۰ تومان افزایش داشته است. #براندازم #تظاهرات_سراسری #IranRegimeChange</t>
  </si>
  <si>
    <t>نگاه یک معمار به طراحی، سیاست، فرهنگ (لطفا فالو آنفالو نکن!) | 👆 کاخ ساسانی سروستان</t>
  </si>
  <si>
    <t>اردیبهشت</t>
  </si>
  <si>
    <t>pic.twitter.com/avttFX178A</t>
  </si>
  <si>
    <t>این کارشناس #دلار کیه؟ آقای #روحانی سریع پیداش کن، این میدونه مشکل کجاست.</t>
  </si>
  <si>
    <t>سلمان</t>
  </si>
  <si>
    <t>پناه برخدا</t>
  </si>
  <si>
    <t>از دغدغه تولید وبرد #موشک رسیدیم به دغدغه برای تأمین #پوشک #دولت_تدبیر #روحانی #برجام</t>
  </si>
  <si>
    <t>hamid 1001</t>
  </si>
  <si>
    <t>‏‏﷽ #من_انقلابی_ام .... مهندسی و طراحی انواع سرورهای مجازی و شبکه‌های اجتماعی شبکه و امنیت</t>
  </si>
  <si>
    <t>وقتی کمبود پوشک و احتکار پوشک توسط افراد وابسته به بدنه دولت پیش میاد میشه با یه دید بهتر به موضوع نگاه کرد... ممکنه همه پوشکارو بستن به خودشون که بیشتر از این نر......ن به کشور ومملکتو داغون کنن. نتیجه گیری اخلاقی باشما... #پوشک_بچه #روحانی #احتکار</t>
  </si>
  <si>
    <t>Amin pajhoohan</t>
  </si>
  <si>
    <t>‏‏‏‏بله پرچم تاجیکستان است. چون ایران دوم من است و وارث تاریخ ایران تا روز آزادی</t>
  </si>
  <si>
    <t>مشکل اصلی ما زائران عراقی و زنان ایرانی که با آنان همبستر می شوند نیست. مشکل اصلی فرزندانی است که از این رابطه متولد می شوند. #علم_الهدی #خاتمی #اون_یکی_خاتمی #روحانی #خامنه_ای #رافعی_پور #رییسی #رژیم_را_سرنگون_کنیم #ایران_را_پس_میگیریم</t>
  </si>
  <si>
    <t>👑Mickle Scofield 🇹🇯</t>
  </si>
  <si>
    <t>اهل ایرانم. روزنامه نگار سابق و فعال سیاسی و اجتماعی حاضر یک شهروند بی حق و حقوق</t>
  </si>
  <si>
    <t>ما رای قاطعی به آقای #رئیس_جمهور دادیم. اما ایشان حتی #نفس_کشیدن را از ما دریغ کردند. خودش که هیچ حتی نماینده دولت در استان هم در خواب است. #سيستان_هوا_ندارد #سیستان_جان_ندارد</t>
  </si>
  <si>
    <t>Mehdi aliabadi</t>
  </si>
  <si>
    <t>‏‏دکتری مهندسی مالی، دکتری مدیریت کسب و کار</t>
  </si>
  <si>
    <t>#بازار سهام کلی ابهام داره،#خودرو محدودیت خرید برای هر نفر و عدم فروش،#سود_بانکی برای یک ماه فعلا تمدید شده، #مسکن با توجه به افزایش قیمت الان سه ماهه کاهش شدید حجم معاملات داره.#تولید هم مواد نیست،پس #نقدینگی کجا بره؟ #دلار و #سکه #تدبیر_امید #دلار۱۲۰۰۰تومنی #روحانی</t>
  </si>
  <si>
    <t>Dr.PeymanHaddadi</t>
  </si>
  <si>
    <t>‏‏روزنامه نگار آزاد و اگر خداقبول کند مستقل. علاقه مند فیلم، کتاب، تاریخ و متاسفانه سیاست. درگیر تنهایی و کنار آمدن با آن و غیره</t>
  </si>
  <si>
    <t>نماینده ی مدیون به #نظارت‌استصوابی هفته ای که گذشت نام چندتن ازنمایندگان #زنجان بارهادر #فضای‌مجازی و نیزمحافل خصوصی والبته عمومی ذکر شد.ازاشتباه درذکرنام فامیل در #مجلس و... ادامه در کانال #تلگرامی 👇👇 @ansooyedivar</t>
  </si>
  <si>
    <t>saeedmaaleki⁦⁦</t>
  </si>
  <si>
    <t>من روانشناسم دلیل رفتارهام را می دانم تو برای رفتار و گفتارت دلیلی بیاب</t>
  </si>
  <si>
    <t>اگر نمایندگان تمایل دارند که دور بعدی در مجلس باشند لازم است که از رای موافق به شفافیت رای نمایندگان عکس گرفته و رسانه ای کنند. و گرنه از رای ملت در دور بعدی خبری نیست ما به آدم مخفی کار اعتماد نداریم #شفافیت_آراء_مجلس #شفافیت_آراء_نمایندگان #مخفی_کاری_ممنوع #مجلس #لابیگری</t>
  </si>
  <si>
    <t>AliReZa</t>
  </si>
  <si>
    <t>Guitarist🎸 Sometimes vegetarian🥦🌽🥕🥗 Love watching movies👌 Little programmer</t>
  </si>
  <si>
    <t>آنچنان رونق اقتصادی ایجاد کنم ...😑 #روحاني #کمدی #دروغ</t>
  </si>
  <si>
    <t>Hesam Mirahmadian</t>
  </si>
  <si>
    <t>دوستم زنگ زد گفت دلار امروز تو بازار 12100 تومن خریدو فروش شد. مگه #روحانی تو مجلس بود یا خونش نمیدونم ۶ روز پیش نگفت نرخ دلار تثبیت خواهد شد مگه همون لحظه دلار 10700 نبود. اخه مگه مجبوری اینقدر دروغ بگی #روحانی</t>
  </si>
  <si>
    <t>‏‏‏‏به هر چیزی فکر کنی مسیر زندگیت به همونجا هدایت میشه پس به چیزهای خوب فکر کن</t>
  </si>
  <si>
    <t>کرمانشاه</t>
  </si>
  <si>
    <t>https://pbs.twimg.com/media/DmJ8RbDX4AEy1bt.jpg</t>
  </si>
  <si>
    <t>انصافا باید ایمان آورد به این سخن آقای سلطانی #دلار #سکه #روحانی</t>
  </si>
  <si>
    <t>ali hajiabadi</t>
  </si>
  <si>
    <t>من بجای رای دادن به آدم مخفی کار به آدم راستگویی رای می دهم که مقابل مخفی کاری هم رده های خودش را بگیرد تا در نهایت کل جامعه اصلاح گردد #شفافیت_آراء_مجلس #شفافیت_آراء_نمایندگان #مجلس</t>
  </si>
  <si>
    <t>نه اصلاح‌طلبم نه اصولگرا؛ فقط Journalist</t>
  </si>
  <si>
    <t>https://twitter.com/mersadirani/status/1036497453820911616</t>
  </si>
  <si>
    <t>جالبه که این حرف اصلا دیده نشده مشاور معاون امور مجلس #روحانی : پرداخت #رشوه برای رأی‌آوری از زمان #طاغوت هم بیشتر شده RT @mersadirani: علی عسگری مشاور معاون امور مجلس #روحانی : در شرایط فعلی #ایران ، هیچ کاری بدون #رانت و رابطه انجام نمی‌شود/ پرداخت #رشوه برای رأی‌آوری از زمان #طاغوت هم بیشتر شده</t>
  </si>
  <si>
    <t>Mohammad Ghorbani</t>
  </si>
  <si>
    <t>https://pbs.twimg.com/media/DmJ-s6SX4AA7nVi.jpg</t>
  </si>
  <si>
    <t>آقایون و خانوم های سلبریتی که فرمودید جناب پروفسور #روحانی در کوچک کردن سفره ی مردم نقشی نداشته و همه ی اینا مقصرش #رهبر_انقلاب ه. خود روحانی گردن گرفته شما میگید نه دروغ میگه؟ 🤣🤣🤣</t>
  </si>
  <si>
    <t>منتظرم ببینم چه اتفاق دیگری باید بیافتد که آقایان به این نتیجه برسند که با حلزون (که گاهی عقبکی هم حرکت می‌کند) نمی‌توان در مسابقات اسب‌سواری شرکت کرد! #بازی_در_زمین_دشمن #قانون_اساسی #استیضاح</t>
  </si>
  <si>
    <t>‏‏‏‏‏‏‏‏‏‏‏چون مذهب قلندر، رندی و عاشقیست، رندانه ما طریق قلندر گرفته‌ایم.</t>
  </si>
  <si>
    <t>https://pbs.twimg.com/media/DmJ_TYkXcAACrcY.jpg</t>
  </si>
  <si>
    <t>(#روحاني بعد از انتخابات سال ۹۶: در مسئولیت‌های رده بالا نوبت ۲۴ میلیون نفری است که به ما رای دادند.) اینم باشه در جواب کسایی که میگن چرا رهبری مستقیم وارد نمیشه. بیست و چهار میلیون نفر به این اقا رای دادن و باید طعم مدیریتش(مدیریدنش) رو بچشن‌.تامااام</t>
  </si>
  <si>
    <t>آق قلندر....🇮🇷</t>
  </si>
  <si>
    <t>فروپاشی #اقتصاد کشور با #دلار بالای ۱۲هزار تومان، #تدبیر دولت #روحانی و تیم اقتصادی ایشان #دلار۱۲۰۰۰تومنی</t>
  </si>
  <si>
    <t>#خودروسازان یه پیرمرد احمق رو فرستادن تلویزیون میگه ملاک قیمت گذاری باید حاشیه بازار باشه. #مرگ_بر_ما که به اینها قدرت دادیم بلای جانمان شوند #دلار #روحانی #سلطه_خودروساز</t>
  </si>
  <si>
    <t>نماینده ای که رای مخالفت به #شفافیت_آراء_مجلس می دهد هم چون ابو موسی اشعری است که خود می داند خیانت کار است و از عواقب کار خود می ترسد. نمایندگان عزیز، ابوموسی اشعری نباشید. #شفافیت_آراء_نمایندگان #مجلس #ایران</t>
  </si>
  <si>
    <t>پس تصویب #شفافیت_آراء_نمایندگان در #مجلس تعداد #قانون های کمتری مورد تصویب یا رد خواهد گرفت. و آرا و تصمیمات با تفکر و مسئولیت پذیری بیشتری اتخاذ می شود. #تفکر #ایران #دموکراسی</t>
  </si>
  <si>
    <t>#روحانی یا نمیره خرید یا اگه چیزی میخره با #دلار میخره وگرنه حتی اگه از مغازه سر کوچه #احمدی_نژاد هم چیزی میخرید باید نسبت به گرونی یه واکنشی نشون میداد</t>
  </si>
  <si>
    <t>https://pbs.twimg.com/media/DmKCWn9XoAEHc89.jpg</t>
  </si>
  <si>
    <t>روزنامه۱۲شهریور۹۷☘ ۱.مجلسی وقتی میدونی #اپوزیسیون کمر نظامو شکسته چرا از #روحانی سوال کردی!(بخاطر طمع دور بعدی😌) ۲.نمیتوانند با امریکا مذاکره کنند ۳و۴.سه اعدامی(جاسوس اسرائیل) ۵.جنگ قطعی ۶.اروپا پر😂 ۷.خیلج فارس هم که عربی کرده بودند قسم میخوردند! ۸.تبعیض بی پایان جنسیتی نظام</t>
  </si>
  <si>
    <t>#شفافیت_آراء_مجلس دومین گام در مسیر #مردم_سالاری است و تنها راه مقابله با لابی گری و زد و بندهای #دولت و #مجلس است. و پیش گیری کننده ی فروش رای. @ebtekarm_ir @mah_sadeghi @Kaleme @mostafatajzade</t>
  </si>
  <si>
    <t>http://taaghche.ir</t>
  </si>
  <si>
    <t>در اپلیکیشن طاقچه می‌توانید کتاب‌ها، مجلات و روزنامه‌ها را به صورت الکترونیک بخوانید و به کتاب‌های صوتی گوش دهید. 🙂</t>
  </si>
  <si>
    <t>https://pbs.twimg.com/media/DmKB-RhW4AAXTAL.jpg</t>
  </si>
  <si>
    <t>http://bit.ly/2MKBYdK</t>
  </si>
  <si>
    <t>«#رئیس_جمهور_گم_شده_است» رمانی سیاسی و معمایی از #بیل_کلینتون #رئیس‌جمهور سابق #آمریکا و #جیمز_پترسون #نویسنده سرشناس آمریکایی است. این اثر در لیست پرفروش‌ترین کتاب‌های داستانی #آمازون، #نيويورك_تايمز و #وال_استریت #ژورنال بوده است.  #نشر_روزگار #طاقچه</t>
  </si>
  <si>
    <t>طاقچه | Taaghche</t>
  </si>
  <si>
    <t>#Girl ‏‏‏😒فالو کنین</t>
  </si>
  <si>
    <t>💸فوری #دلار از ۱۲.۴۵۰ گذشت #روحانی #خامنه‌ای #رژیم_را_سرنگون_کنیم #پوشک_بچه #اسرائيل</t>
  </si>
  <si>
    <t>👑میم</t>
  </si>
  <si>
    <t>https://pbs.twimg.com/media/DmKEHxfXgAAwV-b.jpg</t>
  </si>
  <si>
    <t>یکی از نماینده های سابق مجلس گفت: اسامی 31 نفر از بزرگترین #مفسد_های_اقتصادی را به سران 3قوه ارائه کردم و آنها در این ناباوری گفتند که اسامی انها را انتشار نکنید. مگه اسم چه کسانی در این اسامی وجود داره؟ #دلار #روحانی #لاریجانی #اختلاس #مفسد_اقتصادی #دولت_تدبیر_امید</t>
  </si>
  <si>
    <t>...؛ فراخوان برای #پایین #کشیدن #رهبر معظم و #روحانی محترم در #ایران</t>
  </si>
  <si>
    <t>Iran,dezzful</t>
  </si>
  <si>
    <t>چرا از جلسه سؤال از رییس جمهور نتیجه ای عاید نشد؟! چرا همش نگران سوء استفاده دشمن از این جلسه اید؟! چرا نگران مردم نیستید؟!ذره ای امید به شما نداریم... #خامنه_ای #دولت #مجلس</t>
  </si>
  <si>
    <t>ali namdariniya</t>
  </si>
  <si>
    <t>https://pbs.twimg.com/media/DmKFNolXcAAWzHT.jpg</t>
  </si>
  <si>
    <t>در کل زندگی روزانه مون شده نگاه کردن به قیمت ها.جناب شدیدا در تقابل با خوردن به سر می بریم . #رئیس_جمهور #رئیس_فراکسیون_غذا_و_داروی_مجلس#رهبر#روحانی#ایران#ایرانی</t>
  </si>
  <si>
    <t>pic.twitter.com/PZNdEd1m76</t>
  </si>
  <si>
    <t>یکی از برنامه های طنز تلوزیون که حدود 23میلیون نفر را از هوش برد #جهانگیری #روحانی #دولت_تدبیر_و_امید #مناظره_های_انتخاباتی #با_روحانی_تا_1400</t>
  </si>
  <si>
    <t>@coiniran #crypto #blockchain #fashionworld</t>
  </si>
  <si>
    <t>https://pbs.twimg.com/media/DmKF0_2XcAE3ouo.jpg</t>
  </si>
  <si>
    <t>https://coiniran.com/crypto-draft/</t>
  </si>
  <si>
    <t>🇮🇷سند پیش‌نویس رمز ارز ها هنوز به شورای عالی فضای مجازی نرفته است 📍جزئیات خبر:  @coiniran #رمزارز #خبرگزاری #فارسی #مهم #پیش_نویس_رمزارز #رمزارز_ملی #کریپتوکارنسی #کریپتو #شورای_عالی_فضای_مجازی #مجلس #وزارت_ارتباطات #بیتکوین #بیت_کوین #بلاکچین #ماینینگ</t>
  </si>
  <si>
    <t>Minoo Alikhani</t>
  </si>
  <si>
    <t>پس از هشتگ موفق #فرزندت_کجاست حال نوبت هشتگ #رأی‌ت_چیست برای نمایندگان باید ترند شود. #شفافیت_آراء_مجلس #شفافیت_آراء_نمایندگان #مجلس #ایران @mah_sadeghi @FarsNews_Agency @ir_aref @alimotahari_ir @Majlis_ir</t>
  </si>
  <si>
    <t>http://www.atregoleyas.ir</t>
  </si>
  <si>
    <t>خبرنگار، حامی محیط زیست، مشاور مذهبی خانواده و ازدواج</t>
  </si>
  <si>
    <t>امام خمینی: از این سه گروه #روحانی بیزاریم! روحانیون وابسته ضررشان از هر فرد ناپاک دیگر بیشتر است، و همیشه این‌دسته از روحانیون مورد لعن و نفرین خدا و رسول و مردم بوده‌اند و ضربات اصلی را به این انقلاب، روحانیونِ «وابسته» و «مقدس‌مآب» و «دین‌فروش» زده‌اند و می‌زنند #صحیفه_نور</t>
  </si>
  <si>
    <t>محمد هاشم نعمت الهی</t>
  </si>
  <si>
    <t>به همت مسولین سران کسانی که نمیشه اسم برده دست جلو پرده و پشت پرده هم اکنون دلار 12.450 تومان خدا قوت مردم خسته نباشید مسولان #علی_برکت_الله #روحانی</t>
  </si>
  <si>
    <t>#شفافیت_آراء_نمایندگان رای نیاره من تا آخر عمر هم که شده می جنگم تا این طرح رو به همه پرسی بگذارم و آن وقت مردم مجلس را مجبور به شفافیت خواهند کرد. #شفافیت_آراء_مجلس #مجلس #رأی‌ت_چیست</t>
  </si>
  <si>
    <t>سعی بر انسانی خردمند بودن، کتاب،فیلم،انیمه،آواز</t>
  </si>
  <si>
    <t>یادمه چند سال پیش درباره چین و بدبختی کارگرانش میگفتن حقوقشون در ماه به ۱۰۰ دلار نمیرسه. امروز دوشنبه ۱۲ شهریور۹۷،حقوق یک کارگر ایرانی ۹۰ دلار آمریکا. همچنان نه مقام #رهبری و نه آقای #روحانی #رئیس_جمهور #جمهوری_اسلامی پاسخگوی به خاک سیاه نشاندن ۸۰میلیون گروگان در کشور نیستند.</t>
  </si>
  <si>
    <t>XxPeaceMakerxX</t>
  </si>
  <si>
    <t>‏‏‏‏متناقض نما بودم دست و پا درآوردم میگن دانشجوی ارشد مکانیکم ولی شما باور نکن.😉 اذیتم نکن من وقتی ناراحتم کسی رو ندارم که آرومم کنه</t>
  </si>
  <si>
    <t>thehran.iran</t>
  </si>
  <si>
    <t>#دلار ۱۲ تومنی رو کجا دلم بزارم، #روحانی الهی حلواتو بخورم.</t>
  </si>
  <si>
    <t>پارادوکس🌟🌟</t>
  </si>
  <si>
    <t>‏‏‏‏مِّنَ الْمُؤْمِنِينَ رِجَالٌ صَدَقُوا مَا عَاهَدُوا اللَّهَ عَلَيْهِ|استخوان در گلوي دشمن وخاردرچمشش| سيستاني تبار</t>
  </si>
  <si>
    <t>https://pbs.twimg.com/media/DmKOp9ZW0AUv7rb.jpg</t>
  </si>
  <si>
    <t>رئیسعلی دلواری ۳۳۰ نفر از نظامیان انگلیسی رودر بندر دلوار به هلاکت رسوند در نهایت هم یک خائن وطن فروش اونو به شهادت رسوند ماهرجاضربه خورديم از #نفوذي ها بوده ودشمن حساب شديدي روشون بازکرده خصوصا توايران #درى_اصفهانى #نفوذي #رئيس_علي_دلواري #روحاني</t>
  </si>
  <si>
    <t>گمنام</t>
  </si>
  <si>
    <t>رئیس فراکسیون غذا و داروی مجلس می‌گوید:مردم نگران نباشنددر تامین #شیرخشک و پوشک بچه مشکلی نداریم." فکر می‌کنم دولت و مجلس باید از خجالت بمیرند؛ دغدغه‌ی کشور از #موشک دوربرد و پرتاب #ماهواره و #نانو و #سلول‌های بنیادین رسیده به #پوشک بچه! آقای #روحانی! تو با این مملکت چه کردی؟!</t>
  </si>
  <si>
    <t>پایداری تا ظهور</t>
  </si>
  <si>
    <t>غارتی که حسن #روحانی پفیوز با تبدیل ریال به پهن از جیب هر ایرانی کرد چنگیز خان مغول نکرد. بعد عرزشیها در باره استقلال کشور گه میخورند.</t>
  </si>
  <si>
    <t>Sohrab</t>
  </si>
  <si>
    <t>https://pbs.twimg.com/media/DmKQ2ypX0AEyGfv.jpg</t>
  </si>
  <si>
    <t>https://t.me/asreeghtesad/24385</t>
  </si>
  <si>
    <t>#روزنامه ۱۲ #شهریور ۱۳۹۷ تیتریک: بروز آثار #تحریم #ایران بر #بازار #نفت  #عصراقتصاد #خبر #اخبار #اقتصاد #بورس #ارز #دلار #دولت #همتی #بانک #مجلس #ظریف 🗞 @Asreeghtesad</t>
  </si>
  <si>
    <t>Already against to the next WAR.</t>
  </si>
  <si>
    <t>میشه گازانبری حمله کنید قیمت دلار و کنترل کنید. #دلار #دلار۱۲۰۰۰تومنی #قالیباف #روحانی</t>
  </si>
  <si>
    <t>Nabi</t>
  </si>
  <si>
    <t>#واعظی از ریاست دفتر #روحانی کنار گذاشته می‌شود؟</t>
  </si>
  <si>
    <t>http://rashidvalid2015.blogspot.co.uk/</t>
  </si>
  <si>
    <t>الناس في تواددهم كمثل الجسد اذا اشتكي له عضوتداعي له باقي الجسد بالسهروالحمي</t>
  </si>
  <si>
    <t>pic.twitter.com/MA3Mj98osL</t>
  </si>
  <si>
    <t>الان طهران الاثنین 3-9 مظاهرات تحت شعار ایها الظالم اخجل أتركوا نقودنا آخرین خبر الان از تهران دوشنبه ۱۲شهریور ۹۷ غارت شدگان مؤسسه کاسپین در مقابل #مجلس در تهران شعار ستمگر حیا کن پول مارا رها کن #تظاهرات_سراسرى #IranProtests #ایران</t>
  </si>
  <si>
    <t>http://Instagram.com/mowbiin_</t>
  </si>
  <si>
    <t>یه دانشجوی خسته🖤 و استقلالی💙 و اصلاح طلب💚</t>
  </si>
  <si>
    <t>سرزمین آرزوهای محال</t>
  </si>
  <si>
    <t>https://twitter.com/behrouz18356770/status/1036306918036459521</t>
  </si>
  <si>
    <t>به همان دلیل که: ۱-سکوت #روحانی بعد از بدست اوردن رای ۲۴ میلیونی و‌سرخورده کردن طرفداراش ۲-برگشتن #هاشمی رفسنجانی به سمت مردم در خلال حوادث ۸۸ و... بعله بجای حمله به نامه شجاعانه #فرزند_احمد که اقایان در قدرت جرات یک‌خط نوشتنشم ندارن کاش حداقل #سکوت میکردین! RT @Behrouz18356770: پیرامون نامه #کروبی دو مطلب ذهنم را مشغول کرده است: ۱.در صورت صحت این مدعاچرا از سال ۶۸ تا ۸۸ که درراس نظام حضور داشت چنین مطالبی راعنوان نکرده بود ۲.بخش اعظم ادعاهای کروبی مرتبط با آیت الله #هاشمی_رفسنجانی است، چرا در زمان حیات ایشان این ادعاهامطرح نشد که فرصت دفاع داشته باشند</t>
  </si>
  <si>
    <t>patrik🇮🇷</t>
  </si>
  <si>
    <t>با مدیریت این دولت و همکاری دو قوه ی دیگه، هیچ چیز خوشحال کننده و امیدوار کننده ای وجود نداره... نه کار، نه تحصیل، نه ازدواج، نه سفر و نه خیلی چیزای دیگه. نسل جوان رو افسرده کردید انصافا! #روحانی #مجلس #قوه_قضائیه</t>
  </si>
  <si>
    <t>‏‏‏می خور که تنت بخاک ره ذره شود خاکت پس از آن پیاله و خمره شود ...</t>
  </si>
  <si>
    <t>https://pbs.twimg.com/media/DmKT-KFW4AAHpt8.jpg</t>
  </si>
  <si>
    <t>آقای #روحانی یارانه نقدی نمیخوام ما یک خانواده ۵ نفره هستیم یارانه ما راقطع کن ماهی ۵ بسته #پوشک_بچه بده</t>
  </si>
  <si>
    <t>Saphr</t>
  </si>
  <si>
    <t>#روحانی هر روز فاتحه می‌خونه برای اموات #ترامپ اقتصاد رتبه 120 کسب‌وکار و 130 شفافیت (#فساد) که عین پشکل اسکناس چاپ کنی، بالاخره فرو می‌پاشید ترامپ با جداکردن ماسک اکسیژن، مرگ رو تسریع کرد روحانی هم از خداخواسته انداخت گردن ترامپ و بی‌کفایتی خودش رو مثلا تبرئه کرد #سقوط_ریال</t>
  </si>
  <si>
    <t>‏می جویم تورا...</t>
  </si>
  <si>
    <t>[اقای #رئیسی ما به خاطر اینده فرزندت به #روحانی رای میدهیم] وتا جایی پیش امدند که در تهیه ی #پوشک فرزندشان ماندند</t>
  </si>
  <si>
    <t>meysamsadeghi</t>
  </si>
  <si>
    <t>همه بدبختی ها و بی کفایتی های #روحانی به کنار #پوشک_بچه رو کجای دام بذارم آخه تا این حد بی کفایت؟ خاک تو سرت دولت و وزراش</t>
  </si>
  <si>
    <t>الهم عجل لولیک الفرج ما مدعیان صف اول بودیم😢 از آخر صف شهدا را چیدند😢</t>
  </si>
  <si>
    <t>بازی کثیفی که #احمدی نژاد با #اصولگرایان کرد الان #روحانی با اصلاح طلبا میکنه 😁😁😁😁 ارزششون فقط در حد امتیازگیری و استفاده ابزاریست</t>
  </si>
  <si>
    <t>Ali Tadrisi</t>
  </si>
  <si>
    <t>‏چیز خاصی وجود نداره...</t>
  </si>
  <si>
    <t xml:space="preserve">
تبـــری‌ز</t>
  </si>
  <si>
    <t>سکه شده ۴.۵۵۷.۰۰۰ تومن دلار هم ۱۲.۳۵۰ تومنه روحانی سنی دییلر #روحاني</t>
  </si>
  <si>
    <t>امیــ حسین ــــر</t>
  </si>
  <si>
    <t>‏‏‏‏‏‏‏‏‏‏‏‏‏‏‏‏‏‏‏‏‏‏‏‏انسانیت ماورای دیانت و سیاست است.</t>
  </si>
  <si>
    <t>ایران‌اِشغالی</t>
  </si>
  <si>
    <t>اگر در این اوضاع #رئیسی رییس‌جمهور بود چه دو قطبی تمیزی میشد فضای توییتر، یک طرف ما در کنار آذرماله ها و توشه‌ها و... و آنطرف هم عرزشی ها خداروشکر #روحانی باعث شد پته اصلاحاتیا برای عموم مردم ریخته بشه رو آب</t>
  </si>
  <si>
    <t>جیزِس🏳</t>
  </si>
  <si>
    <t>بنازم به هوش و تدبیرت جناب #روحانی ،اومدی دماغمونو پاک کنی زدی جفت چشمامونو کور کردی . #امید #فقر_مطلق #اصلاحات #بیکاری</t>
  </si>
  <si>
    <t>https://twitter.com/truthmines/status/1034314231875661824</t>
  </si>
  <si>
    <t>این رو درست هنگام جلسه سوال از #روحانی در مجلس #توییت کردم و چقدر زود پیش بینیم از قیمت #دلار به واقعیت پیوست!👇 RT @truthmines: بدبخت شدیم: باز گفت نگران نباشید #دلار ارزون میشه! یه سلامی هم بکنیم به #دلار۱۲۰۰۰تومنی یا شاید هم ۱۵۰۰۰ تومنی!</t>
  </si>
  <si>
    <t>http://j-karimi.ir</t>
  </si>
  <si>
    <t>جواد کریمی قدوسی نماینده مردم شریف مشهد و کلات مجلس شورای اسلامی عضو کمیسیون امنیت ملی و سیاست خارجی</t>
  </si>
  <si>
    <t>نگاهی که معتقد است بدون #غرب و اروپا نمی‌توان زندگی کرد، درست نیست اما متاسفانه دولت #روحانی به این مسئله اعتقاد دارد. امیدی به حل برجام و مسائل اقتصادی توسط اروپایی‌ها نیست.</t>
  </si>
  <si>
    <t>جواد کریمی قدوسی</t>
  </si>
  <si>
    <t xml:space="preserve">حتی در جنگ با دشمن هم ازدروغ و تهمت وفریب ونیرنگ باید پرهیزکرد. </t>
  </si>
  <si>
    <t>از #سیستان عازم منزل هستم هنوز حرکت نکره #همسرجان سفارش کالا دادن که برم بخرم چندتا سکته ی ناقص ، چند تا اوردوز خفیف و همچنین دوتا ایست قلبی رو پشت سر گذاشتم خدا خفت کنه #روحانی</t>
  </si>
  <si>
    <t>عمو استالین  (اَبْو وِصٰال)</t>
  </si>
  <si>
    <t>در این #چهل_سال مسولین گرامی تپه‌ای نموند که آباد نکرده باشن! در هر دوره‌ای یک جور ریدن که گفتن برای شستن قبلی 100 سال زمان نیازه! خوب خوبشون، دیپلماتشون، معتدلشون که #روحانی بود این شد انقدر بد ریده که با خاک‌اندازم نمیشه جمع کرد</t>
  </si>
  <si>
    <t>pic.twitter.com/dXSbiGbLEp</t>
  </si>
  <si>
    <t>رقص و شادی خلبانان عزیز بعد از شنید ن قیمت جدید #دلار #دلار12500 #سوال_از_رییس‌جمهور #خارج_از_دید</t>
  </si>
  <si>
    <t>‏‏‏‏‏‏‏‏‏‏‏‏‏#‏عقیده_آزاد_است...ما هم قبل از اینکه تئوریسین‌های شما به «عقیده آزاد» برسند ۱۴ قرن پیش به «لا اکراه فی الدین» رسیدیم</t>
  </si>
  <si>
    <t>مردم ایران! نه برای رأی ندادن به #رئیسی، بلکه برای رای دادن به #روحانی در آخرت مجازات خواهید شد. همه شما در ریختن اشک پدرانِ شرمنده خانواده نقش دارید! از خدا بخواهید: از گناه‌تان بگذرد!</t>
  </si>
  <si>
    <t>ریتوییت جبهه انقلاب</t>
  </si>
  <si>
    <t>https://t.me/joinchat/AAAAAEW-4GmVW4dNijEwFg</t>
  </si>
  <si>
    <t>#بگا_رفتگانیم 1397/06/12 ⏱14:48 هم‌اکنون👇 🇺🇸 #دلار_تهران 12.560 🥇 #سکه امامی 4.600.000 💰 #مثقال(آبشده) 1.500.000 #دلار #رژیم_را_سرنگون_کنیم #کار_را_یکسره_کنیم #پوشک_بچه #چالش_دعوت_به_عملیات #روحانی 📈قیمت ارز، طلا و خودرو👇</t>
  </si>
  <si>
    <t>https://pbs.twimg.com/media/DmKY4bcXcAYLPEB.jpg</t>
  </si>
  <si>
    <t>قسم نامه #رئیسعلی_دلواری : سوگند یاد می کنم که اگر #انگلیسی‌ها بخواهند #بوشهر را تصرف کنند و به خاک وطن من تجاوز کنند، در مقام مدافعه برآیم و تا آخرین قطره خون من بر زمین نریخته است... ای کاش #ظریف به جای این که بخواد #مصدق بشه ،رئیسعلی دلواری می شد #برجام @JZarif #روحاني</t>
  </si>
  <si>
    <t>http://jeem.ir/</t>
  </si>
  <si>
    <t>آیا حقیقت داره #مجلس با عرضه #ارز_مجازی ملی مخالفت کرده؟ @azarijahromi</t>
  </si>
  <si>
    <t>parisa kiani</t>
  </si>
  <si>
    <t>https://pbs.twimg.com/media/DmKbqM4UcAApx0k.jpg</t>
  </si>
  <si>
    <t>https://www.ilna.ir/fa/tiny/news-664300</t>
  </si>
  <si>
    <t>معاون اول #رییس‌جمهور تاکید کرد؛ مسائل و مشکلات تهران قابل چشم‌پوشی نیست/ ساماندهی وضعیت فعلی تهران نیازمند مدیریت یکپارچه است</t>
  </si>
  <si>
    <t>علی اکبر کریمی، عضو کمیسیون اقتصادی #مجلس: دو شرکت مطرح کره ای، چهل و هفت هزار میلیارد ریال (۱.۵ میلیارد #دلار) از سوی #گمرک جمهوری اسلامی به دلیل برخی تخلفات جریمه شدند.</t>
  </si>
  <si>
    <t>پروفسور درخشان (استاد اقتصاد در امریکا)، گفت: اگر به #روحانی رای دهید، اقتصاد متلاشی می‌شود! باران کوثری، با مدرک دیپلم هنر گفت: به #روحانی رأی دهید تا اقتصاد متلاشی نشود خودتان بگویید! حرف کدام یک را ملاک قرار دادید؟!</t>
  </si>
  <si>
    <t>‏‏دانشجوی حقوق، علاقه مند به جامعه شناسی و تاریخ، دغدغه مند انقلابی</t>
  </si>
  <si>
    <t>ایران، تهران، مقیم کهف الشهداء</t>
  </si>
  <si>
    <t>https://twitter.com/Tahlilgaran/status/1036561742661332993</t>
  </si>
  <si>
    <t>اصلاح میکنم : تعطیلی کارخانه ها بر اثر سو تدبیر عمدی دولت روحانی در راه است... #روحانی RT @Tahlilgaran: تعطیلی زنجیره ای کارخانه‌ها در راه است. مواد اولیه از داخل و خارج تامین نمی‌شود. /ارانیکو</t>
  </si>
  <si>
    <t>مَنِ او</t>
  </si>
  <si>
    <t>pic.twitter.com/0ghc63xKYJ</t>
  </si>
  <si>
    <t>تجمع #غارت شدگان #كاسپين مقابل #مجلس دوشنبه ١٢ شهريور ٩٧ #اعتصاب_سراسری #قیام_تا_سرنگونی #IranRegimeChange</t>
  </si>
  <si>
    <t>pic.twitter.com/mw3Wf56mgZ</t>
  </si>
  <si>
    <t>غارت شدگان مؤسسه #کاسپین روز دوشنبه در مقابل #مجلس تجمع #اعتراضی برگزار کردند. پول مارا دزدیدنددروغ میگی پس دادند نه قاضی نه دولت نیستند به فکرملت بازیهارا تمام کنید پول ما را رها کنید کاسپین دزدی کرده دولت حمایت کرده</t>
  </si>
  <si>
    <t>Robotics researcher</t>
  </si>
  <si>
    <t>https://pbs.twimg.com/media/DmKdUTuW0AEyRt-.jpg</t>
  </si>
  <si>
    <t>نمیدونم شاید هر کشور دیگه ای ۴۰ سال انواع درد و رنج مثل: جنگ، انقلاب اسلامی، اصولگرایی توسط شغال #خاتمی، #احمدی_نژاد ، سگ زرد برادر شغال #روحانی و ... رو داشت مث ما بی فرهنگ و نژاد پرست و بیشعور میشد که از اینکه افغانیا محروم از تحصیل شدند خوشحالن و لایک میکنن #نژاد_پرست</t>
  </si>
  <si>
    <t>Sam</t>
  </si>
  <si>
    <t>pic.twitter.com/iTh5oYfTC5</t>
  </si>
  <si>
    <t>راهپیمایی و تجمع #سپرده گذاران #کاسپین مقابل #مجلس دوشنبه 12 شهریور 97 #اعتصاب_سراسری #براندازم #IranRegimeChange</t>
  </si>
  <si>
    <t>احتمال توافق با #محمد_شريعتمداري #وزير_صنايع در مجلس انجام ميشود و #استيضاح راي نمي آورد. #معامله</t>
  </si>
  <si>
    <t>من کجا و این همه بدبختی #روحانی</t>
  </si>
  <si>
    <t>https://kayhan.london/fa/1397/06/12/%d8%a7%d8%b9%d8%aa%d8%b1%d8%a7%d9%81%d8%a7%d8%aa-%d8%b1%d9%88%d8%ad%d8%a7%d9%86%db%8c-%d8%af%d8%b1-%d9%85%d8%ac%d9%84%d8%b3-%d8%b1%d8%a7%d8%b3%d8%aa%db%8c-%d9%87%d9%85-%da%a9%d9%87-%d8%aa%d9%82%d8%b5</t>
  </si>
  <si>
    <t>اعترافات #روحانی در مجلس: راستی هم که تقصیر «تصورات مردم» است؛ هم #انقلاب هم اصلاحات! پی‌نوشت یا همان پ.ن. معروف، گزارش‌های کوتاه و ویدیویی کیهان لندن است که زوایای دیگری از متن و رویداد‌ها را به نمایش می‌گذارد...</t>
  </si>
  <si>
    <t>روزنامه نگار</t>
  </si>
  <si>
    <t>سال۹۲گفت آنچنان #رونق_اقتصادی ایجاد خواهد کرد که مردم اصلاً به این ۴۵هزار تومان نیاز نداشته باشند. راست میگفت اکنون (۹۷)#یارانه در سبد خانوار ما هزینه #پوشک دوقلوهایم هم نیست! #روحانی #تدبیر #امید #رونق</t>
  </si>
  <si>
    <t>R. ziadali</t>
  </si>
  <si>
    <t>ارتقي بمستوى حديثــك ، لا مستوى صوتــك، إنه المطر الذي ينمي الأزهـار و ليس الرعــد .. جلال الدين الرومي ✍️</t>
  </si>
  <si>
    <t>لبنان</t>
  </si>
  <si>
    <t>همزمان با رسيدن آقاى ظريف به دمشق .. ساعاتى قبل ريال ايران مقدارى از ارزش خود را در برابر دلار از دست داد .. پيش بينى مى شود كه باز هم به سير تنازلى خود ادامه دهد ! #ايران #روحانى</t>
  </si>
  <si>
    <t>سهام / لبنان🇱🇧</t>
  </si>
  <si>
    <t>#دلار از مرز ۱۲۶۰۰ تومن هم گذشت و ما کماکان خیالمان از بابت قیمت #ارز راحت است! #روحانی</t>
  </si>
  <si>
    <t>تبدیل دلار 3400 به دلار 12600 کار راحتی نیست و از دست هر حکومتی بر نمیاد. #دلار #ارز #سقوط_ریال #دلار۱۲۰۰۰تومنی #ایران #روحانی #خامنه‌ای #ظریف</t>
  </si>
  <si>
    <t>https://telegram.me/dar2delbot?start=send_b2NldA</t>
  </si>
  <si>
    <t>‏‏‏‏‏‏‏‏‏‏‏‏متاهل/فعلا صحبت خاصی ندارم دایرکت🚫⛔</t>
  </si>
  <si>
    <t>https://twitter.com/a_gholhaki/status/1036556096155131906</t>
  </si>
  <si>
    <t>نتیجه جلسه‌ی #سوال_از_رییس‌جمهور : تقریبا هیچ! RT @a_gholhaki: هیئت رئیسه مجلس می‌گوید سوال از روحانی به قوه قضاییه ارسال نمی‌شود! حالا جواب سوالات نمایندگان مجلس و مطالبات مردم درباره افسار پاره شده قیمت‌ها که امروز دلار به بالای ۱۲۰۰۰تومان وسکه به ۴.۵میلیون رسیده را چه کسی خواهد داد؟ آیا مطالبات به حق معیشتی مردم هم قابل بایگانی شدن است؟!</t>
  </si>
  <si>
    <t>آرمـــــا🍂</t>
  </si>
  <si>
    <t>https://pbs.twimg.com/media/DmKgpu6U0AA-1P1.jpg</t>
  </si>
  <si>
    <t>#سالک در گفتگو با #صبح_نو: انتظار می‌رفت پس از سوالی که از رییس‌جمهو با توجه به رأی‌گیری‌ای که در مجلس صورت گرفت، ایشان جلسه‌ای با تیم اقتصادی خود می‌گذاشت و موضوعات اقتصادی را به‌صورت جدی بررسی و دنبال می‌کرد. گام مهم مجلس برای رفع دغدغه اقتصادی مردم باشد #سوال_از_رئیس_جمهور</t>
  </si>
  <si>
    <t>خاک بر سرت روباه بنفش #روحانی @Rouhani_ir #دلار۱۲۰۰۰تومنی</t>
  </si>
  <si>
    <t>دلار در حالی از مرز ۱۲ هزارتومان و‌سکه از چهار میلیون و ششصد گذشت که هنوز در مرحله آسیب هستیم و به #بحران نرسیده ایم #روحانی</t>
  </si>
  <si>
    <t>http://sepanta.co</t>
  </si>
  <si>
    <t>Business Communications Strategist</t>
  </si>
  <si>
    <t>ظریف به ظرافت از کنار یک مشت زمختِ گریبان-دریده گذشت :) #ظریف #مجلس</t>
  </si>
  <si>
    <t>Alireza Ramezani</t>
  </si>
  <si>
    <t>http://tn.ai/1819334</t>
  </si>
  <si>
    <t>🔴#ایران #تهران #مهم #اصفهان درادامه #اعتراضات #مردم #روحانی لاکن #اخباریه #دولت #فساد #اختلاس اهل بیت ال عبا #رهبر_انقلاب وشرکا شبکه بزرگ سربازان گمنام جعل مدارک تحصیلی و پزشکی #دانشگاه در6استان ولایات #رهبرفرزانه منهدم شد</t>
  </si>
  <si>
    <t>معلّمی در دانشگاه</t>
  </si>
  <si>
    <t>سید خندان</t>
  </si>
  <si>
    <t>برای سرنگونی یک دولت کافی است ایده اداره آن را بشکنید #روحانی #برجام</t>
  </si>
  <si>
    <t>سروش حبیبی</t>
  </si>
  <si>
    <t>سرويس سياسي روزنامه تعادل،</t>
  </si>
  <si>
    <t>https://pbs.twimg.com/media/DmKh2BmW0AErvc1.jpg</t>
  </si>
  <si>
    <t>سيدحميدروحاني فعال #اصولگرا: شعار «ای آنکه #مذاکره شعارت، استخر فرح در انتظارت» كه خطاب به #روحاني و دولتمردان داده شده، مقدس و فوق العاده اخلاقی بود.»مشخص شد فرمان تهديد #رئيس‌جمهور از كجا صادر شده ؛ اما آيا #قوه‌قضائيه توانايي برخورد با اين كلوني هاي تحجر و #تندروي رو داره</t>
  </si>
  <si>
    <t>mahdybeyk</t>
  </si>
  <si>
    <t>‏‏ما بی‌بیوها ^_^</t>
  </si>
  <si>
    <t>https://pbs.twimg.com/media/DmKjOKzX0AA-tWz.jpg</t>
  </si>
  <si>
    <t>نمودار دخل و خرج خانواده‌ها در ۵ سال دولت #روحانی همون‌طور که ملاحظه میفرمایید همه چیز طبق وعده‌های رئیس‌جمهور پیش رفته و ما الآن اصلا به یارانه احتیاج نداریم از دولت محترم میخوایم یه شماره حساب اعلام کنه تا مراتب تقدیر و تشکرمون رو با اهدای مازاد درامدمون به سمع و نظرشون برسونیم</t>
  </si>
  <si>
    <t>فاطمه محبی</t>
  </si>
  <si>
    <t>http://www.zoomit.ir</t>
  </si>
  <si>
    <t>زومیت | دنیای فناوری</t>
  </si>
  <si>
    <t>https://pbs.twimg.com/media/DmKjdtxUwAAAomM.jpg</t>
  </si>
  <si>
    <t>به گزارش سخنگوی کمیسیون برنامه، بودجه و محاسبات #مجلس، طرح راه‌اندازی #پیام‌‌رسان مالی و #ارزدیجیتال در جلسه این کمیسیون رد شد؛ این در حالی است که رییس سازمان #بورس اوراق بهادار اعلام کرده بود که زیرساخت‌های لازم برای ورود #ارز های دیجیتال به بورس فراهم شده و مانعی وجود ندارد.</t>
  </si>
  <si>
    <t>Zoomit</t>
  </si>
  <si>
    <t>https://twitter.com/313Forat/status/1036258350625947649</t>
  </si>
  <si>
    <t>گناه من با این دوقلوهام چیه این وسط ☹️😢 #روحانی #پوشک RT @313Forat: روحانی میخواست موشکها رو هدف بگیره زمین بزنه نتونست... حمله کرده پوشکها رو زده زمین از لج😁 #روحانی #پوشک #موشک #برجام</t>
  </si>
  <si>
    <t>اقای #محسن_رضایی علیرغم ارادتم چرا جفنگ میگی؟ #سران سه #قوه بگن« #ما_میتوانیم»؟ میتوانند که بیشتر دزدی کنند اصلان عامل اصلی بحران کنونی #روحانیه #مجلس هم که کشک شریک دزد و رفیق غافله!#قضاییه هم علیرغم اختیار از رهبری همچنان بیخایه عمل میکند میگه مبارزه با عوامل بحران قضایی نیست!</t>
  </si>
  <si>
    <t>https://pbs.twimg.com/media/DmKkJCuXsAAC7xn.jpg</t>
  </si>
  <si>
    <t>http://tn.ai/1819393</t>
  </si>
  <si>
    <t>🔴#ایران #تهران #قم #مهم درادامه #اعتراضات #مردم #روحانی لاکن #اخباریه #دولت #فساد #اختلاس اهل بیت ال عبا #رهبر_انقلاب وشرکا با عنایات صاحب ⌚️#حقوق_شهروندی سربازان گمنام این #رهبرفرزانه در خصوص میلیاردها #دلار که اصلا معلوم نیست کجاست</t>
  </si>
  <si>
    <t>از سال 92 که روحانی اومده تا الان تخم مرغ 105%، برنج ایرانی 88%، گوشت 100%، مرغ 68%، پنیر 80%، قند و شکر 85%، چای 90% افزایش قیمت داشتن البته روحانی خودش میگه تورم تک رقمیه آمار #روحانی هم مثل #دلار جهانگیریه ظاهرا</t>
  </si>
  <si>
    <t>⁦❤️ PERSEPOLIS ❤️</t>
  </si>
  <si>
    <t>ἶɾმղ</t>
  </si>
  <si>
    <t>باز نزدیک واریز #یارانه_ها شد ، قیمت #دلار و #طلا رفت بالا ، خودجوش #روحانی #دزدی #اختلاس</t>
  </si>
  <si>
    <t>მlἶ lმհօօէ</t>
  </si>
  <si>
    <t>امام خمینی: زندان ها باید به دانشگاه تبدیل بشوند امروز: حسین فریدون از تز دکتری خودش دفاع کرد! نکته: ایشون باید به جرم مفاسد اقتصادیش توی زندان باشه الان نتیجه: این است حکومت بی صاحب! #ایران #روحانی #خمینی</t>
  </si>
  <si>
    <t>Graduated http://M.Sc Aerospace engineer @University of Tehran نیمچه عکاس</t>
  </si>
  <si>
    <t>Shiraz (Already)</t>
  </si>
  <si>
    <t>لعنت بهت آقای #روحانی</t>
  </si>
  <si>
    <t>نیماژ</t>
  </si>
  <si>
    <t>‏ورود هر اندیشه ای غیر از هواداران فرقه رجوی آزاد</t>
  </si>
  <si>
    <t>زیر آن سرو بلند</t>
  </si>
  <si>
    <t>#دلار در مرز ۱۳۰۰۰ تومن. آقای #روحانی واقعا خاک بر سرت. تو همه چی روی محمود رو سفید کردی! #دلار۱۳۰۰۰تومانی #این_انتخاب_من_نیست</t>
  </si>
  <si>
    <t>مستشار</t>
  </si>
  <si>
    <t>‏‎#براندازم #خداناباور</t>
  </si>
  <si>
    <t>احمدی نژاد میگفت بیاین گوجه ر از دم خونه ما بخرید ارزونه. راست می‌گفت آخه خونه‌ش نارمک بود. #روحانی از این حرفا نمیتونه بزنه چون خونه‌ش تو گرونترین خیابون زعفرانیه‌ست. نزدیک‌ترین فروشگاه بهش هم پالادیومه.</t>
  </si>
  <si>
    <t>گوینده</t>
  </si>
  <si>
    <t>در تاریخ خواهند نوشت که در یک نمایش عوام فریبانه #نمایندگان_مجلس از رییس‌جمهور مملکت سوال پرسیدند و از جواب هایش قانع نشدند ولی جیگر! #استیضاح وی را نداشتند. البته علاوه بر تاریخ در مستند #رازبقا هم مرتب پخش خواهند کرد! من برم ۲۹۰ تا هویج بخرم تا گرون نشده! #سوال_از_رییس‌جمهور</t>
  </si>
  <si>
    <t>https://telegram.me/harfbzanbot?start=8bvwwX5</t>
  </si>
  <si>
    <t>#17 🙇🏻‍♂️ 🤟🏽 🇵🇹 ------ SH.B | http://M.GH 🐷🔥 | Fotógrafo 📸 | Follow = Follow 🌹💎</t>
  </si>
  <si>
    <t>Portugal</t>
  </si>
  <si>
    <t>چِقَد خوب که هَمون چُس مِثقال اُمید به زندِگیَم که داشتیم اَزَمون گِرِفتی 😑🙂 #تدبیر_و_امید #روحانی</t>
  </si>
  <si>
    <t>eMIr</t>
  </si>
  <si>
    <t>ایران برای همه ایرانیان - جبهه مشارکت - اتحاد ملت</t>
  </si>
  <si>
    <t>حدود یکماه از استعفای سخنگوی دولت گذشته و همچنان #دولت بدون #سخنگو . شاید نیازی به پاسخگویی دیده نمی‌شود! اگر هیچ فردی حاضر به پذیرفتن این مسئولیت نیست جناب #رییس_جمهور ، خود شما یا #معاون_اول عهده دار این سمت شوید.</t>
  </si>
  <si>
    <t>Behrooz.shahrokhnia</t>
  </si>
  <si>
    <t>منم فریاد بی خاموش ایرانی . منم آن بعض طوفانی که میدانی . منم شوریده برابلیس . منم شیدای آزادی همان روح رهایی بخش انسانی . براندازم توپایانی من آغازم</t>
  </si>
  <si>
    <t>pic.twitter.com/b8ko4rSQE3</t>
  </si>
  <si>
    <t>غارت شدگان مؤسسه #کاسپین روز دوشنبه در مقابل #مجلس تجمع #اعتراضی برگزار کردند. پول مارا دزدیدنددروغ میگی پس دادند نه قاضی نه دولت نیستند به فکرملت بازیهارا تمام کنید پول ما را رها کنید پرداخت ها را قطع کردند مردم را بدبخت کردند #ايران #اعتراضات_سراسری</t>
  </si>
  <si>
    <t>kavehAhanghar</t>
  </si>
  <si>
    <t>من یک ایرانی هستم وطنم را دوست دارم درحال حاضر از وضعیت اقتصادی کشور م اصلا خرسند نیستم من همه را دوست دارم مودب بیا وبرو</t>
  </si>
  <si>
    <t>باور کنید خود #روحانی باورش نمیشه که رییس جمهور ایران هست تو هفت اسمان هم خواب نمیدید</t>
  </si>
  <si>
    <t>دلار 12600 ،یک دلار مساوی 126000 ریال .از مردم خجالت نمیکشی حداقل از تعداد ارقام ریال خجالت بکش #روحانی</t>
  </si>
  <si>
    <t>همونجوری که از دانشمندها و نخبه ها برای ساخت و مدیریت نیروگاههای هسته ای و ساخت سلاحهای دفاعی استفاده کردین ای کاش برای مدیریت کشور هم از دانشمندان و نخبه گان استفاده میکردین.آخه #روحانی چی داشته و داره جز بدبخت کردن مردم .</t>
  </si>
  <si>
    <t>https://pbs.twimg.com/media/DmKshaIXcAEazEO.jpg</t>
  </si>
  <si>
    <t>#لایحه #تامین_امنیت_زنان همچنان در ایستگاه قوه قضاییه بلاتکلیف مانده است. بله زمانی برای تایید نهایی اعلام نشده است #زنان #مجلس #منع_خشونت_علیه_زنان @P_Salahshouri @ebtekarm_ir @mowlaverdi</t>
  </si>
  <si>
    <t>‏‏‏‏‏منتقد مودب و منصف</t>
  </si>
  <si>
    <t>این روزا ک غالبا بر علیه #روحانی هستن، تنها کسی ک واقعا او را حمایت و کمک میکند، #پدر_ایران است چون، منتخب مردم است. #میزان_رای_ملت_است.</t>
  </si>
  <si>
    <t>ونداد همایون</t>
  </si>
  <si>
    <t>http://Instagram.com/mahdihadavandkhani</t>
  </si>
  <si>
    <t>Architect and Photographer in Iran | Architetto e fotografo che abita in Iran</t>
  </si>
  <si>
    <t>هر #دلار آمریکا ۱۳۰۳۰ تومان هر #یورو اروپا ۱۵۱۰۰ تومان ! منبع تابلو صرافی کاج سعادت آباد تهران #خودمان_انتخاب_کردیم #روحانی #ارز #صرافی @pouriazeraati</t>
  </si>
  <si>
    <t>Mahdi HadavandKhani</t>
  </si>
  <si>
    <t>نوشته بود : زندگی را باید زندگی کرد یاد اون جملهه افتادم ما انقلاب کردیم یا انقلاب ما را #انقلاب #روحانی</t>
  </si>
  <si>
    <t>MAMOOTI</t>
  </si>
  <si>
    <t>https://pbs.twimg.com/media/DmKu9dHWsAA28dd.jpg</t>
  </si>
  <si>
    <t>اگر مردم یک کشور به فهم و بلوغ سیاسی نرسند حتی رهبر آن جامعه هم نمی تواند کاری کند مردم ايران از تکرار تاريخ بترسند وگذشته را سرلوحه آينده شان کنند ايران کم از اين ليبرال ها ضربه نخورده است والان ليبرال واصلاح طلب باهم،هم قسم شدن براي تاراج ايران #ليبرال #رهبر_انقلاب #روحاني</t>
  </si>
  <si>
    <t>העם האיראני אינו עוין לכל מדינה.</t>
  </si>
  <si>
    <t>Eldorado, IL</t>
  </si>
  <si>
    <t>کاش اونروزی که بخاطر رای به #روحانی ۲ساعت و نیم تو صف منتظر موندم رو از تاریخچه زندگیم بشه حذف کرد</t>
  </si>
  <si>
    <t>King Arthur ll</t>
  </si>
  <si>
    <t>PhD Student, University of Antwerp, Political Management and Marketing . MA, International Political Economy MA, Philosophy</t>
  </si>
  <si>
    <t>ANTWERP, BELGIUM</t>
  </si>
  <si>
    <t>دولت #روحانی باید از بالا بردن نرخ ارز، دست بردارد.</t>
  </si>
  <si>
    <t>ALIREZA SARFARAZI</t>
  </si>
  <si>
    <t>##دلار 13000 تومان... ایول #روحاني ...تو فقط توصیه های #خامنه‌ای رو گوش کن ابله!!!!</t>
  </si>
  <si>
    <t>https://pbs.twimg.com/media/DmKvWZPV4AAArYg.jpg</t>
  </si>
  <si>
    <t>داشتم تو "دیجی کالا" چرخی میزدم، دیدم #پوشک شده جزو اجناس پُر فروشش؛ یادش بخیر قبلا اینجا جای کالاهای دیجیتال و با ارزش بود؛ ممنون آقای #روحانی! #پوشک_نجومی</t>
  </si>
  <si>
    <t>در دوره ای هستیم که #سرهنگ ها #موشک نقطه زن با برد 2000کیلومتر می سازن #جنگنده می سازن ولی #حقوقدان ها از تامین #پوشک برای بچه ها هم ناتوانند #من_سرهنگ_نیستم #من_حقوقدانم #روحانی #دولت_اعتدال @HassanRouhani @Rouhani_ir @JZarif</t>
  </si>
  <si>
    <t>‏‏‏‏یه خاکستری خیلی خیلی معمولی معتقد به اینکه یه روز بر می گرده شاید گردنم جای شمشیرش باشه ولی ای کاش برگرده فالو=بک</t>
  </si>
  <si>
    <t>https://pbs.twimg.com/media/DmKvd7zXcAAtaoi.jpg</t>
  </si>
  <si>
    <t>#احمدي_نژاد ی نیستم اما خداییش برخورد #روحاني کدخدا پرستو مقابل سفرای #انگلیس مقایسه کنید سالروز #دلیران_تنگستان #رییس_علی_دلواری</t>
  </si>
  <si>
    <t>میثم</t>
  </si>
  <si>
    <t>کسانی که امروز دغدغه مردم رو از برد#موشک ، ارسال موجود زنده به #فضا و 19000#سانتریفیوژ به دغدغه #پوشک و #شیرخشک تقلیل دادن همونایی هستند که راضی به داشتن 3عدد #سانتریفیوژ و تعلیق داوطلبانه و پلمپ تاسیسات #هسته_ای شدند و حالا همونها بر سرکارند #مردم_یادتونه #انتخابات #روحانی</t>
  </si>
  <si>
    <t>اگه خیلی ها برنده نباشن ، پیروزن خسته نباشن</t>
  </si>
  <si>
    <t>من اگر برگردم به سال گذشته باز از #روحانى حمايت ميكنم، خير و بركات زيادى داشته، مثلا يكيش همينكه اختلاف طبقاتى رو كم كرده و تمام اقشار جامعه به يك اندازه بدبخت شدن! ✌🏻💜</t>
  </si>
  <si>
    <t>امير كرابي</t>
  </si>
  <si>
    <t>http://bit.ly/2wEDG5t</t>
  </si>
  <si>
    <t>حمیدرضا فولادگر،نماینده #مجلس از جمله موافقان استثنا شدن شهرداران از قانون #منع_بکار‌گیری_بازنشستگان است. او اعتقاد دارد شهرداری تهران به‌دلیل هم‌تراز شناخته‌شدن با وزرا جزو مستثنائات اصلاحیه اخیر بهارستان است.</t>
  </si>
  <si>
    <t>رفتم موز بخرم یارو گفت کیلو 13 تومن سه تا خریدم شد 6 تومن توی راه داشتم فک میکردم کاش 3 تا ساندویچ فلافل میخریدم به جاش #روحانی_مچکریم #روحانی_توی_روحت #مملکته #همه_چی_آرومه #روحانی</t>
  </si>
  <si>
    <t>بهتر نیست صبر کنید تا تصویر یقه پاره وصدای گلوی جر داده شما برای حمایت از #روحانی از چشم و گوشمون محو بشه بعد با نگاه منتقد برنامه استراتژیک جدید ارائه بدید.یه مدت ساکت بمونید کسی نمیگه لالید .#آفتاب_پرستان #روشنفکر#اعتماد_بنفس</t>
  </si>
  <si>
    <t>karagah-alavi</t>
  </si>
  <si>
    <t>https://twitter.com/EhsanBodaghi/status/1036509057140572160</t>
  </si>
  <si>
    <t>گفتن من و امثال من چه دردی دوا میکند؟ پس رسالت شما مطبوعات چه میشود؟ شعاری که میلیون میلیون رأی به سبد #روحانی ریخت نباید هیچ جایی در رسانه رسمی دولتش داشته باشد؟ @EhsanBodaghi RT @EhsanBodaghi: @Beeman93397010 @IranNewspaper شما که خودت جرات نمی کنی با اسم واقعی بیایی توئیتر برای روزنامه ای که بالای 200 نفر توش کار می کنن و هر مطلبی می تونه باعث توقیف و بیکار شدن این افراد بشه تعیین تکلیف نکن خواهشا. اگر خیلی معتقدی خودت اول بیا با اسم واقعی ات چهار تا جمله بنویس، بعد برای دیگران نسخه بپیچ.</t>
  </si>
  <si>
    <t>https://goo.gl/UvJYTv</t>
  </si>
  <si>
    <t>#رادیوامید: کمیسیون فرهنگ و تربیت #مجلس نگران #زندگی_مجردی_دانشجویان</t>
  </si>
  <si>
    <t>Public Relations and Sales Expert, interested in political news and analysis, love photography</t>
  </si>
  <si>
    <t>https://pbs.twimg.com/media/DmKwjE8VsAE_2zP.jpg</t>
  </si>
  <si>
    <t>https://twitter.com/Tasnimnews_Fa/status/1036585054972141568
http://tn.ai/1819221</t>
  </si>
  <si>
    <t>الان اینطوری مانور میدن چهار روز دیگه که ریخت روی سر مردم میندازن گردن #روحاني :)))) RT @Tasnimnews_Fa: 📸 تحویل دهی ۳۰ واحد مسکونی به #زلزله_زدگان توسط #سپاه/ ۳۰ واحد مسکونی که توسط سپاه سیدالشهدا استان #تهران ساخته شده بود به زلزله زدگان شهرستان ثلاث باباجانی تحویل شد</t>
  </si>
  <si>
    <t>Rasoul</t>
  </si>
  <si>
    <t>حدودا 10 سال پیش #سکه هر عددی 90 هزار تومن بود ارمروز به لطف #روحانی #پوشک بچه هر بسته ای 90 هزار تومان شده ! چرا شکر نعمت نمی کنید ؟ مگر نمی بینید ؟</t>
  </si>
  <si>
    <t>کاش #روحانی تو مجلس نمیگفت قیمت #دلار رو ثابت کردیم 😕😕 ‌@Rouhani_ir یه جوری شده هرچی میگه دقیقا عکسش میشه</t>
  </si>
  <si>
    <t>https://www.ilna.ir/fa/tiny/news-663806</t>
  </si>
  <si>
    <t>🔴#ایران #تهران #مهم درادامه #اعتراضات #مردم #روحانی معاونت #زنان و #خانواده #دولت #فساد #اختلاس اهل بیت ال عبا #رهبر_انقلاب وشرکالاکن زنانه‌شدن #اعتیاد پرداختن به همه مسائل #زنان، وظیفه معاونت خلافت #رهبرفرزانه است #کذب است</t>
  </si>
  <si>
    <t>mom,lover</t>
  </si>
  <si>
    <t>الان ارزوی دلار ده هزار تومنی رو دارید کلکها؟؟؟ 😉😉😉 #دلار۱۲۰۰۰تومنی #فقر #تورم #لطفا_به_عقب_برگردیم #روحانی</t>
  </si>
  <si>
    <t>bahareh</t>
  </si>
  <si>
    <t>https://pbs.twimg.com/media/DmKz4iGVAAIVgKE.jpg</t>
  </si>
  <si>
    <t>http://tn.ai/1819436</t>
  </si>
  <si>
    <t>طرح جدید نمایندگان #مجلس برای شفافیت در رأی‌گیری‌ها/ نمایندگان مجلس در طرحی خواستار راه‌اندازی سامانه‌ای از سوی هیئت‌رئیسه پارلمان برای ایجاد شفافیت در فعالیت‌‌های بهارستان‌نشینان شدند #شفافیت_آراء_مجلس</t>
  </si>
  <si>
    <t>از طلا گشتن پشیمان گشته ایم مرحمت فرموده ما را مس کنید #دلار۱۲۰۰۰تومنی #تورم #اقتصاد_مال_خر_است #پوشک_بچه #روحانی</t>
  </si>
  <si>
    <t>شما که برای #چادر سر کردن خونه و ماشین میخواستی برای سر کردن شال #بنفش از #رئیس_جمهور چی گرفتی؟</t>
  </si>
  <si>
    <t>wolf</t>
  </si>
  <si>
    <t>https://twitter.com/Eranico_com/status/1035500676581928960</t>
  </si>
  <si>
    <t>🙏 آقای #روحانی امروز را دریابید که شاید فردایی باشد. @Rouhani_ir RT @Eranico_com: ‼️ #روحانی در #مجلس: ما کار احتیاطی برای ماه‌های آینده و سال آینده انجام می‌دهیم وگرنه می‌توانیم به بانک مرکزی بگوییم تنها در ۲هفته، نرخ ارز را به سال گذشته شهریور برگردان</t>
  </si>
  <si>
    <t>#دلار ۱۳۰۰۰ تومن و اکنون هیچ اثری از اون ۲۴ ملیون نیست🤔 کجایین؟ بیاین یکم از نبوغ سیاسی تون تراوشات کنین ملت استفاده ببرن از محضرتون. یعنی این مملکت نابود بشه تا خود ۱۴۰۰ از روحانی حمایت میکنم تا شما ۲۴ ملیون ب خاک سیاه بشینین ☺ #روحانی</t>
  </si>
  <si>
    <t>#روحانی آخرین ورژن #اصلاح_طلبی ست که با اصلاح #پوشاک_بچه و جایگزین شدن همان کهنه سنتی های قدیمی بچه #اعتدال را در ملت نهادینه کرد هرکس اسم اصلاحات و اصلاح طلبی آورد بهش بگین...</t>
  </si>
  <si>
    <t>فعال ‏دانشجویی</t>
  </si>
  <si>
    <t>https://pbs.twimg.com/media/DmK42lwXcAAY1O4.jpg</t>
  </si>
  <si>
    <t>#رئیسعلی دلواری #مقاومت کرد، مبارزه کرد و در تاریخ سرافراز ماند. #رئیس_جمهور روحانی #مذاکره کرد و ... #دلیران_تنگستان #رئیسعلی_دلواری</t>
  </si>
  <si>
    <t>سعادت صالحی نیا</t>
  </si>
  <si>
    <t>🔴#ایران #تهران #مهم #روحانی بیانیه #دولت #فساد #اختلاس اهل بیت ال عبا #رهبر_انقلاب وشرکا قاچاقچیان #موادمخدر سربازان گمنام #رهبرفرزانه با استفاده از خلاء موجود از طریق #کاروان_نظامی یا از طریق کوادکوپتر، پاراگلایدر، جاسازی در وسایل نقلیه و منجنیق مواد را وارد می‌کنند</t>
  </si>
  <si>
    <t>https://pbs.twimg.com/media/DmK5WK4WsAYgURm.jpg</t>
  </si>
  <si>
    <t>#دانشجویان_مومن_انقلابی باری دیگربرمؤذن بودن خودجامه عمل پوشاندندواقدامی بموقع رااتخاذکردند #نامه_ای_به_پرزیدنت_روحانی آقای #روحانی تریبون سازمان ملل رابلندگویی برای رساندن #پیام_انقلاب به دولت‌هاوملتهای جهان بدانیدودر مسیرغلط #مذاکره باآمریکاقدم برندارید #نه_به_مذاکره_با_امریکا</t>
  </si>
  <si>
    <t>Hoda.manoochehri</t>
  </si>
  <si>
    <t>https://plus.google.com/u/0/110838954178345857084</t>
  </si>
  <si>
    <t>تلاشگر حقوق انسان در ایران</t>
  </si>
  <si>
    <t>pic.twitter.com/52VlnCg3lz</t>
  </si>
  <si>
    <t>تجمع و راهپیمایی سپرده گذاران موسسه اعتباری کاسپین در مقابل #مجلس #سپرده گذاران شعار میدهند: پرداختها رو قطع کردن مردم رو بدبخت کردن #کاسپین دزدی کرده #دولت حمایت کرده 236اجرا باید گردد سپرده های مردم آزاد باید گردد. #رژیم نمی خواهد پاسخگوی دزدی هایش باشد. 12 شهریور97 #ایران</t>
  </si>
  <si>
    <t>bejanzangoi</t>
  </si>
  <si>
    <t>http://Instagram.com/masoudsaeediii</t>
  </si>
  <si>
    <t>Nothing more than a normal person! #جایی_برای_بیان_مواضع_شخصی</t>
  </si>
  <si>
    <t>یه جوون که کل سرمایش توی سه هفته یک سوم شده، چطوری میتونه به آینده‌ای #امید داشته باشه که هیچ کسی نمیتونه براش ترسیم کنه؟! وقتی هر روز داریم اخبار ناامیدکننده‌تر می‌شنویم، دلمون به چی خوش باشه برای آینده؟! #بحران_اقتصادی #اقتصاد #دولت #روحانی #فرزندت_کجاست #آقازاده #جوان</t>
  </si>
  <si>
    <t>Masoudsaeedi | مسعود سعیدی</t>
  </si>
  <si>
    <t>گوشه ای از بیانات ۲۴ ملیونی ها: +چ ربطی ب #روحانی داره این نتیجه ۴۰ سال انقلابه +حالا ب کی رای می‌دادیم غیر روحانی + خوب بود جنگ میشد ؟ + رییسی که فاسد بود (😂ازخنده میپوکم) +حالا رییسی میومد یعنی بهتر میشد؟ (مشغول ریختن آب در محل مورد نظر است ) #دلار۱۲۰۰۰تومنی</t>
  </si>
  <si>
    <t>خیلی افسرده کننده و ناامیدکننده است ولی عملکرد دولت #احمدي_نژاد در بحران ارزش پول ملی را خیلی بهتر از دولت #روحانی اداره می کرد ، لااقل احمدی نژاد در برابر قیمت پراید واکنش نشان می داد ، ولی اصلا دولت فعلی همه چیز را به حال خود رها کرده است</t>
  </si>
  <si>
    <t>aghazadeh81</t>
  </si>
  <si>
    <t>pic.twitter.com/bWoVWW9ydR</t>
  </si>
  <si>
    <t>تجمع و راهپیمایی سپرده گذاران موسسه اعتباری کاسپین در مقابل #مجلس سپرده گذاران شعارمیدهند: پرداختها رو قطع کردن #مردم رو #بدبخت کردن کاسپین دزدی کرده #دولت حمایت کرده 236اجرا باید گردد سپرده های مردم آزاد باید گردد. #رژیم نمی خواهد پاسخگوی #دزدی‌هایش باشد. 12 شهریور97 #ایران</t>
  </si>
  <si>
    <t>@mashaddeliry</t>
  </si>
  <si>
    <t>http://bit.ly/2NHZRPs</t>
  </si>
  <si>
    <t>به‌نظر می‌رسد نمایندگان #مجلس نه برای کمک به معیشت مردم بلکه برای سایه انداختن به همه کم‌کاری‌های خود در اصلاح ساختار #اقتصاد ایران، به‌دنبال توزیع #کوپن هستند.</t>
  </si>
  <si>
    <t>http://rayafeed.com</t>
  </si>
  <si>
    <t>CEO @Rayafeed</t>
  </si>
  <si>
    <t>https://pbs.twimg.com/media/DmK7pRgVAAAVTe6.jpg</t>
  </si>
  <si>
    <t>یک موقع فکر نکنید که این متن درمورد وضعیت حال جامعه و #روحانی و #فساد و #سپاه کنونی ماست! اینها جملاتی از تاریخنوشته #دوقرن‌سکوت #عبدالحسین‌زرین‌کوب هستش. بخوانید کتاب را تا تکرار #تاریخ را ببینید #دلار #اقتصاد #سوءمدیریت</t>
  </si>
  <si>
    <t>Mahdi Mehrizi</t>
  </si>
  <si>
    <t>‏‏‏‏‏از من مرا بگیر و خودت را به من بده؛ فیلصوف بیثواد</t>
  </si>
  <si>
    <t>https://pbs.twimg.com/media/DmKp06wX4AAz3ut.jpg</t>
  </si>
  <si>
    <t>https://twitter.com/padash_mr/status/1036577605183524864</t>
  </si>
  <si>
    <t>اینکه فاسد باید محاکمه بشه حرفی درش نیست... اما هر محاکمه ای اسمش عدالت نیست؛ وقتی ق.ق جاسوسان #دوتابعیتی و سران #فتنه_88 و رسانه جاسوسی شرق و بالاخره برادر آقایان #روحانی و جهانگیری را محاکمه کرد میگیم؛ این شد عدالت! غیر این چیزی جز تسویه حساب و عقده شخصی نیست! RT @padash_mr: یک نقطه بیشتر فرق رحیم و رجیم نیست از نقطه ای بترس که شیطانی‌ات کند #راز_مشایی</t>
  </si>
  <si>
    <t>عباس</t>
  </si>
  <si>
    <t>#خبرنگار_اهوازی</t>
  </si>
  <si>
    <t>ایران/خوزستان/اهواز</t>
  </si>
  <si>
    <t>#سکه امروز رکورد شکوند و ۴ میلیون ۶۱۵ هزارتومن رو هم رد کرد چرا هر بار #روحانی میگه بحران نیست بعدش #بحران عمیق تر میشه؟</t>
  </si>
  <si>
    <t>M_fathalipor</t>
  </si>
  <si>
    <t>١٢شهریور ١٣۶١ آقاي هاشمي رفسنجاني در خطبه هاي نماز جمعه اخطار كرد اگر از صادرات نفت خود در خليج فارس محروم شويم، تمام اروپا را از نفت خليج فارس محروم خواهيم كرد. بله سال ١٣٩٧ هم #روحانی گفت «معنی ندارد نفت ایران صادر نشود و نفت منطقه صادر شود»! . زبان سیاست ما همین است و همین</t>
  </si>
  <si>
    <t>Mohadese Sanaeifar</t>
  </si>
  <si>
    <t>https://www.isna.ir/news/97061206000/</t>
  </si>
  <si>
    <t>🔴#ایران #تهران #مهم #فوری درادامه #اعتراضات #روحانی لاکن #دولت #فساد #اختلاس اهل بیت ال عبا #رهبر_انقلاب وشرکا با عنایات #ظریف بی بی #سوریه تامین منافع #نرمش_قهرمانانه این #رهبرفرزانه در #برجام ,#بازار #سکه رکورد شکست علت افزایش نرخ #دلار است</t>
  </si>
  <si>
    <t>آنقدر طوری خواهم کرد تا بالاخره مردم بفهمند طوری شده است! #سیدعنی #سقوط_ریال #دلار #پوشک #پوشک_بچه #از_موشک_تا_پوشک #دلار۱۳۰۰۰تومانی #دلار۳۰۰۰۰تومنی #روحانی #ریال</t>
  </si>
  <si>
    <t>کسایی که تازه متاهل شدن ن راه پس دارن ن راه پیش 😂 ادامه بدن باید پوشک ۱۰۰ هزار تومنی بلکه بیشتر بخرن اگ برگردن هم باید سکه ۴ ملیونی بدن پس دوستان همون از مجردی خودتون لذت ببرین تو دام نیفتین #دلار #روحانی #شفافیت_آراء_مجلس</t>
  </si>
  <si>
    <t>https://www.isna.ir/news/97060804082/</t>
  </si>
  <si>
    <t>📽️🔴#ایران #تهران #تبریز #مهم #فوری درادامه #اعتراضات #روحانی لاکن #هنر #خشکسالی #دولت #اختلاس اهل بیت ال عبا #رهبر_انقلاب وشرکا با عنایات تشنه لب #کربلا جهاد #کشاورزی فرماندار، نماینده استان و مدیران #فساد این #رهبرفرزانه از بدبختی کِیف می‌کنیم!</t>
  </si>
  <si>
    <t>ملت شریف ایران این سزای قدم زدن با شیطان است #دلار #روحانی #شفافیت_آراء_مجلس</t>
  </si>
  <si>
    <t>‏🕴یکم میخایم باهم بگیم و لذت ببریم از اینکه حرف هم رو میفهمیم، میخندیم چرت و پرت میگیم درد و دل میکنیم🙂 در ضمن استقلالی ارسنالی شدید😒</t>
  </si>
  <si>
    <t>IranMashhad</t>
  </si>
  <si>
    <t>بعد ها برای بچم میگم که وقتی پول کشورم بی ارزش ترین روز تاریخش رو میگذروند من بودم !! 000 130 ریال = 1$ #ریال #دلار مرگ بر پفیوزایی که مملکت داری بلد نیستن ، مرگ بر پفیوزایی که فقط بلدن با قدقد اضافی مملکت رو به قهقرا ببرن ! #ریال #دلار #روحانی #خامنه‌ای #خفت #زوال #ایران</t>
  </si>
  <si>
    <t>یکم بزار بخوابم</t>
  </si>
  <si>
    <t>https://pbs.twimg.com/media/DmK_-xbUcAEmuEq.jpg</t>
  </si>
  <si>
    <t>از حامیان دو آتیشه روحانی و اصلاحات که جا زد !!! این دوست ما مسئول شاخه جوانان کارگزاران و ستاد روحانی بود به همین راحتی سر مردم کلاه رفت!!! #رو‌حانی #کارگزاران #پشیمانم #پوشک</t>
  </si>
  <si>
    <t>میخوام بشینم دوباره قانون اساسی رو بخونم... شاید بفهمم که دیگه باید توی مملکت چه اتفاقی بیفته که رئیس‌جمهور #استیضاح بشه؟! #روحانی #مجلس</t>
  </si>
  <si>
    <t>گرون شدن #پوشک_بچه یک خوبی داشت اونم این بود که من مدتها به خانومم میگفتم اگر بچه دارشدیم #پوشک نخریم بجاش ازون قابل شست و شو ها بخریم ، حالا خانومم راضی شده #روحانی #روحانی_مچکریم</t>
  </si>
  <si>
    <t>pic.twitter.com/EAqpC2tX3o</t>
  </si>
  <si>
    <t>امروز، جمعی از #مالباختگان موسسه #کاسپین در تهران، مقابل #مجلس، اقدام به برگزاری تجمع اعتراضی کردند.</t>
  </si>
  <si>
    <t>https://telegram.me/harfbemanbot?start=MTAxODQ2Mzkz</t>
  </si>
  <si>
    <t>‏‏‏‏‏‏‏‏حرفای دلمو اینجا مینویسم/گاهی 30یا30/اکثرا طنز</t>
  </si>
  <si>
    <t>از انتخابات بعدی توی انتخاب شعار انتخاباتی بیشتر دقت کنین! #روحانی فک کرده دلارو میگین #تا_14000_باروحانی! الانم داره به وعده ش عمل میکنه! ریاضی شم خوب نیس کلا صفرارو یدونه بیشتر میبینه(یاد آمار ایجادمشاغل اینترنتی می افتد!) 😏😏😏</t>
  </si>
  <si>
    <t>مَــهدیــــــارم</t>
  </si>
  <si>
    <t>pic.twitter.com/QGAzeEvpIG</t>
  </si>
  <si>
    <t>قیمت #دلار اونچنان بالا میره آقای روحانی که همون #یارانه را هم به فنا دادی. #علی_برکت_الله #روحانی</t>
  </si>
  <si>
    <t>I want to become a philosopher,educated in Philosophy. Interested in #Feminism,#Political_Philosophy,#Nietzsche, #Iranian_philosophy.</t>
  </si>
  <si>
    <t>München, Bayern</t>
  </si>
  <si>
    <t>يورو شده 14.400؟! رحم بهمون نميكنن گويا!! #روحانى #ايران</t>
  </si>
  <si>
    <t>Kim🗯</t>
  </si>
  <si>
    <t>pic.twitter.com/lgCvOceO52</t>
  </si>
  <si>
    <t>‏‏‏‏‏‏‏‏اصول طلبِ اصلاح گرا/ارتش یک نفره!! مرگ تو ؛ درست از لحظه ای آغاز می شود که در برابر آنچه مهم است سکوت می کنی....</t>
  </si>
  <si>
    <t>https://pbs.twimg.com/media/DmLEJnkW0AAC_sM.jpg</t>
  </si>
  <si>
    <t>یک‌دم نگاه کن که چه بر باد می‌دهی چندین هزار امید بنی‌آدم است این! #روحاني</t>
  </si>
  <si>
    <t>vendetta</t>
  </si>
  <si>
    <t>Brave</t>
  </si>
  <si>
    <t>#اسهال_طلب واسه عکس میرحسین خودشو درید خالا واسه این همه مشکلاتی مه دولت #روحانی هم باعث و بانیش هست صداش درنمیاد</t>
  </si>
  <si>
    <t>https://pbs.twimg.com/media/DmLEiwsXcAAEitj.jpg</t>
  </si>
  <si>
    <t>مرعشی: 🔹#آیت‌الله_هاشمی هم اگر بود، حریف برخی سیاست‌های #روحانی نمی‌شد و نمی‌توانستند او را در عدم عقب‌نشینی در بعضی مسائل مجاب کنند. چراکه او در دوره اول دولت خود هم به توصیه‌های ایت الله هاشمی جدی عمل نمی‌کرد./ایلنا</t>
  </si>
  <si>
    <t>میدونستیدکه تمام اعضای کابینه روحانی، همان اعضای ستاد انتخاباتی موسوی بودن!! پس فرق دولت #روحانی بادولت #موسوی چیه؟! دولت روحانی همان دولت خاتمی و موسوی وکروبی است با این تفاوت که موسوی در یک جمله ۱۵ بار چیزچیز میکرد ولی روحانی از نظر زبان وبیان علی برکت الله است #تا1400_باگونی</t>
  </si>
  <si>
    <t>ناموس مملکت دوباره دامن ش رفت بالا که ... !! :( #روحانی #بانک_مرکزی</t>
  </si>
  <si>
    <t>‏‏‏‏‏👩🏻‍🎨 ‏عاشق هنر 🕵️🏻‍♀️ کنجکاو سیاسی 🌸 با افتخار چادری ام، ولی معتقدم *هرکس حق انتخاب داره *و مخالف چادر اجباری...</t>
  </si>
  <si>
    <t>https://pbs.twimg.com/media/DmLGMCPWwAAPx2E.jpg</t>
  </si>
  <si>
    <t>روی بستنی میهن بزرگ زده، ۱۰۰۰ تومان ؟ #دشواری؟؟؟ 😅 #دوشواری_نداریم #سکه #طلا #دلار #روحانی #گرانی #بستنی_کاکائویی_یه_چیز_دیگس</t>
  </si>
  <si>
    <t>Meshkat Banoo</t>
  </si>
  <si>
    <t>‏‏وچقدر خوب است 😉 که خداوند تو را فقط برای من آفریده است 😍😍🤗</t>
  </si>
  <si>
    <t>ستایش امیررضا⁦🇮🇷⁩</t>
  </si>
  <si>
    <t>با دولت #روحانی هر روز داریم پیشرفت میکنیم دغدغه مون از #پوشک رسیده به #موشک روحانی، خیلی دوست دارم #دیبی</t>
  </si>
  <si>
    <t>https://pbs.twimg.com/media/DmLICGJWwAEmImw.jpg</t>
  </si>
  <si>
    <t>10 #دلار این چیزیه که امروز اگر سه رأس از مردم غیور پای صندوق رأی #یارانه یکماهشون رو بذارند رو هم می تونند بخرند این اگر تحقق وعده ها نیست پس چیه؟؟؟ #روحانی کاری کرد اصلا مردم خودشون بگن یارانه نمندی</t>
  </si>
  <si>
    <t>pic.twitter.com/mvmSZrJrY3</t>
  </si>
  <si>
    <t>http://Pana.ir</t>
  </si>
  <si>
    <t>Parliamentary journalist | Law student</t>
  </si>
  <si>
    <t>Tehran &amp; Karaj</t>
  </si>
  <si>
    <t>مستندی بدون سند درصحن پخش میشود، نماینده مجلس آنهاراتکرارمیکند، رسانه‌های #اصولگرا ویژه به آن می‌پردازند، #براندازان باتکرار آنهابه #روحانی و اصلاح‌طلبان حمله میکنند،خبرنگاران اصولگرا هم زحمت پخش را میکشند و همزمان به زمین و زمان میگویند #جاسوس! پیدا کن پرتقال فروش را...</t>
  </si>
  <si>
    <t>Milad Alavi</t>
  </si>
  <si>
    <t>https://telegram.me/HarfBeManBot?start=MjkwOTU3Mjc2</t>
  </si>
  <si>
    <t>مرامی بیاید برگردیم فیسبوک چیه این دیوونه خونه؟</t>
  </si>
  <si>
    <t>ثقل زمین کجاست؟</t>
  </si>
  <si>
    <t>https://pbs.twimg.com/media/DmLJKDlX0AAwS3g.jpg</t>
  </si>
  <si>
    <t>#روحانی 11 آذر 96 در دانشگاه سیستان و بلوچستان گفت: در #دانشگاه نباید نگران این باشیم که وقتی حرف می‌زنیم، کسی اسم ما را یادداشت می‌کند. #ستاره، مال آسمان است نه #دانشگاه! از وعده ها #عقب_نشینی نکرده و نخواهم کرد #دانشجوی_ستاره_دار #به_عقب_برنمگیردیم</t>
  </si>
  <si>
    <t>تبعیدی ابدی</t>
  </si>
  <si>
    <t>‏‏🌺🌷فاصله ی بین دیدن خوب و خوب دیدن بسیار زیاد است، انسانهای زیادی هستند که بینایی ندارند اما دنیا را بسیار زیباتر از من می بینند🌷🌺</t>
  </si>
  <si>
    <t>Asfhan</t>
  </si>
  <si>
    <t>مهناز مهدی 🌺</t>
  </si>
  <si>
    <t>https://pbs.twimg.com/media/DmLHChaXoAAtd1a.jpg</t>
  </si>
  <si>
    <t>https://twitter.com/PadDolat/status/1036609745321451523</t>
  </si>
  <si>
    <t>#ایران #تهران #فوری #روحانی: لاکن درراستای تحقق مطالبات #دولت #اختلاس #فساد اهل بیت ال عبا #رهبر_انقلاب وشرکا با عنایات بی بی شام دستورات #ظریف رفیق #پوتین مدافعان حرم #رهبرفرزانه با #بودجه #مردم ولایات اهل بیت اسد #سوریه را بازسای نمیکنند #کذب است RT @PadDolat: وزیر امور خارجه جمهوری اسلامی ایران با بشار اسد رئیس جمهور سوریه دیدار و گفتگو کرد</t>
  </si>
  <si>
    <t>https://pbs.twimg.com/media/DmLKLSUXsAErYWg.jpg</t>
  </si>
  <si>
    <t>https://buff.ly/2wEktBI</t>
  </si>
  <si>
    <t>“دشمنان #روحانی در #تضعیف موقعیت وی موفق عمل کردند”</t>
  </si>
  <si>
    <t>shargh</t>
  </si>
  <si>
    <t>‏‏‏‏‏‏‏‏‏‏‏‏‏‏‏‏‏‏‏‏‏‏‏‏‏‏‏‏‏‏‏‏‏‏‏‏‏‏‏‏‏‏‏‏‏‏‏‏‏‏‏‏‏‏‏‏‏‏‏فعال دانشجویی، سرگرم به رسانه و سیاست، همسر، با افتخار شهروند ‎‎‎‎‎#جمهوری_اسلامی_ایران</t>
  </si>
  <si>
    <t>نه حامی احمدی نژادم نه روحانی... زمان #احمدي_نژاد در اوج تحریم ها #دلار ۳برابر شد و توپخانه رسانه ای #اصلاح_طلبان دولت را هر روز با خاک یکسان میکرد؛ این روز ها در زمان ریاست پرزیدنت #روحانی هنوز تحریم ها اجرا نشده دلار ۴برابر شده و اصلاح طلبان خود را به "خواب گل و بلبل" زده اند.</t>
  </si>
  <si>
    <t>بیست و یک سال از دنیا آمدنم چه زود گذشت!!! عایا باز فرصت برای خوشحالی و نشاط وشادابی باقی است؟ فالو=بک%100</t>
  </si>
  <si>
    <t>+ #چه_خبر؟ - هیچی فقط: #دلار شده 13000 هزار #پوشک هم گیر نمی آد! یعنی تف تو این تدبیر و امیدت #روحانی</t>
  </si>
  <si>
    <t>رها نیکزاد</t>
  </si>
  <si>
    <t>https://telegram.me/harfbemanbot?start=NzU2MTY5MzQ</t>
  </si>
  <si>
    <t>یادآوری به خودم: در آخر تنها #خدا ست که میماند</t>
  </si>
  <si>
    <t>https://pbs.twimg.com/media/DmLKvtmWwAYbdkn.jpg</t>
  </si>
  <si>
    <t>پروازي كه پارسال با ٤ مليون تومن اومدم برزيل براي دكتري ام الان شده ١٣ تومن 😐 مامان بابام رفت و برگشت بخوان بيان بايد ٥٤ مليون بدن 💔😢 حلالت نباشه #راي كه بهت دادم آقاي #روحاني😢💔 #دلار۱۳۰۰۰تومانی #دلار۱۳۰۰۰ #دلار #ما_خودمان_انتخاب_کردیم #ظريف @JZarif @Rouhani_ir</t>
  </si>
  <si>
    <t>زی زی گولو</t>
  </si>
  <si>
    <t>‏‎#اهل_درد طلبه هستم البته از نوع فیلمسازش، اونم با چاشنی انتقاد و آرمانخواهی، باشد که رستگار شویم. Cameraman, Editor, Graphist</t>
  </si>
  <si>
    <t>https://pbs.twimg.com/media/DmLKlm9W0AE5mXj.jpg</t>
  </si>
  <si>
    <t>همین الان؛ یورو 15000 تومان پوند 16500 تومان دلار افغانستان 12400 تومان دینار عراق 10.6 تومان دینار کویت 43000 تومان . اونایی که به پرزیدنت #روحانی رای دادید...بچشید. مردم بیگناه هم طعم فقر رو بیشتر می چشند. #علی_برکت_الله</t>
  </si>
  <si>
    <t>‏‏‏‏‏توئیتر رسمی روح حجت‌الاسلام والمسلمین علی اکبر هاشمی رفسنجانی بهرمانی از برزخ! خواهران و برادران گرامی التماس ریتوئیت! V.R.Genius!</t>
  </si>
  <si>
    <t>https://pbs.twimg.com/media/DmLLdsQX0AAm-b1.jpg</t>
  </si>
  <si>
    <t>#مانوک_خدابخشیان یک تحلیل بسیار مهم داشت در آخرین گفتگوش با #علیرضا_امیرقاسمی. اون تحلیل این بود: روحانی نباید برای بار دوم کاندید میشد. در واقع پروژه #ظریف - #روحانی تمام شده بود. پس در کوتاه مدت (شاید دو سه ماه آینده) رژیم باید تصمیم به حذف یکی بگیرد. #خامنه‌ای یا #روحانی!</t>
  </si>
  <si>
    <t>«رُباتِ» روحِ اکبر</t>
  </si>
  <si>
    <t>وضعیت زندگی مردم را میبینم از اونور گرونی ها را!میگم پس کی قراره شرایط بهتر بشه؟ دولت #روحانی که ساز خودش را میزنه #مقام_رهبری هم که می فرمایند کار دشمنه خیلی از موارد!!! الان یکی لطف کنه بگه تکلیف چیه! نجیبانه سکوت کنند؟ اعتراض کنند؟ یا جمیعا هاراگیری کنند و خلاص؟</t>
  </si>
  <si>
    <t>http://mehrnews.com/news/4392341</t>
  </si>
  <si>
    <t>#ایران #تهران #روحانی درروایات #ظریف از #دولت #اختلاس #فساد اهل بیت ال عبا #رهبر_انقلاب وشرکا امده است #رهبرفرزانه که فارسی را مملو از حکمت و اخلاق گفته است از حسدوبخل درگذشت #احسان_یارشاطر استاد زبان و ادبیات #فارسی،را #تسلیت گفته است #کذب است</t>
  </si>
  <si>
    <t>نماینده ای که به طرح #شفافیت_آراء_نمایندگان رای نمیدی بای بای ستاره بچینی خواب دوباره #مجلس رفتن ببینی. بای بای.</t>
  </si>
  <si>
    <t>لغو جلسه دفاع دکتری حسین فریدون مدیرگروه علوم سیاسی دانشگاه شهید بهشتی: به‌دلیل نبودن یکی از داوران جلسه لغو شد. با توجه به محرز شدن تخلف تحصیلی حسین فریدون از سوی کمسیون آموزش #مجلس در سال ۹۵ ،اما با ریاست محمدرضا عارف بر این کمیسیون، پرونده تحصیلی وی مسکوت مانده است-تسنیم</t>
  </si>
  <si>
    <t>حسن #روحانی رئیس جمهوری فردا (سه شنبه) در #عسلویه به طور رسمی آغاز بهره برداری از سه طرح جدید پتروشیمی را کلید می زند تا گام تازه ای برای تحقق سیاست های اقتصاد مقاومتی در زمینه کاهش خام فروشی و افزایش تولید محصولات دارای ارزش افزوده بیشتر، برداشته شود./ایرنا</t>
  </si>
  <si>
    <t>https://t.me/AnDarShow</t>
  </si>
  <si>
    <t>ما را از مرگ می‌ترسانند،انگار که ما زنده ایم. |و همچنان موسیقی مرا آرام می‌کند .|Feminist| زندگی،شوخی‌شوخی،جدی شد!</t>
  </si>
  <si>
    <t>اما خوب شد که #روحانی رای آورد،چون اگه کس دیگه رای می‌آورد و وضع اینجوری می‌شد ،همه حسرت میخوردن و میگفتن:«چون روحانی رای نیاورده اینجوری شده.» اینجوری لااقل تکلیفمون مشخصه و معلومه که حتی رئیس جمهور #محبوب هم نمیتونه واسمون کاری کنه. #رئیس_جمهور_منحوس</t>
  </si>
  <si>
    <t>دلار شد سیزده هزار تومن سکه شده چهار ملیون قیمت خودرو و کالاهای خوراکی سه برابر شده معلوم هست چه خبره تو این مملکت !!!؟ #دلار۱۳۰۰۰تومانی #سکه #روحانی</t>
  </si>
  <si>
    <t>#دلار ۵۱۰ تومان افزایش را ثبت کرد و به قیمت ۱۱ هزار و ۶۰۰ تومان رسیدو در بازار #سکه، این فلز گرانبها ۲۷۲ هزار تومان افزایش را ثبت کرد و به قیمت ۴میلیون و ۳۷۰ هزار تومان رسید #روحانی والله ما در #بحران نیستیم وای به حالی که به بحران برسیم ملت باید سطح تحملش را ببرد بالا</t>
  </si>
  <si>
    <t>Journalist at Parsineh Website✏ Donyaye Football Magazine✏ Master of Civil Engineering</t>
  </si>
  <si>
    <t>https://twitter.com/Rouhani_ir/status/483931418603827200</t>
  </si>
  <si>
    <t>این توییت #روحانی هیچوقت قدیمی نمیشه! به‌والله که روی خیلی‌ها رو سفید کردی شیخ حسن! سکه ۴.۶۰۰.۰۰۰ / پراید ۴۵ میلیون تومن / یورو ۱۵هزارتومن / حقوق‌های عقب‌افتاده کارگری / تعدیل نیرو / افزایش۷۰ درصدی قیمت میوه. به‌والله که شاه‌کلید رو تبدیل به گره کور کردی! RT @Rouhani_ir: به والله سال‌های ۸۴ تا ۹۲ گذشت و دیگر تکرار نمی‌شود.</t>
  </si>
  <si>
    <t>سپهر خرمی</t>
  </si>
  <si>
    <t>پدر-پدربزرگ-جدپدری-ریس جمهور-قانونا نفردوم مملکت-فعلا یک تدارکاتچی-این اکانت واقعی روحانی نیست</t>
  </si>
  <si>
    <t>به والله سال‌های ٩٢ تا ٩٧ گذشت و دیگر تکرار نمی‌شود. باید #از_فردا و هرچه #سریع_تر فکری #برای_ایران و برای اقتصاد فلج #ایران کرد #روحاني #این_را_به_همه_بگویید @HassanRouhani</t>
  </si>
  <si>
    <t>حسن روحانی</t>
  </si>
  <si>
    <t>#ایران #تهران #مهم #فوری #روحانی سخنگوی #قوه_قضاییه #دولت #اختلاس #فساد اهل بیت ال عبا #رهبر_انقلاب وشرکاما که نمی توانیم، از طریق سیستم بانکی به دلار دسترسی داشته باشیم، این #دلار به طرق مختلف واردشده است، که مقدار زیادی از آن از دست رفت</t>
  </si>
  <si>
    <t>توو دنیای توهمی ترکیب شده با وقاحتِ عده کثیری از #اصلاح_طلبان، هر گندی دولت #روحانی و مدیران اصلاح طلب اش بزنن، اولا؛ ربطی به اونا نداره، گردن نظامه، دوما؛ اگه رقبا بودن بدتر می شد. بدتر هم که پیش میاد میگن رقبا تر تر بودن و به شعور همه توهین می کنن #دلار۱۳۰۰۰تومانی #پوشک_بچه</t>
  </si>
  <si>
    <t>تورم به پوشک بچه هم رسید پرزیدنت #روحاني چنان تحول اقتصادی ایجاد کرد که دیگه نوزادان هم از ترس جرات اجابت مزاج ندارن</t>
  </si>
  <si>
    <t>مریم شهرکی</t>
  </si>
  <si>
    <t>https://pbs.twimg.com/media/DmLVAyMW4AA3-4v.jpg</t>
  </si>
  <si>
    <t>اونایی که میگفتن جوونیشون دوره #احمدی_نژاد حروم شده الان تو دوره #روحانی ساعت برنارد زدن زمان واسشون متوقف شده؟</t>
  </si>
  <si>
    <t>تا پای چوب دار هم ببرنم از این حرفم کوتاه نمیام #روحانی تو کثیف ترین ،دروغگوترین،هزار رو ترین ،پست ترین ،بی حیا ترین ،نا مسلمان ترین انسانی هستی این کشور در کل تاریخش در خودش داشته ،تو گقتی رونق ایجاد میکنی ،فقر مطلق رو ریشه کن میکنی ،چی شد؟؟؟؟واگذارت میکنم به خود خدا</t>
  </si>
  <si>
    <t>سرباز جنگ نرم، فدایی جنگ سخت مطیع رهبرم</t>
  </si>
  <si>
    <t>💢وقتی دغدغه کشور از #سلولهای_بنیادی به #پوشک میرسد؛ قطعاً تحریمها برای فشار بر مردم است اما شاید طراحان آنها نیز فکرش را نمیکردند که روزی پوشک بخواهد دغدغه‌ی ما شود! ‌ #دولت_بی‌برنامه #به_عقب_برگشتیم #روحانی</t>
  </si>
  <si>
    <t>وطن پرست</t>
  </si>
  <si>
    <t>خدا با ما که دلتنگیم سرسنگین نخواهد شد...</t>
  </si>
  <si>
    <t>https://pbs.twimg.com/media/DmLXMhEXgAEa_St.jpg</t>
  </si>
  <si>
    <t>#برجام_پوشکی #روحانی #پوشک #به_عقب_برنمیگردیم زمستان هنوز نرفته رو سیاهی به شغال موند😭😂ببخشید ذغال</t>
  </si>
  <si>
    <t>شيخ ممّد</t>
  </si>
  <si>
    <t>Sr. Machine Learning Researcher</t>
  </si>
  <si>
    <t>San Francisco, CA</t>
  </si>
  <si>
    <t>ای کسانیکه ایمان آورده اید ! عمرا بتوانید چیزی بخورید و بیاشامید چه برسد که اسراف کنید . سوره #روحانی آیه ۱۳۹۷ #کپی #اینستاگرام</t>
  </si>
  <si>
    <t>Saman Sarraf</t>
  </si>
  <si>
    <t>آیا از مصادیق #دموکراسی این نیست که بدانیم #نماینده #مجلس ی که به او #رای دادیم حافظ منافع #مردم هست یا نه؟ تا کی باید عملکرد #نمایندگان مجلس #محرمانه باشد ؟ #شفافیت_آراء_نمایندگان از حداقل های حقوق مردم است. #شفافیت_آراء_مجلس #شفافیت</t>
  </si>
  <si>
    <t>Soroush | سروش 🇮🇷</t>
  </si>
  <si>
    <t>pic.twitter.com/UdWJV79xFg</t>
  </si>
  <si>
    <t>ستمگر حيا كن پولمارو رها كن پرداختها رو قطع كردن مردمو بدبخت كردن غارت شدگان #كاسپين جلو #مجلس ارتجاع 2شنبه 12 شهر 97 #تهران #ايران #اعتراضات_سراسرى #IranRegimeChange #freeiran2018</t>
  </si>
  <si>
    <t>bahare1393</t>
  </si>
  <si>
    <t>http://www.afshinazizi.ir</t>
  </si>
  <si>
    <t>‏‏‏دانشجوی حقوق ارتباطات و حقوق‌خوان مجالی اگر باشد، عکاسی مردم‌نگاری</t>
  </si>
  <si>
    <t>https://pbs.twimg.com/media/DmK48gjWsAAM9xy.jpg</t>
  </si>
  <si>
    <t>https://twitter.com/ZiaNabavi1/status/1036594222202318849</t>
  </si>
  <si>
    <t>#روحاني قول داده بود که #به_عقب_برنمیگردیم، اما توی تنها چیزی که به عقب برنمی‌گرده، قیمتاست... هرچی بالا رفت، دیگه به عقب برنمی‌گرده... RT @ZiaNabavi1: فکر کنم یک بار دیگه مثل ده سال پیش #ستاره‌دار شدم. باز همون داستان نقص پرونده! فردا میرم سازمان سنجش تا ببینم چه میشه کرد. مسئولین دولتی و نمایندگان مجلس! قرار بود ستاره‌دار نداشته باشیم.. @Rouhani_ir @mah_sadeghi @mowlaverdi @saeidiftm @TayebehSiavash @P_Salahshouri @Ghheidari</t>
  </si>
  <si>
    <t>Afshin Azizi</t>
  </si>
  <si>
    <t>هر وقت که به درد ملّتم خوردام رانت و نجوم دلار ها خوردام هم در صفوف نماز بودام هم در فلوس دلار بودام وقت هست که یک تکانی بخوروم یک جا برای آن غذا ها باز بکنم #ایران #شعر #شعر_طنز #رئیس_جمهور #داغ_های_مجازی</t>
  </si>
  <si>
    <t>M.j</t>
  </si>
  <si>
    <t>من به دولت #روحانی و حکومت پیشنهاد میکنم، صنعت پرخرج و عقب افتاده و تحریم شده خودرو ر تعطیل کنن. موشک با مصارف شخصی تولید کنن، باهاش تردد کنیم. سریع هم هست.</t>
  </si>
  <si>
    <t>pic.twitter.com/kJaVvYBxkT</t>
  </si>
  <si>
    <t>#ایران #تهران #فوری #روحانی: لاکن با عنایات امام پنهان در چاه #جمکران جهاد سربازان گمنام #دولت #اختلاس #فساد اهل بیت ال عبا #رهبر_انقلاب وشرکا لذا #تام_و_جری موش و گربه #دشمن این #رهبرفرزانه از #پوشک_بچه استفاده میکنند #کذب است</t>
  </si>
  <si>
    <t>https://twitter.com/MalcolmSardar/status/1036279432263200768</t>
  </si>
  <si>
    <t>دیروز نوشتم چرا نظارتی روی #طلا نیست هر گرمی شده ۳۳۱ تومان اما الان و عصری که قیمت هر گرم شده ۳۵۵ هزار تومان ۲۴ هزارتومان بیشترچی باید بگم؟ خدایا به دادمون برس از دست #روحانی RT @MalcolmSardar: چرا هیچ نظارتی بر قیمت #طلا نیست ظرف ۵ روز هر #گرم_طلا ۴۰ هزار تومان گرانتر شده و از گرمی ۲۹۰ تومان به گرمی ۳۳۱ هزارتومان افزایش یافته اللهم اجعل عواقب امورنا خیرا</t>
  </si>
  <si>
    <t>یکی از نماینده‌های مجلس می‌گفت: #استیضاح_شریعتمداری حتما تو #مجلس رای میاره، دلیل اصلی استیضاح هم اینه که شریعت رئیس #ستاد_انتخابات_روحانی بود.</t>
  </si>
  <si>
    <t>وقتی نمیتونیم یه #پوشک تولید و کنترل کنیم، غلط میکنیم که میگیم آمریکا نمیتونه هیچ غلطی بکنه! #فرزند_احمد #دلار #گرانی #ظریف #روحانی</t>
  </si>
  <si>
    <t>اقای روحانی تو مجلس گفتند توانایی پایین اوردن قیمت ارز دولتی رو دارند، اونوقت چرا هروز این دلار دو هزار دو هزار میکشه روش؟! بهتره برم کل توییت هامو پاک بکنم تا دلار نشده سی تومن😂😋 #شفافیت_آراء_مجلس #روحانی #علی_مطهری</t>
  </si>
  <si>
    <t>https://pbs.twimg.com/media/DmLdrCRXcAA-RR_.jpg</t>
  </si>
  <si>
    <t>http://v.aa.com.tr/1245419</t>
  </si>
  <si>
    <t>یکی از نمایندگان #مجلس #ایران تاکید کرد عدم تصویت لوایح قانون #FATF #اقتصاد این کشور را در حالت فلج کامل قرار خواهد داد.</t>
  </si>
  <si>
    <t>pic.twitter.com/jCLvude2Ca</t>
  </si>
  <si>
    <t>دلار 13,200 تومنی قابلتونو نداره خداشاهده... ☺️🙏 ‌‌‌‌‌‌‌‌‌‌‌ سکه هم بخاطر گل روی شما چهار میلیون و ۶۱۵ هزار تومان😌 بلند نشید تروخدا... #روحاني</t>
  </si>
  <si>
    <t>pic.twitter.com/CGRRaR1RQQ</t>
  </si>
  <si>
    <t>ویدیو / ببینید: وعده هایی از جنس وعده های #روحانی ؛ این بار در ژاپن 🔹#شینزو_آبه برای #زنان_ژاپن چه کرد؟</t>
  </si>
  <si>
    <t>https://pbs.twimg.com/media/DmLeKZeX4AAnVAB.jpg</t>
  </si>
  <si>
    <t>پروانه سلحشوری عدم تصویب لوایح #FATF اقتصاد کشور را در وضعیت فلج کامل قرار میدهد. اینجا باید گفت افکار ضعیف و مستعمره غربی شماباعث وضعیت بد اقتصادی در کشور شده است و انشاالله به امیدخداخواب فلج شدن کامل اقتصاد کشور را هم نخواهید دید. ای نون به نرخ روز خورها #NO2FATF #مجلس</t>
  </si>
  <si>
    <t>😂😜😇</t>
  </si>
  <si>
    <t>The World</t>
  </si>
  <si>
    <t>به والله نه #روحانی کاره‌ای هست نه حتی #رهبر مملکت دست کسایی هست که #شاید هیچ نامی ازشون نیست</t>
  </si>
  <si>
    <t>Ali Hashemi</t>
  </si>
  <si>
    <t>دلار 13 هزارتومن ، سکه 4 میلیون و 700 ، سید علی داره از خودش میپرسه چرا مردم نمیمیرند یا اعتراضی نمی کنند؟ #دلار #ارز #سقوط_ریال #دلار۱۲۰۰۰تومنی #ایران #روحانی #خامنه‌ای #ظریف #دلار۱۳۰۰۰تومانی</t>
  </si>
  <si>
    <t>این گرانی ها تقصیر روحانی نیست. مردم دارم بیشتر از نیازشون خرید می کنند #روحانی</t>
  </si>
  <si>
    <t>Kiana</t>
  </si>
  <si>
    <t>بسیاری ازفعالین به بزرگان اصلاحات گفتند چک سفید به #روحانی ندهید حمایت رامشروط کنید گوش ندادند سرمایه اجتماعی واعتماد وراباهم ازدست دادند!!؟</t>
  </si>
  <si>
    <t>‏‏‏‏‏‏‏‏‏‏‏‏‏‏‏‏‏‏‏یه سیاستمدار فسیل شده با تفکرات ‎‎‎‎‎‎‎‎‎‎‎‎انقلابی،کسی که روزی هفتاد بار میمیرد،بیشتر اوقات فکر،گاهی اوقات طنز سیاسی،همیشه یک ‎‎‎‎‎#سیاستمدا</t>
  </si>
  <si>
    <t xml:space="preserve">همین دورو برا! </t>
  </si>
  <si>
    <t>تنها راهی که میشه آمریکارو از پا در بیاریم🤔 . . . اینه که روحانی رو بفرستیم اونجا مسئول بشه👌 #روحانی</t>
  </si>
  <si>
    <t>این گرانی ها تقصیر روحانی نیست. مردم دارم بیشتر از نیازشون خرید می کنند درود بر روحانی #ايران_رو_پس_ميگيريم #زدند_میزنیم #تظاهرات_سراسری #ساعت_6 #متحد_شویم #پنجشنبه_اعتراض #آخوند_بايد_گم_بشه #رژیم_را_سرنگون_کنیم #براندازم #Rezapahlavi #WeWillReclaimIran #روحانی</t>
  </si>
  <si>
    <t>ارض اقدس مشهد مقدس</t>
  </si>
  <si>
    <t>درختی که در چهار سال ثمر نداده در چهار سال بعد فقط کخ ،کنه،شته،پشه،کرم و موریانه به جامعه تحویل میده #روحانی #دولت_پیر #هوایی #جهانگیری</t>
  </si>
  <si>
    <t>مهدی محمدی</t>
  </si>
  <si>
    <t>Arts Entertainment News Music Politics Science Technology</t>
  </si>
  <si>
    <t>pic.twitter.com/KWDWaH4eWy</t>
  </si>
  <si>
    <t>#ظريف #روحاني #خامنه_ای #مجلس #بي_غيرتها چشمان كورتان رابازكنيد، ننگ عالم برشما كه قبر حسن وحسين برايتان ازايران وايراني مهم تراست</t>
  </si>
  <si>
    <t>iTFighter</t>
  </si>
  <si>
    <t>تعبیر من از #مجلس و #نمایندگانش اینه یه عده بی سواد و شکم پرور که به فکر خودشون هستند و دارن با رای مردم میرن مجلس بجای #مطالبات_مردم دارن حقشون رو میخورن بهتره یه بار دیگه #داعش وارد مجلس بشه ایندفعه فکر نکنم هیچ #نهاد_امنیتی مانعشون بشه</t>
  </si>
  <si>
    <t>pic.twitter.com/8MERt3jcur</t>
  </si>
  <si>
    <t>#سوال_از_رییس‌جمهور به روایت تصویر #دولت_ناکارآمد</t>
  </si>
  <si>
    <t>محمدرضا باهنر با بیان اینکه امام (ره) فرمودند #مجلس در راس امور است و به تعبیر مقام معظم رهبری،مجلس باید نقشه راه تعریف و تنظیم کند، تاکید کرد: به این جمع بندی رسیده ام که کشور باید #دومجلسی باشد چون نمی توان با یک مجلس اداره کرد. یکی مجلس نخبگی ودیگر مجلس منطقه ای باید باشد./مهر</t>
  </si>
  <si>
    <t>زندانی سیاسی . نفتگر اخراجی ؛ برای تغییر رژیم وجایگزینی یک حکومت دمکراتیک فعالیت میکنم</t>
  </si>
  <si>
    <t>https://pbs.twimg.com/media/DmLmPNxW4AMwsqZ.jpg</t>
  </si>
  <si>
    <t>علی برکت الله دولتی که باعث و بانی این گرانی و بهم ریختگی در #بازارارز و به تبع آن فروپاشی زندگی مردم ایرانه، مجرم و مستحقق اشد #مجازات و #استیضاح و #برکناریست</t>
  </si>
  <si>
    <t>بهروز گچساران</t>
  </si>
  <si>
    <t>pic.twitter.com/u3wbdGNZcc</t>
  </si>
  <si>
    <t>تجمع غارت شدگان كاسپين مقابل #مجلس دوشنبه ١٢ شهريور ٩٧ #تظاهرات_سراسری #اعتصاب_سراسری #ایران #تهران #چالش_دعوت_به_تظاهرات</t>
  </si>
  <si>
    <t>http://www.ronasart.com</t>
  </si>
  <si>
    <t>Photographer</t>
  </si>
  <si>
    <t>https://pbs.twimg.com/media/DmLlUyOWwAEXBRz.jpg</t>
  </si>
  <si>
    <t>دیکتاتوری تکرار واژه های کهنه است... #Dictatorship #iran #rohani #روحاني #دیکتاتور #ایران #طنز #عکاسی #photography</t>
  </si>
  <si>
    <t>Houshyar Ba</t>
  </si>
  <si>
    <t>الان جواد خیابانی درونم داره می‌گه: هر کی کونیه قطعاً کون می‌ده ولی اونی که کون می‌ده لزوماً کونی نیست...(شلوارش را بالا می‌کشد و اشک‌هایش را پاک می‌کند) . #دلار۱۳۰۰۰تومانی #دلار #ارز #اقتصاد #روحانی #جمهوری_اسلامی</t>
  </si>
  <si>
    <t>اردک تخمی</t>
  </si>
  <si>
    <t>http://www.telegram.me/tanzistansialism</t>
  </si>
  <si>
    <t>علاقه‌مند جامعه شناسی، اندیشه و فلسفه سیاسی و نیز ادبیات- دانشجوی دکتری علوم ‌سیاسی دانشگاه علامه‌طباطبایی</t>
  </si>
  <si>
    <t>هیچوقت فکر نمی‌کردم به این زودی‌ها نگرانی اول #روحانی، #پوشک و #ایزی_لایف بشه اما شد!</t>
  </si>
  <si>
    <t>علی سلطانی‌وش</t>
  </si>
  <si>
    <t>engineer sf</t>
  </si>
  <si>
    <t>iran.isfahan</t>
  </si>
  <si>
    <t>https://pbs.twimg.com/media/DmLnMRRWsAE63pP.jpg</t>
  </si>
  <si>
    <t>مضحکه این حیوونا نشدیم که به لطف #روحانی و مسئولین بی کفایت و ...این اتفاق افتاد!! #روحانی_مچکریم #پوشک_بچه</t>
  </si>
  <si>
    <t>Miis.Sf</t>
  </si>
  <si>
    <t>‏‎#ن.ش ‏‏‏‏‏‏‏‏‏‏‏‏‏‏‏‏‏مبر نامی ز مردی یا حداقل مرد باش ‎‎‎‎‎‎‎‎‎‎‎‎‎#فالو=فالو ‎‎‎‎‎‎‎‎‎‎‎#آنفالو=آنفالو ‎‎‎‎‎‎‎‎‎‎‎‎#دایرکت ندارم.متقابل فالو نکنی قهر میشم‎‎</t>
  </si>
  <si>
    <t xml:space="preserve">جمهوری اسلامی ایران - جف سیتی </t>
  </si>
  <si>
    <t>https://pbs.twimg.com/media/DmLohv4VsAAhS97.jpg</t>
  </si>
  <si>
    <t>باز راست کردم :| پیش به سوی ملت :))))) #روحانی</t>
  </si>
  <si>
    <t>میکائیل✴</t>
  </si>
  <si>
    <t>محسن بیات زنجانی / سابقا معلم! در ضمن ریتوئت کردن برای خواندن نظرات دیگران است؛ بنابراین هر ریتوئیتی را به معنای تأیید نگیرید...</t>
  </si>
  <si>
    <t>این از #دلار و ارز، آن از #گرانی، از وضعیت #دانشجویان‌ستاره‌دار هم که نگویم، #حصر هم که هیچ! خواستم تشکری کرده باشم جناب #روحانی!</t>
  </si>
  <si>
    <t>دلار:۱۳۰۰۰تومان سکه:۴میلیون و ۶۰۰ هزارتومان اما مشاور دولت @hesamodin1 مشغول دفاع از برادر رییسش بی خیال آن چه بر سر صاحبان کسب و کار و مردم دارد می آید آقای @hesamodin1, در دولت حسن #روحاني کسی به فکر مردم هست؟ #احمدي_نژاد دلار را ۳برابر کرد. شما قرار است چند برابر کنید؟</t>
  </si>
  <si>
    <t>https://pbs.twimg.com/media/DmLpwWIWsAETMuO.jpg</t>
  </si>
  <si>
    <t>🔴 #دلار ۱۲ هزار تومان... #سکه ۴ میلیون تومان... پراید ۴۰ میلیون تومان... #پوشک ۹۰ هزار تومان... خط فقر در تهران ۵ میلیون تومان... #یارانه دولتی همچنان ۴۵ هزار تومان! آقای حامد بهداد تو چقدر گرفتی ؟! #روحانی #ترانه_علیدوستی #مهناز_افشار</t>
  </si>
  <si>
    <t>#باهنر امروز یک حرف درست زده ولی نصفه نیمه. گفته رئیس جمهور شدن #روحانی نه کار حزب اعتدال و توسعه بود، نه حزب کارگزاران و نه اصلاح طلبان. بقیه حرفش که خورده اینست: رئیس جمهور شدن روحانی کار "شورای نگهبان" بود.</t>
  </si>
  <si>
    <t>Geologist Love only ac/dc Iran.Tehran</t>
  </si>
  <si>
    <t>منم دلم میخواد کسشر #سیاسی بگم ولی نمیدونم چرا در این مورد کسشرم نمیاد تهش میتونم به #روحاني فوش بدم</t>
  </si>
  <si>
    <t>men in shit</t>
  </si>
  <si>
    <t>از دلار ۱۳۰۰۰ و شکم گرسنه ملت چه خبر #استیضاح _روحانی</t>
  </si>
  <si>
    <t>حسابدار</t>
  </si>
  <si>
    <t>https://twitter.com/aminimedia_ir/status/1034542162912919553</t>
  </si>
  <si>
    <t>تعارضی میان احکام دو #قانون نیست. قانون مؤخر، مانع جدیدی بر موانع و شرایط قوانین عام و خاص سابق افزوده است. شک دارید، چاره در استفسار از #مجلس است. RT @aminimedia_ir: مصوبه عام لاحق مجلس در مورد #منع بكارگيري بازنشستگان، شهرداران را كه مشمول #قانون خاص شوراها و انتخاب شهرداران مصوب ١٣٩٦ مي باشند، در بر نمي گيرد. زيرا طبق قانون اخيرالذكر نه تنها بازنشسته نبودن و رعايت سقف سني شرط انتخاب شهردار نيست بلكه حتي #شهردار مي تواند كارمند دولت نباشد.</t>
  </si>
  <si>
    <t>دلار ۱۳۳۰۰ تومان چی؟ پرونده #رییس_جمهور؟؟ نه صلاح نیست بره قوه قضائیه</t>
  </si>
  <si>
    <t>یادداشت‌هایی درباره‌ی همه چیز و هیچ چیز ...</t>
  </si>
  <si>
    <t>Gonbad-e Kavus</t>
  </si>
  <si>
    <t>امیر کبیر: اگر من دزدی میکردم تا آخر دزدی میکردند و کشور می شد دزدخانه همه هم دنبال دزد میگشتیم و چون همه ی ما دزد بودیم هیچ دزدی را هم محکوم نمی کردیم.... #روحانی #مسئولین_فاسد</t>
  </si>
  <si>
    <t>AvA</t>
  </si>
  <si>
    <t>https://roozportal.com/?p=17549</t>
  </si>
  <si>
    <t>تلاش #دولت و #مجلس برای حل “معضل #پوشک_بچه” در ایران</t>
  </si>
  <si>
    <t>چرا ملت از #میرحسین_موسوی خوششان آمد؟ آیا او واقعا یک متفکر بود؟ آیا هوش #احمدی_نژاد یا سیاست کثیف #هاشمی را داشت یا فلسفه بافی #خاتمی را؟؟ در واقع او مثل #روحانی هیچ نداشت جز عقبه ای بلند اما مبهم به لطف زمانه اش:نخست وزیر امام. همین.</t>
  </si>
  <si>
    <t>http://www.vetpars.com</t>
  </si>
  <si>
    <t>وت پارس ، تفکر نوین دامپزشک پارسی The New Thinking Of a Persian Veterinarian</t>
  </si>
  <si>
    <t>http://www.vetpars.com/index.php/publisher/articleview/action/view/frmArticleID/4545/</t>
  </si>
  <si>
    <t>⭕️ نماینده مجلس می گفت اگر آشنایان من استخدام شوند مشکل استیضاح حجتی حل خواهد شد! #استیضاح #دولت #مجلس #فاجعه #استخدام #ایران  ✅ @Vetpars</t>
  </si>
  <si>
    <t>vetpars</t>
  </si>
  <si>
    <t>https://pbs.twimg.com/media/DmLsaPRWsAA5ENG.jpg</t>
  </si>
  <si>
    <t>+ آقای #روحانی آیا خیالمون از بابت #پوشک راحت باشه؟ - روحانی رفته مذاکره موشکی کنه + خیالمون راحت باشه؟ - روحانی رفته جلسه دفاع #حسین_فریدون + آقای روحانی خیالمون راحت با‌شه؟؟ - با اجازه بچه هایی که خودشونو زود به زود کثیف میکنن و هرچی میکشیم از ... اوناس، بله</t>
  </si>
  <si>
    <t>#رئیس_قوه_قضاییه: سخنان #رئیس_جمهوری در #مجلس، متین و هوشمندانه و موافق مصالح #نظام #جمهوری_اسلامی بود و #دشمنان نظام را که در پی #آتش_افروزی بودند، مایوس کرد. #iran #ruhani #larijani #parliment</t>
  </si>
  <si>
    <t>چهل سال است در این کشور سفته بازی جای تولید را گرفته است به درک واصل شوید #جمهوری_اسلامی #خامنه_ای #روحانی #فساد #لاریجانی</t>
  </si>
  <si>
    <t>#مجلس طرح توزیع کالای اساسی رابانرخ واقعی ودوفوریت برای ۸ دهک مصوب کردیعنی فقط دهک خارج کشورشامل نشده،آیااین طرح میتونه عدالت روبرای افرادمتوسط وپایین تامین کنه؟بنظرقشرآسیب پذیرروحمایت نمیکنه، #انتخابات_آینده_مجلس #قشر_حقوق_بگیر #مجلس_شوری_اسلامی #فقر_عمومی #نمایندگان_مجلس</t>
  </si>
  <si>
    <t>اشکان فیاض بخش | دانشجوی نوشیروانی</t>
  </si>
  <si>
    <t>Mazandaran,Iran</t>
  </si>
  <si>
    <t>https://pbs.twimg.com/media/DmLta3iXgAAb5XH.jpg</t>
  </si>
  <si>
    <t>https://twitter.com/ZiaNabavi1/status/1036651974912040960</t>
  </si>
  <si>
    <t>این همه آرامش و صبرش تو وضعیتی که یک بار دیگه اینبار در دولت #روحانی #حق_تحصیل رو ازش گرفتن و همه نگران و مضطرب از این وضع، دارن توییت میکنن و از #ضیا_نبوی میگن، بیشتر از همه منو یاد آرامش #مصدق تو روز 30 تیر 1331 میندازه. #ما_همه_با_هم_هستیم RT @ZiaNabavi1: بچه که بودیم، تابستونا، هوا اینطوری که می‌شد، مادربزرگم لامپاها و گردسوزها رو توی #روستا دور خودش جمع میکرد و یکی‌یکی روشنشون میکرد! من هم خسته از بازی روزانه روی ایوون به پشت دراز میکشیدم و به لرزش برگ درختای #تبریزی خیره می‌شدم. #غروب آفتاب، افول شعله‌های اشتیاق درون هم بود..</t>
  </si>
  <si>
    <t>Ashkan fayazbakhsh</t>
  </si>
  <si>
    <t>خب . ديگه دولت چيكار بايد بكنه تا ارز از اين گرونتر بشه؟ فكراتونو بريزين رو هم بهشون خبر بدين تا يه وقت نكنه چيزي از بدترين كارها براي بدبخت شدن مردم از قلم بيفته. #ارز #دلار #روحاني #جهانگيري #ايران #گراني #تورم #خودرو #طلا #سكه #يورو #بانك_مركزي #دولت #اقتصاد #بورس</t>
  </si>
  <si>
    <t>فكر كنم الان ديگه بشه اسم #پول ملي رو به جاي #ريال بزاريم #صفير كه پيشنهاد #آخوند ها بود.خوب كه اسمش نشد #پارسي وگرنه اسمه هم ميسوخت.به قول#برانداز ها اون براي بعد از براندازيه. #ارز #بانك_مركزي #دلار #يورو #گراني #دولت #روحاني #ايران #جمهوري_اسلامي #جهانگيري #طلا #تورم #ركود</t>
  </si>
  <si>
    <t>ساس مستندی بدون سند تهیه میکند که درصحن علنی پخش میشود، نماینده مجلس آنها را تکرار میکند، رسانه‌های #اصولگرا ویژه به آن می‌پردازند، #براندازان باتکرار آنها به #روحانی و اصلاح‌طلبان حمله میکنند و خبرنگاران اصولگرا هم زحمت پخش را میکشند! پیدا کن پرتقال فروش را...</t>
  </si>
  <si>
    <t>کل دنیا هم جمع بشه نمیشه دیگه ایران رو از ورشکستگی نجات داد دومین کشور رباخوار در دنیا بودیم ملت و دولت هر چی ربا خوردن باید بالا بیارن گفتید دلار چنده?#ایران #ظریف #دلار روحانی #روحانی #مطهری</t>
  </si>
  <si>
    <t>شریعتمداری:آ.روحانی با قاطعیت می‌گفت «ملاک تورم جیب مردم است ونه آمارهایی که ارائه می‌شود" باتوجه به این فرمول که فرمول قابل قبولی نیز هست،به وضوح می‌توان نتیجه گرفت که آ. #رئیس_جمهور درسیاست‌های اقتصادی خود نه فقط موفق نبوده است بلکه عرصه #اقتصادی کشور رابه فاجعه نزدیک کرده است.</t>
  </si>
  <si>
    <t>‏‏‏من سکوت خویش را گم کرده ام! لاجرم در این هیاهو گم شده ام journalist</t>
  </si>
  <si>
    <t>نذار کسی متوجه شه چی توي فكرت ميگذره همه چي رو نكن خواسته هات ميشن نقطه ضعفِت ... (#نماینده #مجلس در حال گیر آوردن دلیل قانع کننده!😶😶😶😶) #شفافیت_آراء_مجلس #شفافیت_آراء_نمایندگان</t>
  </si>
  <si>
    <t>Aliasgharlatifi110</t>
  </si>
  <si>
    <t>http://jahaneghtesad.com/%d8%b1%d9%88%d8%ad%d8%a7%d9%86%db%8c%d8%8c-%da%af%d8%b1%d9%88%da%af%d8%a7%d9%86-%d8%a7%d8%b4%d8%aa%d8%a8%d8%a7%d9%87%d8%a7%d8%aa-%d8%ae%d9%88%d8%af%d8%ae%d9%88%d8%a7%d8%b3%d8%aa%d9%87/</t>
  </si>
  <si>
    <t>«روحانی، گروگان اشتباهات خودخواسته» در #انتخابات سال ۹۲ #مردم خسته از #مشکلات بیشمار #اقتصادی و تصمیمات خلق الساعه و اشتباه #دولتمردان سابق، با انتخاب دکتر #روحانی، این پیام را به جهان مخابره کردند که فقط #صلح، آرامش و در پی آن ثبات اقتصادی را...</t>
  </si>
  <si>
    <t>ایرانی / عدالتخواه / اصلاح‌طلب</t>
  </si>
  <si>
    <t>مدام می‌گویند #دولت_پنهان ؛ بافرض اینکه وجود دارد؛ سکوت و عدم تحرک #روحاني درمسیر اصلاح ساختارها و مبارزه با فساد ناشی از چیست؟! یا شریک‌شان است یا مطیع‌شان. #توهم نداشته باشیم !</t>
  </si>
  <si>
    <t>روح الله قاسم‌زاده</t>
  </si>
  <si>
    <t>نقد حکومت آری! نفی حاکمیت هرگز!! "نویسنده رادیو ام و با افتخار مستقلی"</t>
  </si>
  <si>
    <t xml:space="preserve">Isfahan </t>
  </si>
  <si>
    <t>دوستی میگفت، حالا که #پوشک کم شده و نیست، بچتون رو بشونید رو کله ی اونکسایی که زمان #انتخابات میگفتن روحانی بیاد بازار سیاه ور میوفته! البته به نظر من کله ی خود #روحانی مناسبتره!</t>
  </si>
  <si>
    <t>Mahdi Alanchari</t>
  </si>
  <si>
    <t>https://pbs.twimg.com/media/Dl1oVKNXsAI__OB.jpg</t>
  </si>
  <si>
    <t>https://www.jamaran.ir/fa/tiny/news-1000530
https://twitter.com/DR_FRANKESHTEIN/status/1035098267837755393</t>
  </si>
  <si>
    <t>#ایران #تهران #قم #فوری #روحانی :لاکن در راستای تحقق مطالبات #دولت #اختلاس #فساد اهل بیت ال عبا #رهبر_انقلاب وشرکا از #بودجه #مردم با عنایات صاحب ⌚️هزینه تجدید میثاق سربازان گمنام مدافع حرم اهل بیت #رهبرفرزانه با آرمان های حضرت امام راحل #شفاف سازی شد  RT @DR_FRANKESHTEIN: موسسه زیر نظر حسن خمینی ؛ روزی ۵۶ میلیون تومان ... #فسادبان</t>
  </si>
  <si>
    <t>THR-LND</t>
  </si>
  <si>
    <t>https://twitter.com/tahlilgaran/status/1036614123403059200</t>
  </si>
  <si>
    <t>#رييسى كه هيچ، فكر كنم اگر مملكت #دولت و #رئیس_جمهور هم نداشت وضعيت بد تر از اين نبود!! @Rouhani_ir RT @Tahlilgaran: دلار آمریکا به ۱۳۰۰۰ تومان رسید</t>
  </si>
  <si>
    <t>Ali BobZ</t>
  </si>
  <si>
    <t>تنها فرق #میرحسین_موسوی با #آخوند، نداشتن عبا و عمامه هست. #خاتمی، #احمدی_نژاد، #موسوی، #روحانی و در کل همه #آخوند ها و شبه آخوندها سر و ته یه کرباسن</t>
  </si>
  <si>
    <t>White Wolf</t>
  </si>
  <si>
    <t>pic.twitter.com/eueXdta1kV</t>
  </si>
  <si>
    <t>اعتراف #روحانی به بالا بردن #عمدی نرخ #دلار۱۳۰۰۰ هیچ ربطی به #دولت نداره ..</t>
  </si>
  <si>
    <t>يامهدي</t>
  </si>
  <si>
    <t>به قول بابام،اومدم ببينم دنيا دست كيه؟!</t>
  </si>
  <si>
    <t>همين جا</t>
  </si>
  <si>
    <t>آغاي روحاني تو اگر واقعا به مردم اهميت ميدادي از رياست جمهوري كناره گيري ميكردي كه بيشتر از اين گند نزني به مملكت.بي لياقت .آخه روضه خون و چه به رياست جمهوري؟!!! #دلار۱۳۰۰۰ #روحاني</t>
  </si>
  <si>
    <t>neka</t>
  </si>
  <si>
    <t>‏‏student of Tehran univercity /</t>
  </si>
  <si>
    <t>اگر به یک سال پیش بازگردید، به کدام یک رای میدهید؟؟ #روحاني #رییسی #دلار۱۳۰۰۰تومانی</t>
  </si>
  <si>
    <t>sepehr Farahani</t>
  </si>
  <si>
    <t>ببخشید یک سوال کاملا فنی از #روحاني : بفرمایید #دلار چند بشه #تنگه را میبندی؟ #ایران_را_پس_میگیریم #رژیم_را_سرنگون_کنیم #رضا_شاه_روحت_شاد #شاهنشاه_روحت_شاد</t>
  </si>
  <si>
    <t>‌پان ایرانیسم</t>
  </si>
  <si>
    <t>#علی_مطهری گفته است که "در جریان بازداشت فعالان زن و وکلا نیستم". این که نایب رییس مجلس در جریان تحولات داخلی نیست، نقطه ضعف سیستم اطلاع رسانی #مجلس به هیات رییسه است.</t>
  </si>
  <si>
    <t>https://pbs.twimg.com/media/DmL3pdYXcAAvPgZ.jpg</t>
  </si>
  <si>
    <t>#روحانی چیزی نمونده تا مرزهای بی تدبیری و بی مسئولیتی رو جابجا کنی #دلار۱۲۰۰۰تومنی</t>
  </si>
  <si>
    <t>http://www.instagram.com/xrohanix</t>
  </si>
  <si>
    <t>‏من محالم ، تو به ممکن شدنم فکر‌ نکن !</t>
  </si>
  <si>
    <t>Bojnurd</t>
  </si>
  <si>
    <t>https://pbs.twimg.com/media/DmL3uJIU8AIVm4_.jpg</t>
  </si>
  <si>
    <t>آهنگ جدید #روحانی ، دنیا مال ماست</t>
  </si>
  <si>
    <t>پسری از خاندان روحانی</t>
  </si>
  <si>
    <t>زائران درگهت را بر در خلد برین /می دهند آواز: طبتم فادخلوها آمنین ‎‎‎#فقط_حیدر_امیرالمومنین_است ‎#قهرمان_من_خامنه‌ای</t>
  </si>
  <si>
    <t>https://twitter.com/ZeynabHosseinii/status/1036497853894586369</t>
  </si>
  <si>
    <t>خوب اینجوری که راست راستی میرن یه خونه دیگه که! تدبیرشون رو از #روحانی یاد گرفتن RT @ZeynabHosseinii: خانومه تو باشگاه گفت من به شوهرم کلید خونه‌رو نمیدم که وقتی نبودم کاری نکنه و... بقیه گفتن آفرین ماهم ماهم!!! نمیدونم این زندگی که اندازه یه کلید توش اعتماد نیس واقعا زندگیه؟</t>
  </si>
  <si>
    <t>سراج</t>
  </si>
  <si>
    <t>‏‏‏‏‏‏‏‏‏اولین نشانه ی حماقت مطلق، نبود شرم است.</t>
  </si>
  <si>
    <t>آخه مگه ما چقدر میخوایم عُمر کنیم که هشت سالش رو #احمدی_نژاد برینه توش، هشت سالش رو هم #روحانی</t>
  </si>
  <si>
    <t>زیگموند فروید</t>
  </si>
  <si>
    <t>http://www.iribnews.ir/fa/news/2219325</t>
  </si>
  <si>
    <t>#ایران #تهران #قم #فوری #روحانی #خاتمی: محور اصلی اجلاس فردای خبرگان پیگیری مطالبات #رهبرفرزانه درباره وضع اقتصادی مشکلات معیشتی اهل بیت ال عبا #رهبر_انقلاب وشرکا ,سخنرانی آیت الله #جنتی درباره #اقتصاد ,تجدید میثاق با آرمان های امام راحل</t>
  </si>
  <si>
    <t>اينكه يارانه ي اكثر مردم رو به دليل"عدم نياز مالي" قطع كردن بماند چطور شده كه از ١٠ سال پيش تا حالا قيمتها ١٠برابر شده اما يارانه ي "مردم" همون نرخيه كه تعيين كردن پ ن: الان با"٤٥٥٠٠"تومن پوشك بچه هم نميشه خريد!!! #ايران #آزادی #Iranian #iran #مردم_ايران #ظريف #روحاني</t>
  </si>
  <si>
    <t>fatemeh</t>
  </si>
  <si>
    <t>‏‏آقا...من بدردت نمیخورم...ولی تو که بدردم میخوری</t>
  </si>
  <si>
    <t>https://pbs.twimg.com/media/DmL8v0wXgAEc60T.jpg</t>
  </si>
  <si>
    <t>این رو هم من گفتم🤔🤔🤔 #روحانی #خاص #من_گفتم</t>
  </si>
  <si>
    <t>۲۵ سال زیاد نیست</t>
  </si>
  <si>
    <t>https://www.linkedin.com/in/charkhzarrin/</t>
  </si>
  <si>
    <t>📊#Digital_Marketing Specialist / Ph.D. Student of Cultural Sociology</t>
  </si>
  <si>
    <t>نشستم ببینم #اصلاح_طلبان دقیقا تا کجا به حمایت از #روحانی ادامه می‌دن</t>
  </si>
  <si>
    <t>Morteza Charkhzarrin</t>
  </si>
  <si>
    <t>‏خدا ...</t>
  </si>
  <si>
    <t>هر جا رو #روحانی گفت خیالتون راحت یعنی قراره سر به فلک بکشه یه جورایی شده دستور گران فروشی و احتکار ... # خیال_تون_راحت</t>
  </si>
  <si>
    <t>Masoudsahraey</t>
  </si>
  <si>
    <t>شیعه، انقلابی رسالت: آگاهی بخشی بدون توجه به لایک و ریتوئیت بعضی وقتها ممکنه با توجه به اهمیت موضوع رو پست ارسالی تاکید کنم، ضددروغ، دانشجودکتری مدیریت رسانه</t>
  </si>
  <si>
    <t>https://pbs.twimg.com/media/DmL-HfUW4AI30G-.jpg</t>
  </si>
  <si>
    <t>دقت کردید #سلبریتی های ضدفرهنگ بجای اینکه به مردم #پاسخگو باشن در برابر انتخاب اشتباه #روحانی شدن #طلبکار چهل سال #انقلاب</t>
  </si>
  <si>
    <t>شابانی نونندا</t>
  </si>
  <si>
    <t>Filmmaker/Screenwrite</t>
  </si>
  <si>
    <t>قیمت دلار و ارز و طلا در کمتر از سه ماه دویست درصد افزایش داشته بعد شیخ حسن میگه که بحران نیست و در مرحله آسیبیم. شیخ حسن میگه مشکل مردم که بیخود فکر کردن که ما در بحران به سر میبریم. @Rouhani_ir #ارز #دلار #طلا #روحانی</t>
  </si>
  <si>
    <t>https://t.me/IranAzadie/29630</t>
  </si>
  <si>
    <t>📌یادداشت روز 🔴از هم‌گسیختگی و بحرانهای درونی نظام آخوندی ! دوستان گرامی طی روز های اخیر و در هفته‌ی گذشته، با استیضاح دو وزیر دولت #روحانی و احضار اجباری روحانی... #براندازم #IranRegimeChange #اعتراضات_سراسری ادامه مطلب در کانال #ایران آزادی⬇️</t>
  </si>
  <si>
    <t>#پوشک بچه که دیگه به آرزوه پیوست، از فردا منتظر کم یاب شدن #کهنه بچه باشید. #روحانی #خیال_تون_راحت #احتکار</t>
  </si>
  <si>
    <t>‏ما عاشق و رند و مست و عالم سوزیم با ما منشین اگر نه بدنام شوی</t>
  </si>
  <si>
    <t>دردمون رو کجا باید فریاد بزنیم. درد #دلار۱۳۰۰۰ تومنی. درد مشکلات اقتصادی. آی #روحانی حواست هست #دولت_تدبیروامید نه تدبیر درستی اتخاذ کرده و آخرین بارقه های امید رو هم تو مردم کشته؟</t>
  </si>
  <si>
    <t>شب زنده       دار</t>
  </si>
  <si>
    <t>hamed fakhrinezhad</t>
  </si>
  <si>
    <t>hamedfakhri</t>
  </si>
  <si>
    <t>http://Telegram.me/javadsharifian</t>
  </si>
  <si>
    <t>یه پسر 27 ساله تیر ماهی که خاطرات روزمره کارمو اینجا توییت میکنم 😎😎</t>
  </si>
  <si>
    <t xml:space="preserve">زمین خدا </t>
  </si>
  <si>
    <t>گفتند با #روحانی به عقب بر نمیگردیم😊😊 حالا برین واس بچه هاتون به جای #پوشک، کهنه ببندین، :))</t>
  </si>
  <si>
    <t>🇮🇷 جواد شریفیان 🇮🇷</t>
  </si>
  <si>
    <t>iman.torkashvand</t>
  </si>
  <si>
    <t>پراید از 45 میلیون شده 35 میلیون. همین روزاست که #روحانی بیاد زل بزنه تو چشم مردم و بگه: ما #پراید رو گرون کردیم؟ ما فقط در یک روز 10 میلیون پراید رو ارزون کردیم!</t>
  </si>
  <si>
    <t>ایمان ترکاشوند</t>
  </si>
  <si>
    <t>دولت #روحانی نه توانست ماننددولت #هاشمی، #تکنوکرات و #پراگماتیک باشد نه چون دولت #خاتمی، #رفورمیستِ سیاسی و #دگراندیش تئوریک ونه چون دولت #احمدی_نژاد، پایگاه اجتماعی گسترده‌ای در #طبقه_متوسط و پایین‌تر داشت امروزتنهاسرمایه‌ روحانی،نارضایتی اجتماعیست که روزبروز شدیدتروعمیقتر میشود</t>
  </si>
  <si>
    <t>یه پیشنهاد شش ماه بیایید حقوق نماینده ها و اعضای دولت رو قطع کنید شاید فهمیدن مردم دارن چی میکشن. #روحانی #مجلس #نماینده #مردم</t>
  </si>
  <si>
    <t>#روحانی تا نگیم غلط کردیم همین خوبه بدبخت ترمون نکن دست بردار نیست در سکوتی معنادار پدر ملت رو در آورده #روحانی #مردم #گرانی #خیالت_تون_راحت</t>
  </si>
  <si>
    <t>https://pbs.twimg.com/media/DmMBgs-XcAE4N1_.jpg</t>
  </si>
  <si>
    <t>http://v.aa.com.tr/1245497</t>
  </si>
  <si>
    <t>نخستین نشست نمایندگان #مجلس جدید #عراق برای انتخاب رئیس بدون دستیابی به نتیجه پایان یافت.</t>
  </si>
  <si>
    <t>https://pbs.twimg.com/media/DmMBuibXsAQRrjv.jpg</t>
  </si>
  <si>
    <t>قشنگ ترین ضرب المثل ایرانی اینه سگ زرد برادر شغال امیدوارم ما مردم بفهمیم که #میر_شیاد، #میر_اصلاحات، #روحانی همه از یه اخور خوردن و این نسل بخاطر کارایی که کردن حروم زادگی از ۷ نسل بعدیشون پاک نمیشه #خاتمی_خفه_شو #RaminaHosseinPanahi</t>
  </si>
  <si>
    <t>https://pbs.twimg.com/media/DmMCBN0W0AAJhH9.jpg</t>
  </si>
  <si>
    <t>#روحانی من سرهنگ نیستم حقوقدانم محمود نوابی، معاون وزیر صنعت، معدن و تجارت دولت روحانی : برای افزایش کنترل و نظارت بر بازار، نیروی #بسیج وارد عرصه می‌شود. معنی دولت حقوق را هم فهمیدیم</t>
  </si>
  <si>
    <t>بعد از #پوشک حالا نوبت #شیر_خشک هست منتظر نایاب شدن و بالا رفتن قیمت #شیر_خشک هم باشید. #خیالت_تون_راحت #روحانی #مردم #گرانی</t>
  </si>
  <si>
    <t>من مشکلی با کسانی که به #روحانی رای دادن ندارم، اما با اینکه لال شدند الان و همچنان در حال ماست‌مالی و حرف از اتحاد و از اینجور مزخرفات می‌زنند مشکل دارم. اینکه یک مشت اصلاح‌طلب در حال خوردن و دزدیدن هستند و همچنان این جماعت در فکر به اصلاحات هستند. #براندازم</t>
  </si>
  <si>
    <t>http://www.instagram.com/AhmadReza.Kazemi</t>
  </si>
  <si>
    <t>مثلا طنزنویس مطبوعات، مثلا ترانه‌‌سرا و مثلاتر(!) مهندس‌عمران</t>
  </si>
  <si>
    <t>https://pbs.twimg.com/media/DmMDJLkW0AAkoQP.jpg</t>
  </si>
  <si>
    <t>ولی اگه به بانک مرکزی بگم مثل قبل عمل کنه، ارز دوهفته‌ای به قیمت قبل برمی‌گرده! #بهروز_خالی_بند #روحانی</t>
  </si>
  <si>
    <t>احمدرضا کاظمی</t>
  </si>
  <si>
    <t>https://pbs.twimg.com/media/DmMDmYLXcAAoUcF.jpg</t>
  </si>
  <si>
    <t>#دکتر_داوری بعد از ۱۵ماه حبس #بیگناه شناخته و ازاد شد!!!و خدا میداند #بقایی و #مشایی چه وقت #بیگناه شناخته و ازاد شوند!!! #یاران_احمدینژاد #قوه_قضائیه #دلیران_تنگستان #عدالت #روحانی #احمدی_نژاد</t>
  </si>
  <si>
    <t>دبير جمعيت زنان مسلمان نوانديش منطقه فارس --------عضو شوراي منطقه حزب اتحاد ملت ايران اسلامي منطقه فارس ----</t>
  </si>
  <si>
    <t>https://pbs.twimg.com/media/DmMESQoUcAAlaZn.jpg</t>
  </si>
  <si>
    <t>پيگيري مدبرانه خانم #نیره_عابدین زاده معاون دادستان خراسان رضوي درممانعت ازازدواج دختر٩ساله مشهدي نشان ازدرك و دغدغه يك زن دراين مسئوليت ميباشداين حركت ضرورت حضورزنان در اركان مهم تصميم گيري راموردتاكيد قرارميدهد #فراكسيون #زنان #مجلس #قانون #ممنوعيت #ازدواج_کودکان #پيگيرباشند</t>
  </si>
  <si>
    <t>Jamileh Karimi</t>
  </si>
  <si>
    <t>فردا پس فردا یه دختر مظلوم وزیری از سر بیکاری رفته پوشک احتکار کرده، از بس مظلومن اینا. #پوشک #دختر_وزیر #روحانی #خیالت_تون_راحت</t>
  </si>
  <si>
    <t>دولت #روحانی نه توانست ماننددولت #هاشمی، تکنوکرات و پراگماتیک باشد نه چون دولت #خاتمی، رفورمیستِ سیاسی و دگراندیش تئوریک ونه چون دولت #احمدی_نژاد، پایگاه اجتماعی گسترده‌ای در طبقه_متوسط و پایین‌تر داشت امروزتنهاسرمایه‌ روحانی،نارضایتی اجتماعیست که روزبه‌روز گسترده‌تروعمیقتر میشود</t>
  </si>
  <si>
    <t>https://pbs.twimg.com/media/DmMFRISX4AAX60E.jpg</t>
  </si>
  <si>
    <t>🔵 دقت کردید #سلبریتی ها بجای اینکه به مردم #پاسخگو باشن در برابر انتخاب اشتباه #روحانی شدن #طلبکار چهل سال #انقلاب کلیدواژه شون هم اینه که بجای اینکه بگن زمان #روحانی و اواخر #احمدینژاد اوضاع بد شده، میگن #40سال ه اوضاع بد شده👆 #انقلاب #مردم #بازیگران #سلبریتی_سیاسی_ساکت</t>
  </si>
  <si>
    <t>روح الله فتاحی</t>
  </si>
  <si>
    <t>https://pbs.twimg.com/media/DmMFiISX0AECmMS.jpg</t>
  </si>
  <si>
    <t>آنهایی که می خواهید #فضای_مردم_ایران رو درباره #مجلس_شورای_اسلام #متشنج کنید . #بیه اینهم #شفافیت_آرا_نمایندگان در مجلس. یکی از فعالیت های نمایندگان رای دادن هست #ایران #داغ_های_مجازی #مجلس #منافق</t>
  </si>
  <si>
    <t>يك عدد دانشجوي دانشگاه شهيد بهشتي پيگيرِ احوال كشورش 📚 جادبهشتي✋🏻. من به قدقامت ياران نرسيدم اي كاش،لااقل ركعت آخر به جماعت برسم🌱</t>
  </si>
  <si>
    <t>طرح دوفوریتی #شفاف_سازي فعالیت نمایندگان #مجلس شورای اسلامی در خانه ملت با امضای بیش از 130 تن از نمایندگان پارلمان در تهیه و تدوین شده است. #تسنيم عجب:) اميدواريم به زودي اين طرح وارد فاز اجرايي بشود</t>
  </si>
  <si>
    <t>z__ta  🌱</t>
  </si>
  <si>
    <t>‏‏‏‏‏‏حاصل هزاران بازگشت/ با افتخار تحکیم وحدتی✌</t>
  </si>
  <si>
    <t>https://pbs.twimg.com/media/DmMF_QQXsAA6fqx.jpg</t>
  </si>
  <si>
    <t>عجب داستان عجیبی دارد این عکس!! #روحانی #لاریجانی #حسن_فریدون #وکیل_الدوله #مجلس</t>
  </si>
  <si>
    <t>بخندیم ؟ گریه کنیم ؟ چه کنیم جناب #روحانی RT @Rouhani_ir: به والله سال‌های ۸۴ تا ۹۲ گذشت و دیگر تکرار نمی‌شود.</t>
  </si>
  <si>
    <t>چقدر حرف به خورد مردم ميدهيد کمي نان بدهيد که از حرف خوردن گوشمان سير است شکم را سير کنيد #دولت_بيکفايت #روحاني #تورم #ساکتين_مجلس #احتکار</t>
  </si>
  <si>
    <t>‏‏‏‏‏معلم/ کارشناس بیماری ها/ ‏مراقب سلامت خانوده/ /هنوز معتقد /متعهد /مترصد</t>
  </si>
  <si>
    <t>میدونید مشکلتون چیه؟ قهرمان زنده دوس ندارید رای میدید فکر میکنید به یه پیامبر الوالعظم رای دادید بابا همه جای دنیا آدمها تغییر میکنن ما آدمیم آینده رو نمیبینیم #ابوطالب_حسینی #احمدي_نژاد #روحانی</t>
  </si>
  <si>
    <t>کلاغ جان</t>
  </si>
  <si>
    <t>به غُرهای زندگیِ من خوش آمدید</t>
  </si>
  <si>
    <t>جناب آقای #روحانی ای کاش به مایی که بهتون رای دادیم(متاسفانه) حداقل توضیح بدین تو این مملکت چه خبره</t>
  </si>
  <si>
    <t>M rahimi</t>
  </si>
  <si>
    <t>https://telegram.me/harfbemanbot?start=ODc3MzQ1NzA</t>
  </si>
  <si>
    <t>Do you have any tobacco? - Basiji</t>
  </si>
  <si>
    <t>https://pbs.twimg.com/media/DmMKLCxX4AIe5EX.jpg</t>
  </si>
  <si>
    <t>این عکس رو باید رو ورقه چوب بچسبونیم راه بیفتیم باهش بکوبیم تو سر یَکی یَکی اونـــایی که به #روحانی رای دادن... #تا_1400_با_روحانی #اصلاح_طلبها</t>
  </si>
  <si>
    <t>Nobody61🇮🇷🇵🇸</t>
  </si>
  <si>
    <t>https://pbs.twimg.com/media/DmMKNP1XcAAeVRp.jpg</t>
  </si>
  <si>
    <t>#خیال_تون_راحت اگه چیزی یادمون رفته بگید تا گرونش کنیم #روحانی #گرانی #پوشک #سکه #مردم</t>
  </si>
  <si>
    <t>بی لیاقت تر و ضعیف تر از دولت حسن #روحانی هم در تاریخ معاصر ایران وجود داشته؟! #دلار #یورو</t>
  </si>
  <si>
    <t>https://pbs.twimg.com/media/DmMKrMmXoAEO9bs.jpg</t>
  </si>
  <si>
    <t>#روحانی صبح فردا برای اففتاح چند پروژه اقتصادی به #عسلویه می‌رود</t>
  </si>
  <si>
    <t>https://pbs.twimg.com/media/DmMKs0HWwAEhfxb.jpg</t>
  </si>
  <si>
    <t>واقعا خجالت آوره که در #تاریخ بنویسن دولت #روحانی در کم کردن قیمت #پوشک عاجز بود کتب تاریخ چندین سال آینده پر از استندآپ کمدی خواهد بود جناب روحانی مفتضح</t>
  </si>
  <si>
    <t>‏‏چمران در قبال بنده هیچ مسیولیتی نداره🙂</t>
  </si>
  <si>
    <t>دکتر #روحانی به‌نحوی به عقب برگشته که دولت سیزدهم باید بگه:"همه‌چی تقصیر دولت خیلی قبله..."</t>
  </si>
  <si>
    <t>Chamran</t>
  </si>
  <si>
    <t>قیمت #پوشک واسه این گرون شده که #مجلس و #دولت همزمان با هم ری...دن... ای خاک بر سر تو مسئولی که در برآورده کردن مایحتاج روزمره مردم درمانده ای.... #بِکِش_کنار بی عرضه</t>
  </si>
  <si>
    <t>یک سری از نمایندگان #مجلس به بهانه مبارزه با تروریسم حاضراند نظام مالی ایران را برای غربی ها شفاف سازی کنند (#FATF) ولی حاضر نیستند ارا خود را برای مردمی که با رای انها وارد مجلس شدند #شفاف کنند. پیگیر نماینده شهرستانمان باشیم و از انها مطالبه کنیم. #دار_المنافقین</t>
  </si>
  <si>
    <t>بنابر دلایلی #روحانی خفه شده، آنهم در بدترین زمان. در حالیکه مخالفین با فراغ خاطر درحال سلاخی دولت، اتهام‌زنی، فرار از زیربار تقصیرات خود و ناامید کردن ملت از رای‌اند وقتی طرف مقابل هرروز جبهه جدید باز می‌کند، توجیه تنش‌زدایی یا بهانه توصیه #رهبری احمقانه است ماجرا چیز دیگری است</t>
  </si>
  <si>
    <t>‏‏‏‏‏‏‏‏یک عدد مهندس عمران بیکار!وی معتقد به انقلاب اسلامی دوباره است</t>
  </si>
  <si>
    <t>سرزمین آبشار و مفرغ و بلوط</t>
  </si>
  <si>
    <t>شاید وقیحترین و عجیبترین چیزی که در این دوره دیدم،اینه که برادر مسئول ستاد مبارزه با مفاسد اقتصادی و قوای مجریه و مقننه و قضاییه،مفسدن و اجازه برخورد به برادران مفسد خودشون نمیدن و ادعای برخورد با مفسد رو هم دارن! مرده شور ببردتون #مفسد #مفاسد_اقتصادی #روحانی #جهانگیری #لاریجانی</t>
  </si>
  <si>
    <t>🇮🇷محسن رضائی🇵🇸</t>
  </si>
  <si>
    <t>‏ما در موقعیت جنگ احزاب هستیم.تمام کفر در مقابل تمام اسلام.منافقین داخلی و خارجی و امریکا واسراییل و...در مقابل جمهوری اسلامی.اما درنهایت حزب الله هم الغالبون.</t>
  </si>
  <si>
    <t>اقای #روحانی بهت بگم روشن شی.اومدی با ناراضی سازی عمدی مردم نظام رو براندازی کتی،اماخداخواست اصلاحات رو برای همیشه نابود کردی.ممنونیم برادر #نفوذی #حزب_الله_هم_الغالبون</t>
  </si>
  <si>
    <t>رحیق مختوم</t>
  </si>
  <si>
    <t>آخه مگه ما چقدر میخوایم عُمر کنیم که هشت سالش رو #احمدی_نژاد برینه توش، هشت سالش رو هم #روحانی همینطور 8سال 8 سال نوبتی میان مجانی میگاینمون و میرن</t>
  </si>
  <si>
    <t>‏وراجی میکنم/ ا از شرت برسلی گرفته تا غزلیات ابوبکر بغدادی و اکتشافات ناسا/ حرف مفت نمیزنم/ وراجی های شما رو هم وراجی میکنم/ بعلاوه وراجی حرف مفت نیست...</t>
  </si>
  <si>
    <t>مملکت گل و اسکول و اسکولتر</t>
  </si>
  <si>
    <t>https://twitter.com/nakeesaa/status/1036685774396293121</t>
  </si>
  <si>
    <t>نصف بیشتر گه رو بخاطر رای به #روحانی باید خورد... کذاب... لاشی RT @nakeesaa: من گه خوردم رای دادم. شما چی؟ :)</t>
  </si>
  <si>
    <t>وررراااج</t>
  </si>
  <si>
    <t>داستان این شده که با گندهای سیستم موجود، یک دوره، جوونای راست به چپ بتازن که اینم از دولت شما، بعد ۸سال هم برعکس. حالا قضیه واردات #دسته_بیل باشه یا کمبود #پوشک_بچه. به هر حال سیستم مشکلی نداره و مسئله اصلی جهت اعتراض هست، از چپ به راست یا از راست به چپ! مسخره نیست؟! #روحانی</t>
  </si>
  <si>
    <t>دانشجوی برق شریف پیرو رهبری نه اصولگرا/نه اصلاح طلب</t>
  </si>
  <si>
    <t>قاضی پور عضو #کمیسیون صنایع و معادن #مجلس گفته از چهارشنبه ۵۰ هزار تا خودروی سایپا با نرخ قدیم ثبت نام میشه . جای امیدواری هست . ببینیم چی میشه ! 😐😐😐😐😐😐😐😐😐😐😐😐😐</t>
  </si>
  <si>
    <t>AHMADREZA HAKIMI</t>
  </si>
  <si>
    <t>یک عدد دانشجو-ارمانگرا هستم</t>
  </si>
  <si>
    <t>https://pbs.twimg.com/media/DmMO0TvWsAEN0Yk.jpg</t>
  </si>
  <si>
    <t>دو تا نماینده تو #مجلس ایران هستن هرچی طرح خوب هست طراحش اینا هستن هر چه زودتر شناسایی شون کنید 😂 #شفافیت_آراء_مجلس</t>
  </si>
  <si>
    <t>مِشیا</t>
  </si>
  <si>
    <t>http://te.me/CyberEmotion</t>
  </si>
  <si>
    <t>مبارزه با فساد در ایران فقط در شبکه خبر و ۲۰:۳۰ دیده میشود . #دولت_تدبیر #روحانی</t>
  </si>
  <si>
    <t>https://pbs.twimg.com/media/DmMP1pFU4AEhRTJ.jpg</t>
  </si>
  <si>
    <t>صبح شده ها بیدار شین... نکنه خواب بمونین... بیدار شین لطفا... نکنه مردین؟؟!!!! نمی خواد خیلی شفاف باشین به خدا... الان وقته شفاف سازی نیست... الان باید بلندشین به داد مردم برسین... اگه نمی تونین دیگه... #روحانی #مجلس #قوه_قضائیه #مسوولین #شفاف_سازی</t>
  </si>
  <si>
    <t>Afshin Esmaeili</t>
  </si>
  <si>
    <t>در مذاکرات هسته‌ای #برجام برد برد بود اما همه رو اونا بردن... #روحانی چه استیضاح بشه یا بشه باخت باخته ...</t>
  </si>
  <si>
    <t>‏‏‏‏من کان لله،کان الله له شکرلله، حمدلله، عفوا عفوا</t>
  </si>
  <si>
    <t>قرار نبود ؛ بی‌قرار بشیم #روحانی #پوشک</t>
  </si>
  <si>
    <t>سعیدی</t>
  </si>
  <si>
    <t>Khomeinist .</t>
  </si>
  <si>
    <t>آقای @JZarif با اینکه هرگز نگرش شما را به #برجام و اساسا سیاست خارجی قبول ندارم، اما هیچوقت علیرغم وجود برخی مدارک و ارتباطات ازجمله با @tparsi ، به این که برخی شما را #خائن خطاب میکنند اعتقادی نداشتم . ولی فرمایشات شما در #مجلس تیر خلاصی بود به باورهای من ! #ظریف #دری_اصفهانی</t>
  </si>
  <si>
    <t>Yasin</t>
  </si>
  <si>
    <t>‏معلم و متعلم</t>
  </si>
  <si>
    <t>هرچی میگذره بیشتر به این فکر میفتم که کاش پارسال بیشتر تلاش میکردم برای رای نیاوردن #روحانی هرچند اون بنده خداها که بهش رای دادن هنوزم بعضی هاشون قبول نمیکنن که بخش عمده مشکلات کشور تقصیر ایشونه!</t>
  </si>
  <si>
    <t>مهدی موحدکیا</t>
  </si>
  <si>
    <t>Student</t>
  </si>
  <si>
    <t>ماه رای دادیم که #رئیسی #دلار رو ۱۳۰۰۰ تومان نکنه، اما #روحانی کرد مشکلی نیست. #دلار۱۳۰۰۰تومانی</t>
  </si>
  <si>
    <t>Kasra</t>
  </si>
  <si>
    <t>عکس دکوریه. کلا همه چیز دکوریه و الا ما رو چه به این حرفها.</t>
  </si>
  <si>
    <t>کاش #روحانی انقدر تودار نبود و یک بار میومد به جای کسشرات همیشگی واسمون میگفت چی شد که به اینجا رسید. حداقل دلش سبک میشد.. #دلار۱۳۰۰۰تومانی</t>
  </si>
  <si>
    <t>Queen</t>
  </si>
  <si>
    <t>دانشجوی ستاره دار معنیش چیه آقای #روحانی دانشجوی زندانی هم نور علی نور شده .@Rouhani_ir</t>
  </si>
  <si>
    <t>‏‏‏‏‏‏‏‏‏‏فعال فرهنگی و رسانه ای</t>
  </si>
  <si>
    <t>به همت #دولت تدبیر #نسل_سوخته با شیبی تند از دهه شصت به دهه نودیا رسید پوشک ۱۰۰هزار پراید ۴۰میلیون #روحاني</t>
  </si>
  <si>
    <t>سعید عطائی</t>
  </si>
  <si>
    <t>‏‏‏‏‏‏‏‏ 🇮🇷🇮🇷🇮🇷 در جمهوری اسلامی همه آزادند الا حزب اللهی ها! (سید مرتضی آوینی)</t>
  </si>
  <si>
    <t>1-رجال سیاسی و مذهبی کشور 2-ایرانی‌الاصل 3-مدیر و مدبر 4-دارای حسن سابقه و امانت و تقوا 5-مؤمن و معتقد به مبانی جمهوری اسلامی ایران و مذهب رسمی کشور خداوکیلی هرچی نگاه می کنم ببینم #روحانی کدوم از این شرایط ریاست جمهوری رو کاملا داره به نتیجه نمی رسم. #عدم_کفایت</t>
  </si>
  <si>
    <t>حاج امیر</t>
  </si>
  <si>
    <t>https://pbs.twimg.com/media/DmMT2UrW0AAfquW.jpg</t>
  </si>
  <si>
    <t>از کجا به کجا رسیدیم.... کارما به جایی رسیده که دغدغه پوشاک بچه ها رو داریم اونم با دلار 12 هزار تومنی روحانی بسه دیگه مردم طاقت ندارند موندم جماعت سلبریتی بی سواد کجان #روحانی #سلبریتی</t>
  </si>
  <si>
    <t>Ahmad.d</t>
  </si>
  <si>
    <t>خبرنگار پایگاه خبری تحلیلی شستون</t>
  </si>
  <si>
    <t>دلار دوباره شد ۱۲ هزار پوشک بچه ۹۰هزار پراید ۴۰ میلیون و یارانه همچنان ۴۵ هزار! مردم اصلا هم نگران نیستن جناب پریزیدنت #علی_برکت_الله #روحانی #دلار #پوشک #تورم #بیکاری #اقتصاد #پراید</t>
  </si>
  <si>
    <t>Afsaneh.dadrah⁦🇮🇷⁩</t>
  </si>
  <si>
    <t>نیک‌اندیش نیست اهریمن / شاهدم روی دوش ضحاک است #سارا_هوشمندی</t>
  </si>
  <si>
    <t>قطب وسط</t>
  </si>
  <si>
    <t>پوشک رو احتکار کردن تا کاری که #روحانی میکنه بهتر دیده بشه</t>
  </si>
  <si>
    <t>روفائیل</t>
  </si>
  <si>
    <t>Accounting and Billing System Analyst and Consultant👨‍💼Man of principles👨‍⚖, Adventurer👨‍🚀worked and lived in 3 continents since I was 12 year old.</t>
  </si>
  <si>
    <t>گلاب به روتون، من میرم دستشویی بر میگردم دلار قیمتش عوض شده #دلار #اقتصاد #روحانی</t>
  </si>
  <si>
    <t>مهاجر</t>
  </si>
  <si>
    <t>کلا دو تا قانون از خدا وجود داره : 1- هیچکس به دادتون نمیرسه 2- به قانون اول توجه کنید</t>
  </si>
  <si>
    <t>مصاحبه #کیروش و #عادل_فردوسی_پور منو یاد مناظرات میندازه که #جهانگیری و #روحانی رقیب بودن!!!!</t>
  </si>
  <si>
    <t>اسکافیلد</t>
  </si>
  <si>
    <t>http://www.instagram.com/marjan_tohidi/</t>
  </si>
  <si>
    <t>‏‏‏‏Journalist at ‎‎‎‎@SharghDaily - روزنامه نگار - روزنامه شرق در این صفحه نظرات شخصی خودم را می نویسم</t>
  </si>
  <si>
    <t>یکی از عادت های نمایندگی مجلس فریاد زدنه.برن پشت تریبون و شعار بدن اونم با فریاد.حالاکه بازارشونم داغه و به جای طرح و قانون نویسی برای اصلاح چیزی که بهش نقد دارن,یا تو #توییتر ولو هستن یا جلسات تئاترگونه #استیضاح راه میندازن و فرصت مناسبی برای دلبری از مردم دارن #مجلس_دهم</t>
  </si>
  <si>
    <t>Marjan Tohidi</t>
  </si>
  <si>
    <t>نمایندگان #مجلس دو فوریت طرحی را به تصویب رساندند که به موجب آن، #دولت موظف به تامین کالاهای اساسی جامعه و توزیع آنها از طریق تعاونی های مصرف خواهد شد. دوباره کوپنی شدیم رفت!! #به_عقب_برنمیگردیم</t>
  </si>
  <si>
    <t>http://instagram.com/mohsenahmadi.photo</t>
  </si>
  <si>
    <t>‏‏عکاس و گاها فیلمساز یکم هم مهندس شبکه و اینا... من اعتقادی دارم که به اون راسخم ولی دلیل به بی احترامی به تو نیست.. از تو هم همین رو انتظار یکم بسیجی و عاشق</t>
  </si>
  <si>
    <t>خیلی دلم می خواد با کسایی که سال پیش به #روحانی رای دادن دعوا کنم! ولی الان اونایی شون که می دونم با فکر رای دادن رو مقصر نمیدونم چون خب علم غیب نداشتن که،درسته ما می گفتیم یه چیزایی، ولی جو اون موقع نمی ذاشت گوش کنند! ولی رفیقا، بخدا مدیریت لیبرالی که از هاشمی شروع شد، همینه!</t>
  </si>
  <si>
    <t>Mohsen Ahmadi</t>
  </si>
  <si>
    <t>http://wp.kntu.ac.ir/haniftayarani</t>
  </si>
  <si>
    <t>EE@KNTU</t>
  </si>
  <si>
    <t>https://pbs.twimg.com/media/DmMVbQXWwAA3VNC.jpg</t>
  </si>
  <si>
    <t>مردی ۷۰ ساله دارای آلزایمر در عمل به آنچه وعده داده بود بدون پوشک بزرگسال، مدتی است رای مردم را برداشته و تریبون پاسخگویی را ترک کرده و در عرصه سیاست ، اقتصاد و فرهنگ سرگردان است! از یابنده تقاضا می‌شود فقط رای های ما را بازگرداند #روحانی</t>
  </si>
  <si>
    <t>Hanif Tayarani</t>
  </si>
  <si>
    <t>‏‏‏‏‏‏‏‏‏‏‏‏‏‏‏‏‏‏‏‏‏‏ حق کدوم وَره؟ من همون وَرم</t>
  </si>
  <si>
    <t>https://pbs.twimg.com/media/DmMVvskWwAAuDTA.jpg</t>
  </si>
  <si>
    <t>ننگ آمیز ترین تیتر قرن پیروزی قالیباف یا رئیسی قیمت دلار رو به کجا می‌برد ؟ #روحانی #دلار۱۳۰۰۰تومنی</t>
  </si>
  <si>
    <t>رئیس جمهور بـ👁️ـاخ</t>
  </si>
  <si>
    <t>چی میشد وقتی #داعش به #مجلس حمله کرد میرفتن تو در رو از پشت قفل میکردیم...😂😂😂😂 #شفافیت_آراء_مجلس</t>
  </si>
  <si>
    <t>‏‏‏‏‏‏‏‏‏‏‏‏الهه هدر دادن زمان،نادیده گرفتن فرصت ها ،فرار کردن از مسئولیت ها و تلاش نکردن برای هدف ها هستم,کورد https://telegram.me/harfbzanbot?start=GbMm05l</t>
  </si>
  <si>
    <t>نشونی ماهَمونْ خَنده های مُردس</t>
  </si>
  <si>
    <t>جنسی که تا هفته پیش 2700بوده الان شده 3200 ,#روحانی و #ميرحسين و مابقی دارو دسته تون آینده چه شکلیه؟؟؟</t>
  </si>
  <si>
    <t>کچه چکۆله</t>
  </si>
  <si>
    <t>سوال من اینست که دقیقا چه اتفاقی باید بیفتد که بفهمیم با وجود دولت #روحاني روز به روز به سقوط و افول کامل نزدیکتر می شویم. با رفتن این دولت حداقل کورسوی امیدی روشن خواهد شد. #روحانی_استعفا</t>
  </si>
  <si>
    <t>https://twitter.com/pooskan/status/1036568320588242944
https://twitter.com/khabaronlinee/status/1036520410077192194</t>
  </si>
  <si>
    <t>همانطور که جنایات و ندانم کاریهای #خمینی، #خامنه_ای، #رفسنجانی و ...را هم در طول این چهل سال نکبت به بار آمده توسط #فرقه_تبهکار در محدوده جنایات و اشتباهات #احمدی_نژاد، #روحانی، #ظريف و ... متمرکز و کوچک میکنند و به بحث میگذارند: RT @pooskan: چهل ساله تورم رو میندازن گردن احتکار (کمدی) و یه عده از مردم هم باور میکنن (تراژدی) #احتکار_معلول_است_نه_علت</t>
  </si>
  <si>
    <t>Dariush Javid</t>
  </si>
  <si>
    <t>به نظر اگر خاتمى با اولين انحراف روحانى از وعده هاى انتخاباتيش موضع محكمى ميگرفت كار به اينجا نميكشيد . چك سفيد امضاء اصلاح طلبان در فرو رفتن هر چه بيشتر روحانى درون اين باتلاق بي تاثير نيست . #خاتمی #اصلاح‌طلبان #روحانى</t>
  </si>
  <si>
    <t>hamid safaei</t>
  </si>
  <si>
    <t>http://www.pounezar.ir</t>
  </si>
  <si>
    <t>‏خبرنویس</t>
  </si>
  <si>
    <t>FereydounShahr</t>
  </si>
  <si>
    <t>https://pbs.twimg.com/media/DmMXtylVsAA6HQu.jpg</t>
  </si>
  <si>
    <t>باورتان میشه #روحانی و #دولت_اصلاح_طلبان سطح دغدغه مردم ایران را از انرژی هسته ای و موشک دوربرد به #پوشک و کنسرت و ورزشگاه رفتن زنان تقلیل داده؟ چه کرد با ما #تکرار #خاتمی</t>
  </si>
  <si>
    <t>احسان جدیدی</t>
  </si>
  <si>
    <t>http://facebook.com/alireza.alipour.319</t>
  </si>
  <si>
    <t>آري به اتفاق جهان را مي توان گرفت</t>
  </si>
  <si>
    <t>Shiraz,IRAN</t>
  </si>
  <si>
    <t>#روحانی باید چنان زمین بخوره که دیگر کسی هوس نکنه با #وعده_دروغ ، راهنمای "چپ" بزنه و به "راست" بپیچه #رفع_حصر</t>
  </si>
  <si>
    <t>Alireza Alipour</t>
  </si>
  <si>
    <t>Iranian. Reading your tweets to learn more about the world.</t>
  </si>
  <si>
    <t>صحیح! پس دلار به ۱۳۰۰۰ تومن هم رسید؟ حالا اگه طرفداران #روحانی در تویتر بگن: آخه شما اصلا می دونید روحانی دلار رو چند تحویل گرفت و چند تحویل داد؟ در جواب میگم : سوال خوبیه! #انتخوابات</t>
  </si>
  <si>
    <t>Steinway</t>
  </si>
  <si>
    <t>‏‏‏‏‏‏‏‏‏‏‏‏‏‏‏‏‏‏‏‏‏‏‏‏‏‏‏اهل اراک، پایتخت صنعت کشور|‏‏‏‏‏‏‏‏‏‏‏‏‏ شیمیست|اندکی مداح| طنز و نقدنویس|فعال رسانه‌ای|‎‎‎‎‎‎‎‎‎‎‎‎‎‎‎‎‎‎‎‎‎ #جهاد_ادامه_دارد...</t>
  </si>
  <si>
    <t>هرکی از گرونی و تورم و خودرو و #پوشک گلایه کرد ازش بپرسید به کی رأی داده؟ اگه گفت #روحانی بگید نوش جونت اگه گفت رأی ندادم بازم بگید نوش جونت در غیر از موارد فوق بگید صبر کنه و دعا [چیزی که اذیتم میکنه اینه دقیقا اون آدمهایی طلبکارن که یا به روحانی رأی دادن یا کلا رأی ندادن]</t>
  </si>
  <si>
    <t>|رضـا بُداغی|</t>
  </si>
  <si>
    <t>اگر گوش اختلاس گر و دزدان و آقازاده هاي مفت خور كه روزي خود را از جيب منافع عمومي و نفت در مي آورند،را بريده بوديم، الان گوش كودك زباله گردي كه دنبال روزي تو اون كثيفي است را نمي بريدند. #فساد #اقتصاد #گراني #روحاني #اصلاح_اصلاحات #شهرداری_تهران</t>
  </si>
  <si>
    <t>معلمی که باید امید و آرزو رو به بقیه آموزش بده اما خودش هر شب باید بشینه سر قبر آرزو هاش</t>
  </si>
  <si>
    <t>مدرسه</t>
  </si>
  <si>
    <t>#کیروش مربی همون کشوریه که #روحاني رئیس جمهورشه! #نود</t>
  </si>
  <si>
    <t>4li</t>
  </si>
  <si>
    <t>کاش کمی مهربان تر بودیم ...</t>
  </si>
  <si>
    <t>باورم نمیشه چن وقت پیش #رئیس_جمهور و بخاطر #دلار 5800 فش کش کردیم الان شده 13000 چیکارش کنیم .؟!!؟</t>
  </si>
  <si>
    <t>Shari</t>
  </si>
  <si>
    <t>#دلار شد۱۳۰۰۰تومان.گرانی بر سرجای خود باقی است.کشف احتکاروپلمپ انبار اخبار روزانه است و آنچه که همچنان زنده است ناامیدی است وناامیدی و ناامیدی.راهکار زیاد است،اگر بتوان میان حلقه ها گذشت وصدایت را به آقای #روحانی رساندواگر به جای #چرخش زبان ،اراده مدیران تکان بخورد.</t>
  </si>
  <si>
    <t>Mojtabakhoramabadi6369</t>
  </si>
  <si>
    <t>‏‏‏‏‏‏‏‏‏«دختری ازتبارنجف» پروایی برای بیان فکروعقیده ام ندارم ، یه ادبیاتی که عشق شعر داره اما عاشق نیست.</t>
  </si>
  <si>
    <t>https://pbs.twimg.com/media/DmMbAIdXcAAY4W0.jpg</t>
  </si>
  <si>
    <t>#روحانی !! به کجا داری میبری ما رو با این دولت بی تدبیر و وزرای نون به نرخ خورت!! #ارباب_بنفش اینقد ..... که جلوی گرونی یه #پوشک رو نمیتونه بگیره دیگه تحریم و ترامپ و دلار و سکه که جای خود ....!!</t>
  </si>
  <si>
    <t>Bentolnajaf</t>
  </si>
  <si>
    <t>نیست نشان زندگی تا نرسد نشان تو.... ----------------------------------------------- آیدی تلگرام: @ebrani</t>
  </si>
  <si>
    <t>قدیما با پول میزدن دهن طرف مقابل الان با #پوشک تا این اعتدالی ها و اصلاح طلبا خواستن از مدیریت و تعامل و انتقاد از دوران #احمدي_نژاد حرفی بزنن با #پوشک بزنید دهنشون. #دولت_واداده #روحانی #اعتدال #برجام_پوشکی</t>
  </si>
  <si>
    <t>Naser Shabani</t>
  </si>
  <si>
    <t>حالا نوار بهداشتی هم دیگ گیر نمیاد چجوری میخوای برقصی تو ستادش ؟ #پوشک #شفافیت_آراء_مجلس #روحانی</t>
  </si>
  <si>
    <t>تا امروز #خودروسازها حتی خودروهای پیش فروش کردشون رو هم حاضرنبودن تحویل بدن، اما امروز یهو تصمیم گرفتن 100هزار خودرو بفروشن، اگر فکر کنیم که #وزیر میخواد با این روش از #استیضاح مجلس در امان بمونه؛ به نظرتون فکر اشتباهیه؟</t>
  </si>
  <si>
    <t>#دلار خدا تومن و #پوشک و #دارو و ... کار دشمنه قبول. ممنوعیت از تحصیل دانشجویان رو چی میگید آقای #روحانی ؟ #ضیا_نبوی #دانشجویان‌ستاره‌دار</t>
  </si>
  <si>
    <t>arghavan_karen</t>
  </si>
  <si>
    <t>آقای #روحانی دست درد نکنه همه ی ما آرزو داشتیم یه روز سوار ماشینای 50_60 میلیونی بشیم به لطف شما امروز به آرزومون رسیدیم. #روحانی مرسی هستی.</t>
  </si>
  <si>
    <t>دولت تا کی می خواهد این راه بی سرانجام را ادمه دهد؟ حتما می پرسید کدوم راه؟ خیانت #روحانی #پوشک</t>
  </si>
  <si>
    <t>قرار نیست هرکسی شد رییس جمهور حتما ۸سال راس کار باشه . پس قانون اساسی چیکارست؟ #روحانی #پوشک</t>
  </si>
  <si>
    <t>گره کار فقط توی #محرم باز میشه اون ۲۴ ملیون برن توبه کنند که امید به لطف شیطان داشتند ، مسرور از قدم زدن با شیطان بودن، شیطان رو ولی نعمت گره گشا دونستن ، خیال کردن با شیطان دست بدن هم نون دارن هم آب. #روحانی #ظریف #دری_اصفهانی #دلار #دلار۱۲۰۰۰تومنی #دلار۱۳۰۰۰تومانی</t>
  </si>
  <si>
    <t>‏‏‏‏‏‏‏‏‏‏‏‏هرکجا که وطنم وانسانیت نیاز داشته باشه هستم.کارگر،دکتر،سرباز،سردار. اونی میشم ک وطنم نیاز داره.لازم باشه کلنگ میزنیم لازم باشه قلم میزنیم لازم باشه</t>
  </si>
  <si>
    <t>I.r.Iran</t>
  </si>
  <si>
    <t>قبل از دولت #روحانی دغدغه مون فرستادن ماهواره به فضاورسیدن به سوخت 20% وساخت موشک نقطه زن بود.روحانی اومد با #برجام مشکلاتمونو حل کنه امانه تنها اون مشکلات حل نشد بلکه الان دغدغه مون شده قیمت پوشک و رب و تخم مرغ.آقای روحانی صنعت هسته ای روبابت حل کدوم مشکل بتن ریختید؟ #نفوذ</t>
  </si>
  <si>
    <t>danial.</t>
  </si>
  <si>
    <t>من قبلا فکر میکردم #کیروش شبیه #احمدی_نژاد یا #روحانی یا حتی #اصلاح‌طلبان ولی امشب متوجه شدم دقیقا خود رهبر چون تمام مشکلات امروز فوتبال تقصیر #دژمن #نود</t>
  </si>
  <si>
    <t>ReZa 🏆</t>
  </si>
  <si>
    <t>اگر امام و یاران شهیدش و نمایندگان ملت میخواستند ریاست جمهوری به هردلیلی ۸ساله باشد چرا در قانون اساسی بحث استیضاح و عدم کفایت مطرح کردند؟ #روحانی</t>
  </si>
  <si>
    <t>اسکارهوش روهم بدین به اون عزیزی که "فروش یکجای۳۰۰راس گوسفندزنده"زوتوروزنامه ی همشهری کردو تهش شماره ی #مجلس روداد!🤣🤣 #شفافیت_آراء_مجلس #شفافیت_آراء_نمایندگان</t>
  </si>
  <si>
    <t>آیا مجلسیان محترم که اسم خودتون گذاشتید نماینده مردم فکر نمیکنید وقت خداحافظی با دولت فرا رسیده؟ #روحانی #لاریجانی</t>
  </si>
  <si>
    <t>#روحانی یادت باشه داری چه مسخره بازی ای درمیاری ها انتر #دلار #سکه #پوشک #خاک_بر_سر</t>
  </si>
  <si>
    <t>bidelparwaz</t>
  </si>
  <si>
    <t>اغای #باهنر الان هم کشور را دو‌ #مجلس اداره میکندمجلس منطقه ای که یک مشت بیشعور درش هستند و یکی هم مجلس بزرگان یا #خبرگان که شما ان را #سنا تصور کن. منتهی حرفتان از باب دلسوزی وطن نبود بل خود را بزرگ فرض میکنی و دنبال شغل برای خود هستی! خدا رحمت کند #محمدجواد را او کجا تو کجا</t>
  </si>
  <si>
    <t>News Leaders Government politics technology media</t>
  </si>
  <si>
    <t>pic.twitter.com/0YsBz34ttr</t>
  </si>
  <si>
    <t>هفته ی گذشته برای بار شاید هزارم، آقا در دیدار دولت توجه به #تولیدکننده_توانمند_داخلی و #دانشگاه را توصیه کردند؛ باز مدیر وقیح #سایپا حرف از ناتوانی در تولیدداخل قطعه #پراید میزند! #نماینده عزیز مجلس! لطفا به جای #حرف زدن، #مدیرناتوان داخلی را از صندلی اش پایین بکش!</t>
  </si>
  <si>
    <t>#اللّهم_عجل_لولیک_الفرج/ #انقلابی_ام/</t>
  </si>
  <si>
    <t>مذاکرات دولت #روحانی به جایی رسید که باید #موشک بدیم تا #پوشک بدن!!!! وا اسفا...</t>
  </si>
  <si>
    <t>milad.j</t>
  </si>
  <si>
    <t>آن روشنفکر سوم منم</t>
  </si>
  <si>
    <t>قراره خاطراتی هم بنویسم از نویسنده‌ها، هنرمندا، مسئولین، و حتی شخص #رییس_جمهور و وزیر. خاطرات شخصی. (اگه دقت کرده باشین ورزشکارا تو لیستم نیستن. چون زیاد خوشم نمی‌آد از ورزش حرفه‌ای. حالا متوجه شدین یک #روشنفکر واقعی هستم؟)</t>
  </si>
  <si>
    <t>روشنفکر سوم</t>
  </si>
  <si>
    <t>فالو=بک، روابط فقط با احترام متقابل</t>
  </si>
  <si>
    <t>جواباي #كيروش به سوالات عادل #فردوسي_پور توي #برنامه٩٠ ، شبيه جوابهاي #روحاني هست و هيچ ربطي به سوال نداره!</t>
  </si>
  <si>
    <t>فربد فوتبالی</t>
  </si>
  <si>
    <t>https://pbs.twimg.com/media/DmMjH7RUcAANHNh.jpg</t>
  </si>
  <si>
    <t>#کیروش : مثل بعضیا نیستم که داداشم یا پسرمو بیارم سر کار(کنایه به برانکو) میتوانستم کسانیکه بالای 100بازی ملی دارند بیارم تیم ملی؛ولی ریسک کردم و به جوان ها اعتماد کردم نمیدونم چرا یاد #روحانی و سایر دولتمردان افتادم</t>
  </si>
  <si>
    <t>داشتم منشن های مربوط به توییت های #رئیس_جمهور را می خواندم ، الحق که ملت ارادت خاصی نسبت به ایشان دارند. #دلار۱۳۰۰۰تومانی #پوشک_بچه</t>
  </si>
  <si>
    <t>فعال اقتصادی، روانشناسی ،عاشق طبیعت و موسیقی</t>
  </si>
  <si>
    <t>زمانی نه چندان دور دغدغه کشور صنعت #هسته_ای ، #موشک،#نانو و... بود الان به #پوشک_بچه و #شیرخشک رسیده ایم جناب #روحانی با این کشور چه کردید؟ با چه آب و صابونی این گندی که شما و همفکران و جیره خواران و طرفدارانتون به این کشور زدید رو بشوییم؟</t>
  </si>
  <si>
    <t>Ali Mousavi</t>
  </si>
  <si>
    <t>اول می خواستن #موشک ما رو بگیرن حالا رفتن سراغ #پوشک! قیمت #دلار و #سکه هم که همین طور داره می ره بالا! یه نفر بگه #دولت و #مجلس دقیقا دارن چی کار می کنن؟</t>
  </si>
  <si>
    <t>pedram</t>
  </si>
  <si>
    <t>‏‏‏‏‏‏‏‏•‏‏‏ مسافر ناکجا آباد حیات در برهوت آگاهی • هیچ چیز، آن گونه که به نظر می رسد، نیست! • مسئله: «مَن» کیست؟ • و از این ورطه گذر باید کرد؛</t>
  </si>
  <si>
    <t>⁦🇮🇷⁩ جمهوری اسلامی ایران</t>
  </si>
  <si>
    <t>https://twitter.com/Tahlilgaran/status/1036685929124126720</t>
  </si>
  <si>
    <t>آقای @Rouhani_ir چه کردی که بجای موشک، دارن از پوشک می ترسوننمون؟! زمانی تهدید به حمله اتمی می شدیم و تشکیل ائتلاف جهانی برای حمله نظامی، حالا ... #روحانی #دلار۱۳۰۰۰تومانی #پوشک RT @Tahlilgaran: کاربران از هجوم مردم به فروشگاه های بزرگ برای تهیه نوار بهداشتی و پوشک خبر می‌دهند. فروشگاه ها به هر نفر به تعداد محدود نوار بهداشتی می‌فروشند</t>
  </si>
  <si>
    <t>رقصنده با گرگ!</t>
  </si>
  <si>
    <t>چه داستان آشنایی.... #عادل_فردوسی_پور = #رضا_رشیدپور #کیروش = #روحاني</t>
  </si>
  <si>
    <t>https://pbs.twimg.com/media/DmMke8GX4AU9eDQ.jpg</t>
  </si>
  <si>
    <t>روزنامه #وطن_امروز ،۱۳‌ شهریور‌۹۷  #دلار #مجلس #شورای_شهر_تهران</t>
  </si>
  <si>
    <t>انا ایرانی من الاهواز، معارض لنظام الملالي المجرم، وانا ناشط في مجال حقوق الإنسان واللاجئی في الدول الأجنبية لتحرير بلدي ایران من النظام الملالي المجرم 🌹</t>
  </si>
  <si>
    <t>https://pbs.twimg.com/media/DmMkfU7XoAI15-D.jpg</t>
  </si>
  <si>
    <t>https://article.mojahedin.org/i/%D8%A8%D8%A7%D8%B2%D8%AA%D8%A7%D8%A8-%D8%A8%D8%AD%D8%B1%D8%A7%D9%86%D9%87%D8%A7-%D9%85%D8%AC%D9%84%D8%B3</t>
  </si>
  <si>
    <t>نظامی که ظرفیت استیضاح قانونی هم ندارد! دیروز #مجلس ارتجاع به #ظريف رأی اعتماد داد.استیضاح وزیر آموزش و پرورش را هم پس گرفتند، به‌نظر می‌رسد سران نظام متوجه شدند ممکن است این کار، خطر بیشتری برایشان داشته باشد.نظامی که نه راه پس داردونه راه پیش😂 #ایران</t>
  </si>
  <si>
    <t>fateme44gh</t>
  </si>
  <si>
    <t>#ThinkTank, #Advisor, MSc. Eng. #Mechatronics: #Robotics and Mechatronics Systems Design. IAUSTB BSc. Eng., #Computer HW IAU. Amateur #DronePilot</t>
  </si>
  <si>
    <t>#روحانی هم عرزشی شده، بهش امید نداشته باشید. خائن در امانت ملت RT @ZiaNabavi1: فکر کنم یک بار دیگه مثل ده سال پیش #ستاره‌دار شدم. باز همون داستان نقص پرونده! فردا میرم سازمان سنجش تا ببینم چه میشه کرد. مسئولین دولتی و نمایندگان مجلس! قرار بود ستاره‌دار نداشته باشیم.. @Rouhani_ir @mah_sadeghi @mowlaverdi @saeidiftm @TayebehSiavash @P_Salahshouri @Ghheidari</t>
  </si>
  <si>
    <t>⊻:/dev/null/‌PJ</t>
  </si>
  <si>
    <t>در داستان ستاره‌دار شدن مجدد دانشجویان به سلامتی دولت تدبیر و امید و شخص #روحانی مسئولیت دارد یا همچنان دست روحانی نیست؟</t>
  </si>
  <si>
    <t>یعنی خااک عالم تو سرت #روحانی 😂 سطح توییت سیاسی این مملکت رو آوردی در حد #نوار_بهداشتی یعنی بعدش چی می‌تونه باشه؟ #پوشک #دلار #دلار۱۲۰۰۰تومنی #دلار۱۳۰۰۰تومنی #روحانی_مچکریم</t>
  </si>
  <si>
    <t>وقتی #روحانی بابت وعده هایی که داده کسی یقشو نمیگیره انصافه یه پدر با همه #گرانی ها برای تک تک وعده هاش شرمنده خانوادش بشه؟!!! - جای قانونی برای پیگیری وعده های مسئولین خالیست!!!!</t>
  </si>
  <si>
    <t>امیری مولاء و نعم الامیر</t>
  </si>
  <si>
    <t>میگن تو زمان #احمدی_نژاد گفتن تحریم نفتی شدیم اما بعد از چندروز در تولید بنزین خودکفا شدیم اماوقتی به #روحاني میگن خبر از تحریم هست #پوشک_بچه کمبود پیدا میشه واقعا چرا؟ از اینا بگذریم ولی بازم #دلار شده۱۴۰۰۰ تومن چرا؟ واقعا #مسئولین نمیخان از خواب بیدار بشن؟ #روحانی_مچکریم</t>
  </si>
  <si>
    <t>a.jafari76</t>
  </si>
  <si>
    <t>#کیروش : به علت قوی بودن تیم ها در جام جهانی؛استراتژی من با جام ملت ها فرق دارد یکی هم هست که استراتژی تیم و مردان کابینه؛در زمان مذاکره؛زمان اجرای #برجام و زمان پسا برجام و بعد خروج آمریکا از برجام فرقی نداره #روحانی</t>
  </si>
  <si>
    <t>یه بابایی می گفت که: کاری میکنم که هم #سانتریفیوژها بچرخد و هم چرخ زندگی مردم!!! اما تا حالا از پس #پوشک بچه های مردم هم بَر نیومده!! #پوشک #روحانی #تا_۱۴۰۰_بدون _پوشک</t>
  </si>
  <si>
    <t>http://t.co/mforooghii</t>
  </si>
  <si>
    <t>‏گرگ ها خوب بدانند در این ایل غریب ، گر پدر مرد تفنگ پدری هست هنوز</t>
  </si>
  <si>
    <t>من نمیگم #مشایی رو بازخواست نکنید ولی خداییش #مشایی و توله اکبر هاشمی و #روحانی رو یجور محاکمه کنید. ایران گیت شاهکار کی بود؟ کی با جاسوس های اسرائیلی مذاکرات مستقیم داشت که عباسی بخاطرش دادگاهی و تبرئه شد؟ شما عادلانه همشون رو قضاوت کن چوب نیمسوخته بیار خودم همشون رو میدوزم.</t>
  </si>
  <si>
    <t>محمد فروغی</t>
  </si>
  <si>
    <t>‏اللهم عجل لوليك الفرج</t>
  </si>
  <si>
    <t>پس گرفتن #استیضاح از #وزیر #آموزش_و_پرورش در یک قدمی اونم بعد از تعریف #رهبر_انقلاب از طرح سوال، نشونه چی میتونه باشه؟!!!!. اوف بر #مجلس...</t>
  </si>
  <si>
    <t>ali yazdani</t>
  </si>
  <si>
    <t>زمان بازرگان به ما برچسب چریک زدند زمان بنی صدرمنافق حالا برچسب تندروی وتحجر حاشاکه بچه بسیجی...✌✌✌</t>
  </si>
  <si>
    <t>https://pbs.twimg.com/media/DmMprG3XoAIjJk0.jpg</t>
  </si>
  <si>
    <t>ای کسانی که رای داده و نداده اید عمرا اگه بتونید بخورید و بیاشامید چه برسه اسراف کنید😱😱 سوره مبارک #روحانی ، آیه 1397 تا آخر😇 #دولت_امید😂 مخصوصا جوانان دم بخت</t>
  </si>
  <si>
    <t>فاطمه صدیقی . 94</t>
  </si>
  <si>
    <t>https://pbs.twimg.com/media/DmMsacXW4AA4lBp.jpg</t>
  </si>
  <si>
    <t>اخبار ضد و نقیضی از دخالت دولتمردان و حلقه نیاوران در جریان افزایش نرخ ارز به گوش میرسد.طبق اخبار درز کرده احتمالا دلار طی روزهای آتی از مرز ۱۵۰۰۰ هم فراتر خواهد رفت. اما از شنبه پس از فروش بخشی از دلار حلقه نیاوران شاهد ریزش شدید نرخ دلار تا کانال ۱۰۰۰۰ خواهیم بود. #دلار #روحانی</t>
  </si>
  <si>
    <t>الاناست که #روحانی بیاد بگه: هم چرخ #موشک باید بچرخه هم چرخ #پوشک!</t>
  </si>
  <si>
    <t>Born on 1990, master of international law and Stock trader.</t>
  </si>
  <si>
    <t>#روحانی در حال تبلیغ گسترده، مفت، تاثیر گذار و سرنوشت ساز برای جریان مخالف دولت خود است.</t>
  </si>
  <si>
    <t>مُـصْـطَـفٰی</t>
  </si>
  <si>
    <t>http://peyman.apps-1and1.net/</t>
  </si>
  <si>
    <t>توطئه گران #اصلاح‌طلب بعد از جلسه #استیضاح #روحاني میخوان تیر آخرشون رو بزنن یعنی همونی که #تاجزاده بیست سال پیش گفت رو در قالب انداختن مشکلات گردن رهبری براه بیندازن. اما اینبار هم این کفتارهای ترسو خفیف تر خواهند شد</t>
  </si>
  <si>
    <t>Peyman mlm</t>
  </si>
  <si>
    <t>#علی_پورهشتلی نام یک داوطلب کنکور ارشد است که او هم #ستاره‌دار شده است. عملکرد #روحانی با شعارهایش نمی‌خواند. همچنان مسئول گزینش دانشجویان همان فردی است که در دوران #احمدی‌نژاد دانشجویان را قلع و قمع می‌کرد.</t>
  </si>
  <si>
    <t>بیا تا جهان را به بَد نَسپُریم...</t>
  </si>
  <si>
    <t>حرفای امشب #کیروش نشون میده تو جامعه ایران تنها راه نگه داشتن صندلی اینه که تو چشم مردم نگاه کنی و دروغ بگی. نمونه های داخلیش مثل #روحانی یا #احمدی‌نژاد زیاده ولی وقتی این رفتار رو از یه خارجی میبینی یعنی دروغ گویی تنها راه دووم آوردن توی این کشور شده.</t>
  </si>
  <si>
    <t>بزرگترین دستگاه زِر زَن کشف شده در دنیا ساخت تولید ملی ، تحت لیسانس بریتانیا #روحانی</t>
  </si>
  <si>
    <t>https://twitter.com/t_alidoosti/status/1036719392761905153</t>
  </si>
  <si>
    <t>شما که باید بهای غلطت رو بدی با اون حمایت هایی که از #روحانی کردید RT @t_alidoosti: گفتم بهم می‌گن ماله‌کش هنربند سلبر..ی. گفتم چیزای دیگه هم میگن بهم به خاطر انتخابات و این حرف‌ها، که من روم نمیشه بگم. در نتیجه من فرزند هیچکس نیستم جز پدرمادرم.دنبال عقیده‌ی خودم می‌رم و وقتم رو تلف القابی که شما یا ایشان به من بدید نمیکنم.همینجا هم هستم تا بهای درست و غلطشو بدم</t>
  </si>
  <si>
    <t>هرچی دلار میکشه بالا شرف یه عده هم متناسباً می‌کشه پایین #دلار #روحانی #تا١٤٠٠باروحانی</t>
  </si>
  <si>
    <t>‏‏‏‏‏‏‏‏‏‏‏‏‏‏‏‏‏‏‏‏‏‏‏‏‏‏🙋‍♀️یه آدم معمولی ... [متعهد]</t>
  </si>
  <si>
    <t>معلوم نیست #روحانی داره جواب ملتو میده یا به مالک اشتر نامه مینویسه :| حکومت باید اینگونه باشد دولت باید آنگونه باشد خودت باید چگونه باشی بزرگوار؟؟؟</t>
  </si>
  <si>
    <t>نسل انقلاب🇮🇷[</t>
  </si>
  <si>
    <t>رئیس کمیسیون اقتصادی #مجلس فرمودن از سال ۹٦ تا به امروز ۱٦ هزار میلیارد تومان #فرار_مالیاتی شناسایی شده است. جناب رئيس ميشه بفرماييد با اين ماليات هاى از خدا بيخبر كه داشتن فرار ميكردن چه كردين!؟</t>
  </si>
  <si>
    <t>‏‏‏‏‏‏‏من آن نيم كه دل از مهر دوست بردارم.../ کارشناسی ارشد مدیریت بازرگانی/</t>
  </si>
  <si>
    <t>شانس ما! حالا ما داریم بابا میشیم #روحانی به پوشک بچه هم رحم نکرد! فک کنم فهمیده من هیچ وقت بهش رای ندادم داره تلافی میکنه... #پوشک_بچه</t>
  </si>
  <si>
    <t>Meysam firuzmand</t>
  </si>
  <si>
    <t>مرعشی: #هاشمی هم اگر بود، حریف برخی کارهای #روحانی نمی‌شد. حاجى كه جا خود داره،والا فقط #استخر_فرح ميتونه حريف حسن آقا بشه.</t>
  </si>
  <si>
    <t>ما اگه می‌دونستیم چنین ترکیب عالی و کاملی از #دروغگویی، #پررویی، #سفسطه_گری، #خود_بزرگ_بینی و #ریاکای تو وجود #کیروش هست، عمراً ١۶ سال مملکت رو میدادیم دست #روحانی و #احمدی_نژاد! این که یه تنه همه رو داره، چه کاری بود...</t>
  </si>
  <si>
    <t>کیسه‌پاره</t>
  </si>
  <si>
    <t>‏نیکلای دوم هستم,حکومت را از پدرم الکساندر سوم به ارث بردم,با روح الله خمینی آشنا شدم,انقلابی شدم (انقلابی بودن به معنی نگفتن حقیقت به اسم مصلحت نیست)</t>
  </si>
  <si>
    <t>دلار شده 13هزارتومن,دغدغه اصلی کشوربه جای صنایع موشکی شده صنایع پوشکی!! بخدا ما این نبودیما! یه روزی صنعت هسته ای داشتیم,جزء5کشور دارای صنعت غنی سازی20درصد بودیم... هر روز یه موشک رونمایی میشد آقای روحانی بخاطر خدا ومردم استعفا کن مطمئن باش مردم تحسینت میکنن بخاطر شجاعتت #روحانی</t>
  </si>
  <si>
    <t>Tsar</t>
  </si>
  <si>
    <t>بیچاره بدبخت مفلوک بمیر!</t>
  </si>
  <si>
    <t>Antalya, Türkiye</t>
  </si>
  <si>
    <t>درخواست #آزادی #جاسوسان_محیط_زیست توسط #حامد_بهداد,محاکمه #مشایی بعد از شش سال!,#تجاوز زائران عراقی به زنان مشهد,افشاگری دروغ #خواهران_منصوریان , هیچ کدام آقای #روحانی سبب نمیشه خیانتی که دراقتصاد و سیاست خارجی به مردم دادید رو فراموش کنند مردم #ایران #مذاکرات #شفافیت_آراء_مجلس</t>
  </si>
  <si>
    <t>lawftd</t>
  </si>
  <si>
    <t>lm student of political</t>
  </si>
  <si>
    <t>https://pbs.twimg.com/media/DmNbS3EXoAIqNXo.jpg</t>
  </si>
  <si>
    <t>#کودکان بی تدبیری در #بازار_پوشاک! #روحانی #مشکلات #کودکان #پوشاک</t>
  </si>
  <si>
    <t>ali vahidi</t>
  </si>
  <si>
    <t>۱۲ شهریور ۹٧ | #دلار ۱۲،۴۵۰ تومان و #سکه ۴،۶۰۰،۰۰۰ تومان شد | خبرگزاری ایلنا ۲ بهمن ۹۶ | #روحانی در گفتگوی زنده تلویزیونی: مردم بابت قیمت دلار، خیالشان راحت باشد!!</t>
  </si>
  <si>
    <t>aliparsi</t>
  </si>
  <si>
    <t>منتظِر منتظَر. باید اهل جهاد باشی تا ختم به شهادت بشوی.</t>
  </si>
  <si>
    <t>از آینده و انتخابات 1400 نگرانم. چرا که هواداران دولت و برجام، هنوز اصرار بر اشتباه خودشون دارند و درس عبرت نگرفتند! #روحانی #انتخابات1400</t>
  </si>
  <si>
    <t>Ali Maleki</t>
  </si>
  <si>
    <t>http://instagram.com/mmajid_moradi</t>
  </si>
  <si>
    <t>esfahan, iran</t>
  </si>
  <si>
    <t>https://pbs.twimg.com/media/DmNudEGUwAEPkJg.jpg</t>
  </si>
  <si>
    <t>دقت کردید #سلبریتی ها بجای اینکه به مردم #پاسخگو باشن در برابر انتخاب اشتباه #روحانی شدن #طلبکار چهل سال #انقلاب</t>
  </si>
  <si>
    <t>majidmoradi</t>
  </si>
  <si>
    <t>Everything in the #Universe is connected. I'm trying to figure out their connections💫</t>
  </si>
  <si>
    <t>https://pbs.twimg.com/media/DmNum-cW0AAchkb.jpg</t>
  </si>
  <si>
    <t>توو چهار سال اول هر رئیس جمهور چند میلیارد دلار به تولید ناخالص ملی برابری قدرت خرید (GDP ppp) اضافه کرد؟ : #هاشمی: 175 میلیارد دلار/ در 8 سال: 224 #خاتمی: 106 میلیارد دلار/ در 8 سال: 413 #احمدی_نژاد: 219 میلیارد دلار/ در 8 سال: 306 #روحانی: 344 میلیارد دلار/ ؟</t>
  </si>
  <si>
    <t>غارنشین🐘🐢</t>
  </si>
  <si>
    <t>#خامنه‌ای و #برادران_قاچاقچی #روحاني خسته نشدین فلاکت اقتصادی را میبینین خجالت بکشین ‌</t>
  </si>
  <si>
    <t>امروز میگویند #اقتصاد_ایران به دلیل بحران مدیریت به این وضعیت دچار شده اما... به نظر مدیریت دقیقی به دنبال نارضایتی مردم جهت رسیدن به خواسته های سیاسی خود است مدیریت منفی جهت ایجاد #نافرمانی_مدنی که رئیس دولت اصلاحات نیز به دنبال ایجاد آن بود #روحاني #اعتدال #دروغ</t>
  </si>
  <si>
    <t>https://pbs.twimg.com/media/DmLR6FOWsAAX13M.jpg</t>
  </si>
  <si>
    <t>https://twitter.com/hesamodin1/status/1036621703001133056</t>
  </si>
  <si>
    <t>يك عدد #روحاني هستند در حال چال كردن منتقدان شون 😡 RT @hesamodin1:</t>
  </si>
  <si>
    <t>اقای روحانی بعنوان رییس مملکت خجالت نمی کشید جلوی دوربین به 80 م مردم فلسفه می بافید ...مردم مشکل اقتصادی و تامین زندگی دارند پرت و پلا تحویل ما می دهید؟#روحاني</t>
  </si>
  <si>
    <t>مراغه</t>
  </si>
  <si>
    <t>I am a graduate of Industrial Engineering Plastics I studied in leoben Austria PHD /I can speak Germany</t>
  </si>
  <si>
    <t>حتما شما ودولت تمام تدارکات لازم را برای ابان ماه تحریم نفت و غیره اماده کرده اید و قت داشتید ودارید تصمیمات پخته و سنجیده اتخاذ نماید #روحاني</t>
  </si>
  <si>
    <t>yahya jalali abyaneh</t>
  </si>
  <si>
    <t>http://instagram.com/hoda.seyfii</t>
  </si>
  <si>
    <t xml:space="preserve">‏یک شهریوری مترجم، کارشناس رسانه و کارشناس ارشد علوم ارتباطات، عاشق ایران و رهبرایران❤ </t>
  </si>
  <si>
    <t>Tehran/Iran</t>
  </si>
  <si>
    <t>اونیکه برای آینده ی بچه ات به #روحاني رای دادی ولی الان حتی نمیتونی براش #پوشک‌ بخری؛ #صبح_شما_هم_بخیر</t>
  </si>
  <si>
    <t>hoda seyfii    سیده بنت الهدی سیفی</t>
  </si>
  <si>
    <t>تو #دولت قبل هر وقت #گوجه می‌دیدیم یاد #احمدی‌نژاد و سر کوچه‌‌شان می‌افتادیم، حالا هر وقت #بچه خرابکاری می‌کنه و باید #پوشک عوض کنه یاد #روحانی 😂😂</t>
  </si>
  <si>
    <t>siamaksarmad</t>
  </si>
  <si>
    <t>https://pbs.twimg.com/media/DmLXmz_XsAEhX4W.jpg</t>
  </si>
  <si>
    <t>https://twitter.com/Khamenei_fa/status/1036627946704961536</t>
  </si>
  <si>
    <t>#جوانگرایی در انتصابات جدید #رهبری یادآور دو وعده محقق نشده #روحانی است؛ #کاهش_سن_اعضای_کابینه و #حضور_زنان در دولت.حتی حضور #آذری_جهرمی هم تفکر جوانگرایی در معاونین و مدیران زیر مجموعه اش را هم محقق نکرد و جوانگرایی در دولت روحانی #آرزویی_5ساله شد. RT @Khamenei_fa: جناب حجت‌الاسلام مصطفی رستمی؛ اکنون که پس از یک دوره فعالیت ارزشمند، جناب آقای حجت‌الاسلام محمدیان از ریاست نهاد نمایندگی در دانشگاهها کناره گیری کرده‌اند،ضمن تشکر از تلاش دلسوزانه ایشان،جنابعالی را که از فضلای جوان و آشنا با محیط دانشگاه میباشید، به ریاست نهاد مزبور منصوب میکنم.</t>
  </si>
  <si>
    <t>http://icana.ir</t>
  </si>
  <si>
    <t>‏‏خبرگزاری رسمی #مجلس شورای اسلامی جمهوری اسلامی #ایران</t>
  </si>
  <si>
    <t>مجلس شورای اسلامی</t>
  </si>
  <si>
    <t>https://pbs.twimg.com/media/DmOIyV9U8AA23_y.jpg</t>
  </si>
  <si>
    <t>http://www.icana.ir/Fa/News/401642</t>
  </si>
  <si>
    <t>کمیسیون امنیت ملی بر نظر خود نسبت به لایحه #CFT اصرار دارد رئیس کمیسیون امنیت ملی #مجلس ، گفت: نمایندگان کمیسیون امنیت ملی در خصوص لایحه CFT حق شرط‌هایی را اعلام و بر نظر خود اصرار دارند.</t>
  </si>
  <si>
    <t>خانه ملت</t>
  </si>
  <si>
    <t>مدیرعامل تله‌کابین توچال درباره حضور چند ماه گذشته روحانی در توچال: ایشان بدون هیچگونه تشریفاتی وارد مجموعه شدند / #روحانی قبل از ریاست جمهوری هم از مشتریان توچال بوده‌اند / هیچ‌گونه بازدیدی در برنامه ایشان نبوده است / ایسنا</t>
  </si>
  <si>
    <t>https://pbs.twimg.com/media/DmOKSZ9UcAAhp8C.jpg</t>
  </si>
  <si>
    <t>http://www.icana.ir/Fa/News/401662</t>
  </si>
  <si>
    <t>نجفی خوشرودی، سخنگوی کمیسیون امنیت ملی و سیاست خارجی #مجلس : تحدید حدود دریای #خزر به توافقات میان ۵ کشور در آینده موکول شده است</t>
  </si>
  <si>
    <t>وقتی ماهها تا زمان اجرای تحریمهای #امریکا زمان داریم،چرا تدبیری اندیشیده نمیشه؟ اهمال یا تعمد در هر دو صورت #دولت مقصر است. #روحانی</t>
  </si>
  <si>
    <t>https://twitter.com/hasanasadiz/status/1036663659072811008</t>
  </si>
  <si>
    <t>#اصلاحات فعلن بزرگترین گند تاریخ بشریت دولت #روحانی را جمع کند #دلار بزودی ۱۵۰۰۰ تومان علی برکت الله RT @hasanasadiz: خبر آمده که اولین جلسه #شورایعالی_سیاستگذاری_اصلاحات امروز برگزار شده؛ متاسفانه عقب‌مانده‌تر از جمنا! لااقل فهرست اسامی اعضاء و تعداد آنها را علنی می‌کردید. قبلا در #نامه_صدنفره_به_خاتمی گفته بودیم که #شورای_انتصابی دیگر قابل همراهی نیست... #اصلاح_اصلاحات</t>
  </si>
  <si>
    <t>‏‏رسانه</t>
  </si>
  <si>
    <t>دولتیا طوری سنگ دری نجف‌ابادی رو به سینه میزنن که معلوم نیست از کجا دوباره داره بهشون نفع میرسه که فربه‌تر شن. الله اعلم @hesamodin1 @JZarif #جاسوس #خیانت #انقلاب #نفوذ #هسته_ای #شهدای_هسته_ای #روحاني #دری_نجف_آبادی #پوشک #تفاله_ی_انقلاب #نفوذی</t>
  </si>
  <si>
    <t>🔸️اگر ایران به جز ویران سرا نیست / من این ویرانسرا را دوست دارم 🔸️فعال حوزه میراث فرهنگی و طبیعی 🔸️عضو جمعیت زنان مسلمان نو اندیش منطقه فارس</t>
  </si>
  <si>
    <t>فیلم تبلیغاتی کمپین #روحاني در انتخابات ریاست جمهوری ۹۶: دوست تحریمی من اگر رای بدیم شاید آلمان و سوئیس نشیم، اما اگر رأی ندیم قطعاً ونزوئلا و کره‌ی شمالی می‌شیم! اکثریت رأی دادند و با این وجود #ونزوئلا هم شدیم و امروز #دلار از ۱۳٬۰۰۰ تومن گذشت!</t>
  </si>
  <si>
    <t>Haleh zarepoor</t>
  </si>
  <si>
    <t>https://pbs.twimg.com/media/DmOQtANUcAAhqQY.jpg</t>
  </si>
  <si>
    <t>https://www.ilna.ir/fa/tiny/news-663893</t>
  </si>
  <si>
    <t>هاشمی‌طبا در گفت‌و‌گو با #ایلنا:یک نهاد هم باید #مجلس را استیضاح کند/مردم فکر می‌کنند مجلس دنبال #بازی‌های_سیاسی است</t>
  </si>
  <si>
    <t>#روحاني مردم رو رها کرد و با سودای جانشینی رهبر با لاریجانی های فاسد و بخشی از بدنه سپاه همراه شد و اقتصاد به این روز افتاد، گیرم که بعد از خامنه‌ای بشه رهبر آینده ایران، دیگه مردم رو نخواهد داشت و یه آدمی میشه پفیوز تر و دیکتاتورتر از رهبر فعلی ، کاش همتون یکجا بمیرید‌. #دلار</t>
  </si>
  <si>
    <t>http://www.edrismohammadi.rzb.ir</t>
  </si>
  <si>
    <t>|member of HAMA party| | journalist (at Eradeh Mellat newspaper)| |manager of Gharbdaily news agency| |writer| |translator| |teacher|</t>
  </si>
  <si>
    <t>اینکه برخی از #نمایندگان با طرح #شفافیت_آراء در #مجلس موافق نیستند؛ نشانگر این است که ما یادگاری #دموکراسی را روی بد دیواری نقاشی کرده ایم. جالب تر از همه اینکه برخی ها مانند رئیس کمیسیون امنیت ملی خودشان در #دانشگاه مفهوم دموکراسی را تدریس می کنند!</t>
  </si>
  <si>
    <t>Edris mohammadi</t>
  </si>
  <si>
    <t>یه زمانی دغدغمون #موشک بود ، الان دغدغه مون #پوشک ه دیگه خودتون به عینه ببینین چی به سرمون اومد... #سوال_از_رییس‌جمهور</t>
  </si>
  <si>
    <t>Zonal-Head at @Snapp_Team</t>
  </si>
  <si>
    <t>از ترس #جنگ به #روحانی رای دادیم و دولت محترم در تامین #پوشک درمانده ماند. #روحانی_استعفا @Rouhani_ir @azarijahromi</t>
  </si>
  <si>
    <t>hossein hezarjaribi</t>
  </si>
  <si>
    <t>https://pbs.twimg.com/media/DmOS_GnWsAAH3DU.jpg</t>
  </si>
  <si>
    <t>یک:#خبرگان طی بیانیه ای از #روحاني خواست تا از مردم عذرخواهی کنه دو:اجلاس خبرگان با موضوع پیگیری مطالبات #رهبر_انقلاب درباره وضع اقتصادی کشور برگزار خواهد شد سه:روحانی برای افتتاح چند پروژه به #عسلويه رفت پیدا کنید علت سفر روحانی رو #دلار۱۳۰۰۰تومانی #سکه @Rouhani_ir</t>
  </si>
  <si>
    <t>قصة العشق لا انفصام لها ... فُصِمَت ها هُنا لسانُ القال</t>
  </si>
  <si>
    <t>تصور کنید! در هر لحظه و هر کودکی که در کشور نیاز به تعویض #پوشک داشته باشه، این دولت #روحانی هستش که تحقیر می‌شه ...</t>
  </si>
  <si>
    <t>آسد محسن</t>
  </si>
  <si>
    <t>https://pbs.twimg.com/media/DmOTwPzXoAEmYbo.jpg</t>
  </si>
  <si>
    <t>محمد رضا #زائری: مكالمات مرا #شنود مي كنند و از همه چيزم خبر دارند، پيام هاي شخصي من براي همسرم قبل از اين كه او ببيند دو #تيك مي خورد! #وزارت_اطلاعات #اطلاعات_سپاه #ناجا #حفا #تلگرام #روحانی</t>
  </si>
  <si>
    <t>http://t.me/ghalam_e_tiz</t>
  </si>
  <si>
    <t>‏اندیشه‌ها بواسطه قلم‌ها بروز میکند هرچی اندیشه‌ها بی‌باک تر، قلم‌ها تیز‌ تر و گاهی هم خونین تر...</t>
  </si>
  <si>
    <t>https://pbs.twimg.com/media/DmOVZP6XcAABpRq.jpg</t>
  </si>
  <si>
    <t>من اگه جای #روحانی بودم...! #هویدا_طور 👇</t>
  </si>
  <si>
    <t>قلم تیز</t>
  </si>
  <si>
    <t>سابقاً محصل و حاضراً مشغول در وادى مهندسى شيمى. نگارنده اى بى قلم در باب هر آنچه اولويت است بر كشورم و باورم.</t>
  </si>
  <si>
    <t>لطفا اسم #خانه_ملت رو از روى #مجلس برداريد</t>
  </si>
  <si>
    <t>s@eed</t>
  </si>
  <si>
    <t>http://www.payamema.ir</t>
  </si>
  <si>
    <t>#روزنامه سراسری #پيام_ما به صاحب امتيازى موسسه پيام آوران با اولویت پرداختن به مسائل #محیط_زیست و #میراث_فرهنگی منتشر می‌شود. ریتوییت به معنای تایید نیست.</t>
  </si>
  <si>
    <t>https://pbs.twimg.com/media/DmMk2T-X0AUitJt.jpg</t>
  </si>
  <si>
    <t>در روزهایی که خبرهایی مبنی بر اختلاف بین دو حزب اصلی حامی دولت #روحانی منتشر می‌شود، حسین #مرعشی از اعضای ارشد حزب کارگزاران سازندگی می‌گوید تصمیم‌گیران اصلی در دولت دوازدهم در عرض یک سال ۲۵ میلیون رای را سوزاندند.</t>
  </si>
  <si>
    <t>روزنامه پیام ما</t>
  </si>
  <si>
    <t>‏‏‏‏‏‏‏‏‏همه چی ارومه ما چقدر خوشبختیم We are happy how everything is peaceful instagram: @sina.kt</t>
  </si>
  <si>
    <t>https://pbs.twimg.com/media/DmOaUbiW0AA2qcY.jpg</t>
  </si>
  <si>
    <t>#قانون_اساسی با توجه به دو #اصل_قانون_اساسی هر #قراردادی در مورد #دریای_کاسپین بدون #تصویب #مجلس #غیر_قانونی است. #نجات_دریای_کاسپین "هنوز زمان تغییر و نجات دریای کاسپین امکان دارد" "فقط شما ملت باید بخواهید" "نمایندگان ملت یک بار هم شده منافع ملی و ملت را در نظر بگیرید"</t>
  </si>
  <si>
    <t>🇮🇷سیناSINA🇩🇪</t>
  </si>
  <si>
    <t>‏‏‏👤 یک بنده خدا 📝 دانشجو و علاف رسانه</t>
  </si>
  <si>
    <t>تبریز</t>
  </si>
  <si>
    <t>https://pbs.twimg.com/media/DmOZV7UU8AAfoDO.jpg</t>
  </si>
  <si>
    <t>رتبه 29 نمایندگان #آذربایجان_شرقی در امضای طرح #شفافیت_آرا سر افکنده مون کردید اعزه نسبتا محترم #مجلس #شفافیت #تبریز</t>
  </si>
  <si>
    <t>رامین نظامی خواه</t>
  </si>
  <si>
    <t>دربدر ،‏در جستجوی آزادی https://t.me/farshaddanayecoll کانال تلگرام بنده برای خوندن و اطلاعات روز بد نیست</t>
  </si>
  <si>
    <t>رومانیا farshadbirashk- insta-</t>
  </si>
  <si>
    <t>pic.twitter.com/AKhGzAloLM</t>
  </si>
  <si>
    <t>https://twitter.com/Jedaaal/status/1036667068492472320</t>
  </si>
  <si>
    <t>آقا مزدوره، این اراذل تعلیم دیده همون #قالیباف و ده هزار نفر استخدامی های روزهای اخراج دزد بزرگ از شهرداری هستند، در دولت #روحانی این #آشغال ها با کمترین تخلف اخراج میشن. کاش #مزدور ها #عاقل بودند هرچند این دور در یک مسیر نمی‌گنجند!! RT @Jedaaal: کارگر مظلوم ۱۳ ساله را شهرداری منطقه۳ مثله کرده کسانی میگویند اگر قالیباف شهردار بود از «شرق» تا غرب عربده میزدند و حالا لال شده‌اند میگویم در ریاکاری لیبرالها شکی نیست. اما برای انقلابیها «اصل» باید عصیان علیه این بساط وحشیانه مستضعف_کُشی باشد. فارغ از جناح و قبیله شهردار و مدیر</t>
  </si>
  <si>
    <t>#راننده_تاکسی</t>
  </si>
  <si>
    <t>https://pbs.twimg.com/media/DmOa29kUYAAYrJA.jpg</t>
  </si>
  <si>
    <t>https://www.ilna.ir/fa/tiny/news-663851</t>
  </si>
  <si>
    <t>حضرتی در گفت‌وگو با #ایلنا:اگر هر روز ساز #استیضاح را کوک کنیم، کاری پیش نمی‌رود/ ۲ استیضاح اخیر تا ۶ ماه آینده کافی است</t>
  </si>
  <si>
    <t>یه سوال دارم #تا_۱۴۰۰ چند روزه دیگه مونده؟ 🧐 تقریبا ۱۰۰۰ روزه دیگه 😮 اگه با این وضعیت زنده بمونیم هنوز ۱۰۰۰ روز باید این #دولت و #مسئولین .... تحمل کنیم خدایا این عذاب رو از ملت ایران بردار با #روحانی #تا_1400</t>
  </si>
  <si>
    <t>كسي كه بايد #استيضاح شود رهبريست.</t>
  </si>
  <si>
    <t>ژاكلين بْلانش</t>
  </si>
  <si>
    <t>https://pbs.twimg.com/media/DmOclqgWwAAs1Q8.jpg</t>
  </si>
  <si>
    <t>http://alef.ir/news/3970613032.html</t>
  </si>
  <si>
    <t>#نماینده #مجلس: #مردم را بی اعتماد کرده‌ایم/ مدیر عامل #سایپا: قیمت #بازار را قبول نداریم؛ #پراید ۴۰ میلیون نیست/ ۹۰ هزار خودرو در راه بازار پراید با قیمت 40 میلیون تومانی نادرست است و صحت ندارد و ما ریالی نمی‌توانیم اضافه‌تر بفروشیم 🌐</t>
  </si>
  <si>
    <t>https://pbs.twimg.com/media/DmOc4-UX0AA3IXf.jpg</t>
  </si>
  <si>
    <t>1530 هزارمیلیاردتومان #نقدینگی اگر صاحبان وجوه بخان با سود 18درصد از دارایی شون محافظت کنن 10سال دیگه اوضاع مملکت اینطوری میشه: سال دهم 8هزارهزارمیلیاردتومان و سهم دولت یازدهم و بانک مرکزی در این اشتباه مرگبار خیلی زیاده آقای #روحانی 10سال دیگه دقیقا کجایی؟</t>
  </si>
  <si>
    <t>چیزی که از دوست و آشنا و قدیمی می‌شنویم اینه که دوران جنگ هم این نابسامانی اقتصادی وجود نداشته در واقع مدیریت میرحسین موسوی هم از جناب #روحانی چندین پله جلوتر بوده</t>
  </si>
  <si>
    <t>تنها نکته ی #شفافی که از این #مجلس دیدم، ترس و لرزش دست و صدای نمایندگانی بود، که در روز حمله #داعش، در صحن بهارستان حضور داشتند بعد از آن روز، دیگر هیچگاه ترس را شفاف در صورت و رفتار بعضی آنان ندیدم؛ نه ترس از خدا نه ترس از آخرت و اعمال و نه ترس از مرگ...</t>
  </si>
  <si>
    <t>ای آنکه لابیگریست کارت توپ لیاخوف در انتظارت #شفافیت_آراء_مجلس #لابیجانی #سوال_از_رییس‌جمهور</t>
  </si>
  <si>
    <t>‏بگذريد و بگذاريد مرا</t>
  </si>
  <si>
    <t>ظريف گفته #براندازان توييتر يا بات ن يا فيک صب بيدار شدم مامانم تست کدام تصوير اتوبوس ميباشد ازم گرفت #براندازم #ظريف #روحاني</t>
  </si>
  <si>
    <t>.dehghan</t>
  </si>
  <si>
    <t>https://pbs.twimg.com/media/DmOg2QyXcAEO3iW.jpg</t>
  </si>
  <si>
    <t>آیت الله جنتی: گرفتاری این است که نابسامانی‌ها را به پای #رهبری می گذارند؛ انگار رهبری فعال مایشا در همه امور است و مجلس و دولت بیکاره هستند #ترامپ دنبال شیطنت است؛ می‌خواهد در حاشیه اجلاس سازمان ملل با #روحانی دیدار کند</t>
  </si>
  <si>
    <t>جمع آوری امضاء برای #استیضاح سه وزیر در #مجلس مقصودی:جمعی از نمایندگان طرح استیضاح #سلطانی‌فر وزیر ورزش را تدوین کردند/استیضاح وزیر صنعت نیز از سوی هیئت رئیسه مجلس به کمیسیون صنایع و معادن پارلمان ارجاع داده شده است/بیش از 40 نماینده طرح استیضاح #وزیر_راه_و_شهرسازی راامضاء کردند</t>
  </si>
  <si>
    <t>‏هر که را صبح شهادت نیست، شام مرگ هست// بی شهادت، مرگ با خسران چه فرقی می کند</t>
  </si>
  <si>
    <t>چرا تو #مجلس ی قانون تصویب نمی کنن که هر مسئولی تو سال باید ی ماه بره #اردوی_جهادی چرا آخه؟! #شفافیت_آراء_مجلس</t>
  </si>
  <si>
    <t>با این وضعیت نابسامانی که این روزها در مملکت پیش آمده هر روز این شعر اخوان را زمزمه میکنم : «خدایا به کجای این شب تیره بیاویزم قبای ژنده خود را؟!!!» #دلار۱۳۰۰۰تومانی #دلار #پوشک_بچه #ایران #روحانی</t>
  </si>
  <si>
    <t>https://pbs.twimg.com/media/DmOjvX6W4AIJRrv.jpg</t>
  </si>
  <si>
    <t>🔸#رییس_جمهور که امروز به منظور افتتاح سه طرح پتروشیمی در راس هیاتی به #عسلویه سفر کرده است دقایقی پیش وارد فرودگاه بین المللی خلیج فارس در جنوب استان بوشهر شد.</t>
  </si>
  <si>
    <t>بخند عزیزم دنیا خنده داره، غصه به جز خنده دوا نداره، بخند خدا دیدن لبخندشو، روی لبای بنده هاش دوست داره...😄</t>
  </si>
  <si>
    <t>https://pbs.twimg.com/media/DmOjB2WWwAAapxK.jpg</t>
  </si>
  <si>
    <t>به نظرم #روحانی‌ تر از #کی‌روش نداریم؛ جفتشون به یه مدل تو لنز دوربین نگاه می‌کنن و به مردم دروغ می‌گن روحانی هم که یادتونه می‌گفت «اونچنان رونق اقتصادی ایجاد می‌کنم که...» البته بازم آدم شبیه اینها داریم؛ اسمشونو بگم؟ بگم؟ بگــــــم؟</t>
  </si>
  <si>
    <t>Mojinjo</t>
  </si>
  <si>
    <t>https://pbs.twimg.com/media/DmOkZ7QWsAIw8MF.jpg</t>
  </si>
  <si>
    <t>#روحانی، رئیس جمهوری وارد #عسلویه شد تا در مراسم افتتاح سه پروژه پتروشیمی و امضای یک قرارداد مهم حوزه صنعت #نفت شرکت کند.</t>
  </si>
  <si>
    <t>آتئیست🌈من توسط این افراد بلاک شدم: روحانی،مهاجرانی،یامین‌پور،علیز، بهنود،استرکی،بهاره‌رهنما،آذرپیک،توحید عزیزی</t>
  </si>
  <si>
    <t>این روزا کلیپ های زیادی در فضای مجازی با موضوع مسخره کردن وعده های انتخاباتی #روحانی پخش میشه. این کلیپ ها انحرافی هستش و بیشتر ساخته جریان اصولگراست. میخوان کل مشکلات رو تقصیر دولت بندازن و کابینه رو سپر بلای متهم اصلی یعنی "خامنه ای" کنن. هوشیار باشیم!</t>
  </si>
  <si>
    <t>🏳outsider</t>
  </si>
  <si>
    <t>اگر دولت #احمدی‌نژاد را فاسد و شلخته‌ترین دولت جمهوری اسلامی بدانیم، دولت #روحانی بی‌تردید بزدل و راکدترین دولت جمهوری اسلامی است.</t>
  </si>
  <si>
    <t>I don't know what the F I'm doing here, and by here I mean there.</t>
  </si>
  <si>
    <t>Anywhere, but here;</t>
  </si>
  <si>
    <t>کاری ندارم که باید رید به رایی که به #روحانی دادم، ولی هنوز سگش شرف داره به این یارو که با عمو تتل عکس میگرفت.</t>
  </si>
  <si>
    <t>Silenus</t>
  </si>
  <si>
    <t>https://pbs.twimg.com/media/DmOorRgXoAAOm9o.jpg</t>
  </si>
  <si>
    <t>همونطوری که عاقا فرمودن الان #پوشک_بچه مسئله یک ایرانه ومعلوم نیست این #روحانی بی همه چیز چرا گرونش کرده و عاقا رو این قدر ناراحت کرده که از اول تا آخر بیانات گهربارشون چندین بار هی گفتن پوشک بچه حتما یه چیزی هست که عاقا این قدر به پوشک بچه عنایت داره اینم سندش 👇 #براندازم</t>
  </si>
  <si>
    <t>گرون شدن رابطه مستقیم با رشد جرم و جرائم و دزدی و فحشا و حتی اعتیاد داره که البته توضیح واضحاته آقای #رئیس_جمهور</t>
  </si>
  <si>
    <t>بخشی از مشکل ما مردم و کسانیکه کورکورانه از #روحانی حمایت کردند نبودند. اصل مشکل همین تفکر هست که اگر دائم کوتاه بیایم و به کسانی رای بدیم که با غرب تعامل دارند و روشنفکر هستن مشکل حل میشود! جمهوری اسلامی باشد و نباشد و هر نظامی روی کار بیاد با این تفکر و افراد به هیچ جا نمی رسیم</t>
  </si>
  <si>
    <t>https://pbs.twimg.com/media/DmOqC0dWsAA6Xpu.jpg</t>
  </si>
  <si>
    <t>هاشمی‌طبا: 🔹یک نهاد هم باید #مجلس را #استیضاح کند 🔹نمایندگان می‌توانستند در جلسه سوال از رئیس‌جمهور درباره #نوبخت سوال بپرسند/ایلنا</t>
  </si>
  <si>
    <t>‏‏‏‏بنی بشر.. فعلا همین قدر بدونین. بقیه ش رو دارم مینویسم.</t>
  </si>
  <si>
    <t xml:space="preserve">پشتِ کوه </t>
  </si>
  <si>
    <t>همراهان گرامیییی کاپیتان روحانی صحبت میکنه. لطفا وضعیت خانوارهای خود را از حالت بخور و نمیر خارج کرده و در وضعیت نخور و بمیر قرار دهید. #روحانی #گرانی</t>
  </si>
  <si>
    <t>مینا</t>
  </si>
  <si>
    <t>با پول پیش خانه فعلی در سال ۹۲ می توانستم خانه ای ۹۰ متری در کرج بخرم امروز که صاحبخانه گفت بلند شوید می توانم همان خانه را در کرج رهن کنم به اندازه یک عمر بدبخت شدم. #تورم #گرانی #اجاره_مسکن #دلار #ارز #فقر #مسکن #روحانی #ایران #رهبری</t>
  </si>
  <si>
    <t>خداوند نمایندگانی عزیز ،مردمی و دلدار چون نمایندگان #تهران را در #مجلس بیشتر کند ...من جمله #حیدری #سلحشوری #صادقی و ... و لجن های خایه مالی چون #کریمی_قدوسی و ... را به گای سگ ببرد 👌</t>
  </si>
  <si>
    <t>http://ghalameparsi.persianblog.com</t>
  </si>
  <si>
    <t>‏روزانه نویس، ‏زبان سرخ قلم پارسی</t>
  </si>
  <si>
    <t>yazd.iran</t>
  </si>
  <si>
    <t>https://pbs.twimg.com/media/DmOsCgQVAAEuQNz.jpg</t>
  </si>
  <si>
    <t>باتوجه به مصاحبه آقای نماینده یزد و تکذیب شون نسبت به منتفی نشدن افزایش نمایندگان، بیش از هر زمانی مطمئن هستیم که افزایش نمایندگان در این دوره منتفی شده. کاش یک جای هم بود نماینده هامون را استیضاح میکردیم میرفتن استراحت و کربلا و.. #مجلس #استیضاح #نماینده #قلم‌پارسی</t>
  </si>
  <si>
    <t>Behnam_khaja_Aminian</t>
  </si>
  <si>
    <t>‏سرباز جنگ نرم</t>
  </si>
  <si>
    <t>اولین بار در#تاريخ #جمهوري_اسلامي #مجلس باید به #شرافت خود #رأی دهد،انتخاب بین #خانه_ملت بودن یا #دار_المنافقین ؟! #شفافیت_آراء_نمایندگان</t>
  </si>
  <si>
    <t>Soft War Soldier</t>
  </si>
  <si>
    <t>یه زمانی خبر رسید که می‌خوان بنزین ایران رو تحریم‌ کنن؛ ظرف مدت کوتاهی در حوزه تولید بنزین خودکفا شدیم.. حالا به #روحانی به طور مکرر میگن که آمریکا مطمئن نیست و تحریم ها در حوزه های استراتژیک باقی خواهند ماند در زمینه #پوشک هم کم آوردیم!</t>
  </si>
  <si>
    <t>http://www.facebook.com/reza.masoudi1996</t>
  </si>
  <si>
    <t>زاده ی تلاش های خودمون باشیم نه جیب پدرانمون #همین . طلبه،مترجم زبان خارجه،سخنران و خیلی چیزای دیگه...🌹 . http://instagram.com/r_masoudi ❤🌹</t>
  </si>
  <si>
    <t>دیپلم مسخره ترین،دردناک‌ترین و بدبختانه ترین اوضاع ۴۹۹۰ سال اخیر #وطن م #ایران هم میرسه به اوضاع فعلی با ریاست جمهوری جناب آقای جسمانی(#روحاني سابق)</t>
  </si>
  <si>
    <t>MhReza Masoudi</t>
  </si>
  <si>
    <t>آیا #روحانی و یا یکی از نزدیکانش در سفر آتی به نیویورک با #ترامپ و یا وابستگانش دیدار خواهند داشت؟!</t>
  </si>
  <si>
    <t>همه‌ی کسانی که برای تعامل با دنیا به #روحانی رأی دادن ، الان باید برای #پوشک باید بگن بره !؟</t>
  </si>
  <si>
    <t>یورو واقعا شده ۱۵۰۰۰ تومان؟ #یورو #دلار #ایران #مجلس</t>
  </si>
  <si>
    <t>MM</t>
  </si>
  <si>
    <t>https://pbs.twimg.com/media/DmOt7VeUwAEUYWX.jpg</t>
  </si>
  <si>
    <t>سوال از #روحانی به بایگانی رفت هیئت رئیسه مجلس می گوید سوال از روحانی به قوه قضائیه ارسال نمی شود! حالا جواب سوالات #مجلس و مطالبات مردم درباره افسار پاره شده قیمت ها را چه کسی خواهد داد؟ آیا مطالبات به حق معیشتی مردم هم قابل بایگانی شدن است</t>
  </si>
  <si>
    <t>Amin</t>
  </si>
  <si>
    <t>‏‏‏‏‏‏مهم اینه که نگاشت‌مون چی باشه</t>
  </si>
  <si>
    <t>مجلس #خبرگان|ی که نه تنها کارش رو انجام نمیده، توی کاری که بهش مربوط نیست هم دخالت میکنه، همون بهتر که #روحانی بره عسلویه</t>
  </si>
  <si>
    <t>محمدرضا 🇮🇷</t>
  </si>
  <si>
    <t>امروز و این هفته قراره با #روحانی تا چندهزار بریم؟ از بین اصلاحاتی‌های همیشه طلبکار از مردم هنوز کسی این موضوع رو تبیین نکرده.</t>
  </si>
  <si>
    <t>اوضاع مثل بازی برزیل آلمان شده که برزیل چهارمی رو خورده بود و ما فکر می‌کردیم دیگه بیشتر نمی‌خوره. #مملکته #دلار #روحانی</t>
  </si>
  <si>
    <t>Dr.H6656</t>
  </si>
  <si>
    <t>https://pbs.twimg.com/media/DmOuT6-V4AAepcb.jpg</t>
  </si>
  <si>
    <t>https://www.ilna.ir/fa/tiny/news-664513</t>
  </si>
  <si>
    <t>حواشی جلسه علنی امروز #مجلس؛ صدای نمایندگان از وضعیت اقتصادی کشور بلند شد/ حاجی‌دلیگانی: #رئیس‌جمهور با مردم قهر است/ لاریجانی: درد و دل خاصیتی ندارد، طرح بدهید</t>
  </si>
  <si>
    <t>همیشه خبرنگار از 61 تاکنون</t>
  </si>
  <si>
    <t>https://twitter.com/bahamimbh/status/1036863078586101762</t>
  </si>
  <si>
    <t>در حالی که #مجلس_خبرگان خارج از اختیارات قانونی خود به جای نظارت بر عملکرد رهبر ، کمیته هایی را برای نظارت بر عملکرد دولت ایجاد کرده ، رفتار #روحانی کاملا طبیعی است . RT @bahamimbh: #حسن_روحانی، همزمان با آغاز اجلاس #خبرگان_رهبری به عسلویه سفر کرده و به گفته یکی از اعضای خبرگان، سخنرانی در این اجلاس را نپذیرفته است ! #چرا؟</t>
  </si>
  <si>
    <t>m-noori</t>
  </si>
  <si>
    <t>‏‏‏‏‏‏‏‏مربع سیاست سه تا ضلع داره.. _رهبری.. _انقلاب.. بریم ببینیم با این یکی چی کار میکنیم</t>
  </si>
  <si>
    <t>جَنبِ رو به رو_بغل این وَر تَر</t>
  </si>
  <si>
    <t>غیبت یا فرار #روحانی در اجلاس امروزخبرگان؟! ‌روحانی همزمان با آغاز اجلاس پنجم #خبرگان_رهبری برای افتتاح چندطرح حوزه پتروشیمی به عسلویه رفت. باتوجه به مشکلات #معیشتی مردم،اجلاسیه خبرگان به این موضوع اختصاص دارد. روحانی پیشتر نیز دعوت خبرگان را برای سخنرانی در اجلاس رد کرده بود.</t>
  </si>
  <si>
    <t>|امیـ حسینــ ــر|</t>
  </si>
  <si>
    <t>سخنران‌های #مجلس، امروز شوری دیگر داشتند! خانم #پروانه_سلحشوری که غوغا کرد. انصافاً خوب و سنجیده حرف زد. نفر بعدی هم که اسمش رو متوجه نشدم بحث رو کامل کرد و شور و غوغایی در مجلس به راه انداخت. البته صدای اعتراض برخی نمایندگان از گوشه و کنار شنیده می‌شد!</t>
  </si>
  <si>
    <t>هم مرگ بر جهان شما نیز بگذرد هم رونق زمان شما نیز بگذرد</t>
  </si>
  <si>
    <t>"در جهنم مارهایی هست که مردم از ترس آنها به اژدها پناه میبرند" خوب آقای #رئیس_جمهور ما در #تحریم قبلی که اجماع جهانی داشت و تحریم صورت گرفت با چنین بلبشوئی مواجه نشدیم که اینک با سایه آن تحریم ها قحطی دارد اتفاق می افتد. به ناکارمدی شما و کابینه ات ایمان اوردم. @Rouhani_ir</t>
  </si>
  <si>
    <t>M dara 🇮🇷</t>
  </si>
  <si>
    <t>با قيمّت دلار ١٠٥٠٠ مجلس در سوال از #روحانى قانع نشد الان #دلار۱۳۰۰۰تومانی نمايندگان چيكار ميكنند!!!؟؟؟ #مسئولين_بدردنخور همچنان سكوت كرده اند</t>
  </si>
  <si>
    <t>دياكو 🇮🇷</t>
  </si>
  <si>
    <t>دیگه کم کم به جرات می توان گفت آقای دکتر #روحانی بدترین کارنامه اقتصادی روسای جمهور پس ار انقلاب را دارد. #دلار</t>
  </si>
  <si>
    <t>Mehdi Bas</t>
  </si>
  <si>
    <t>‏بیو ندارم</t>
  </si>
  <si>
    <t>#خبر سوال #ملی عبدالحمید #خدری نماینده مردم #بوشهر از وزیر فرهنگ و ارشاد اسلامی درخصوص عزل غیرکارشناسی مدیران #روحانی در حوزه‌های کلیدی این وزارتخانه و نحوه هزینه کرد نهاد کتابخانه‌های عمومی کشور اعلام وصول شد</t>
  </si>
  <si>
    <t>وحید مهر</t>
  </si>
  <si>
    <t>http://T.me/leilanevesht</t>
  </si>
  <si>
    <t>#Genetic_engineer #Justice_Seeker #upheaval #شاعر #نویسنده #عِدالَت_خواهِ_تَحَوُل_طَلَب #جهان_وطن</t>
  </si>
  <si>
    <t>دلم به حال بچه ای میسوزه که اردیبهشت پارسال عکسش پروفایل مامانش بود؛ به آخر آینده ی من تا ۱۴۰۰ با #روحانی! الان پول ندارن براش #پوشک بخرن! چی کار کردین با اعتماد مردم؟؟</t>
  </si>
  <si>
    <t>Rainy_poem</t>
  </si>
  <si>
    <t>سختی، سختی، امید</t>
  </si>
  <si>
    <t>چرا عنوان مجرمانه ای به نام #توهین_به_رهبری داریم که #عبدالرضا_داوری باید با چنین اتهام اثبات نشده ای 15 ماه در زندان سپری کند؟ فرق رهبری با دیگر انسان ها چیست؟ چرا کسی #رهبر و #شورای_نگهبان و #شهرداری و #مجلس را به جرم توهین به انسان ها محاکمه نمی کند؟</t>
  </si>
  <si>
    <t>حسین محمدی</t>
  </si>
  <si>
    <t>چقدر سخت است حال عاشقی که نمیداند معشوقش نیز هوای او را دارد یا نه.....</t>
  </si>
  <si>
    <t>دقت کردین یارانه مون ۳ دلار و خورده ای سنت بیش نیست؟؟؟ #روحانی</t>
  </si>
  <si>
    <t>Sh.h</t>
  </si>
  <si>
    <t>🔹هاشمی طبا: یک نهاد هم باید #مجلس را #استیضاح کند/مردم فکر می‌کنند مجلس دنبال بازی‌های سیاسی است.</t>
  </si>
  <si>
    <t>https://twitter.com/avant_tv</t>
  </si>
  <si>
    <t>تصویربردار، عکاس، شاید هم بشه گفت خبرنگار کی به کیه؟ اصلا مستندساز بعضی وقت ها هم شاید بنویسم</t>
  </si>
  <si>
    <t>رفتیم مغازه، جنس ها رو دیدیم و شرایط رو پرسیدیم و قیمت ها رو، گفتیم باشه خدمت تون میرسیم موقع بیرون اومدن فروشنده گفت: فقط قیمت هایی که گفتم برای الان بود ها! خلاصه اینکه #روحانی جان واقعا دمت گرم!</t>
  </si>
  <si>
    <t>محمد ملکی</t>
  </si>
  <si>
    <t>Presenter/Producer at Manoto tv</t>
  </si>
  <si>
    <t>#کیروش همین فرمون بره جلو دور بعد میتونه واسه انتخابات #مجلس کاندید بشه</t>
  </si>
  <si>
    <t>Shayan Marashipour</t>
  </si>
  <si>
    <t>‏‏‏‏‏‏‏‏‏‏‏‏‏‏‏‏‏‏‏‏‏‏‏‏‏‏‏‏‏‏‏‏‏‏‏‏‏‏‏🍃حسبی‌الله‌لا‌اله‌الا‌هو🍃 آیا تو کجاوما کجاییم.تو زان کی‌ای ماترائیم🌹 ماییم ونوای بی نوائی.بسم‌الله اگر حریف مائی</t>
  </si>
  <si>
    <t>یه جایی وسط نصف‌جهان</t>
  </si>
  <si>
    <t>پرزیدنت روحانی با موفقیت مجلس خبرگان را پیچاند...و برای گفتن چند «علی برکت الله» راهی عسلویه شد!! یاد دبستانم افتادم به بونه دستشویی کلاسا مبپیچوندم.. #روحانی</t>
  </si>
  <si>
    <t>🇮🇷گـ ـ ـ ـمـنـ ـ ـ ـام🇮🇷</t>
  </si>
  <si>
    <t>سال ۷۵ (۱۰ سالم بود)به زور نشوندنم پای سفره عقد که با یه پسر ۱۹ ساله ازدواج کنم کنم! به بهانه دستشویی از پنجره دستشویی پریدم خیابون رفتم‌کلانتری! چون امید داشتم! چون‌کلا آدم‌امیدواری ام! آقای #روحانی شما به تنهایی گند زدید به این همه امید!</t>
  </si>
  <si>
    <t>جهانگیری بجای ادا، دستور می‌داد که زندگی این کارگر ۱۳ ساله برای تحصیل تامین بشود. #دولت، #شهرداری، #مجلس، #رهبری، #خبرگان، بنیادهای خرپول همه و همه باید جواب بدهند چرا جمهوری اسلامی ایران از مدیریت کودکان خیابانی عاجز است. چرا سر چهارراه‌های ام‌القری کودکان بیچاره بیگاری می‌کنند؟</t>
  </si>
  <si>
    <t>سال ۷۵ (۱۰ سالم بود)به زور نشوندنم پای سفره عقد که با یه پسر ۱۹ ساله ازدواج کنم! به بهانه دستشویی از پنجره دستشویی پریدم خیابون رفتم‌کلانتری! چون امید داشتم! چون‌کلا آدم‌امیدواری ام! آقای #روحانی شما به تنهایی گند زدید به این همه امید!</t>
  </si>
  <si>
    <t>بیداریم،چه دانی؟ ای خفته ای به شبها؛ ننشسته ای به حسرت! نشمرده ای ستاره! دانشجوی ارشد جامعه شناسی ادبیات/ فعال دانشجویی</t>
  </si>
  <si>
    <t>pic.twitter.com/AovYtiZw3m</t>
  </si>
  <si>
    <t>آقای #روحانی با دارایی هایتان چه کردید؟سرمایه واعتباروامید را باهم سلاخی کردید.بازی باامید مردم؛همه چیز را به نفع دشمن تمام میکند.این مردم حتی اگر از شما هم عبور کنند باز،به عقب برنمیگردند!نارضایتی از بحران اقتصادی وبی ثباتی سیاسی با سرکوب آزادیهای اجتماعی قابل کنترل نیست! #یادآر</t>
  </si>
  <si>
    <t>naemeh.alineejad🇮🇷</t>
  </si>
  <si>
    <t>‏Connection Failed , Please Try Again Later</t>
  </si>
  <si>
    <t>ترامپ با اون عظمتش میره سوییس دیگه خود آمریکا و آمریکایی جماعت به تخمشم نیست ! چه برسه بخواد مذاکره کنه ! حالا #روحاني و #ظریف هی میگن برای #مذاکره میریم !</t>
  </si>
  <si>
    <t>404 Page Not Found</t>
  </si>
  <si>
    <t>Sydney, New South Wales</t>
  </si>
  <si>
    <t>قیمت #دلار رسیده به ۱۳۰۰۰ تومن! فکر کنم یه صفر از شعار رو ندیده بودیم! تا ۱۴۰۰۰ با #روحانی! پ.ن: یکی در اتاق آقایونو بزنه، از خواب پاشن، چورتشون خیلی سنگین شده: @Rouhani_ir @Eshaq_jahangiri @khamenei_ir</t>
  </si>
  <si>
    <t>SpiderSon</t>
  </si>
  <si>
    <t>رییس جمهور در اجلاس امروز #خبرگان رهبری غایب بود زیرا برای افتتاح چند طرح پتروشیمی به عسلویه رفته است. پیش از این سید احمد #خاتمی گفته بود که برای سخنرانی در این اجلاس از #روحانی دعوت شده که وی نپذیرفته است./انتخاب</t>
  </si>
  <si>
    <t>https://pbs.twimg.com/media/DmO0yiZWsAAJ185.jpg</t>
  </si>
  <si>
    <t>حضرت ترامپ (مد ظله العالی) برای نخستین بار ، بشار اسد را ، #رییس‌جمهور سوریه خطاب کرد. #نرمش_قهرمانانه</t>
  </si>
  <si>
    <t>https://pbs.twimg.com/media/DmO1kPpXsAEPSue.jpg</t>
  </si>
  <si>
    <t>روح #هاشمی به #روح آنی، چجوری نگاه می کنه... #روحانی درسته نه روح آنی :-)</t>
  </si>
  <si>
    <t>http://www.Tabyincenter.ir</t>
  </si>
  <si>
    <t>شبکه تحلیل گران نسل سوم انقلاب اسلامی/ سیاست خارجی، منطقه ای، فرامنطقه ای و رصد راهبردی</t>
  </si>
  <si>
    <t>https://pbs.twimg.com/media/DmO12zBW4AE1_pN.jpg</t>
  </si>
  <si>
    <t>📈گامی نزدیکتر به استیضاح ترامپ! واشنگتن پست:براساس نظرسنجی WP و ABC، شصت درصد رای دهندگان از عملکرد #ترامپ ناراضی هستند و این میزان حتی از نظرسنجی #استیضاح نیکسون در زمان بحران واترگیت نیز بدتر است</t>
  </si>
  <si>
    <t>اندیشکده تبیین</t>
  </si>
  <si>
    <t>بهتر نیست با #کلید روحانی ،دهانها را ببندیم تا مجبور نشویم بخوریم و #پوشک بپوشانیم !؟ #تدبیروامید #روحانی #تورم</t>
  </si>
  <si>
    <t>چو‌نگاهش غزل بی بدلی ساخته ام... /مهندس در نقطه دور زندگی/کارشناسی ارشد مدیریت رسانه/کمی مدرس و بیشتر شاگرد در رسانه/</t>
  </si>
  <si>
    <t>این فرقه هرچیز دروغی که به رقیبش تو انتخابات نسبت داد و هر جفنگی که علیه دولت قبل به کار برد سرش اومد و اون سر مردم پیاده کرد تا رسوا بشه هرکی بنای تهمت و دروغ رو با توهم زرنگ بازی میذاره. #دولت_خسته #روحانی</t>
  </si>
  <si>
    <t>آرش</t>
  </si>
  <si>
    <t>اللهم عجل لولیک لفرج الف-جیم</t>
  </si>
  <si>
    <t>https://pbs.twimg.com/media/DmO0KY0XgAA02-i.jpg</t>
  </si>
  <si>
    <t>https://twitter.com/sadeghnikoo/status/1036870885951660033</t>
  </si>
  <si>
    <t>در ایران عزیزمان متاسفانه به جای تولید و صادرات از منطقه آزاد به خارج کشور برای این که از مالیات و گمرکات معاف بشن تا تولید داخل رونق پیدا کنه منطقه آزاد معبری برای واردات و قاچاق کالا شده فقط #مجلس خواب ما و #دولت لیبرال و خوابتر اجازه واردات از این معابر رو میدن RT @SadeghNikoo: نگاه کنید هربار یه منطقه آزاد تاسیس شد یا توسعه یافت چطور قاچاق بیشتر شد! اگر با این روند تشکیل مناطق آزاد سال آینده آمار قاچاق به 40 میلیارد دلار رسید تعجب نکنید محاسبه شکاف بین واردات قانونی به ایران و آمار صادرات کشورهای دیگه به مقصد ایران از راه‌های محاسبه قاچاقه</t>
  </si>
  <si>
    <t>ABOLFAZL-j</t>
  </si>
  <si>
    <t>Ex-Journalist | Public Relations Officer | Marketing Communications Consultant | Interested in Cinema, Traveling and Social Activities</t>
  </si>
  <si>
    <t>اجلاس فعلی #خبرگان ویژه‌س. #کروبی نامه نوشته، عماد افروغ گفته ساختار خبرگان باید تغییر کنه، #جنتی و کدخدایی سریع موضع گرفتن و #روحانی دعوت شده برای سخنرانی نپذیرفته ورفته عسلویه به جاش! اونم در بحبوجه جنگ جانشینی. قافیه رو باخته؟ یا میخواد مواضع جدیدشون به پاش نوشته نشه؟ باید دید</t>
  </si>
  <si>
    <t>AhmadReza Ghani</t>
  </si>
  <si>
    <t>http://talaangor.ir</t>
  </si>
  <si>
    <t>آن قدرى كه بشر از قلم هاى صحيح نفع برده است از چيز ديگرى نبرده است. و آن قدرى كه ضرركشيده است از چيز ديگرى ضرر نبرده است.</t>
  </si>
  <si>
    <t>https://goo.gl/CVeFTt</t>
  </si>
  <si>
    <t>شما می‌توانید متن کامل خبر را اینجا بخوانید:  #مجلس #اخلاق_سیاسی #دولت #استیضاح #سوال_از_رئیس_جمهور</t>
  </si>
  <si>
    <t>پایگاه خبری، تحلیلی تلنگر</t>
  </si>
  <si>
    <t>توئیتر رو به اینستاگرام ترجیح میدم ولی چس ناله بلد نیستم بجاش عکس کپشن میکنم 😃 ادب و احترام از واجباتِ ❤️پرسپولیس❤️ ، رئالی ، عاشق عکس و کارتون ...</t>
  </si>
  <si>
    <t>!آتشنشانی</t>
  </si>
  <si>
    <t>از دوستان حامی #روحانی میپرسم، گندی بوده که روحانی رو دست #احمد_نژاد نزده باشه؟! ۵ سالِ که هر اتفاق و مشکلی پیش آمد محصول و نتیجه سر کار آمدن دولت قبلی بود! #دلار۱۳۰۰۰تومانی هم نتیجه کارهای دولت قبلِ؟! #تدبیروامید #تا١٤٠٠باروحانی</t>
  </si>
  <si>
    <t>M@t Fire</t>
  </si>
  <si>
    <t>pic.twitter.com/vIfYkzmgr5</t>
  </si>
  <si>
    <t>https://twitter.com/maziaran/status/1036861038631763968</t>
  </si>
  <si>
    <t>از اونجایی که ایشون #فرهنگ_پاسخگویی براشون مهمه، لطف کنن در مورد سفر بی‌دلیل و غیرموجه خانم #ژاله_فرامرزیان معاونت مالی #وزارت_ورزش به #اندونزی برای نگاه کردن #مسابقات_آسیایی توضیح کامل بفرمایند، و دقیقا بگن چرا به دروغ به آقای #روحانی گفتن بیشترین مدال رو در این دوره کسب کردیم!؟ RT @maziaran: این ویدیو خیلی از مردم را ناراحت کرده ؟ واقعا دوست عزیزمان آقای #علی_عالی که الان مسیولیت روابط عمومی در شهرداری دارند این موضوع را توضیح بدهند و اگر اقدامی شده مردم آگاه بشوند @aliaalei ممنونیم</t>
  </si>
  <si>
    <t>اینجور که ناموس بانک مرکزی رو گاییدن، #همتی و #روحانی و #رهبر هم باید #خودسوزی داشته باشند، ولی خب ناموس فروشی از ویژگی‌های جدای نشدنی اینهاست. #دلار</t>
  </si>
  <si>
    <t>🔴آیت‌الله #جنتی: نقشه شوم دشمنان و بلندگوهای آنان در کشور این است که نابه ‌سامانی ‌های #اقتصادی را به گردن رهبر انقلاب بیاندازند. طوری تبلیغ می‌کنند که انگار #رهبری، در همه امور اجرایی کشور، "فعال مایشاء" هستند و #دولت، #مجلس و #قوه_قضاییه کاره‌ای نیستند. #مدیریت_پوشکی_دولت</t>
  </si>
  <si>
    <t>روزنامه نگار و کارشناس ارشد حوزه شهری</t>
  </si>
  <si>
    <t>امروزیک نفر خودش رامقابل #شهرداری تهران آتش زد،حالا مدام ازبدهی‌ها بگوییم که میراث قالیباف است،جلسه بگذاریم و تذکر بدهیم که #انتصابات_شهردارقومیتی و بالهجه است،وزیر #استیضاح کنیم و #مفسد_اقتصادی محاکمه کنیم، #خودسوزی نشانه ناامیدی است، درمان ناامیدی مصاحبه، استیضاح و محاکمه نیست.</t>
  </si>
  <si>
    <t>Azade Behshti</t>
  </si>
  <si>
    <t>‏‏‏‏خدا،اهل بیت علیهم السلام مثلا جهاد 極 真 カ イ 175+1</t>
  </si>
  <si>
    <t>یه سوال! روحانی قبل ازانتخابات مردم روبا چیا میترسوند؟ لطفا همشو‌ بیار جلو چشت ببین کدوماشون رو که مردم واقعا باور کردن همونا اتفاق افتاده اما هنوز بعضی هاش مونده منظورم اون کشوره بود که میگفتن باید هم وزن گوشت پول بدی اسمش چی بود؟ یعنی میشه؟ حکمت ۱۰۶نهج البلاغه #روحانی #رئیسی</t>
  </si>
  <si>
    <t>سید رسول</t>
  </si>
  <si>
    <t>https://twitter.com/hasanasadiz/status/1036875646444683264
https://t.me/MostafaTajzadeh/15735</t>
  </si>
  <si>
    <t>یک #اصلاح_طلب هرگز کم نمیآورد در گند #روحانی ساکت میشود گویی این دولت را آنها نساختند و گوشه ای دیگر از یک شیخ دوزاری رونمایی میکند . ما میگیم خر نمیخوایم #اصلاحات پالونش رو عوض میکند . شیخ #کروبی اگر منلکت صاحب داشت ماکزیمم روضه خون دوزاری بود که اونم بخاطر صداش دعوتش نمیکردن RT @hasanasadiz: در بیانیه حمایت از نامه تاریخی جناب آقای #کروبی به خبرگان؛ عنوان فعالان سیاسی #دموکراسی_خواه برای توصیف امضاء کنندگان انتخاب شده است.</t>
  </si>
  <si>
    <t>https://pbs.twimg.com/media/DmO7idoXsAA9Jit.jpg</t>
  </si>
  <si>
    <t>مهندس هاشمی طبا: #استیضاح وزیر آموزش و پرورش چه علتی داشت؟ مگر او می‌تواند حرف‌های چند ماه پیش که به او ابلاغ شده در این مدت کوتاه اجرایی کند؟ مردم فکر می‌کنند مجلس به جای اینکه به فکر کشور باشد به دنبال بازی‌های سیاسی است./ایلنا</t>
  </si>
  <si>
    <t>فکرشو میکردین یه روزی نوار بهداشتی نایاب بشه؟؟😆 #پوشک‌ #نواربهداشتی #روحاني</t>
  </si>
  <si>
    <t>‏‏‏مخلوق/انسان/ایرانی/مسلمان/حق طلب/شیعه/انقلابی ‏‏‏‏‏‏‏‏‏تفسیر من از◆عشق◆ همان است که گفتم || دربند کسی باش که در بند◆حسین◆است یاعلی</t>
  </si>
  <si>
    <t>فعلا نجباد</t>
  </si>
  <si>
    <t>دلار 13600 خوب شد رئیسی رای نیاوردا وگرنه #دلار میشد 5000 تومن خاک تو سر لیبرالیسم و هر خری که طرفدارشه #روحانی</t>
  </si>
  <si>
    <t>أبوعلى ( القدس لنا )</t>
  </si>
  <si>
    <t>🚴‍♂️</t>
  </si>
  <si>
    <t>https://twitter.com/isna_farsi/status/1036876963586162688
http://www.isna.ir/news/97061306315</t>
  </si>
  <si>
    <t>#نواربهداشتی #پوشک_بچه #دلار۱۳۰۰۰تومانی #روحاني من غلط کردم رای دادم RT @isna_farsi: توقیف خودروی بی حجابان فرمانده نیروی انتظامی: ناجا با بی حجابی برخورد خواهد کرد؛ بر این اساس به مالکان خودروها تذکر خواهد داد و اگر قبلا تذکر داده شده باشد نسبت به توقیف خودرو اقدام داده می‌شود</t>
  </si>
  <si>
    <t>Behzad Me</t>
  </si>
  <si>
    <t>https://t.me/joinchat/AAAAAFKKCru-rek_32DvWQ</t>
  </si>
  <si>
    <t>ما بارگه داديم اين رفت ستم برماهوادار سازمان پرافتخارمجاهدين خلق ايران</t>
  </si>
  <si>
    <t>https://pbs.twimg.com/media/DmO8ASIXgAApnEx.jpg</t>
  </si>
  <si>
    <t>پاسخ به انتقاد در مردم‌سالاری دینی به سبک #خامنه‌ای -#روحاني !! #IranRegimeChange</t>
  </si>
  <si>
    <t>yaghobtorabi</t>
  </si>
  <si>
    <t>#فرزندکمتر #زندگی_بهتر خودبه خود در #دولت #روحانی اتفاق خواهد افتاد. #سبک_زندگی متاثر از فضای #سیاسی موجود و #تغییررفتار در #مردم است.</t>
  </si>
  <si>
    <t>امروز جلوي شهرداري مردي از فشار شديد اقتصادي و گراني هاي کمر شکن که دولت #روحانی به وجود آورد خودش را در مقابل ديدگان اشکبار فرزندانش به آتش کشيد تا لکه ننگي بر دامن محسن هاشمي و دولت منفعل و برجام پرست روحاني باشد جناب افشاني استعفا کنيد #افشاني_استعفا #افشاني_استعفا</t>
  </si>
  <si>
    <t>خانم های #سلبریتی که از جناب #روباه_بنفش استاد تِر زنی در اقتصاد و تورم جناب #روحانی حمایت میکردن و تراول میگرفتن تا حالا مشکل نواربهداشتی پیدا نکردن؟؟ جواب معلومه:نه... چون هنوز پولایی که گرفتنو تموم نکردن🤑 #نواربهداشتی #پوشک_بچه</t>
  </si>
  <si>
    <t>‏‏‏‏‏من زنده ام‌ هنوز و غزل فکر میکنم...</t>
  </si>
  <si>
    <t>آسمان جمکران</t>
  </si>
  <si>
    <t>کی بود دم انتخابات میگفت ما به عقب برنمیگردیم؟ کاری باهاش ندارم فقط میخوام بهش یادآوری کنم اوضاع یجوری شده که جای #پوشک‌ باید واسه بچه ها از کهنه و مشما استفاده کرد درست مثل قدیما با #روحانی تا عهد بوق</t>
  </si>
  <si>
    <t>چشم دل باز کن که جان بینی آنچه نادیدنی است آن بینی گر به اقلیم عشق روی آری همه آفاق گلستان بینی #انقلاب_برای_انقلاب</t>
  </si>
  <si>
    <t>از قرار معلوم کشور و دولت #روحانی دچار درد بی درمان شده است.بی کفایتی و خواب خوش درمانگرش #قوه_قضائیه و #مجلس تا کی باید ادامه یابد... #انقلاب_برای_انقلاب #قوه_قضائیه #مجلس #روحاني</t>
  </si>
  <si>
    <t>گفتار امت</t>
  </si>
  <si>
    <t>ولی #روحانی به مادر مرحومش قول داده بود گرونی و بیکاری رو تموم کنه</t>
  </si>
  <si>
    <t>دقت کردین کشور از حالت #علی_برکت_الله وارد فاز #أَمَّن_يُجِيبُ_الْمُضْطَرَّ_إِذَا_دَعَاهُ_وَ_يَكْشِفُ_السُّوءَ میشه پ.ن: یه روزی دغدغه کشور فرستادن موجود زنده به فضا بود الان #پوشک_بچه یه چند روز دیگه هم #نواربهداشتی #با_روحانی_تا_سومالی #روحانی</t>
  </si>
  <si>
    <t>دلار ۱۳۴۰۰ تومان رو رد کرد. ۳۱ اردیبهشت ۹۷ #دلار حدود ۵۸۰۰ تومان معامله می‌شد. در چهارماه اخیر دارایی هر ایرانی ساکن ایران حتی از نصف هم کمتر شده. البته این تازه از نتایج سحره، هنوز راه داریم «تا ۱۴۰۰ با #روحانی» و البته با تیم اقتصاددان نئولیبرالش!</t>
  </si>
  <si>
    <t>http://instagram.com/mbphpu_pv</t>
  </si>
  <si>
    <t>Working on Design Business #mbphpu</t>
  </si>
  <si>
    <t>Tehran-IR Iran</t>
  </si>
  <si>
    <t>اينجوري كه امروز نرخ #دلار داره ميره بالا فكر مي كنم اولين #شعار #انتخاباتي #رييس_جمهور #روحاني خيلي زودتر از او چيزي كه فكر مي كرديم داره #عملياتي مي شه. ولي يه #صفر كمتر داشت كه احتملا اشتباه از طرف رييس #ستاد_انتخاباتي بوده! #تا_١٤٠٠٠_با_روحاني</t>
  </si>
  <si>
    <t>MohammadReza Bagheri</t>
  </si>
  <si>
    <t>آقايان #خامنه‌ای #روحاني #جنتي برادران #لاريجاني و تمام مسؤلين نظام نا مقدس جمهوري اسلامي دقيقاً چه غلطي ميكنيد كه وضع مملكت اينچنين است #دلار۱۳۰۰۰تومانی</t>
  </si>
  <si>
    <t>....!!!....</t>
  </si>
  <si>
    <t>https://www.isna.ir/news/97061306392/</t>
  </si>
  <si>
    <t>امیدوارم اجلاس های #خبرگان با فاصله زمانی نزدیک تری برگزار شوند تا شاید حضرت آقای #روحانی بدلیل عدم حضور در اجلاس، پایتخت رو ترک نموده و کمی در میان مردم بروند. هر چند که افتتاح های امروز در #عسلویه هم نمایشی ست.</t>
  </si>
  <si>
    <t>یکی از چیزایی که وجدانم رو کاملا راحت میکنه اینه به روحانی رای ندارم! #روحانی #تا۱۴۰۰بانامبرده</t>
  </si>
  <si>
    <t>edalatazadii</t>
  </si>
  <si>
    <t>https://www.instagram.com/p/BnS-WjJBpC0/?utm_source=ig_twitter_share&amp;igshid=1opl727srl6br</t>
  </si>
  <si>
    <t>واکنش مسئولین به اوج گرفتن قیمت دلار، سکه و مخصوصاً پوشک #دلار #سکه #پوشک #پوشک_بچه #روحانی</t>
  </si>
  <si>
    <t>حاجی دلیگانی نماینده شاهین شهر: مشکلات مردم افزایش یافته و کسی با مردم صحبت نمی کند.رئیس‌جمهور نیز با مردم صحبت نمی کند، انگار با مردم #قهر است. #علی_لاریجانی: #دولت و #مجلس درمورد دورنمای کلی وضعیت اقتصادی کشور و پیگیری جدی این مساله هفته آینده جلسه ای برگزار می‌کنند</t>
  </si>
  <si>
    <t>#خامنه_ای جلسه مسخره سوال از #روحانی رو نشانه اقتدار نظام میدونه! #دلار۱۳۰۰۰تومانی نشانه چیه؟!!</t>
  </si>
  <si>
    <t>3harfi</t>
  </si>
  <si>
    <t>سازمان مجاهدین خلق ایران تنها و تنها سرمایه ملت ایران برای رسیدن به دموکراسی و آزادی است ،دارای تشکیلات منسجم معتقد به سکولاریسم ،جمهوری و آزادی احزاب</t>
  </si>
  <si>
    <t>pic.twitter.com/YFlXCZrbAt</t>
  </si>
  <si>
    <t>وضعیت اصلاح طلبهای قلابی و اصول گراهای متحجر این روزها در #مجلس 😂😂😂 #براندازم #ایران</t>
  </si>
  <si>
    <t>hossain ahmadi</t>
  </si>
  <si>
    <t>https://twitter.com/SaeedHatami85/status/1036684384034799617</t>
  </si>
  <si>
    <t>آقای #روحاني لعنت به تو که ما را خوار و حقیر این جوجه #عرزشی های گوزو کردی RT @SaeedHatami85: یه همت کنید تا ۱۴۰۰ بچه هاتونو کُهنه ‌مُشما کنید تا از این پیچ پوشکی آقای روحانی عبور کنیم!</t>
  </si>
  <si>
    <t>https://pbs.twimg.com/media/DmPC-PeW0AEKae4.jpg</t>
  </si>
  <si>
    <t>https://www.radiozamaneh.com/410620</t>
  </si>
  <si>
    <t>احمد #جنتی رئیس #مجلس_خبرگان می‌گوید #ترامپ به دنبال «شیطنت» دیدار با #روحانی در حاشیه اجلاس سازمان ملل است. او می‌گوید رهبر جمهوری اسلامی نه مسئول مشکلات کنونی کشور و نه #مذاکرات_هسته_‌ای است</t>
  </si>
  <si>
    <t>electronics engineer , Ms.c student</t>
  </si>
  <si>
    <t>#روحانی افتتاح فاز جدید پردیس و جزء دستاوردای دولتش میگه🤦🏻‍♀️🤦🏻‍♀️ گند زدی تو روستای کنارش و آبشو فاضلاب کردی نمیشه نفس کشید نزدیکش. از گندایی که زدی بخوای بگی چی میگی خدا رحم کنه</t>
  </si>
  <si>
    <t>نگار</t>
  </si>
  <si>
    <t>https://twitter.com/Sarzaminesabz9/status/1022348954422243328</t>
  </si>
  <si>
    <t>برای #روحانی جبران آنچه که بامردم کرددر این دنیا ممکن نیست وهمه آنهایی که باعث شدند او روی کار بیاد با زر و زور و تزویر!اَللّهُمَّ الْعَنْ اَوَّلَ ظالِمٍ ظَلَمَ حَقَّ مُحَمَّدٍ وَآلِ مُحَمَّدٍ ، وَآخِرَ تابِعٍ لَهُ عَلى ذلِكَ ، RT @Sarzaminesabz9: بيچاره اقاي روحاني از چپ و راست براش ميباره. با خوش شانسي تام شروع كرد و احتمالا بازبدشانسي تام تموم ميكنه! #روحاني</t>
  </si>
  <si>
    <t>http://www.jjtvn.ir</t>
  </si>
  <si>
    <t>https://pbs.twimg.com/media/DmPFUlvXsAEL82L.jpg</t>
  </si>
  <si>
    <t>#خبر فاز نخست #نیروگاه_پتروشیمی #دماوند #عسلویه با حضور #رئیس_جمهور به طور رسمی افتتاح شد. #شبکه_جهانی_جام_جم #ایران #iran #jamejam #jjtvn #tv</t>
  </si>
  <si>
    <t>شبکه جهانی جام جم</t>
  </si>
  <si>
    <t>#مجوز #افزایش #قیمت #خودروها صادر شد #شریعتمداری: 🔹خودروهای کمتر از ۴۵ میلیون تومان ۷.۵ و خودروهای بالای ۴۵ میلیون ۹.۵ میلیون تومان افزایش قیمت خواهند داشت./عصرخودرو (نشردهید) #گرانی #رانت #احتکار #اختلاص #اعتراض #دولت #دلار۱۳۵۰۰تومانی #روحاني</t>
  </si>
  <si>
    <t># بخشی از مشکل ما مردم و کسانیکه کورکورانه از #روحانی حمایت کردند نبودند. اصل مشکل همین تفکر هست که اگر دائم کوتاه بیایم و به کسانی رای بدیم که با غرب تعامل دارند و روشنفکر هستن مشکل حل میشود! جمهوری اسلامی باشد و نباشد و هر نظامی روی کار بیاد با این تفکر و افراد به هیچ جا نمیرسه</t>
  </si>
  <si>
    <t>Mahper</t>
  </si>
  <si>
    <t>https://pbs.twimg.com/media/DmPGNmPXsAEF-Jx.jpg</t>
  </si>
  <si>
    <t>https://www.radiozamaneh.com/410627</t>
  </si>
  <si>
    <t>پنجمین اجلاس #خبرگان_رهبری در غیاب #روحانی، #هاشمی_شاهرودی و #حسینی_بوشهری آغاز به کار کرد -</t>
  </si>
  <si>
    <t>https://t.me/emtedadnet/21111</t>
  </si>
  <si>
    <t>دم خانم #سلحشوری گرم از معدود نماینده هایی هست تو #مجلس که از رای دادن بهش پشیمون نیستم، نطق امروزش خیلی از خواسته های ما رو پوشش میده، از #رفراندوم تا #رفع‌حصر و #عفوعمومی، رسیدگی به محاکم قضایی و وضعیت #معیشت مردم و #پاسخگویی صحیح دولت لینک نطق 👇👇👇</t>
  </si>
  <si>
    <t>pic.twitter.com/BBfeCoHsEL</t>
  </si>
  <si>
    <t>#دولت، سخنان #اتاق‌بازرگانی را بخواند، بشنود و ببیند مقام معظم #رهبری در دیدار #رئیس‌جمهور و اعضای هیئت دولت ضمن تاکید بر ضرورت به کارگیری ظرفیت‌های #بخش‌خصوصی، خواستار توجه دولت به نظرات اتاق بازرگانی شدند.</t>
  </si>
  <si>
    <t>🔵 کیفرخواست، یا رفع اتهام از #روحانی؟! این کیفرخواست پاسخی به حزبلاهی های متهم کننده روحانی مثل #حسن_عباسی است : بخشی از کیفرخواست #مهندس_مشایی: ♦️ «براساس اسنادموجود، مشایی، گزینه اصلی هیئت حاکمه آمریکا، دولت انگلیس و رژیم صهیونیستی برای انتخابات ریاست‌جمهوری۱۳۹۲ بوده است.»</t>
  </si>
  <si>
    <t>مسعود شفیعی کیا</t>
  </si>
  <si>
    <t>#وزير_صنعت رسمن نظر فله اي خود را اعلام كرد: "خودروهای کمتر از 35 میلیون تومان 7.5 و خودروهای بالای 45 میلیون 9.5 میلیون تومان افزایش قیمت خواهند داشت" پي نوشت: ولي ميدونيد كه تورم مدتهاست ٩ درصده و اگر #رييسي ميشد ١٠٠ درصد بود پس مچكريم #روحاني بخاطر تمام ازادي ها و گشايش ها</t>
  </si>
  <si>
    <t>Freelance Journalist &amp; Customer Relationship Management Specialist</t>
  </si>
  <si>
    <t xml:space="preserve">Tehran
</t>
  </si>
  <si>
    <t>افزايش قيمت #ارز طي چند روز گذشته ناشي از طرح عدم تحويل #سكه هاي پيش فروش از سوي #مجلس، بركناري دو وزير و اعلام امادگي براي #استيضاح دو #وزير ديگر، قانع نشدن مجلس از پاسخ هاي رئيس جمهور و از همه مهمتر نبود چشم اندازي از #اينده زندگي در #ايران است.</t>
  </si>
  <si>
    <t>امير كاكايي</t>
  </si>
  <si>
    <t>https://pbs.twimg.com/media/DmPI9cqV4AAtpSG.jpg</t>
  </si>
  <si>
    <t>جالبيش اينه طرفداراش اين حجم چرندياتي كه زمان انتخابات ميگفتنو حالا نه تنها كتمان ميكنن بلكه اصلا تقصير دولت نميدونن نيست قبلا واژه #دولت_قبل رو عمه انها ترند كرد #روحاني #افشانی_استعفا #قالیباف_استعغا #احمق</t>
  </si>
  <si>
    <t>Ph.D in #Mechanical_Engineering, #Researcher, Expert in #XPS_UPS_AES techniques, I am a #Muslim, I believe in #apocalyptic_Islam. نه #اصولگرا و نه #اصلاح_طلب</t>
  </si>
  <si>
    <t>ملت رو چی فرض کرده خداییش؟ به جای راه حل برای مشکلات و حل آنها، فقط در جهت #ماله_کشی و تطهیر آقای #روحانی کار میکنه RT @hesamodin1:</t>
  </si>
  <si>
    <t>پیمان سلطانی ‏🇮🇷</t>
  </si>
  <si>
    <t>‏‏دانشجوی کارشناسی دانشگاه خوارزمی</t>
  </si>
  <si>
    <t>خب اقای #روحانی چند نفر دیگه خودشونو آتیش بزنن به خودت میای؟؟ لعنت بهتون @HassanRouhani @Eshaq_jahangiri</t>
  </si>
  <si>
    <t>Zahra Salari</t>
  </si>
  <si>
    <t>‏‏گروه رسانه‌ای ایران- در «گرا» خبرها را تصويرى بخوانيد/ شناسه کاربری گرا در دیگر شبکه‌های اجتماعی: ‎‎@GeraaMedia</t>
  </si>
  <si>
    <t>pic.twitter.com/KJikkjMBzs</t>
  </si>
  <si>
    <t>#معصومه_ابتکار: محیط‌ ورزشگاه‌ها باید به روی خانواده‌ها و به ویژه #دختران باز شود مشروح گفت‌وگوی گروه رسانه‌ای #ایران (گرا) با @ebtekarm_ir، معاون امور #زنان و #خانواده #رئیس_جمهور؛ امروز (سه‌شنبه) در رسانه ویدئویی #گرا</t>
  </si>
  <si>
    <t>گِرا</t>
  </si>
  <si>
    <t>https://pbs.twimg.com/media/DmPKbUaW0AATg4q.jpg</t>
  </si>
  <si>
    <t>جناب #روحانی حد یقف تضعیف #پول ملی کجاست؟اسب بی مهار و لگام #اقتصاد تا کجا می تازد؟ #علی_برکت_الله</t>
  </si>
  <si>
    <t>از مهمترین دستاوردهای #روحانی ریختن پوشکا تو موشکا بوده #ریت کنید برسه دستش</t>
  </si>
  <si>
    <t>http://t.me/mehdighavidell</t>
  </si>
  <si>
    <t>‏‏‏‏‏‏کارشناس حقوق، فعال رسانه‌ای؛ کانال تلگرام:⁦⬇️⁩</t>
  </si>
  <si>
    <t>این روزها حال دوستان ارزشی و حزابله عزیز دیدن دارد؛ نه از دولت راضی هستند، نه می‌توانند خواستار کنار رفتن #روحانی شوند (چون بازی در زمین دشمن تلقی می‌شود) و نه کسی را دارند که در معرض و استقبال رای مردم قرار گیرد این است عاقبت ضبط صوتان و عملگان!</t>
  </si>
  <si>
    <t>مهدی قویدل</t>
  </si>
  <si>
    <t>pic.twitter.com/DBWla35bGc</t>
  </si>
  <si>
    <t>🎥 #روحانی: در اینکه مردم با مشکلات جدیدی مواجه شده اند شکی نیست و همه ما در زندگی خود این را لمس می کنیم پس دشمن می تواند مشکل ایجاد کند، اما مثل روز روشن است که به اهدافش نمی رسد</t>
  </si>
  <si>
    <t>https://pbs.twimg.com/media/DmPGln8XsAAxRPi.jpg</t>
  </si>
  <si>
    <t>https://twitter.com/Eranico_com/status/1036890758773649414</t>
  </si>
  <si>
    <t>#روحانی: مردم خیالشان از بابت قیمت #ارز راحت باشد! RT @Eranico_com: ♨️ با کاهش ارزش پول ملی، ارزش میانگین درآمد در ایران از حدود ۴۰۰ دلار به ۱۱۰ #دلار رسید که این رقم در بین ۴ کشور آخر جهان است. 🔹این رقم حدود نصف میانگین درآمد ماهانه در کشورهایی مانند افغانستان، پاکستان و سوریه است.</t>
  </si>
  <si>
    <t>این صاحبان بیت المان سرباز خشتشون آسه واسه ما هی زیرو رو میکشن یه کاسست زیر نیم کاسه</t>
  </si>
  <si>
    <t>با این شیب کنترل بازار ارز از طرف بانک مرکزی تا ۲ ماه دیگه به دلار ۲۰ تومنی هم عادت می‌کنیم چرا ناراحتیت کسخل ها #ایران #دلار #دلار۱۳۰۰۰تومانی #بازار_ارز #ارز_دانشجویی #ارز #روحاني #دولت_تدبیر #پراید #تهران #ایرانیان</t>
  </si>
  <si>
    <t>ویویین</t>
  </si>
  <si>
    <t>pic.twitter.com/ZZsBBrPckg</t>
  </si>
  <si>
    <t>🎥#روحانی: امکان ندارد که بدخواهان ما موفق شوند ما را به قبل از سال ۵۷ برگردانند/از مشکلات عبور می‌کنیم.</t>
  </si>
  <si>
    <t>https://pbs.twimg.com/media/DmPLljMWsAAjkre.jpg</t>
  </si>
  <si>
    <t>اگر مجلس با مصلحت سنجی چشمش را بر مدرک مشکوک #روحانی نمی‌بست، #فریدون و فریدون ها جرئت گرفتن دکتری مشکوک داشتند؟!</t>
  </si>
  <si>
    <t>سلمان معمار</t>
  </si>
  <si>
    <t>داشتم دنبال این میگشتم ببنیم چرا #دلار امروز دوباره اینقدر رفت بالا، یهو ویدیو سخنرانی امروز #روحانی تو بوشهر رو دیدم...</t>
  </si>
  <si>
    <t>Büshehr</t>
  </si>
  <si>
    <t>تا دلار ۱۴۰۰۰ تومانی با #روحانی</t>
  </si>
  <si>
    <t>ـعلیـ ـشمالیـ</t>
  </si>
  <si>
    <t>‏‏‏‏جوان اول آسایشگاه بود تا اینکه من اومدم 😌😊😂😍😝 فیو، ریت، فالو و هرچیز دیگه ای از طرف هرکسی به چپمه مینویسم که نگن ننوشت</t>
  </si>
  <si>
    <t>lran</t>
  </si>
  <si>
    <t>اونچونان رونق اقتصادی ایجاد کنم که همتون جر بخورید #روحانی</t>
  </si>
  <si>
    <t>بهی</t>
  </si>
  <si>
    <t>از #روحانی مادر جنده تر و حرام زاده تر کسی هست بی نامووووووس بنفش داری چه بلایی سر ما میاری زن جنده بیچارمون کردی حرام لقمه شاشیدم تو کس ننه محمد #خاتمی با اون #تَکرار کردنش #باور_اصلاحات #به_عقب_برنمیگردیم #با_روحانی_تا_۱۴۰۰</t>
  </si>
  <si>
    <t>‏‏انسان بودن را به هر چیزی ارجح میدانم، فارغ از رنگ و نژاد و مسلک و گرایشات شخصی.</t>
  </si>
  <si>
    <t>دشمن موفق شد. #روحانی: دشمن فقط زمانی موفق می‌شود که امید و حرکت ما متوقف شود.</t>
  </si>
  <si>
    <t>‏‏‏‏‏‏کـەسـی تـێـدا نییه ئـەم شـاره بێ تـۆ</t>
  </si>
  <si>
    <t>دلار که تا دلتون بخواد میره بالا و سقفی نداره ولی سقف ما چقده؟ دلار چند بشه میخوایم یه چیزی بگیم ؟؟ چرا انقد سرسخت شدیم و حاضریم با این همه بدبختی زندگی کنیم؟؟ خلاصه بگم دلار چند بشه میریزید بیرون؟؟؟ #دلار #روحانی #حکومت_آخوندی</t>
  </si>
  <si>
    <t>شێخ ئاری 📿</t>
  </si>
  <si>
    <t>على را قدر پيغمبر شناسد/ كه هر كس خويش را بهتر شناسد/</t>
  </si>
  <si>
    <t>ببينم مگه #روحانی خيالتون از بابت #پوشک_بچه راحت باشه رو هم گفته بود؟!</t>
  </si>
  <si>
    <t>آسِد جوجه  "مباهله"</t>
  </si>
  <si>
    <t>بدین پنج روزه اقامت مناز به اندیشه تدبیر رفتن بساز #روحانی ای #دولت_بی_تدبیر ای ناامید کننده در همه چیز ای فروپاشننده ی #اقتصاد ای #دلار را قدرت بخش ای ویران کننده ی ایران و ایرانی حداقل تو برو ... زورمون به اصلی که نمیرسه😂</t>
  </si>
  <si>
    <t>توجه کردین چندوقته #روحانی کس کش هروقت گه خوری (سخنرانی) میکنه حداقل ۲-۳ بار کلمه دشمن رو بکار میبره؟ آخوند حروم زاده فکتوری ریست شده دیگه حرف از دوستی با دنیا نمیزنه چون از ترس کونشه. #کس_ننت_روحانی #کس_ننت_خامنه‌ای</t>
  </si>
  <si>
    <t>‏‏خنک آن قماربازی که بباخت هر چه بودش بنماند هیچش الا هوس قمار دیگر</t>
  </si>
  <si>
    <t>از دخترم و تمام بچه های ایران بابت رای به روحانی معذرت میخوام. از آنها بابت رای به لیست امید معذرت میخوام. از آنها بابت رای به لیست مجلس خبرگان معذرت میخوام. از آنها بابت اعتماد به خاتمی و اصلاحات معذرت میخوام. #روحاني #مجلس</t>
  </si>
  <si>
    <t>Badbadak</t>
  </si>
  <si>
    <t>#روحانی در عسلویه: دشمن فقط زمانی موفق می‌شود که امید و حرکت ما متوقف شود اینکه ما را به قبل از ۵۷ برگردانند، آرزویی است که محقق نمی شود بهره برداری ۳ واحد عظیم #پتروشیمی در یکروز، ثابت می کند که از مشکلات عبور خواهیم کرد/ بخش مهمی از پروژه های امروز در زمان تحریم انجام شده است</t>
  </si>
  <si>
    <t>http://tehrannews.ir/</t>
  </si>
  <si>
    <t>تهران نیوز پایتخت خبری ایران</t>
  </si>
  <si>
    <t>#روحانی:امکان ندارد که بدخواهان ما موفق شوند مارا به قبل از سال ۵۷ برگردانند/ازمشکلات عبور میکنیم. #به_عقبتر_برنمیگردیم</t>
  </si>
  <si>
    <t>تهران نیوز</t>
  </si>
  <si>
    <t>https://pbs.twimg.com/media/DmPPB8cUcAEj0IE.jpg</t>
  </si>
  <si>
    <t>هر دینار کویت ۴۲۵۰۰ تومان ! دیگه نگو #ایران بگو #ونزوئلا #روحانی #رهبر #اقتصاد #فقر #ریتوییت #ریت</t>
  </si>
  <si>
    <t>https://t.me/radiofarda/26492
https://t.me/radiofarda/26475
https://t.me/bir3da_net/689</t>
  </si>
  <si>
    <t>ازاینجا تشکرمیکنم ازروحانی 99/5 از انقلاب سه چهارم خیلی تشکر میکنم ازشون و میخوام این مطالب شعرهامو و این آهنگ با خانواده دل نشینشون به گوش بسپارن    با جان دل گوش بده #روحانی #انقلاب_57</t>
  </si>
  <si>
    <t>reza javanmardi</t>
  </si>
  <si>
    <t>(خبرنگار و عکاس) « سیاست ما عین دیانت ماست »</t>
  </si>
  <si>
    <t>https://pbs.twimg.com/media/DmPPgUCU4AIKfws.jpg</t>
  </si>
  <si>
    <t>وقتی دولت #احمدی_نژاد به سرازیری افتاد تمام مخالفینش با تمام توان، بیشتر به درون چاه هلش دادند. ولی مخالفین #روحانی امروز با تمام توان برای بهبود وضع مردم تلاش میکنند. حالا فرق بین #انقلابی ها و #لیبرال ها روشن شد؟ #سردار_قاسمی #حاج_حسین_یکتا #کرمانشاه #خرمشهر</t>
  </si>
  <si>
    <t>iman shojaei</t>
  </si>
  <si>
    <t>‏‏‏‏‏‏‏‏‏‏‏‏‏من گنگ خوابدیده و عالم تمام کر من عاجز از گفتن و خلق از شنیدنش/ دوستدار فعالیت سیاسی دانشجویی، شاهنامه،ریاضی،موسیقی،فیزیک،فیلم، تاریخ و فلسفه</t>
  </si>
  <si>
    <t>kermanshah،razi university</t>
  </si>
  <si>
    <t>بازم #ستاره_دار کردن دانشجویان آقای #روحانی این ستاره ها درجه نيست، مدال افتخار نیست که به دوش و سینه دانشجوها میزنند اینها تماما لکه ننگ است بر دامان شما #دانشجوی_ستاره_دار #محرومیت_از_تحصیل</t>
  </si>
  <si>
    <t>mohamadrezashirzadi</t>
  </si>
  <si>
    <t>https://pbs.twimg.com/media/DmPQBT5W0AEV2bi.jpg</t>
  </si>
  <si>
    <t>موافقت #مجلس با دو فوریت طرح تامین #کالاهای_اساسی. بازگشت به طرح #اقتصاد_کوپنی این بار بصورت الکترونیکی در توزیع اقلام مورد نیاز مردم.آیا قرار است این بار سالها #به_عقب_بازگردیم؟ بیش از یکسال از وعده #روحانی برای نفی عقب گرد با قسم ولله سالهای 84تا92دیگر تکرار نخواهد شد نمی گذرد.</t>
  </si>
  <si>
    <t>گفتند بد مدیریت کرد همه جار زدند ولی آن همه خصوصا در قم برای #دلار ۱۵۰۰۰ تومنی دعوت به سکوت می کنند چون #روحانی از خودشان بود و #احمدی_نژاد از ملت</t>
  </si>
  <si>
    <t>هيچ ام</t>
  </si>
  <si>
    <t>محض اطلاع دوستان طرح هایی که امروز #روحانى در عسلویه افتتاح مى كند به غایت کم اهمیت است. یکی اش که یکساله راه اندازى شده فقط برای اینکه #اجلاس_خبرگان را نرود ،سری بعد فکر کنم بیاد زمین فوتبال محله ی ما را افتتاح کنه. چمن هاش را تازه ریختن.</t>
  </si>
  <si>
    <t>Digital Marketing and Social Media Specialist, Content Provider</t>
  </si>
  <si>
    <t>تارگت اول ۱۵ تارگت دوم ۱۸ تارگت سوم ۲۰ اگه تو این مدت #روحانی کله نشه فقط #دلار</t>
  </si>
  <si>
    <t>mahan mousavi</t>
  </si>
  <si>
    <t>#روحانی چه بد کرد غلط کرد همه را دربدر کرد خودشو خونین جگر کرد..</t>
  </si>
  <si>
    <t>🌻خاطرات یک جنوبی🌻</t>
  </si>
  <si>
    <t>pic.twitter.com/SPXAcTOwNl</t>
  </si>
  <si>
    <t>آقاي #روحاني در مراسم افتتاح چند طرح #پتروشيمي: دشمن شايد بتواند براي ما مشکل ايجاد کند اما ديگر محال است بر ما مسلط شود</t>
  </si>
  <si>
    <t>کمپین #دعوت_از_۲۴_ملیون_برای_رای_ندادن دوستان ممنون میشم ب این کمپین ملحق بشین و همگی از اون ۲۴ ملیون بصیرت که کشور رو به این وضعیت انداختن دعوت کنیم که در انتخابات های بعدی شرکت نکنند حداقل اینجوری تاوان گناه خودشون رو بدن #دلار #دلار_۱۳۰۰۰ #روحانی #روحانی_مچکریم</t>
  </si>
  <si>
    <t>تو هر کاری بد بودی #روحانی تو مجهز کردن جهنمی در ایران رو دست نداری شیطون #گرانی #تورم #اختلاس #فقر #ایران</t>
  </si>
  <si>
    <t>‏‏تازه وارد در تویتر ‏اراجیف کثیف ذهن</t>
  </si>
  <si>
    <t xml:space="preserve">اندیشه </t>
  </si>
  <si>
    <t>https://pbs.twimg.com/media/DmPSKUjX0AAgMGJ.jpg</t>
  </si>
  <si>
    <t>پوشک گرون شده کمتر خراب کاری کن شیطون #پوشک #دلار #روحانی</t>
  </si>
  <si>
    <t>Mahdie</t>
  </si>
  <si>
    <t>همسرفرزندپدربرادر-كارشناس‌حقوق-من‌سرهنگ‌نیستم-حقوقدان‌هم‌نیستم-قدری‌حقوق‌وکمی‌فقه‌خوانده #حامی_روحانی_ام هرکه راتوفیق حق‌آمددلیل/‌عزلتی‌بگزیدورست‌از قال‌وقیل</t>
  </si>
  <si>
    <t>پروانه سلحشوری: می‌خواستم #رئیس_جمهور و #دولت رانقدکنم وگلایه‌های بحق #مردم را بیان کنم و نارضایتی جدی مردم را بگویم دیدم ایشان دربین گزینه‌های #نظارت_استصوابی بهتر به نظرمی‌رسدودرهمین مجلس به بهانه توصیه‌های #رهبری پاسخ‌های قانع‌کننده‌ای به ملت و نمایندگان ندادند #پروانه_سلحشوری</t>
  </si>
  <si>
    <t>مهدي توفيق حق🇮🇷</t>
  </si>
  <si>
    <t>https://pbs.twimg.com/media/DmPTJLLUwAEIpyA.jpg</t>
  </si>
  <si>
    <t>مجلس #خبرگان #ایران #نشست "پیگیری مطالبات" علی #خامنه_ای درباره وضعیت #اقتصادی #کشور را آغاز کرد. . خبرگان #مجلس #تهران #شهر #استان #فرسان_خبر</t>
  </si>
  <si>
    <t>‏به جز احمدی نژاد صحبت در مورد چیزای دیگه برام سخته😍</t>
  </si>
  <si>
    <t>#روحانی وارد مرحله ی جدیدی از توطئه ی بیگانگان شده ایم 🙄 خدایا بیا ما رو بخور</t>
  </si>
  <si>
    <t>خستگی ناپذیر</t>
  </si>
  <si>
    <t>چرا همه نماینده‌های مجلس اول شعر می‌خونند بعد حرف می‌زنند؟ کی بهشون گفته اینجوری نازتر به نظر میان؟ بعد تو که شعر می‌خونی فاز موفق مودب با شخصیت عالم برمی‌داری چرا سه دقیقه بعد پشت همون میکروفن به همکارت فحش میدی؟ #مجلس</t>
  </si>
  <si>
    <t>http://Shatr.blog.ir</t>
  </si>
  <si>
    <t>‏‏‏‏با تکیه بر سنت، پیِ شناختِ زمانه ی خویشم...</t>
  </si>
  <si>
    <t>اگر #رییسی رای می‌آورد واقعا چی می‌شد؟! الآن داشتیم پاسخ ۴ سال ندانم‌کاریهای اقتصادیِ دولت #روحانی رو می‌دادیم!</t>
  </si>
  <si>
    <t>امين بابازاده</t>
  </si>
  <si>
    <t>آقای #روحانی و دوستانش می گفتند ما یک خرابه تحویل گرفتیم!!! خب الان چی میخواهید تحویل بدهید؟! اصلا چیزی مونده بخواهید تحویل بدهید؟!</t>
  </si>
  <si>
    <t>#سوريه چندين سال است در جنگ به سر ميبرد و از داخل كاملاً ويران شده اما امثال #روحاني هارا ندارد،،، اگر داشت ارزش پولش هم مثل كشور ما در پايين ترين وضع موجودش قرار داشت... مسئولين محترم دولت فعلي، لطفاً #ايران را رها كنيد...</t>
  </si>
  <si>
    <t>pic.twitter.com/tCNc3Royh7</t>
  </si>
  <si>
    <t>حسن خمینی در پیام تبلیغاتی برای ریاست جمهوری #روحانی، اردیبهشت ۹۶: «اقتصاد‌دان‌های بزرگ نسبت به توانمندی دولت شهادت داده‌اند و همین جان و روح ما را مستحکم می‌کند که با رای به روحانی آینده‌ را همراه هم رقم بزنیم.»</t>
  </si>
  <si>
    <t>‏‏‏‏‏. . این سه تا رو هم بازی میکنم! فرهنگ،سیاست،فوتبال</t>
  </si>
  <si>
    <t>#روحانی :امکان ندارد که بدخواهان ما موفق شوند ما را به قبل از سال ۵۷ برگردانند/از مشکلات عبور می‌کنیم. ملت سنگر بگیرید که حسن میخواد مثل روکود از مشکلات عبور کنه!</t>
  </si>
  <si>
    <t>🇮🇷ع_س</t>
  </si>
  <si>
    <t>‏‏دِلَم به وجودتِ گرمِ الله الله الله الله الله</t>
  </si>
  <si>
    <t>ایران،فارس،شیراز،محله دینکان</t>
  </si>
  <si>
    <t>#روحانی:امکان ندارد که بدخواهان ما موفق شوند ما را به قبل از سال ۵۷ برگردانند بله حاجی میدونیم؛ خودت قشنگ ما رو بردی ۱۰۰ سال قبل و اجازه نمیدی که بدخواهان ما رو به سال ۵۷ برگردونن حاجی برگردون کی بودی</t>
  </si>
  <si>
    <t>امین دینکانی</t>
  </si>
  <si>
    <t>صفحه رسمی چندرسانه‌ای خبرگزاری #ایسنا #عکس #ویدئو #مولتی‌مدیا #مالتی‌مدیا #photo #video #multimedia 🇮🇷 #Iran</t>
  </si>
  <si>
    <t>https://pbs.twimg.com/media/DmPUXJ5XgAAchRh.jpg</t>
  </si>
  <si>
    <t>http://www.isna.ir/photo/97061306603</t>
  </si>
  <si>
    <t>سفر رییس جمهور به عسلویه سه پروژه پتروشیمی در عسلویه توسط رئیس‌جمهور حسن روحانی سه شنبه ۱۳ شهریور افتتاح شد.  #روحانی #رییس_جمهور #عسلویه #پتروشیمی #ایران</t>
  </si>
  <si>
    <t>ISNAMEDIA</t>
  </si>
  <si>
    <t>کارشناس شبکه های کامپیوتری و مخابراتی</t>
  </si>
  <si>
    <t>https://twitter.com/hadpiri/status/1027465400563318784?s=19</t>
  </si>
  <si>
    <t>آب که از سر بگذره چه یک وجب چه صد وجب... #دلار تاریخ ساز شد #یورو #روحانی #تا1400 #همتی RT @hadpiri: قشنگ از مصاحبه خوبه #ریس_جمهور معلوم بود امروز #دلار و #سکه و #طلا و... کارشون به اینجا میکشه 🏃🏃🏃🏃 حالا وقت هست #تا1400 😉</t>
  </si>
  <si>
    <t>توییت بعدی #تاجزاده مقام رهبری باید پاسخگوی کمبود #پوشک_بچه باشد. دولت #روحانی تا دولت پنهان وجود دارد نمیتواند مشکل #پوشک را حل کند #برجام_پوشکی</t>
  </si>
  <si>
    <t>تفکر کن...</t>
  </si>
  <si>
    <t>#احمدي_نژاد هر چی بود از #روحانی و #خاتمی با شرف تر و با ناموس تر بود روباه زن جنده هیچ گوهی برای اقتصاد کشور نمیخوره</t>
  </si>
  <si>
    <t>https://pbs.twimg.com/media/DmPVSyfWwAEIHmB.jpg</t>
  </si>
  <si>
    <t>https://bit.ly/2CghwML</t>
  </si>
  <si>
    <t>#سعید_لیلاز در گفت‌وگو با #یورونیوز: مسئولیت وضعیت فعلی متوجه #روحانی است بیشتر بخوانید ◀️  ✍️@iranbaan</t>
  </si>
  <si>
    <t>#روحانی گفته همه ما در زندگی مشکلات رو لمس می‌کنیم ما مردم از شما عذرخواهی می‌کنیم که باعث شدیم شما مشکلات رو لمس کنی آقای رئیس‌جمهور 😐</t>
  </si>
  <si>
    <t>http://mcaf.ee/o8ulm0?omid_1396</t>
  </si>
  <si>
    <t>#No2Liberalism آنتی لیبرالیسم /‏دهه شصتی،علاقه مند به انقلاب اسلامی/فالو شده توسط پابرهنه ها/الان از هر لحاظ قوی ترین رهبر دنیا رو داریم،بیاید یاریش کنیم</t>
  </si>
  <si>
    <t>بلاد بلا</t>
  </si>
  <si>
    <t>https://twitter.com/padash_mr/status/1036899541444902912</t>
  </si>
  <si>
    <t>شیخ خود را در پیشگاه خبرگان پاسخگو نمیداند. شیخ خود را در پیشگاه مردم پاسخگو نمیداند. شیخ خود را در پیشگاه مجلس پاسخگو نمیداند. شیخ خود را در پیشگاه رهبری پاسخگو نمیداند. آیا شیخ خود را در پیشگاه خدا پاسخگو میداند ؟! #روحانی RT @padash_mr: پنجمین اجلاسیه خبرگان با غیبت آیت الله شاهرودی و آقای روحانی همراه بوده؛ آقای شاهرودی که بخاطر بیماری غیبتشون موجه هست اما آقای روحانی "یکباره" تصمیم گرفتن برای افتتاح چندپروژه پتروشیمی تشریف ببرن عسلویه جدی آقای روحانی چرا همه چیز به پاشنه کفششه از مردم گرفته تا جلسات مهم کاری؟!</t>
  </si>
  <si>
    <t>بچه ایران  🇵🇸 🇮🇷 عزیز</t>
  </si>
  <si>
    <t>روحانی: در اینکه مردم با مشکلات جدیدی مواجه شده‌اند، شکی نیست و همه ما در زندگی خود این را لمس می‌کنیم. آقای #روحانی شما اگه مشکلات رو لمس میکردین امروز جای اون مرد خودتون رو آتیش میزدین.</t>
  </si>
  <si>
    <t>معیار همه چیز انسان است/پرچم سیاه من از عزای وطن است/از مرگ آزادی در وطنم عزادارم</t>
  </si>
  <si>
    <t>شکستان</t>
  </si>
  <si>
    <t>#روحانی کلا با کُد حرف میزنه اینکه گفته به قبل از سال 57 برنمی‌گردیم یعنی برنامه‌هایی داره برای بازگشت و ایجاد آزادی‌هایی شبیه قبل از سال 57 و جلب رضایت نظر #براندازم ها و گسترش دایره‌ی نفوذش در کشور بعد از مرگ #خامنه‌ای</t>
  </si>
  <si>
    <t>🏴سفسطه‌گر🏴</t>
  </si>
  <si>
    <t>‏‏‏من از خدایی نیستم که بنده اش را از اندیشیدن باز می دارد</t>
  </si>
  <si>
    <t>https://pbs.twimg.com/media/DmPXeQZWwAAB9UR.jpg</t>
  </si>
  <si>
    <t>#روحانی #ارباب_وعده روحانی بعد از اینکه کلید حل مشکلات رو ناکارآمد دونست اون رو به چوب لباسی تبدیل کرد تا حداقل یک فایده داشته باشد</t>
  </si>
  <si>
    <t>رعیت زاده</t>
  </si>
  <si>
    <t>شنیده های درگوشی و پشت دری حاکی از آن است که: #دلار۱۳۰۰۰تومانی تا اواسط مهر قرار است به #دلار30000تومانی تبدیل گردد. افسانه #دلار با بازی #روحانی</t>
  </si>
  <si>
    <t>http://instagram.com/maj_021</t>
  </si>
  <si>
    <t>ادامه داریم هنـــــوز... از کربلا تا به امـــــروز...</t>
  </si>
  <si>
    <t>باافتخار جمهوری اسلامی ایران</t>
  </si>
  <si>
    <t>https://pbs.twimg.com/media/DmPXfdSW4AAVWbZ.jpg</t>
  </si>
  <si>
    <t>داداش!! #سکه رو بنداز اینجا ده دقیقه بازی کن...😂😂 #طنز #روحانی #جنگنده #کوثر</t>
  </si>
  <si>
    <t>Mostafa AhmadiJaberi</t>
  </si>
  <si>
    <t>تا توانی به جهان خدمت محتاجان کن به دَمی یا دِرَمی یا قلمی یا قدمی</t>
  </si>
  <si>
    <t>https://pbs.twimg.com/media/DmPXOK7W4AAxOIn.jpg</t>
  </si>
  <si>
    <t>#روحانی هم پیر شد تو این 5 سال. پیر نشو لعنتی پیر نشو! #ميرحسين_موسوي #حصر_در_قصر</t>
  </si>
  <si>
    <t>طنزنده 🇮🇷</t>
  </si>
  <si>
    <t>‏‏پاك خواهيم شد از صحنه روزگار و مباد، روزگاري كه به آلودگي ما آراسته است.</t>
  </si>
  <si>
    <t>in myself</t>
  </si>
  <si>
    <t>#روحانی: اینکه ما رابه قبل از۵۷برگردانند،آرزویی است که محقق نمی‌شود. اینو راست گفته، با گندی که اینا زدن هزار سال طول میکشه تازه بشه قبل 57</t>
  </si>
  <si>
    <t>علیه خدافظ</t>
  </si>
  <si>
    <t>ورود عرازشه و مجاهد ممنوع!</t>
  </si>
  <si>
    <t>۱۰سال پیش #احمدي_نژاد به این جماعت ساده لوح ثابت کرد: #رجایی اگه به درررک واصل نشده بود قرار بود چه گندی به زندگی مردم بزنه! امروز هم عملکرد #روحاني گویای همین نظره که #ميرحسين_موسوي تون هم هیچ گوهی نبود اینقدر بزرگش کردین! #براندازم #مير_شما_به_مير_ماست #IslamicRegimeMustGo</t>
  </si>
  <si>
    <t>Ravani</t>
  </si>
  <si>
    <t>http://meisam1285.blogfa.com</t>
  </si>
  <si>
    <t>‏journalist | reformist | idealist</t>
  </si>
  <si>
    <t>#لیلاز: چوب در این شرایط بهتر عمل می‌کرد تا #روحاني .</t>
  </si>
  <si>
    <t>meisam qahvechian</t>
  </si>
  <si>
    <t>https://twitter.com/rezarashidpour/status/1036732068489822214</t>
  </si>
  <si>
    <t>- پس خیالمون از بابت #دلار راحت باشه؟ +بله - 🤓 #روحانی #رشیدپور RT @rezarashidpour: یک دلار، "صد و سی هزار" برابر یک ریال شده. برای درک ریاضی موضوع توجه کنیم که قطر خورشید "صد" برابر قطر کره زمین است.</t>
  </si>
  <si>
    <t>فعلا که هستیم</t>
  </si>
  <si>
    <t>نماینده #مجلس می‌گه: «به #خدا پناه می‌برم و خطابم را مقام #رهبری قرار می‌دهم.» قدیما مردم پیامبر و ائمه رو واسطه می‌کردن که با خدا حرف بزنن، الان شما بخوای با رهبری حرف بزنی مجبوری خدا رو واسطه قرار بدی!</t>
  </si>
  <si>
    <t>ح‌دا</t>
  </si>
  <si>
    <t>#دلار ۱۴۰۰۰ تومن یعنی چی ؟ یعنی اگر اسفند ۹۶ در آمد دو میلیون تومن بوده در آمدت در شهریور ۹۷ به نسبت میشه ۵۰۰ هزار تومان مرسی جناب #روحانی</t>
  </si>
  <si>
    <t>‏‏‏‏‏‏‏‏‏‏‏‏‏‏‏‏‏‏‏(چندقطره ازخونم درخاک پاک مهران جا مانده است) ٭نه این وری ام ، نه اون وری ام٭ ٭یک انقلابیِ حیدری ام٭ فارغ التحصیل دانشگاه صنعتی شریف</t>
  </si>
  <si>
    <t>https://pbs.twimg.com/media/DmPZPHcWsAAMOVk.jpg</t>
  </si>
  <si>
    <t>سعیدلیلاز به #یورونیوز:مسئولیت وضعیت فعلی متوجه #روحانی است.</t>
  </si>
  <si>
    <t>قلاویزان(نقطه ایثار)</t>
  </si>
  <si>
    <t>pic.twitter.com/Co9G5njaDF</t>
  </si>
  <si>
    <t>ما را اصلاح خواهند کرد بهروز نعمتی عضو #مجلس: همکاران گرامی، امروز باید از امورات اختلافی پرهیز نمود و باید قبول کنیم همه در درون یک کشتی هستیم. ایرادات جدی در عملکرد 40 ساله ما وجود داره و باید اصلاح بشود و اگر اصلاح نکنیم دیگران ما را اصلاح خواهند کرد #براندازم</t>
  </si>
  <si>
    <t>«براساس اسنادموجود، مشایی، گزینه اصلی هیئت حاکمه آمریکا، دولت انگلیس و رژیم صهیونیستی برای انتخابات ریاست‌جمهوری۱۳۹۲ بوده است پس #مشایی باعث شده #روحانی بشه رئیس جمهور ؟</t>
  </si>
  <si>
    <t>pic.twitter.com/J57AkbdgFw</t>
  </si>
  <si>
    <t>https://twitter.com/P_Salahshouri/status/1036873560936079360</t>
  </si>
  <si>
    <t>کاش مرکز پژوهش ها تحقیق کنه ببینه تا حالا چند مرتبه از فردوسی شعر خوانده شده در #مجلس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</si>
  <si>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‏‏‏‏‏‏‏‏‏‏‏‏‏‏یک ‎‎‎‎‎‎‎‎‎‎‎‎‎‎#انقلابی مجاهد در همه عرصه‌ها ‌ ‌ ‌ ‌ ‌ ‌ ‌ [و من عشقني عشقتهُ و من عشقتـُهُ قتلتهُ فمن قتلتهُ فعلي دی‍‍ة]</t>
  </si>
  <si>
    <t>https://pbs.twimg.com/media/DmMm0PTXoAMcCpk.jpg</t>
  </si>
  <si>
    <t>https://twitter.com/A_poormasood/status/1036715027141742594</t>
  </si>
  <si>
    <t>آزادیه بیان به سبک #روحانی دولت یا جلوی #دکترسلام رو میگیره یا جلوی آقای #پور_مسعود حمایت= @A_poormasood RT @A_poormasood: سخنرانی امروز(۱۲ شهریور) بنده با حضور مردم در شهر #ارومیه با فشار دوستان #دولتی لغو شد #آزادی_بیان</t>
  </si>
  <si>
    <t>ابومحمود🇮🇷</t>
  </si>
  <si>
    <t>‏‏‏منتظر ظهور امام خوبی ها غدیری ام</t>
  </si>
  <si>
    <t>Teh</t>
  </si>
  <si>
    <t>https://twitter.com/MasoudFadak/status/1036659071703834625</t>
  </si>
  <si>
    <t>کاملا درسته این توییت وگرنه با این همه مشکلات به وجود آمده حداقل یک تلاشی هر چند نمایشی انجام می داد گویا کاملا راضیه از شرایطی که ایجاد کرده🤔 #دولت_پوشکی #روحانی RT @MasoudFadak: از #دلار۱۳۰۰۰تومنی اصلا تعجب نکنید، _ #روهانی دقیقا داره بر اساس ماموریتش مبنی بر #تجزیه_ایران پیش میره، یعنی همون چیزی که بنده از پنج سال پیش در موردش هشدار میدادم، اما می گفتن فلانی‌ تندروئه و از ما نیست. _حالا هم برید‌ و ببینید کسانی‌که از شما هستند چی میگن!!!</t>
  </si>
  <si>
    <t>Dina banoo🇮🇷🇮🇷🇮🇷</t>
  </si>
  <si>
    <t>+این از #رئیس_جمهور که با فریب وتکرار تحمیل کردید +این از #لیست_امید که هرتوقعی هست غیر ازامید خدمت به مردم +این از #شورای_شهر بااین همه حواشی ومعرفی شهردار +اینم از #شهرداری_تهران که یک روز گوش پسربچه میبرند، یک روز ازدست شماخودسوزی میکنند _لطفاحرف نزنید که بوش همه جا رابرداشته</t>
  </si>
  <si>
    <t>#روحانی : محال است بدخواهان بتوانند ما را به ۴۰ سال قبل برگردانند ملت ایران هیچ وقت دست خود را به سوی کسی برای نان دراز نمی کنند محال است بگوییم اشتباه کردیم که می‌خواهیم در منطقه تاثیرگذار باشیم نفسش از جای گرم بلند میشه، ارزش پول ملی ۳۰۰٪ افت کرده، مردم گرسنه اند ...#دلار #یورو</t>
  </si>
  <si>
    <t>hesam bidmeshk</t>
  </si>
  <si>
    <t>من‌ تقدس ‌را‌ زیاد نمی پسندم ؛ آنچه برایم جالب است انسان بودن است✌🏼</t>
  </si>
  <si>
    <t>با کاهش ارزش پول ملی، ارزش میانگین درآمد در ایران به ۱۱۰دلار رسید که این رقم در بین ۴ کشور آخر جهان است این رقم حدود نصف میانگین درآمد ماهانه در کشورهایی مانند افغانستان، پاکستان و سوریه است !!! #روحانی #خودمان_انتخاب_کردیم #دلار #ایران #کو_عدل_علی</t>
  </si>
  <si>
    <t>Elsolito</t>
  </si>
  <si>
    <t>pic.twitter.com/Ccs64ZERL4</t>
  </si>
  <si>
    <t>#روحانی در مراسم افتتاح پروژه‌های #پتروشیمی در #عسلویه: دشمن می‌تواند برای ما مشکل درست کند، ولی این که #دشمن به اهدافش نمی‌رسد نیز مثل روز روشن است</t>
  </si>
  <si>
    <t>pic.twitter.com/T2PJypXbtY</t>
  </si>
  <si>
    <t>جنتی، تنفر مردم از #خامنه‌ای احمد #جنتی:‌ مسئله ای که الان گرفتارش هستیم اینست که نابسامانی‌های مملکت را به پای خامنه‌ای می گذارند، انگار #مجلس و دولت بیکاره هستند. #اروپا در مسائلی مثل قدرت موشکی ما، همان راهی را می رود که آمریکا رفته است پس اعتماد به شیطان بزرگ اشتباه است</t>
  </si>
  <si>
    <t>تازه متوجه شدم که چرا #ارزشی ها به #روحانی میگفتن #بنی_صدر #به_عقب_برنمیگردیم #با_روحانی_تا_۱۴۰۰ #باور_اصلاحات</t>
  </si>
  <si>
    <t>#روحانی: آرزوی بازگشت به قبل از ۵۷ را به گور می‌برند. ما به جلو به پیش می‌رویم #دلار رکورد جدید 14.160 تومن</t>
  </si>
  <si>
    <t>🕕 🏳️ساعت براندازان</t>
  </si>
  <si>
    <t>http://payamema.ir</t>
  </si>
  <si>
    <t>دبیر تحریریه روزنامه پیام ما</t>
  </si>
  <si>
    <t>https://twitter.com/rezaebadizade/status/995634886445711360</t>
  </si>
  <si>
    <t>نطق امروز #سلحشوری تو #مجلس خیلی خوب بود. RT @rezaebadizade: فاطمه سعیدی، پروانه سلحشوری و طیبه سیاوشی بعضا اینقدر خوب تو #مجلس حرف می‌زنند که می‌گم کاش سهم #زنان در مجلس بیشتر بود.</t>
  </si>
  <si>
    <t>RezaEbadizade</t>
  </si>
  <si>
    <t>‏‏‏‏‏‏‏کارشناسی سرامیک و رایانه، فارغ از هر فرقه و حزبی.انسانـــــم آرزوست.همشهری سید محمد خـــــاتمـــــی . در ضمن پرسپولیسی ام❤️</t>
  </si>
  <si>
    <t>#روحانی :نمی توانند ما رابه قبل سال ۵۷ برگردانند. جناب رییس جمهور ۵۷ پیشکش، اینجور که داره پیش می ره احتمالا برگردیم به دوران حمله مغول ها .!😯 @Rouhani_ir</t>
  </si>
  <si>
    <t>🇮🇷حميدرضا مرادی🇮🇷</t>
  </si>
  <si>
    <t>یکی ازآرزوهای زندگیم اینه که باخفت رفتن #روحانی روببینم؛کسی که جوونی منوملیونوهاجوون دیگه روبخاطرقدرت طلبیش به فناداد</t>
  </si>
  <si>
    <t>#رئیس_جمهور فرمودند من هم مثل #مردم #مشکلات جدید را لمس می کنم باور بفرمایید شما وتیمتان لمس که هیچ،فکرشم نمی کنید. #تا1400 فسیل می شویم</t>
  </si>
  <si>
    <t>یکی از فدائیان انقلاب اسلامی</t>
  </si>
  <si>
    <t>اللهم عجل لولیک الفرج</t>
  </si>
  <si>
    <t>#دلار به مرز ۱۴ هزار تومان رسید. #دولتِ کاسب بلای جان اقتصاد کشور شده. #نمایندگان مردم در #مجلس کجای این بیزینس خطرناکند؟</t>
  </si>
  <si>
    <t>نسیم</t>
  </si>
  <si>
    <t>https://goo.gl/c4g83u</t>
  </si>
  <si>
    <t>#رادیوامید: سخنان امروز #روحانی در #عسلویه: ان‌شاءالله با تلاش همه ملت ایران از مشکلات عبور می‌کنیم!!</t>
  </si>
  <si>
    <t>pic.twitter.com/w2SoCSBiiZ</t>
  </si>
  <si>
    <t>#رئیس_جمهور در مراسم افتتاح طرح‌های بزرگ #پتروشیمی در #عسلویه: برخی از طرح‌هایی که امروز افتتاح شد در دوران تحریم شروع شد و در دوره‌ای افتتاح می‌شود که دشمن در فکر #تحریم جدید است هدف #دشمن، ناامید کردن ماست</t>
  </si>
  <si>
    <t>‏‏‏‏‏‏‏‏ناشر اکاذیب، تشویشگر اذهان عمومی، روزماله‌نگار، ژورمالیست، غیرفعال رسانه‌ای، کارنشناس اجتماعی فرهنگی سیاسی ورزشی هنری فوتبالی اقتصادی علمی تاریخی و ...</t>
  </si>
  <si>
    <t>پروانه سلحشوری نماینده تهران در نطق امروزش در #مجلس گفته: راه برون رفت از وضعیت فعلی «برگزاری رفراندوم» است! یعنی الان رفراندوم برگزار بشه یهو کل بازار پر میشه از پوشک! قیمت پوشک نصف میشه! دلار میشه پنج تومن! سکه یک میلیون! و روحانی هم به وعده‌هاش عمل میکنه!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</si>
  <si>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احسان چراغی</t>
  </si>
  <si>
    <t>با این وضع دیگه نمیشه تحمل کرد، #روحانی بیا بریم استخر فرح غرق بازی</t>
  </si>
  <si>
    <t>آقای #مجلس ، این همه #منطقه_آزاد_تجاری میخواهیم چه کنیم؟ همونایی هم که داریم، نظارت درستی بهش حاکم نیست.</t>
  </si>
  <si>
    <t>tehroon-rasht</t>
  </si>
  <si>
    <t>مملک تو بعده ۴۰ سال دارین کپنی میکنین ....تف به شرافتتون آشغال ها.... #روحاني #خامنه‌ای #نمایندگان @Majlis_ir @Dr_Rohani @khamenei_ir</t>
  </si>
  <si>
    <t>Abbas Ghafourian</t>
  </si>
  <si>
    <t>تا دیروز وعده تامین موشک برای پرتاب #ماهواره_امید وعده نوبت دهی برای پرتاب ماهواره #سفیر ! وعده سوخت رسانی به 200 هزار #سانترفیوژ امروز وعده تامین #پوشک ! دیروز واقعی ، امروز وعده توهمی ! #احمدینژآد #روحانی تفاوت همینقدر تباه پوچ! رئیس جمهور یه مشت سیلبریتی بیسواد همین میشه</t>
  </si>
  <si>
    <t>دختري كه نميدونست اينجا چيكار ميكنه!</t>
  </si>
  <si>
    <t>#روحاني گفته دشمن فقط زماني موفق ميشود كه اميد و حركت ما متوقف شود:) فقط كم مونده بريم تو قبر بخوابيم تا باورش شه هيچ اميدي ني!</t>
  </si>
  <si>
    <t>اسمم مگه مهمه!</t>
  </si>
  <si>
    <t>https://pbs.twimg.com/media/DmPUZLdXoAAOiuS.jpg</t>
  </si>
  <si>
    <t>https://twitter.com/saeedazad200/status/1036905881202581504</t>
  </si>
  <si>
    <t>آقای #روحاني این تن بمیره دیگه قبول کن الان از مرحله آسیب گذر کردیم و وارد مرحله تهدید شدیم. RT @saeedazad200: 💢گزارشی از آخرین قیمت دلار – ۱۳شهریور ۹۷ 💰سکه: ۴ میلیون و ۶۲۰ هزار تومان 💶یورو: ۱۶۷۰۰ تومان 💵دلار: ۱۳۸۰۲ تومان</t>
  </si>
  <si>
    <t>‏‏‏‏‏حقیقت جو ، عدالت جو ، برای مقابله با دروغ همه کاری میکنم</t>
  </si>
  <si>
    <t>اینکه الان #دولت و #مجلس نسبت به وضع موجود سکوت کردن و فقط نتیجه ی یک اشتباه هست اونم نتیجه مخالفت با #رهبری و ادامه #سیاست #لیبرال الان بنظرم مجلس باید یه حرکتی بزنه دولت هم گند نزنه به ذخایر ارزی و ذخایر طلای کشور</t>
  </si>
  <si>
    <t>نوکر</t>
  </si>
  <si>
    <t>زمان محموداینقدر زود نمی رفت رو قیمت حسن دیدیی چی کار کردی حسن #روحانی #دلار۱۴۰۰۰تومانی #دلار #ارز_دانشجویی #یورو۱۷۰۰۰ #ایران #تهران #جهانگیری</t>
  </si>
  <si>
    <t>https://www.jamaran.ir/%D8%A8%D8%AE%D8%B4-%D9%BE%D8%B1%D9%88%D9%81%D8%A7%DB%8C%D9%84-182/1004925-%D9%86%D9%87%D8%A7%D8%AF%D9%87%D8%A7%DB%8C-%D9%86%D8%B8%D8%A7%D9%85%DB%8C-%D8%A8%D9%87-%D9%BE%D8%A7%D8%AF%DA%AF%D8%A7%D9%86-%D9%87%D8%A7-%D8%A8%D8%B1%DA%AF%D8%B1%D8%AF%D9%86%D8%AF-%D8%A2%D9%82%D8%A7%DB%8C-%D8%B1%DB%8C%DB%8C%D8%B3-%D8%AC%D9%85%D9%87%D9%88%D8%B1-%D8%A8%D8%A7-%D8%A7%D8%A8%D8%B1-%D8%A8%D8%AD%D8%B1%D8%A7%D9%86-%D9%87%D8%A7-%D8%AF%D8%B1%DA%AF%DB%8C%D8%B1%DB%8C%D9%85-%D9%87%D9%85%D9%87-%D9%87%D9%85-%D9%85%DB%8C-%D8%AF%D8%A7%D9%86%D9%86%D8%AF-%D9%81%DB%8C%D9%84%D9%85</t>
  </si>
  <si>
    <t>نطق ماندگار #پروانه_سلحشوری در جلسه امروز #مجلس: - نظامیان به پادگانها برگردند. - #حصر رفع شود. - مشکل #نظارت_استصوابی حل شود. #رهبر به #تغییرات کمک کند.</t>
  </si>
  <si>
    <t>به نظرت کسی که بهار با۲نفره و اون۲تافکر می‌کنن با یکیشونه، تابستون با۲نفر دیگس، و هر فصل ۲تا ۲تا عوض می‌کنه، حق داره درباره‌ی #دلار،#طلا،#پوشک و #روحانی اظهار نظر کنه؟ به نظر من حق داره؛ درسته که آدم نیست،اما خب #شهروند که هست. روحانی هم فصلی حرفشو عوض می‌کنه،اما رئیس‌جمهورمونه</t>
  </si>
  <si>
    <t>pic.twitter.com/mLj6mhHrV2</t>
  </si>
  <si>
    <t>#پروانه_سلحشوری، نماینده #مجلس: جناب رئیس جمهور؛ فعلا با ابر چالش‌ها درگیر هستیم و همه می‌دانند.</t>
  </si>
  <si>
    <t>https://pbs.twimg.com/media/DmPgfEzW0AEyQdy.jpg</t>
  </si>
  <si>
    <t>آنچنان رونقی ایجاد کنم که اصلا 45 هزارتومان به کار ملت نیاد چون باهاش هیچ چیزی نشه خرید!!! #روحانی</t>
  </si>
  <si>
    <t>روحانی: امکان :13000 ندارد13200 دشمنان 13300 ما13400 پیروز13800 شوند13900 (گلویش را صاف میکند)14000 #دلار۱۴۰۰۰تومانی #روحانی #خودسوزی</t>
  </si>
  <si>
    <t>همون جایی که آهو بچه کرده</t>
  </si>
  <si>
    <t>#دلار ۱۴۴۰۰ کص ننه #روحانی</t>
  </si>
  <si>
    <t>اوس سعید عبدولی</t>
  </si>
  <si>
    <t>pic.twitter.com/VXXMcI0WuQ</t>
  </si>
  <si>
    <t>#پروانه_سلحشوری، نماینده #مجلس: مگر می‌شود به گروهی که سه گانه قدرت، ثروت و نیروی نظامی را با هم دارند، اعتراض کرد.</t>
  </si>
  <si>
    <t>من در اين آبادي‌، پي چيزي مي گشتم‌: پي خوابي شايد، پي نوري‌، ريگي‌، لبخندي‌..</t>
  </si>
  <si>
    <t>https://pbs.twimg.com/media/DmPhkVdW0AA6W-W.jpg</t>
  </si>
  <si>
    <t>جشن کاهش قیمت #پراید از 42 میلیون به 35 میلیون:)) #ایران #روحانی #دلار</t>
  </si>
  <si>
    <t>Bazgashte</t>
  </si>
  <si>
    <t>pic.twitter.com/WVmXTlqeBS</t>
  </si>
  <si>
    <t>#پروانه_سلحشوری، نماینده #مجلس: دغدغه امروز برخی روحانیون به‌جای اینکه فقر، فساد و اختلاس بیت‌المال باشد، تار موی زنان است.</t>
  </si>
  <si>
    <t>pic.twitter.com/DoQq7mSPU9</t>
  </si>
  <si>
    <t>اگر توافق #برجام نبود چه میشد؟!!! #ظریف #اوباما #ترامپ #روحانی #جان_کری</t>
  </si>
  <si>
    <t>«دشمنان می‌خواهند ما را تسلیم کنند تا استقلال خود را کنار بگذاریم» حسن #روحانی: امروز ما وارد مرحله جدیدی برای مقابله با توطئه بیگانگان شده‌ایم، مقابله با کسانی که می‌خواستند جلو پیشرفت انقلاب را بگیرند، اما در این شرایط پیچیده اقتصادی، نفت و محصولات پتروشیمی تولید و صادر می‌کنیم</t>
  </si>
  <si>
    <t>1993 📷📕🍵</t>
  </si>
  <si>
    <t>اون موقع ک گفت ما نیازِ اولیه شمارو تأمین می کنیم چرا کسی نپرسید تعریفش از نیاز اولیه چیه؟ #ايرانِ_من #روحانی</t>
  </si>
  <si>
    <t>Memento-mori</t>
  </si>
  <si>
    <t>گفت: #روحانی خیلی خوبه،نمیذارنش کار کنه! تو دلم گفتم: چنین مردمی را چنان رئیس جمهوری باید!</t>
  </si>
  <si>
    <t>چندسال پیش که مقام معظم رهبری فرمودند ما در یک پیچ تاریخی مهم هستیم خبر نداشتیم وسطای پیچ، آقای #روحانی کاری با مملکت میکنه که همه #پوشک واجب بشن! من یکی اگه خبر داشتم نمی پیچیدم و مستقیم میرفتم واللا بخدا</t>
  </si>
  <si>
    <t>‏‏‏‏‏‏‏‏‏‏‏‏‏‏‏‏ایرانی دلسوخته بریده از اصلاحات امیدوار به تغییر علاقه مند به ادبیات_ آذر ماهی مرز ۶۰ و ۷۰ ¦| پرسپولیس🔴 فالو=فالوبک</t>
  </si>
  <si>
    <t>یه زمانی دلار روزانه ۱۰ تومن ۱۰ تومن گرون می شد بعد شد ۱۰۰ تومن ۱۰۰ تومن الان ۱۰۰۰ تومن ۱۰۰۰ تومن من از مرحله بعدی وحشت دارم از پنجشنبه گذشته تا امروز ارزش پولمون و دارایی جونمون نصف شده هنوز به آخر هفته هم نرسیدیم واکنش #روحاني مردم نگران نباشند #IranRegimeChange</t>
  </si>
  <si>
    <t>خسته اما امیدوار... امیدوار به تغییر</t>
  </si>
  <si>
    <t>‍ #روحانی: وارد مرحله جدیدی از توطئه بیگانگان شده ایم. نه داداش من, شما تو همون مرحله اول ریدی و گیم آور شدی.</t>
  </si>
  <si>
    <t>فردای روشن هستم</t>
  </si>
  <si>
    <t>https://twitter.com/ManotoNews/status/1036921636732190721</t>
  </si>
  <si>
    <t>خنده ی حضار.... 😂😂😂😂😂😂😂😂😂😂 #روحانی احمق #خامنه‌ای ابله @Rouhani_ir @Khamenei_fa RT @ManotoNews: «دشمنان می‌خواهند ما را تسلیم کنند تا استقلال خود را کنار بگذاریم» حسن #روحانی: امروز ما وارد مرحله جدیدی برای مقابله با توطئه بیگانگان شده‌ایم، مقابله با کسانی که می‌خواستند جلو پیشرفت انقلاب را بگیرند، اما در این شرایط پیچیده اقتصادی، نفت و محصولات پتروشیمی تولید و صادر می‌کنیم</t>
  </si>
  <si>
    <t>حالا کی گفته که ما میخوایم برگردیم ۵۷؟!!! ۵۷ اگه گل و بلبل بود که کشور نمیریخت به هم که بعدش انقلاب شه نخیر جناب #روحانی ما میخوایم به جلو حرکت کنیم و کشوری بسازیم پیشرفته و آزاد و بر مبنای دموکراسی</t>
  </si>
  <si>
    <t>Ex-muslim, Islamophobe, Atheist</t>
  </si>
  <si>
    <t>Occupied Iran</t>
  </si>
  <si>
    <t>حسن #روحانی تو رییس جمهور سوییس نیستی تو رییس جمهور ونزوئلا شمالی هستی!</t>
  </si>
  <si>
    <t>Kevin</t>
  </si>
  <si>
    <t>بی شعور و بی منطق از هر نوعش بلاک میشه. واسه فالوبک فالو نکن. ازمطالبت خوشم بیاد فالو میکنم.</t>
  </si>
  <si>
    <t>وحشت آباد</t>
  </si>
  <si>
    <t>این #دولت باعث شد بفهمیم #رئیس_جمهور و #مجلس هرکی باشن، وضع #زندگی مارو رئیس جمهور #آمریکا مشخص میکنه.همون آمریکایی که هیچ غلطی نمیکنه. تا اوباما بود همه چی اوکی بود، دوران بوش تخماتیک و ترامپ هم اینجور. #دلار۱۴۰۰۰تومانی #دلار #تابستان_نارضایتی #تابستان_سیاه #برانداز</t>
  </si>
  <si>
    <t>khosro shahani🤬🤬🤬</t>
  </si>
  <si>
    <t>pic.twitter.com/k6n5auhUZl</t>
  </si>
  <si>
    <t>👆ببینید با چه سطح دغدغه‌ای نماینده‌ها را به #مجلس فرستاید؟ @sarbazane_gomnam 🔴نماینده لیستی تهران برای مشکلات فعلی راهکار داده: انحلال #سپاه در امور اجرائی آزادی #کروبی و #موسوی آزادی #زندانیان_سیاسی #صداوسیما به بخش خصوصی واگذار شود #پروانه_سلحشوری</t>
  </si>
  <si>
    <t>خدا شاه ميهن | مليگراي #مشروطه خواه | ليبرال محافظه كار | #شاه_چي</t>
  </si>
  <si>
    <t>سرزمينهاي ايرانشهري</t>
  </si>
  <si>
    <t>https://twitter.com/tahlilgaran/status/1036908719009869827</t>
  </si>
  <si>
    <t>صادقانه ميگويم . بله ! من اشتباه كردم به #روحاني راي دادم، به خيال اين كه با ندادن هزينه ميشود #ايران اندكي جاي بهتري كرد ، اقاي @Rouhani_ir فكر نكن راي كه به تو داده شده حكم چك سفيد امضاست ، پايش بيفتد از اريكه قدرت ميكشيمت پايين و اين تو هستي كه در تاريخ دفن خواهي شد #پشيمان RT @Tahlilgaran: روحانی: آرزوی بازگشت به قبل از ۵۷ را به گور می‌برند. ما به جلو به پیش می‌رویم دلار رکورد جدید ۱۳۶۰۰</t>
  </si>
  <si>
    <t>رٌنِسـانس ايرانی</t>
  </si>
  <si>
    <t>http://t.me/varzeshnamezanan</t>
  </si>
  <si>
    <t>‏‏بدلیل علاقه شخصی ، تلاشم بر اینه تا حوزه ورزش زنان در رسانه‌ها بیشتر مورد توجه قرار بگیره./پرسپولیس جان عشق است/آواز میخونم و‌ تئاتری‌ام</t>
  </si>
  <si>
    <t>Iran Tehran</t>
  </si>
  <si>
    <t>https://twitter.com/masoudkazemi81/status/1036904992639250433</t>
  </si>
  <si>
    <t>تا ۱۴۰۰ با #روحانی (ارزشی‌ها به خودشون نگیرن!اون یکی هم‌میشد وضع بهتر از این نبود!) RT @masoudkazemi81: دلار حدود 14000 تومان #این_را_به_همه_بگویید</t>
  </si>
  <si>
    <t>Negar</t>
  </si>
  <si>
    <t>ساعت ۴ صبح همه سیاستمداریم ، بعد یه ربع من از قیافت فراری</t>
  </si>
  <si>
    <t>https://pbs.twimg.com/media/DmPlhCzXcAAeIK-.jpg</t>
  </si>
  <si>
    <t>آقای #روحاني #دلار ۱۴۰۰۰ تومنی رو چی میگی؟ #سقوط_ریال #دلار۱۳۰۰۰تومنی #ارز #یورو</t>
  </si>
  <si>
    <t>M.Reza</t>
  </si>
  <si>
    <t>برای کلمه می‌جنگم و به‌خاطر تک‌تک واژه‌ها برای عشق که به پلشتی آلودندش و زندگی که به پستی. من برای بقای مقدس کلام، به‌خاطر ایمانم به چکامه‌ی زندگی می‌سرایم</t>
  </si>
  <si>
    <t>pic.twitter.com/UL563n74bX</t>
  </si>
  <si>
    <t>مجلس آخوندی بدون شرح! #درگیری لفظی در #باغ_وحش_آخوندی: 👈 مطهری خطاب به کوچک‌زاده: خفه شو ، بتمرگ پفیوز در #مجلس</t>
  </si>
  <si>
    <t>بهداد</t>
  </si>
  <si>
    <t>من آن طوفانم که درجهتی میوزد که خودبخواهد... بهم میگن الهه تناقض😕متاهل💑نیاین دایرکت دیگه😕تویه امیدودلیل بزرگ‌برای زنده بودنمی♥️@ake_salar</t>
  </si>
  <si>
    <t>جناب #روحانی در سفر به بوشهر فرمودن ماتااخر سال کلی افتتاح در پیش داریم🤔 عاره هشتاد میلیون تا افتتاح دارن در حد پارگی👌🏼</t>
  </si>
  <si>
    <t>👩🏻Marall🏳️‍🌈</t>
  </si>
  <si>
    <t>https://twitter.com/kazeruni/status/1036846963982000129
https://t.me/morzaeri/5345</t>
  </si>
  <si>
    <t>محمد رضا #زائری: مكالمات مرا #شنود مي كنند و از همه چيزم خبر دارند، پيام هاي شخصي من براي همسرم قبل از اين كه او ببيند دو #تيك مي خورد! #وزارت_اطلاعات #اطلاعات_سپاه #ناجا #حفا #تلگرام #روحانی  RT @kazeruni: آنچه #زائری نوشته غصه بزرگیست. ظاهرا کار از آزادی بیان گذشته است؛ آزادی سلیقه هم تحت فشار است! نوروز امسال بود رهبری در حرم امام رئوف فرمود در نظام جمهوری اسلامی کسی به خاطر بیان و نظر تحت تعرض و فشار نیست! چرا عده ای کمر بسته اند خلاف رهبری عمل کنند!؟</t>
  </si>
  <si>
    <t>Keyhan</t>
  </si>
  <si>
    <t>http://t.me/iranium88</t>
  </si>
  <si>
    <t>﷽, Idea maker,Media activist,Content creator,Mechanical engineer,Industrial designer,Public analyst | Views are mine,RT not endorsement | @Ahmadinejad1956</t>
  </si>
  <si>
    <t>I.R.Iran | Lebanon</t>
  </si>
  <si>
    <t>https://twitter.com/NewshaSaremi/status/1033403043176488962
https://twitter.com/pourostad/status/1033395893200990208</t>
  </si>
  <si>
    <t>#به_عقب_برنمیگردیم یعنی محتوای صحبت‌های #پشت_بلندگو از #انرژی_هسته‌ای و #صنایع_دفاعی و موشکی و #هوافضا به #پوشک_بچه تغییر کنه. #روحانی و #مجلس_امید که هیچ، ولی جای نگرانی نیست؛ الحمدلله #مشایی در یک #شوی_قضایی در حال محاکمه است تا التیام بخش دل کباب شده‌ی امت #حزب_الله بشه :^) RT @NewshaSaremi: دادگاه اسفندیار رحیم‌ #مشایی به صورت «علنی» برگزار شده، ما اما فقط صدای یک طرف ماجرا را می‌شنویم. حرف‌های مشایی سانسور و فیلم تقطیع می‌شود و‌ صدا و سیما می‌گوید دادگاه علنی مشایی را پوشش داده است!</t>
  </si>
  <si>
    <t>🇮🇷 سید رضا کلانتری</t>
  </si>
  <si>
    <t>امروز #روحانی: «اینکه ما را به قبل از ۵۷ برگردانند، آرزویی است که محقق نمی‌شود» «دشمن می‌خواهد ما را به ۴۰ سال عقب برگردانند» روحانی سال 2014 👇 RT @Rouhani_ir: به والله سال‌های ۸۴ تا ۹۲ گذشت و دیگر تکرار نمی‌شود.</t>
  </si>
  <si>
    <t>Seagull</t>
  </si>
  <si>
    <t>‏‏‏دانش آموخته علوم ارتباطات اجتماعی &amp; فعال رسانه ای در مطبوعات، مکتوبات و شبکه های اجتماعی</t>
  </si>
  <si>
    <t>روزای اخیر،نزدیکان مرحوم رفسنجانی،انتقادات تندی از روحانی کردند،دیروز مرعشی گفته بود اگرالان هاشمی زنده بود #روحانی بازهم حرفش را گوش نمیداد و امروزم رجائی مشاور هاشمی گفته که روحانی زمان هاشمی هم در جلسات مجمع شرکت نمیکرد.اگر این جوری بوده پس چراهاشمی روحانی را رئیس جمهور کرد!؟</t>
  </si>
  <si>
    <t>m.panahi</t>
  </si>
  <si>
    <t>#روحانی نشون داد که بدتر از #احمدی‌نژاد هم وجود داره! #فساد #اقتصاد</t>
  </si>
  <si>
    <t>#کروبی از #مجلس_خبرگان خواسته که بنا به وظیفه در مورد وضع موجود از رهبر سوال کنن، مجلس خبرگان هم برای سوال #روحانی رو احضار کرده!</t>
  </si>
  <si>
    <t>pic.twitter.com/9csx9sh9h8</t>
  </si>
  <si>
    <t>#پروانه_سلحشوری، نماینده #مجلس: در حوزه سیاست خارجی و نحوه اداره صدا و سیما، #نظارت_استصوابی شورای نگهبان برای انتخابات مجلس شورای اسلامی و جلس #خبرگان نیاز به همه پُرسی و رای مردم داریم.</t>
  </si>
  <si>
    <t>Moscow</t>
  </si>
  <si>
    <t>برگزاری نشست روسای #مجلس دو کشور ایران و روسیه کمک خوبی به پیشبرد طرح های بزرگ فیمابین و همچنین توسعه همکاری های استانی #ایران و #روسیه کرده است.</t>
  </si>
  <si>
    <t>Mehdi Sanaei</t>
  </si>
  <si>
    <t>فقط حیدر امیرالمومنین است</t>
  </si>
  <si>
    <t>سنگین ترین چیز اینه که جناب رییس جمهور خودشون استعفا بدن!! #روحانی</t>
  </si>
  <si>
    <t>تِراژدی</t>
  </si>
  <si>
    <t>‏‏آخه چرا ایران؟؟</t>
  </si>
  <si>
    <t>#رئیس_جمهور:اینکه ما را به قبل از57برگردانند،آرزویی است که محقق نمی شود. هر زمان که ایشون سخن گفتند عکس آنرا ایجاد کرد.</t>
  </si>
  <si>
    <t>ebrahim🇮🇷  تمام</t>
  </si>
  <si>
    <t>آیت‌الله #خامنه‌ای در دیدار با هیئت دولت #روحانی: در زمینه اقتصاد رشد ۴.۶ درصد خوب است؛ رشد #بسیار_قابل_قبول برای دولت است.</t>
  </si>
  <si>
    <t>https://pbs.twimg.com/media/DmPpA0QW0AAEOhw.jpg</t>
  </si>
  <si>
    <t>دلار شد 13000 تومن😱 باز هم مشتی باشد بر دهن دلواپسان 👊 #روحانی #مچکریم</t>
  </si>
  <si>
    <t>💓persepolis💓Barcelona💓Arsenal💓</t>
  </si>
  <si>
    <t>چند روز #روحانی و دولت برن استراحت کنن‌ قیمتا‌ که اومد‌ پایین صداشون‌ میکنیم که برگردن‌. #دلار #پوشک 😯</t>
  </si>
  <si>
    <t>🇮🇷Seyed Mohammad.Tba🇮🇷</t>
  </si>
  <si>
    <t>یک انسان کنجکاو که دانشگاه مدیکال رفته سایکولوژی خوانده ‏‏‏اما علاقه اش علوم سیاسی اجتماعی و فلسفه است خودخواه ، ترول ، بی حد و مرز و محدودیت بی تعارف !</t>
  </si>
  <si>
    <t>Paradise, PA</t>
  </si>
  <si>
    <t>#رشتو کشور در یک دو راهی بزرگ قرار گرفته یا باید #روحانی را قربانی کنند یا باید #خامنه‌ای را قربانی کنند هیچ آلترناتیو سومی وجود ندارد اگر راه اول شود که احتمالا #علی_لاریجانی و #قالیباف سر کارخواهند آمد ( نماینده گلوبالیست ها و قویترین خاندان حال حاضر ج.ا / نماینده سپاهی ها )</t>
  </si>
  <si>
    <t>آرشاک آراکلیان</t>
  </si>
  <si>
    <t>https://about.me/saberbostaniasl</t>
  </si>
  <si>
    <t>A #human. #Iranian. #Netizen. #MedLabTech. Interested in #Biology, #Politics &amp; #History. I’m real and I hope some of my followers are †oo! #IslamicRegimeMustGo</t>
  </si>
  <si>
    <t>وقتی #روحانی میگوید؛ آرزوی بازگشت به قبل از ۵۷ را به گور می‌برند!! یعنی به خوبی مطلع است که در اذهانِ عمومِ ملتِ ایران چه میگذرد و نظرسنجی های مخفیانه رژیم حکایت از محبوبیتِ روزافزونِ #شاهزاده_رضا_پهلوی دارد. #ما_براندازها در کنار هم میتوانیم #رژیم_را_سرنگون_کنیم.</t>
  </si>
  <si>
    <t>Saber Bostani Asl</t>
  </si>
  <si>
    <t>آیت‌الله #خامنه‌ای در دیدار با هیئت دولت #روحانی: یک دوره‌ای (دوره #احمدی‌نژاد) مسئولین توانستند مصرف روزانه را برسانند به حدود ۶۵ میلیون لیتر، یعنی کمتر از ۶۵ میلیون لیتر؛ شد این کار؛ البتّه خود آنها (!!!) بعداً خرابش کردند. #همانها_خودشان</t>
  </si>
  <si>
    <t>آیت‌الله #خامنه‌ای در دیدار با هیئت دولت #روحانی: #برجام هدف نیست، برجام وسیله است.</t>
  </si>
  <si>
    <t>آیت‌الله #خامنه‌ای در دیدار با هیئت دولت #روحانی: علّتی که (#برجام را) آتش نزدیم همین بود که گفتیم شاید بشود منافع ملّی را با آن تأمین کرد (!!!) #خسارت_محض</t>
  </si>
  <si>
    <t>خبر فوری ستاد بحران دولت #روحانی اطلاعیه شماره 14 اگر #دلار 140،000 ریالی (چهارده هزار تومانی) ناامیدتان میکند، با فکر کردن به #دلار 1،000،000 ریالی می توانید همچنان #امیدوار باشید امضاء ستاد ملی ایجاد ,تقویت و نگهداری امیدواری و مبارزه با بحران ناامیدی دولت روحانی</t>
  </si>
  <si>
    <t>این مقدار از بی‌اعتنایی #روحانی به نامه #قالیباف برای نجات اقتصاد، طبیعیه؟! #ریتوییت #برجام</t>
  </si>
  <si>
    <t>اقای #روحانی خدا قوت، کشور رو مستقیم به سالهای ابتدایی دهه هفتاد برگردوندی! وضعیت مسکن، میوه،گوشت خودرو دقیقا مشابه دهه هفتاد است، همه برای قشر مرفه و متوسط رو به بالا ... روزگاری که میوه خوردن سخت، ماشین داشتن ارزو و خرید خانه محال بود! به عقب باز نمیگردم</t>
  </si>
  <si>
    <t>https://pbs.twimg.com/media/DmPq5bKX0AAxFZI.jpg</t>
  </si>
  <si>
    <t>با #روحانی تا 1400 به عقب بر نمی گردیم #دلار۱۳۰۰۰تومنی #دلار</t>
  </si>
  <si>
    <t>https://pbs.twimg.com/media/DmPrSwfXsAMBELP.jpg</t>
  </si>
  <si>
    <t>- گرونی اذیتت نمیکنه؟ + نه... - ولی پدر مردمو در آورده #ننگ_بر_اصلاحات #روحانی #دلار۱۳۰۰۰تومنی</t>
  </si>
  <si>
    <t>اوضاع بی ریخته، موجودیت نظام در خطره، پشت تریبون #مجلس شعر فردوسی هم میشه خوند، آره!</t>
  </si>
  <si>
    <t>سعید خسروشاهی / خبرنگار/کارشناس ارشد مدیریت</t>
  </si>
  <si>
    <t>از #نماینده و #وزیر و #وکیل و #مسئول ریز و درشت، همه از فساد و رانت و رابطه و اشرافی گری و لزوم برخورد قاطع با آن حرف می زنند. اونایی هم که این کارهارو انجام میدن همشون از #مریخ اومدن!</t>
  </si>
  <si>
    <t>سعید خسروشاهی</t>
  </si>
  <si>
    <t>‏‏‏یک پلی تکنیکی علاقمند به اجتماع و سیاست، دانشجوی دکتری مهندسی، قرآن پژوه!! مشاور کارآفرینی کمیسیون جوانان، کارآفرینی و کسب و کارهای نوین اتاق بازرگانی ایران</t>
  </si>
  <si>
    <t>https://pbs.twimg.com/media/DmPr5njW4AAosSW.jpg</t>
  </si>
  <si>
    <t>#استیضاح #وزیرنیرو کلید خورد! با این وضعیت جز یک دولت ضعیف و مجلسی که می خواهد اوضاع نابسامان کشور را گردن دولت بیاندازد، چیزی از همان صندوق رای نصفه نیمه دموکراتیک کشور باقی نمی ماند.</t>
  </si>
  <si>
    <t>Kh.khalilipour</t>
  </si>
  <si>
    <t>جناب #جهانگیری میشه لطف کنی و اقتصاد رو به همون دره ای که بود برگردونی ممنون میشم بزرگوار #دلار۱۳۰۰۰تومانی #دولت_بی_عرضه #روحانی #پوشک_بچه #پراید اینقدر سند افتخارات دولت زیاده آدم کم میاره بخدا</t>
  </si>
  <si>
    <t>https://pbs.twimg.com/media/DmPsl8KX4AEihQO.jpg</t>
  </si>
  <si>
    <t>خدا لعنت کند کسانی که با این ملت مهدوی و حسینی اینطور رفتار میکنند. شنیده بودم کینه #یهود از اسلام شدید است ولی ندیده بودم! #پوشک #دلار #سقوط_ریال #روحانی #دلیران_تنگستان</t>
  </si>
  <si>
    <t>I am me</t>
  </si>
  <si>
    <t>اى كاش دولتمردان زنبور بودند! #دلار #سكه #به_عقب_برنمیگردیم #برجام #روحانی</t>
  </si>
  <si>
    <t>Mhomidi</t>
  </si>
  <si>
    <t>#مملکت یه جوری شده که #موشک داریم٬ #پوشک نداریم. #دزدخونه #دلار۱۴۰۰ #دلار #روحانی #جمهوری_اسلامی_انتخاب_من_نیست</t>
  </si>
  <si>
    <t>رادیکااااااال.!</t>
  </si>
  <si>
    <t>خبرنگار سیاسی</t>
  </si>
  <si>
    <t>#روحانی که تا چندسال پیش می گفت که محاله به 4 سال قبل برگردیم امروز گفته محال است که به 40 سال قبل برگردیم. از این تفاوت زمانی جزئی!! که بگذریم کلن میخواد بگه ما برنمی گردیم...</t>
  </si>
  <si>
    <t>mojtaba rahimi</t>
  </si>
  <si>
    <t>http://Instagram.com/soheil.rfe</t>
  </si>
  <si>
    <t>Motivation Speecher , Study Guide , Writer , Comedian , Graphist , Searcher and a Doctor soon</t>
  </si>
  <si>
    <t>دلار از مرز ١٤٠٠٠ تومن هم گذشت. آقاى #روحانى ميشه به عقب برگرديم ؟؟؟ #خيلى_خطر_دارى_حسن #به_عقب_برنمیگردیم @alizakariaee</t>
  </si>
  <si>
    <t>Soheil Arefinik</t>
  </si>
  <si>
    <t>ریدم سر قبر #روحانی که مردم به فنا میده #پوشک #دلار #خودسوزی #سقوط_ریال</t>
  </si>
  <si>
    <t>هوالعزیز اسلام برتر از همه چیز و هیچ چیز برتر از اسلام نیست. علوم سیاسی دانشگاه تهران</t>
  </si>
  <si>
    <t>زیر آسمان خدا</t>
  </si>
  <si>
    <t>خانم #سلحشوری گفته همه پرسی بگذارید و... فرضا همه حرفاش صحیح(که نیست اما فرض) یکی بهش نمیگه خانم نماینده اگر قانون اساسی خونده بودی اختیار همه پرسی دست #مجلس است دوسوم مجلس باید تصویب کنه خدایا اینا دیگه کی اند قانون اساسی بلد نیستند و تو قوه مقننه اند؟ داریم کفاره چی رو‌ میدیم؟</t>
  </si>
  <si>
    <t>Sajad Kamali🇮🇷</t>
  </si>
  <si>
    <t>روزنامه‌نگار</t>
  </si>
  <si>
    <t>از صبح به خبرها دقت کنین:#خودسوزی مقابل شهرداری،عبور #دلار از مرز ۱۴ هزار تومان،علنی شدن تداوم روند #ستاره‌دار کردن دانشجویان،اظهارات نا‌امید‌کننده #روحانی در عسلویه،رسمی شدن افزایش چند میلیونی #خودرو،دو برابر شدن قیمت #پوشک در صورت عرضه به بازار... #بحران_نداریم</t>
  </si>
  <si>
    <t>pejman mousavi</t>
  </si>
  <si>
    <t>https://pbs.twimg.com/media/DmPt139UUAANYVI.jpg</t>
  </si>
  <si>
    <t>... وتا اینجا رسیدیم که در تهیه #پوشک فرزندانشان ماندند! #پوشک_بچه #روحانی_مچکریم #روحانی</t>
  </si>
  <si>
    <t>https://telegram.me/HarfBeManBot?start=MjU4MzE1MDIx</t>
  </si>
  <si>
    <t>A shiat muslimah girl who loves her Country,great IRAN, and studies Psychology با افتخار،انقلابی ام☀️</t>
  </si>
  <si>
    <t>IRAN,TEHRAN</t>
  </si>
  <si>
    <t>چرا اونایی که پارسال طرفدار #روحانی بودن امسال طرفدار قاتلا و جاسوسان چرا؟ :)))) #رامین_حسین‌پناهی</t>
  </si>
  <si>
    <t>هاناز🐝</t>
  </si>
  <si>
    <t>نزدیک انتخابات هست و همه درگیر نطق های عوام پسندانه رک بگم خریت است اگر به نمایندگی رای دهید که جز حرف هیچ عملی ندارند #مجلس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</si>
  <si>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pic.twitter.com/qY3DVnSP4j</t>
  </si>
  <si>
    <t>🔸حسن خمینی در پیام تبلیغاتی برای ریاست جمهوری #روحانی، اردیبهشت ۹۶: 💬 «اقتصاد‌دان‌های بزرگ نسبت به توانمندی دولت شهادت داده‌اند و همین جان و روح ما را مستحکم می‌کند که با رای به روحانی آینده‌ را همراه هم رقم بزنیم.»</t>
  </si>
  <si>
    <t>In the name of allah (god)🌸nima☘️18years old🌾💐pre university 😊runner💪 Tehran 🏠,Iran 🏘 Human Sciences👨‍🎓in rell by m👫 1999/12/16</t>
  </si>
  <si>
    <t>#دلار۱۴۰۰۰تومانی ،کمیسیون #مجلس گفته با افزایش سود بانکی مخالفیم علی برکت الله!(به قول یه لاشخوره عوضی)</t>
  </si>
  <si>
    <t>Nima_mn77</t>
  </si>
  <si>
    <t>نویسنده آزاد جوانی از نسل سوخته که آرزوهاشو فقط تو رویا دید</t>
  </si>
  <si>
    <t>در همین حوالی</t>
  </si>
  <si>
    <t>آقای #روحانی ; مگر ما برای ثبات #ارز ی تلاش نکردیم ؟ قیمت #دلار در زمان سخنرانی :9500 قیمت #دلار امروز: 14000 #دروغ_ممنوع</t>
  </si>
  <si>
    <t>سینا</t>
  </si>
  <si>
    <t>https://pbs.twimg.com/media/DmPjPXvWwAALRf-.jpg</t>
  </si>
  <si>
    <t>https://twitter.com/jebreili_m/status/1036922196499857408</t>
  </si>
  <si>
    <t>این بچه هم می دونست #روحانی در آینده چی به سرش میاره RT @jebreili_m: پوشک گرون شده، کمتر خراب کاری کن عمو جوون #پوشک_بچه</t>
  </si>
  <si>
    <t>🎓Master's degree in electrical engineering-secure communications at IUST | Cryptologist | Freelancer | Designer | LGBT</t>
  </si>
  <si>
    <t>دوستان ارزشی هنوز باورشون نشده که سیستم جمهوری اسلامی از اساس جوابگوی زندگی در حال حاضر نیست، فکر میکنند مشکل عملکرد #روحانی است. البته دولت روحانی مشکل داره ولی خودش تکه‌ای از پازل است. بالاخره دیر یا زود باورشون میشه ولی هزینه‌اش رو مردم باید بدهند متاسفانه</t>
  </si>
  <si>
    <t>Roshan</t>
  </si>
  <si>
    <t>#رانت_سازی و #رانت_یابی و #رانت_خواری از خصیصه های سه گانه #مدیریت_پوشکی ست خواهشا قوانین رو اصلاح و شفاف بفرمایید #مجلس #شفافیت_آراء_نمایندگان #تعارض_منافع</t>
  </si>
  <si>
    <t>‏‏شهید عامر توفیق کلاکش (‏‏‏‏‏‏‏‏ابوزینب) شهیدحزب الله لبنان بود که مادرش 14 سال رازشهادت عجیبش راپنهان نمود تا سید حسن نصرالله این بار را از دوش مادر برداشت...</t>
  </si>
  <si>
    <t>تمام سرزمین مقاومت وطن من است</t>
  </si>
  <si>
    <t>https://twitter.com/mowlaverdi/status/864816930129162242</t>
  </si>
  <si>
    <t>جزء معدود سخنان صحیح خانم #مولاوردی است. هر وقت زیر بار #بحران_اقتصادی و دلار ۱۳ هزار تومانی داشتیم له میشدیم یادمان بیاید این آقای #روحانی انتخاب خود ما بوده است و "سرنوشت ما را انتخاب های ما می سازد" RT @mowlaverdi: سرنوشت ما را انتخاب‌های ما می‌سازد نه استعدادهای ما</t>
  </si>
  <si>
    <t>ابوزینب 🇮🇷 🇾🇪 🇮🇷</t>
  </si>
  <si>
    <t>بنظرم با همین دستفرمون آقای #روحانی و هیات محترم دولت، ترامپ بزودی بیخیال #تحریم و چیزای دیگه بشه.ممکنه بسته حمایتی هم تصویب کنه برامون #نیمه_پر_لیوان</t>
  </si>
  <si>
    <t>‏‏‏هر که افتاد پی شیخ به محراب رسید ما پی میکده رفتیم رسیدیم به شیخ</t>
  </si>
  <si>
    <t>ملکوت اعلیٰ</t>
  </si>
  <si>
    <t>فارغ از عقاید و نظرات حاج آقا #زائری ، برای من بشخصه صراحت ، شجاعت ، نقد پذیری و دقت نظر ایشون قابل تحسینه ... @MorzaeriZaeri #روحانی #حوزه #ممنوع_المنبر</t>
  </si>
  <si>
    <t>خروس باغ ملکوت</t>
  </si>
  <si>
    <t>-روحانی خبر داری پوشک گرون شده؟ +به گوشک دهلیز چپم! #روحانی #عسلویه #پوشک</t>
  </si>
  <si>
    <t>اگر میخواهید #روحانی تکان بخورد، باید تکلیفش را برای بعد از ۱۴۰۰ مشخص کنید! ایشان نسیه کار نمیکنند #بحران_جانشینی</t>
  </si>
  <si>
    <t>‏#معاف از خدمت</t>
  </si>
  <si>
    <t xml:space="preserve"> Iran rasht</t>
  </si>
  <si>
    <t>https://pbs.twimg.com/media/DmPsgYkW4AAU6Cf.jpg</t>
  </si>
  <si>
    <t>https://twitter.com/dw_persian/status/1036932390860587009
https://bit.ly/2NaFZHK</t>
  </si>
  <si>
    <t>به کجا چنین شتابان!!؟؟ یعنی هرروز سال رو کار کن! شاید نونی به کف آری! با این وصف و اوضاع اگه زنده موندیم!شب عیدی#دلار به 20000تومان هم می رسه! آقای #روحانی بجنب!تا دیر نشده! حالا هی بگین:انرژی هسته‌ای حق مسلم ماست!!! شما برو دنبال موشک! #ما_خودمان_انتخاب_نکردیم ! RT @dw_persian: دلار به ۱۴هزار تومان نزدیک شد  گزارش‌های منتشرشده از بازار آزاد سکه و ارز در ایران از افزایش هزار تومانی دلار در روز سه‌شنبه ۱۳ شهریور (چهارم سپتامبر) خبر می‌دهند. بیشترین قیمت معامله دلار ۱۳هزار ۹۷۰ تومان گزارش شده است.</t>
  </si>
  <si>
    <t>ardlan lichahi</t>
  </si>
  <si>
    <t>pic.twitter.com/pwVEvAVi24</t>
  </si>
  <si>
    <t>واکنش ما به امید های #روحانی</t>
  </si>
  <si>
    <t>https://pbs.twimg.com/media/DmPxK38XgAAJSjp.jpg</t>
  </si>
  <si>
    <t>قیمت کالاهای اساسی، امروز سیزدهم شهریور ۹۷ «دلار از چهارده هزارتومان گذشت، سکه تمام‌بهار آزادی به چهارمیلیون و هفتصدهزارتومان رسید، گوجه فرنگی و گوشت گوسفندی و سیگار هم گران شد» #تورم #روحانی</t>
  </si>
  <si>
    <t>من به واسطه حضورم در بازار هم تحريم هاى دولت احمدى نژاد رو تجربه كردم و هم تحريم هاى شروع نشده ى دولت روحانى . متاسفانه به عنوان يك فعال در ستادهاى انتخاباتى اين دولت بايد اعتراف كنم كنترل تحريم در دوران احمدى نژاد بسيار بهتر از اين دولت انجام گرفت . #روحانى #احمدي_نژاد</t>
  </si>
  <si>
    <t>از زندگانیم گله دارم جوانیم...</t>
  </si>
  <si>
    <t>آقا یه حساب بکنین ما الان با این اوصاف ۱۰۰ میلیون معترضیم. #مردم #رهبر #رییس_جمهور #نماینده_مجلس همه شاکی از این وضعیم پس چرا کاری نمی کنیم؟؟</t>
  </si>
  <si>
    <t>r.irannejad</t>
  </si>
  <si>
    <t>➡ Master of Science in Social Communication (Public Relations) ➡ Reporter ➡ Photographer ➡ Social Networks Analyzer ➡ The Author of Certain Texts</t>
  </si>
  <si>
    <t>TEHRAN,  IRAN</t>
  </si>
  <si>
    <t>#روحانی هنوز #رئیس_جمهوره یا ولمون کرده رفته؟ اینجور که داریم سقوط می‌کنیم فکر کنم #کسی_پشت_فرمون_نیست 😂😂😂</t>
  </si>
  <si>
    <t>M.Ahmadi</t>
  </si>
  <si>
    <t>به نظرم نطق امروز #پروانه_سلحشوری رو نگا کنین، تو کانال تلگرامش هست. نماینده نطق سالانه داره و می‌تونه هرچی خواست بگه. فکر کنم تو این ۲۰سال نطق کم‌نظیری بوده. مسئول و مرجع اصلی مشکلات کشور رو دعوت به پذیرش مسئولیت عملی کرد و تقریباً پیشنهادهای ما رو پشت تریبون رسمی #مجلس گفت.</t>
  </si>
  <si>
    <t>سعید لیلاز (چهره اصلاح طلب) در مصاحبه با #یورونیوز : اختیاراتی که آقای خامنه ای به #روحانی و سران سه قوه داده، اگر به #چوب داده بود تا الان یک کاری کرده بودند!!</t>
  </si>
  <si>
    <t>pic.twitter.com/0wuAm3vcPr</t>
  </si>
  <si>
    <t>ـ #مطالعه بدون #پژوهش مانند ریختن مواد اوّلیّه در قابلمه‌ و روی اجاق خاموش گذاشتن است • #از_یکجا_شروع_کنیم #مردم_باید_تغییر_کنند ـ #ایران #غراب #آگاهی #اسلامی #رهبری #آرمان #فرهنگ #دولت #مردم #روحانی #خبرنگار</t>
  </si>
  <si>
    <t>آمد بهار جان ها ای خوش کمر ، برقصا ماشالله به حاج علی آقای #لاریجانی و حسن خانِ #روحانی #دلار۱۳۰۰۰تومانی #پوشک #کمبود_دارو #خودسوزی #مجلس #دولت ...</t>
  </si>
  <si>
    <t>http://elpress.ir</t>
  </si>
  <si>
    <t>‏‏‏‏‏‏‏‏...که هنوز من نبودم که تو در دلم نشستی[فرزندِعزیز | همسرِ عزیزِ دل| پدرِ امیرعلی|روزنامه‌نگار، فعال سیاسی و اجتماعی!]</t>
  </si>
  <si>
    <t>اینکه دلار فلان هزار تومان می شود هیچ خوشحالی ندارد حتی از باب رقابت جناحی! گرانی دلار در دولت #روحانی دلیلی نیست بر اینکه مردم اکنون پشیمانند که چرا به #رییسی رای نداده اند! جمع کنید خودتونو!</t>
  </si>
  <si>
    <t>سجاد حسین زاده</t>
  </si>
  <si>
    <t>بخوریدو بیاشامید اما دعوا نکنید</t>
  </si>
  <si>
    <t>اینترمینال</t>
  </si>
  <si>
    <t>تو مملکتی ک #دلار 12000 برابر پول ملی ارزش داره،و اقای #روحانی رییس جمهوره و #ظریف وزیره و #لاریجانی رییس مجلس #درى_اصفهانى هم خدمت گذاره</t>
  </si>
  <si>
    <t>تو دولت #روحانی هر روز احساس می کنم که دیگه "امروز" آخر دنیاست! من و این حجم از #تدبیروامید :)</t>
  </si>
  <si>
    <t>سعید لیلاز (از مشاوران روحانی) در مصاحبه با یورونیوز: اختیاراتی که آقای خامنه‌ای به روحانی و سران سه قوه داده، اگر به چوب داده بود تا الان یک کاری کرده بودند!! #روحانی #چوب</t>
  </si>
  <si>
    <t>#اسطوخودوس بیشتر بهش میخوره اسم یه #فرمانده #یونان #باستان باشه تا یه داروی گیاهی!! #دلار #رائفی_پور #روحانی</t>
  </si>
  <si>
    <t>http://Instagram.com/behnam_allami</t>
  </si>
  <si>
    <t>‏‏‏‏مولف کتابهای مترسک/ نشر بوتیمار - مجسمه/ نشر آرون ونوس خموش/ نشر آرنا - تکواره ای و آدم برفی و ...</t>
  </si>
  <si>
    <t>آقای #روحانی بازگشت به قبل ۵۷ آرزوی ما نیست ، خواسته‌ی ماست</t>
  </si>
  <si>
    <t>بهنام علامی</t>
  </si>
  <si>
    <t>‏عضو حزب اعتماد ملی</t>
  </si>
  <si>
    <t>کمتر نمایندگانی این چنین در #مجلس پیدا می شوند تا #صدای_مردم باشند. خانم #پروانه_سلحشوری در نطق سالیانه خود تاکید زیادی به مشکل #نظارت_استصوابی داشت. همچنین از وضعیت #حصر ، دانشجویان و فعالان سیاسی زندانی سخن گفت.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</si>
  <si>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علیرضا عزیززاده</t>
  </si>
  <si>
    <t>‏هرگز گمان مبر زخیال تو غافلم / گر مانده ام خموش؛ خدا داند و دلم .....</t>
  </si>
  <si>
    <t>فکر کنم #روحانی ولمون کرده رفته ها دلار شده #14000 تومن الان اون شعار با روحانی تا 1400 رو باید بگیم : #تا_نابودی_کامل_با_روحانی</t>
  </si>
  <si>
    <t>fereshteh  saharkhiz</t>
  </si>
  <si>
    <t>https://pbs.twimg.com/media/DmP2MbXWwAAb6c4.jpg</t>
  </si>
  <si>
    <t>#سعید_لیلاز: اختیاراتی که آقای خامنه‌ای به #روحانی و سران سه قوه داده اگر به #چوب داده بود تا الان یک کاری کرده بودند!</t>
  </si>
  <si>
    <t>#سعید_لیلاز قائم مقام حزب کارگزاران سازندگی: اختیاراتی که آقای ‌خامنه‌ای به #روحانی و سران سه قوه داده اگر به #چوب داده بود تا الان یک کاری کرده بودند</t>
  </si>
  <si>
    <t>‏‏‏‏‏‏‏‏‏‏‏‏‏‏‏‏‏‏‏هوای هَمو داشته باشیم / خلوت هَمو خراب نکنیم</t>
  </si>
  <si>
    <t xml:space="preserve"> تهران</t>
  </si>
  <si>
    <t>در سال پایانی #میرحسین (دوران طلایی امام😅) #حداقل_دستمزد ۷۰دلار در سال پایانی #احمدی_نژاد (۲سال تحریم فلج کننده) ۲۱۵ دلار فعلا در سال پنجم #روحانی (پیش از شروع تحریمهای فلج کننده) ۸۰دلار والله،تالله سالهای ۸۴ تا ۹۲ دیگر تکرار نمیشود به نظر شما لُمپن و ساده چه کسانی بودند؟</t>
  </si>
  <si>
    <t>رِند بلاکِش</t>
  </si>
  <si>
    <t>pic.twitter.com/8sqTPCPAij</t>
  </si>
  <si>
    <t>https://twitter.com/Mrym_4627/status/1036705531971465216</t>
  </si>
  <si>
    <t>کاری بود که که از دستم بر میومد... #روحانی ابله #خامنه‌ای احمق RT @Mrym_4627: دلار 13,200 تومنی قابلتونو نداره خداشاهده... ☺️ ‌‌‌‌‌‌‌‌‌‌‌ سکه هم بخاطر گل روی شما چهار میلیون و 700 هزار تومان بلند نشید تروخدا... #رژیم_را_سرنگون_کنیم #دلار۱۳۰۰۰تومانی #سقوط_ریال #گرانی</t>
  </si>
  <si>
    <t>‏‏‏متواضع در برابر منطق سالم و متواری از مغزهای بیمار؛</t>
  </si>
  <si>
    <t>I. R. Iran</t>
  </si>
  <si>
    <t>#روحانی که گفته بود به عقب برنمی‌گردیم امروز گفته به قبل از سال ۵۷ برنمی‌گردیم. 😐 #خدا_بخیر_کنه</t>
  </si>
  <si>
    <t>گُنجشکـَـ ـک 🇮🇷</t>
  </si>
  <si>
    <t>درسته که نصف عمرم تو این خراب شده تلف شد ، ولی قول میدم همین خراب شده رو آباد میکنیم. ✌</t>
  </si>
  <si>
    <t>دوستانی که به #روحانی رای دادین از این به بعد به جای جمله ی "روحانی گوه خوردیم بهت رای دادیم" ، بگویید: "گوه خودریم #رای دادیم" #براندازم</t>
  </si>
  <si>
    <t>SiamaK</t>
  </si>
  <si>
    <t>🔴حسن روحانی که رفت مجلس جواب داد قبولم نکردن جواباشو اما آیا روحانی تنها کسیه که باید جواب بده؟ بزرگترین شرکتای ساختو ساز و اقتصادی این مملکت واسه چه ارگانیه آیا روحانی رئیس اون ارگاناش؟ روحانی تو قضیه سامانه موشکی که عامل تحریما شده چقد قدرت داره؟🔴#روحانی</t>
  </si>
  <si>
    <t>آیت‌الله #جنتی خطاب به رییس #قوه_قضاییه: آفتابه‌دزدها را ول کن، دانه‌درشت‌ها را بگیر. #نوبخت #نهاوندیان #جهانگیری #روحانی</t>
  </si>
  <si>
    <t>https://pbs.twimg.com/media/DmP6IYJXgAE1Ew_.jpg</t>
  </si>
  <si>
    <t>نشریات خصوصی بخاطر گرانی عجیب کاغذ به خاک سیاه نشستن انوقت روزنامه دولت #روحانی ویژه نامه ۲۵۳ صفحه ای عملکرد یکساله میده بیرون!! برام جالبه بدونم ۲۵۳ صفحه چی نوشتن در دفاع از عملکرد یکساله دولت دوازدهم چون یه کاغذ #قهوه‌ای بیشتر نبوده! #دولت_حرف</t>
  </si>
  <si>
    <t>التماس فکر</t>
  </si>
  <si>
    <t>تا همین چند روز پیش اساتید ماله کش میگفتن که در زمان احمدی نژاد #دلار سه برابر شد، پس در دولت #روحانی هم هنوز جا برا افزایش نرخ #ارز هست. جهت اطلاع استادان ماله کش؛ در مرز پنج برابر شدن نرخ ارز نسبت به ابتدای دولت روحانی هستیم . #دلار۱۵۰۰۰تومنی #سقوط_ارزش_ریال</t>
  </si>
  <si>
    <t>Rain</t>
  </si>
  <si>
    <t>تا زمانی که متولدین بخش لاریجان شهرستان آمل بر سر دو قوه #مقننه و #قضائیه سایه انداخته اند هیچ مشکلی در کشور حل نخواهد شد. #لابیجانی #مجلس #قوه_قضاییه</t>
  </si>
  <si>
    <t>مهندس مکانیک خودمم مکانیک دیزل الان هم در حال خدمت به مردم و کشور هستیم 🤗</t>
  </si>
  <si>
    <t>قیمت دلار ی جوری داره افزایش پیدا میکنه که میخوای قیمت بپرسی باید بگی الان یا الان؟ #دلار #دولت #روحانی #دولت_دلال</t>
  </si>
  <si>
    <t>https://pbs.twimg.com/media/DmP6zkZWwAAlhT8.jpg</t>
  </si>
  <si>
    <t>لطفاً نظرتان را در مورد اين تصوير مرقوم بفرماييد!... ( قابل توجه آنهايى كه سال قبل براى انتخاب مجدد #روحانى دست و پا مى شكستند! )</t>
  </si>
  <si>
    <t>اون روزی که بانکها و مردم و دولت همه با هم رباخواری میکردن فکر این جا رو نمیکردن اتوبوس داره میره ته دره #دلار۱۳۰۰۰تومانی #روحانی دلار مطهری #ترامپ</t>
  </si>
  <si>
    <t>https://pbs.twimg.com/media/DmP7HgBUUAAwgb-.jpg</t>
  </si>
  <si>
    <t>الان به امیررضا علی پور #هشتلی دانشجوی #ستاره‌دار و محروم از تحصیل زنگ زدم. گفت بهش ابلاغ شده که طبق نامه وزارت اطلاعات دولت #روحانی محروم از تحصیل شده و صلاحیت تحصیل نداره و به هیچ وجه دستور قابل تجدیدنظر نیست. گفت که میخواد دفترچه پست کنه بره خدمت!</t>
  </si>
  <si>
    <t>اعلیحرضت همایونی</t>
  </si>
  <si>
    <t>#سعید_لیلاز اقتصاددان #اصلاح_طلب: اختیاراتی که آقای #خامنه_ای به #روحانی و سران سه قوه داده اگر به چوب داده بود تا الان یک کاری کرده بودند.</t>
  </si>
  <si>
    <t>http://fa.euronews.com/amp/2018/09/03/journalist-and-economic-expert-saeed-leilaz-talks-iran-economy-in-exclusive-interview</t>
  </si>
  <si>
    <t>سعید لیلاز به یورو نیوز گفته: «اختیاراتی که آقای خامنه‌ای به روحانی و سران قوا داده اگر به چوب داده بود تا الان یک کاری کرده بودند. من مسئولیت را اساسا متوجه روحانی می‌دانم.» #اقتصاد #دلار۱۳۰۰۰تومانی #دلار۱۴۰۰۰تومانی #دولت #روحانی</t>
  </si>
  <si>
    <t>عقده ای و تنبل</t>
  </si>
  <si>
    <t>راستی مجلس از روحانی سوال پرسید ، مثه اینکه اونام قانع نشدن ،ولی بعد جمع بندی این شد که به علت گرون شدن #پوشک ، اجازه بدن رئیس جمهور به فعالیت خودش ادامه بده .... #پوشک #روحانی #دلار۱۳۰۰۰تومانی</t>
  </si>
  <si>
    <t>moonoo...</t>
  </si>
  <si>
    <t>‏‏‏‏‏‏‏‏‏‏‏‏‏‏عاقلترین، کسی است که در مجازات کردن نادان از سکوت فراتر نرود … ((مولایم علی))</t>
  </si>
  <si>
    <t>با شاهکارهای #روحانی، یک برجام دیگر به برجامهای هسته ای، موشکی و منطقه ای اضافه شد. مطالبه عمومی : #برجام #پوشک ی</t>
  </si>
  <si>
    <t>🇮🇷 حُــــــــین محــمــدی</t>
  </si>
  <si>
    <t>https://twitter.com/DR_FRANKESHTEIN?s=09</t>
  </si>
  <si>
    <t>ρσєт αη∂ ωяιтєя🖋; ѕσ¢ιαℓ α¢тινιѕт👫👫; ¢Δ¢тυЅ🌵; ℓΔШ; ρ$λ¢Ø&amp;ÐΞΛтнмΞтΛŁ🎧; нΞÐΛуΛт,¢Λмυѕ,КΛŦКΛ📚; ΛЛΛЯ¢нłѕт⚰ (בهانـے جریـבـهـ ازفریاב)</t>
  </si>
  <si>
    <t>Deutschland,München,Bayern</t>
  </si>
  <si>
    <t>https://pbs.twimg.com/media/DmP7oPkXgAEBAo2.jpg</t>
  </si>
  <si>
    <t>#تاریخ‌خوان مقاله روزنامه شرق در دوران تبلیغات انتخابات ریاست‌جمهوری #روحانی درباره وضعیت اقتصادی در صورت عدم رای، اردیبهشت ۹۶ #انگشت_جوهری</t>
  </si>
  <si>
    <t>ЯΛÐłCΛŁłST</t>
  </si>
  <si>
    <t>خبرنگار و روزنامه نگار</t>
  </si>
  <si>
    <t>نطق پروانه @P_Salahshouri در #مجلس در رابطه با #نظارت_استصوابی و دلایل بی میلی برخی در مبارزه با #فساد گسترده در #ایران و بهم ریختگی #اقتصادی و #فقر در کشور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</si>
  <si>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peymanJonoubi</t>
  </si>
  <si>
    <t>https://pbs.twimg.com/media/DmP-B9UXsAE8U2I.jpg</t>
  </si>
  <si>
    <t>✖️سعید لیلاز (چهره اصلاح طلب) در مصاحبه با #یورونیوز : اختیاراتی که آقای خامنه ای به #روحانی و سران سه قوه داده، اگر به #چوب داده بود تا الان یک کاری کرده بودند!!!</t>
  </si>
  <si>
    <t>mrzeinodini_محمدرضا</t>
  </si>
  <si>
    <t>https://pbs.twimg.com/media/DmP-PtUW0AEkEmi.jpg</t>
  </si>
  <si>
    <t>اگر رضا خان بود میگفت: بگیرید این پدرسوخته ر چوپ در کانش کنید، از بالای دارالعماره دارش زنید. #پوشک #روحانی #دلار #سقوط_ریال #شاهزاده_رضا_پهلوی</t>
  </si>
  <si>
    <t>https://pbs.twimg.com/media/DmP-fjUW0AAlrUv.jpg</t>
  </si>
  <si>
    <t>پیدا کنید تفاوت ها را #پوشک #روحانی #دلار #سقوط_ریال</t>
  </si>
  <si>
    <t>‏‏‏‎بیا فرار کنیم و هیچوقت برنگردیم :) @Tahlilgaran</t>
  </si>
  <si>
    <t>سعید لیلاز گفته؛ مسئولیت وضعیت فعلی متوجه #روحانی است. این اصلاح طلبا از عرزشی‌ها هم جلو زدند، حسابی از خایه های خامنه‌ایی آویزون شدند. ول‌کن هم نیستن، تو اگه اقتصاددان بودی؟ نمیذاشتی دلار بالای ۱۴تومن و تورم ۲۵۰درصد بشه.</t>
  </si>
  <si>
    <t>vania🏳</t>
  </si>
  <si>
    <t>‏‏‏‏شهروند ضد ولایت فقیه</t>
  </si>
  <si>
    <t>آقای #روحانی از این گُها زیاد خورده، شما خودتونو ناراحت نکنین</t>
  </si>
  <si>
    <t>امیر...میم</t>
  </si>
  <si>
    <t>من از روییدن خار سر دیوار دانستم که ناکس کس نمیگردد به این بالا نشینی ها</t>
  </si>
  <si>
    <t>آیت‌الله جنتی خطاب به رییس قوه قضاییه: آفتابه‌دزدها را ول کن، دانه‌درشت‌ها را بگیر #نوبخت #نهاوندیان #جهانگیری #روحانی</t>
  </si>
  <si>
    <t>شیخ شخم الدین بخارایی</t>
  </si>
  <si>
    <t>ما موشک تولید میکنیم ولی پوشک نه #دلار #روحانی</t>
  </si>
  <si>
    <t>dejavu🏳️‍🌈</t>
  </si>
  <si>
    <t>یکصدو چهل هزار ریال شد #دلار #رئیس_جمهور</t>
  </si>
  <si>
    <t>تا 1400.. نه تا 14000تومن با #روحانی #دلار</t>
  </si>
  <si>
    <t>‏‏اهل رسانه/طنز پرداز/ *کاندیدای ۲۰ انتخابات رئیس جمهوری ایران* (هر توییت ممد حیات است و هر ریت مفرح ذات)</t>
  </si>
  <si>
    <t>انقلاب اسلامی</t>
  </si>
  <si>
    <t>https://pbs.twimg.com/media/DmQARXyU0AEaW_p.jpg</t>
  </si>
  <si>
    <t>قسمت پایانی صحبت های سعید لیلاز با یورونیوز... گرچه تیکه ای به سران قوا گفته اما ... #روحانی #سعید_لیلاز #یورونیوز</t>
  </si>
  <si>
    <t>🇮🇷مستر میم_عین</t>
  </si>
  <si>
    <t>یک نفر بیاید دست این #پروانه_سلحشوری را بگیرد، از پشت تریبون #مجلس بگذاردش پشت دوربین های #بی_بی_سی، تا راحت هر چه دل تنگش میخواهد را بدون کم و کاست فریاد بزند! هم او راحت می‌شود، هم ما تناقضاتمان حل می‌شود. #نماینده_لیستی</t>
  </si>
  <si>
    <t>‏‏‏‏از هرطرف که رفتم، جز وحشتم نیافزود■زینهار از این بیابان، وین راه بینهایت... ‎‎‎#حافظ</t>
  </si>
  <si>
    <t>زیر گنبد کبود</t>
  </si>
  <si>
    <t>https://pbs.twimg.com/media/DmPyv6iXoAAubYC.jpg</t>
  </si>
  <si>
    <t>https://twitter.com/halVlid/status/1036939263278034951</t>
  </si>
  <si>
    <t>در #جمهوری_اسلامی همین که دزد باشی نصف راهِ ترقی و پیشرفت رو رفتی دیگه کمِ کم، هیچی نشی حقوقدان* میشی یا سرهنگ* *حسن #روحانی امکانات و استعداد بیشتری داشت حقوقدان شد و اروجعلی ببرزاده سرهنگ شد RT @halVlid: میون کلامتون٬ اروجعلی ببرزاده الان شده رئیس کلانتری ۱۵۷ مسعودیه.</t>
  </si>
  <si>
    <t>چوک 🏳</t>
  </si>
  <si>
    <t>آقایون و‌خانوما! تبریک ‌عرض میکنم، بالاخره به زودی به آرزوی دیرینه خودتون که تغییر نظام #جمهوری_اسلامی باشه میرسید! چون جناب #روحانی فرمودند: امکان ندارد ما را به قبل از سال ۵۷ برگردانند. #دلار #دلار۱۴۰۰۰تومانی #سقوط_اقتصادی #بانك_مركزي #سکوت_ایرانی</t>
  </si>
  <si>
    <t>یکی متن سخنرانی #روحاني رو عوض کنه یه تیکه کاغذ پیدا کرده از 92 همون هارو میگه</t>
  </si>
  <si>
    <t>https://pbs.twimg.com/media/DmQA3ntU0AIA1w2.jpg</t>
  </si>
  <si>
    <t>لیلاز در گفتگو با یورو نیوز: من پشت پرده را نمی دانم ولی اختیاراتی که آقای خامنه ای به روحانی و سران سه قوه داده اگر به چوب داده بود تا الان یک کاری کرده بودند. #روحاني #دلار۱۳۰۰۰تومانی #روحانی_مچکریم</t>
  </si>
  <si>
    <t>حاج حمید</t>
  </si>
  <si>
    <t>اگر مردی، #حباب #پوشک را بترکان... قطعا از افتخارات دولت تدبیر خواهد شد. #اصلاح_طلبان #روحانی #علی_برکت_الله</t>
  </si>
  <si>
    <t>جاداره خسته نباشید بگیم به مسئولان محترم مملکتی بابت جانفشانی و مبارزه با مظلومین و مردم کم درآمد و همراهی و همیاری دزدان و ظالمان. #مجلس #پوشک #پیشنهاد_من ﷼$</t>
  </si>
  <si>
    <t>سه سال دیگه هم انتخابات خواهد بود و این ملت را می کشونن تا به یه جانوری بدتر از #روحانی رای بدن. ما مرده شما زنده. از ما بخاری در نمیاد. 🤷‍♂️</t>
  </si>
  <si>
    <t>#روحانی و دولتش رسما روی #احمدی_نژاد و دولتش رو روسفید کرده. اختلال مدیریتی و اختلاس به حدی رسیده است که آرزوی بازگشت به دوران احمدی‌نژاد چندان هم قابل سرزنش نیست</t>
  </si>
  <si>
    <t>عضو حزب اتحاد ملت ایران اسلامی</t>
  </si>
  <si>
    <t>آقای #رئیس_جمهور عاجزانه تقاضا دارم چند روزی به #ایران بیایید و در میان ایرانی ها زندگی کنید، این مردم از ورطه ناامیدی به نیستی میل میکنند و شما همچنان از #امید و گذر از #مشکلات میگویید، کاش واژگان را بی اعتبار نمیکردید #روحاني</t>
  </si>
  <si>
    <t>reza sadri irani</t>
  </si>
  <si>
    <t>دلار 14 هزار تومانی نتیجه ی عدم ارسال پرونده ی سوال از رئیس جمهور به قوه قضائیه است که که به لطف آقای لاریجانی نصیب ملت می شود. #دلار #روحانی #مجلس #لاریجانی #این_حق_ملت_نیست</t>
  </si>
  <si>
    <t>pic.twitter.com/TdLlX80NJE</t>
  </si>
  <si>
    <t>ربات های عزیز توجه فرمایید سری جدید ربات سالی تاک از همین هفته پنجشنبه ۱۵ شهریور ساعت ۲۰:۳۰ 🤖 #منوتو #salitalk #تابستان_نارضایتی #ظریف #ما_ربات_نیستیم #روحانی #دلار #مطهری #اعتراضات_سراسری</t>
  </si>
  <si>
    <t>https://www.goodreads.com/user/show/27097301-ali-ammari</t>
  </si>
  <si>
    <t>‏‏‏‏‏‏‏‏‏‏‏‏‏‏‏‏‏بسته است این در دُلّا باید درِ دیگر زدن!</t>
  </si>
  <si>
    <t>http://fa.euronews.com/2018/09/03/journalist-and-economic-expert-saeed-leilaz-talks-iran-economy-in-exclusive-interview</t>
  </si>
  <si>
    <t>سعید لیلاز: «من پشت پرده را نمی دانم ولی اختیاراتی که آقای خامنه ای به #روحانی و سران سه قوه داده اگر به چوب داده بود تا الان یک کاری کرده بودند»</t>
  </si>
  <si>
    <t>ali ammari</t>
  </si>
  <si>
    <t>https://pbs.twimg.com/media/DmQC4j3XcAEtT7N.jpg</t>
  </si>
  <si>
    <t>http://www.icana.ir/Fa/News/401819</t>
  </si>
  <si>
    <t>مشروح مذاکرات #مجلس در جلسه علنی سیزدهم شهریور موافقت نمایندگان با یک فوریت طرح تمدید مهلت پرداخت بدهی تولیدکنندگان به بانک‌ها مهم‌ترین دستورکار امروز مجلس بود.</t>
  </si>
  <si>
    <t>https://pbs.twimg.com/media/DmQDMwUW0AAG1v1.jpg</t>
  </si>
  <si>
    <t>از #روحانی می‌خواهیم شتابان‌تر به "جلو" حرکت کند ⭕️ @PahlaviReza ⭕️ @ManookKhodabak1</t>
  </si>
  <si>
    <t>جهان زیر سیگاری من است</t>
  </si>
  <si>
    <t>آی تکذیب کننده همه چی! آی مکذب! در دهنتو ببند #دولت #مجلس</t>
  </si>
  <si>
    <t>kiamehr13627</t>
  </si>
  <si>
    <t>‏‏‏‏‏‏‏‏‏‏‏‏‏‏‏‏‏‏‏‏‏‏‏‏یابه الله اعتقادداری یاهنوز نشناختیش-امید خداییست که بشدت کافیست،توییتها نظر شخصیست_گاهی خسته،همیشه امیدوار</t>
  </si>
  <si>
    <t>iran،gorgan</t>
  </si>
  <si>
    <t>https://pbs.twimg.com/media/DmQDRAVXcAAPEN6.jpg</t>
  </si>
  <si>
    <t>اگر میخوایم کشوری متمدن شناخته شویم بایدبه نمایندگان مجلس بفهمانید #مجلس نماد یک ملت است و جای شاخ شانه کشیو هل دادن نیست... موقع سخنرانی گوش کن و موقع اعتراض اعتراض و اگر دیدی کسی از دیگری حمایت کرد جلوی دهانش را نگیر و به آن انگ خیانت نزن..به معنای ساده #شعور داشته باشید</t>
  </si>
  <si>
    <t>M.lotfalinejhad</t>
  </si>
  <si>
    <t>به یزدان که گر ما #خرد داشتیم کجا این سرانجام بد داشتیم #پروانه_سلحشوری #مجلس</t>
  </si>
  <si>
    <t>Sadjad</t>
  </si>
  <si>
    <t>دانشجوی جامعه‌شناسی سیاسی</t>
  </si>
  <si>
    <t>خیابان انقلاب</t>
  </si>
  <si>
    <t>https://pbs.twimg.com/media/DmQDrl9W4AEnM27.jpg</t>
  </si>
  <si>
    <t>سعید لیلاز: #روحانی مقصر است!</t>
  </si>
  <si>
    <t>مجتبی باقری</t>
  </si>
  <si>
    <t>🔴 سعید لیلاز (چهره اصلاح طلب) در مصاحبه با #یورونیوز : اختیاراتی که آقای خامنه ای به #روحانی و سران سه قوه داده، اگر به #چوب داده بود تا الان یک کاری کرده بودند!!👆 ➖➖➖➖➖➖</t>
  </si>
  <si>
    <t>Mojtaba</t>
  </si>
  <si>
    <t>http://wp.me/16Gro</t>
  </si>
  <si>
    <t>Freedom and Human Rights- Follows, RT and LIKE NOT Endorsement. +989126882040. #Iran, #ایران</t>
  </si>
  <si>
    <t>هاجر چنارانی در صحن علنی ۱۳/۰۶/۱۳۹۷ #مجلس از جانب خود و همه‌ی نماینده‌ها و خادمین مردم در مجلس به خاطر شرایط اقتصادی به‌وجود آمده در کشور، از همه‌ی مردم ایران عذرخواهی کرد و سر تعظیم فرود آورد.</t>
  </si>
  <si>
    <t>Mehdi Heydarian مهدی حیدریان</t>
  </si>
  <si>
    <t>‏‏‏‏‏‏‏هست اندر نقش این روبـــــــــــــــاه، شیر/// سوی این روبـــــــــــــــه نشاید شد دلیر--- گر زه روی صورتش مینگروی/// غره شیران ازو می‌نشنوی؟(مولان</t>
  </si>
  <si>
    <t xml:space="preserve">دشت و کوه و بیابون </t>
  </si>
  <si>
    <t>https://pbs.twimg.com/media/DmQET2UW4AAqGuv.jpg</t>
  </si>
  <si>
    <t>تصویری از پایه های نظام... #جمهوری_اسلامی #روحانی #دلار</t>
  </si>
  <si>
    <t>Red Foxii</t>
  </si>
  <si>
    <t>در حد گذر و نظر!</t>
  </si>
  <si>
    <t>#روحانی گفته به قبل از ۵۷ برنمیگردیم. میخواد ببردمون تو همون دوره کوپن و صف ارزاق عمومی و جنگ و موشک باران و بمباران ولمون کنه. استاد اگر راه داره یک سال تخفیف بده به ۵۶ هم راضی ایم ها؟</t>
  </si>
  <si>
    <t>Hooman Mashayekhi</t>
  </si>
  <si>
    <t>#دلار دوباره کشیده بالا وقتشه #روحانی بره تله‌کابین وقتشه وکیل‌الدوله‌های تکراری، حاشیه‌سازی کنند وقتشه زنجیره‌ای‌ها به بهونه‌ای جنجال درست‌کنند خوب کشوری برامون درست کردین #پروانه_سلحشوری</t>
  </si>
  <si>
    <t>‏هيچ مصلحتي ارزش قرباني كردن حقيقت رو نداره</t>
  </si>
  <si>
    <t>https://pbs.twimg.com/media/DmP58KPXsAARN6A.jpg</t>
  </si>
  <si>
    <t>https://twitter.com/sahandiranmehr/status/1036947161404059648</t>
  </si>
  <si>
    <t>اختیاراتی که ۲۴ میلیون به آقای #روحانی دادند رو میدونیم چیه اما از اختیارات اعطایی آقای خامنه‌ای به رییس جمهور این اندازه میدونیم که میفرمایند اجازه دادیم مذاکره کنند اشتباه کردیم...ناصرالدین شاه طور.دنیا اختیارات بده تا سیاست خارجی و تنش زدایی مد نظر نباشه هیچی نیست RT @sahandiranmehr: #لیلاز #روحانی</t>
  </si>
  <si>
    <t>حميدرضا</t>
  </si>
  <si>
    <t>الحق تیم رسانه ای #روحاني خوب عمل کرده هرروز یه سوژه برا ما ردیف میکنه تا نفهمیم #دلار۱۳۰۰۰تومانی شده انقدر گیجمون کردند که خواسته های اصلی مردم به حاشیه رفتند برخوردبا داداش های فاسدشون فراموش داره میشه الان خواسته مردم شده تو رو خدا قیمت #پوشک رو پایین بیارید</t>
  </si>
  <si>
    <t>#روحانی میگه اینکه مارو به قبل سال 57برگردونن ارزوییست ک هرگز محقق نمیشود. اینکه فهمیدی یه آرزو هست مرسی ولی علی برکت الله ک شما مارو به سال 1375 که هیچی به 1257 بردی و متوجه نیستی.فقط کاش این سفربه گذشته بدون حضورشما وامثال شمابود.</t>
  </si>
  <si>
    <t>تکنولوژی‌‌،اینده پژوهی، ، ‏طراحی صنعتی، عاقبت بشر روی کره زمین، کمی هم انسانیت</t>
  </si>
  <si>
    <t>#روحانی هنوز #رئیس_جمهور ه یا ول کرده رفته؟ اینجور که داریم سقوط می‌کنیم فکر کنم کسی پشت فرمون نیست</t>
  </si>
  <si>
    <t>Alireza Safarian</t>
  </si>
  <si>
    <t>https://t.me/javad59_92</t>
  </si>
  <si>
    <t>‏‎#ما_را_چه_به_توییتر ما می گوییم تا شرک و کفر هست، مبارزه هست و تا مبارزه هست ما هستیم. امام خمینی(ره)</t>
  </si>
  <si>
    <t>انشاا... زیر سایه امام زمان عج</t>
  </si>
  <si>
    <t>آیت الله جنتی در اجلاس خبرگان : طوری تبلیغ می‌کنند که انگار رهبری در همه امور اجرایی کشور "فعال مایشاء" هستند و #دولت #مجلس و #قوه_قضاییه کاره‌ای نیستند. ایشان بیشترین اختیارات را در ماه های اخیر به دولت و قوه قضائیه داده اند، اکنون قوا باید پاسخگو باشند.</t>
  </si>
  <si>
    <t>آمیرزا</t>
  </si>
  <si>
    <t>mobile developer</t>
  </si>
  <si>
    <t>من تا 14000 هم با #روحانی هستم ولی بیشترشو شرمنده ام دیگه #دلار۱۴۰۰۰تومانی</t>
  </si>
  <si>
    <t>اسپارکلاروس</t>
  </si>
  <si>
    <t>گویا آقای #روحانی هم در این روزها، حسابی روی فواید «کلیدواژه‌ی دشمن» حساب کرده!! بابا این کلمه دیگه «هیچی ازش نمونده»! «ته‌دیگش» هم تموم شده! «دشمن مُرد، از بس که جان ندارد»!</t>
  </si>
  <si>
    <t>https://pbs.twimg.com/media/DmQG4e8XgAE5xtG.jpg</t>
  </si>
  <si>
    <t>احتمالا نطق پروانه #سلحشوری را شنیده‌اید كه از«سكوت #روحاني به بهانه توصیه #رهبری »،«ناكارآمدی #قوه_قضائیه »،«بده بستان برخی نمایندگان»وبیش ازهمه «#نظارت_استصوابی شورای نگهبان» انتقادكرد. آنچه احتمالا نشنیده‌اید اینكه بخاطراین نطق،ازسوی #امیرآبادی (نماینده قم) مورداهانت قرارگرفت!</t>
  </si>
  <si>
    <t>https://pbs.twimg.com/media/DmQIDqtXcAAvjxe.jpg</t>
  </si>
  <si>
    <t>اگر #چوب این #اختیارات را داشت #سعیدلیلاز اقتصاددان #اصلاح_طلب در مصاحبه با یورونیوز:اختیاراتی که آقای خامنه ای به #روحانی و سران سه قوه داده اگر به چوب داده بود تا الان یک کاری کرده بودند. #بیداری_ملت</t>
  </si>
  <si>
    <t>🇮🇷Majid suzuki🇵🇸</t>
  </si>
  <si>
    <t>https://pbs.twimg.com/media/DmQIVRvU4AUqtPL.jpg</t>
  </si>
  <si>
    <t>سعید لیلاز #روزنامه‌نگار #اصلاح_طلب و تحلیل گر مسائل اقتصادی به #یورونیوز: اختیاراتی که آقای خامنه ای به #روحانی و سران سه قوه داده اگر به #چوب داده بود تا الان یک کاری کرده بودند. / فارس</t>
  </si>
  <si>
    <t>https://twitter.com/naeeme59/status/1036645431143481344</t>
  </si>
  <si>
    <t>#روحانی کجایی؟ دقیقاً کجایی🤦🏻‍♂️ همینقد #تباه #پوشک #پوشک_بچه #پوشک_مقاومتی RT @naeeme59: این خیابون، شب عید هم، همچین ترافیکی به خودش ندیده😨 جماعت مثل قحطی زده ها ریختن ، دارن پوشک و شوینده میخرن..... آقای دولت چیکار داری میکنی دقیقا ؟؟؟😡 @Rouhani_ir</t>
  </si>
  <si>
    <t>https://pbs.twimg.com/media/DmQJQrUX4AEzjod.jpg</t>
  </si>
  <si>
    <t>درود بر شرف سرکار خانم #پروانه_سلحشوری کاش مثل خانم #سلحشوری نماینده های بیشتری داشتیم #دکتر_عارف یاد بگیر #ایران #مجلس #رفع_حصر #لیست_امید #دلار #نظارت_استصوابی #دولت #روحانی #مجلس_خبرگان #شورای_نگهبان</t>
  </si>
  <si>
    <t>https://pbs.twimg.com/media/DmQJYcuWwAIDmA-.jpg</t>
  </si>
  <si>
    <t>https://pbs.twimg.com/media/DmLf2PbXcAECgwH.png</t>
  </si>
  <si>
    <t>https://twitter.com/steve_hanke/status/1036637142947188738</t>
  </si>
  <si>
    <t>ای فلان فلان شده، دروغگو، بی شناسنامه ... ما که به حرف دشمنانمون گوش نمیکنیم، رئیس جمهور محبوب ما جناب #روحانی و زحمتکشان خدوم دولت میگن #تورم ما امروز ۱۰ درصد هست. RT @steve_hanke: BREAKING: Iran's annual inflation rate is the highest it has ever been in its history. Measured for today, 9/3/18, annual inflation is 244%.</t>
  </si>
  <si>
    <t>همه چی دوستان #اصلاحطلب یه طرف این حمایتشون از همدیگه طرف دیگه ماشاالله همگی دارن از #روحانی بسمت #موسوی و #خاتمی تغییر مسیر میدن و با این سرعت احتمالا بعد از مدت کوتاهی همشون اصلاحطلبی رو هم به کل میگذارن کنار 😀</t>
  </si>
  <si>
    <t>‏‏‏‏منتقد / نظریه پرداز / برنده سیمرغ بلورین برای فیلم (و ناگهان خروس) / معتقد به نابود شدن ایران توسط ژن های خوب</t>
  </si>
  <si>
    <t>صحبت های خانم #پروانه_سلحشوری رو شنیدم. بسیارشجاعانه و عاقلانه بود. علت اینهمه مشکلات کشور در کجاست؟ یاد جمله ای از #روحانی افتادم : اگر اطلاعات، تفنگ، پول، سرمایه، سایت، روزنامه و خبرگزاری را همه یکجا جمع کنیم ابوذر و سلمان هم فاسد می‌شوند.</t>
  </si>
  <si>
    <t>RELAX</t>
  </si>
  <si>
    <t>https://pbs.twimg.com/media/DmQKyAOXgAE_63Q.jpg</t>
  </si>
  <si>
    <t>این خانم امروز تو #مجلس غوغا کرد، حرفهایی زد که حرف دل خیلی از من و شما ها بود، با اینکه یک‌شنبه خیلی از بچه‌ها بهش گفتند این حرف‌ها رو نزن ایستاد و با #جسارت نطق خودش رو تمام کرد. اینم بدونید که خیلی ها امروز بهش حمله کردن و حتی اهانت کردند، #امیرآبادی نماینده قم یکیشون بود.</t>
  </si>
  <si>
    <t>این روزها فقط به «دشمن» می‌پردازه! اما من یادم نمی‌آد جناب #روحانی در زمان انتخابات، از کلیدواژه‌ی «دشمن»، استفاده کرده باشه! شما یادتون می‌آد؟! اون روزها مرتب می‌گفت: «مردم‌سالاری؛ دموکزاسی؛ رفاه؛ رابطه با دنیا؛ صلح و آشتی و ...». شاید ملتی کم‌حافظه باشیم اما نه این قدر!</t>
  </si>
  <si>
    <t>سمع به گوشیم</t>
  </si>
  <si>
    <t>https://pbs.twimg.com/media/DmQLq1LWwAAkHex.jpg</t>
  </si>
  <si>
    <t>#دلار در گذر #انقلاب آقای #روحانی بابت بروز نبودن اخرین نرخ معذرت معذرت اجراکم عندالله شیخ حسن</t>
  </si>
  <si>
    <t>رانتی گراندوف</t>
  </si>
  <si>
    <t>http://www.yekta-shahmoradi.com</t>
  </si>
  <si>
    <t>ترانه سُرا ، آهنگساز ، نويسنده و معمار داخلي</t>
  </si>
  <si>
    <t>ما فقط در ساخت و ساختار #دولت در #سايه خودكفا شديم ، چند ماه شده كه مواد اوليه ساخت هيچ الزامات جامعه اقتصادي رو نداريم ! #روحاني</t>
  </si>
  <si>
    <t>yekta shahmoradi</t>
  </si>
  <si>
    <t>https://twitter.com/p_salahshouri/status/1036873560936079360</t>
  </si>
  <si>
    <t>خانم سلحشوری امروز به قسمی که خوردی! به مسیولیتی که داشتی! عمل کردی! فکر کنم بیش از حد و توانت بودی ،عالی بود #مجلس #پروانه_سلحشوری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</si>
  <si>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در 3 روز 20% از ارزش پول ملی کم شد. این در حالیست که #آشنا دنبال کاریکاتور برای تطهیر #روحانی، فریدون در تدارک دفاع دکترا، کریمی قدوسی دنبال کشف جاسوس، #مکارم دنبال ارتداد رحیم پور ازغدی، خبرگان دنبال تطهیر نظام و شهردار تهران دنبال افزودن متمم به قانون منع بازنشستگین بیچاره مردم</t>
  </si>
  <si>
    <t>https://pbs.twimg.com/media/DmQMdHVX4AIeurn.jpg</t>
  </si>
  <si>
    <t>نیمه انقلابی نمای #مجلس مرتجع به جای شو انقلابی گری با #استیضاح نمایشی بدموقع رئیس جمهور و استیضاح اشتباهی بی ثمر وزیران و اشتغال به حواشی فرعی؛ با #اقتصاد_رانتی_دولت مخالفت کند و #کمیسیون_اقتصادی افتضاح خود که حامی ذینفع و رفیق قانونی اقتصاد رفاقتی #دولت شده را اصلاح کند</t>
  </si>
  <si>
    <t>به پیچیدگی همه ي عقایدت</t>
  </si>
  <si>
    <t>این آخرین باره من ازت میخوام ول کنی بری دیوونه ! #روحاني</t>
  </si>
  <si>
    <t>ژاوی</t>
  </si>
  <si>
    <t>آقای #رئیس_جمهور عاجزانه تقاضا دارم چند روزی به #ایران بیایید و در میان ایرانی ها زندگی کنید، این مردم از ورطه ناامیدی به نیستی میل میکنند و شما همچنان از #امید و گذر از #مشکلات میگویید، کاش واژه ها را بی اعتبار نمیکردید #روحاني</t>
  </si>
  <si>
    <t>http://www.icinema.ir</t>
  </si>
  <si>
    <t>Telegram: http://telegram.me/icinema</t>
  </si>
  <si>
    <t>http://icinema.ir/page/10751</t>
  </si>
  <si>
    <t>دفاع از سلبریتی‌ها به سبک امیرمهدی ژوله: مردم از ما گول نخوردند، ما گول مردم را خوردیم که به #روحانی رای دادیم!</t>
  </si>
  <si>
    <t>icinema</t>
  </si>
  <si>
    <t>https://twitter.com/ZiaNabavi1/status/1036951739642073089</t>
  </si>
  <si>
    <t>باز آسمون دانشجوها داره پرستاره می‌شه این بار به لطف دولت امنیتی حسن #روحاني RT @ZiaNabavi1: طبق نظر #وزارت_اطلاعات صلاحیتم برای ادامه تحصیل رد شده است. این را در هسته گزینش س.سنجش فهمیدم. همه چیز مثل قبل بود؛ داستان نقص پرونده، دورهمی دانشجوهای #ستاره‌دار، شرح حالهای شبیه هم. تنها نکته جدید حرفهای دکتر نوربخش مسئول هسته گزینش بود که میگفت: "حل خواهد شد" ما هم امیدواریم.</t>
  </si>
  <si>
    <t>https://pbs.twimg.com/media/DmQOaBlWwAIVi_e.jpg</t>
  </si>
  <si>
    <t>انتقاد سنگین #سعید_لیلاز از #روحانی و دولتش: همه‌ی مسئولیت اقتصاد با روحانی است/ اختیاراتی که آقای خامنه‌ای به روحانی و سران سه قوه داده اگر به #چوب داده بود تا الان یک کاری کرده بودند</t>
  </si>
  <si>
    <t>افرادی که به جای حل مسئله به دنبال پاک کردن صورت مسئله هستند و تصمیمات سرنوشت ساز را مبدل کرده اند به خط تولید بخشنامه و از #پوشک موشک درست می کنند برای فشل کردن سیاست های بانک مرکزی؛ خود عامل اصلی مشکل هستند. جناب #روحانی با یاران بزم همچون نوبخت و شریعمتداری نمی توان به رزم رفت</t>
  </si>
  <si>
    <t>https://pbs.twimg.com/media/DmQO5tsXsAA_B5S.jpg</t>
  </si>
  <si>
    <t>سعید لیلاز : پشت پرده را نمی‌دانم ولی اختیاراتی که آقای #خامنه‌ای به روحانی و #سران_قوا داده اگر به چوب داده بود تا الان یک کاری کرده بودند. +من مسئولیت را اساسا متوجه #روحانی می‌دانم چون ما از ۹ماه قبل به او هشدار داده بودیم که #دلار را بحران خواهد گرفت</t>
  </si>
  <si>
    <t>خداوکیلی با یه جون تا این مرحله از زندگیو خوب اومدیمت</t>
  </si>
  <si>
    <t>جزیره ثبات</t>
  </si>
  <si>
    <t>من یکی گه خوردم به #روحانی رای دادم. شما چی؟ :)</t>
  </si>
  <si>
    <t>وَلمْ یولَد 🍆</t>
  </si>
  <si>
    <t>https://pbs.twimg.com/media/DmQPFJ4X0AE80ig.jpg</t>
  </si>
  <si>
    <t>میدانید چرا #احمدی_نژاد را میزنند . پوسکنده میگویم . شاه شاهان وزیران بد را ترجیح میداد چون اگر وزرای خوب دور وبرش را میگرفتند دیگر خوب جلوه نمیکرد و مردم هم متوجه ضعف او میشدند #مشایی #بقایی #روحانی بخشی از کتاب امپراتور درباره #هایلس_لاسی #دیکتاتور حبشه</t>
  </si>
  <si>
    <t>دلار ۱۴۱۰۰ ما خیلی فقیریم برامون زیاده یا شما خیلی پولدارین براتون مهم نیست؟؟؟ #روحانی_خفه_شو #روحانی_مچکریم #تا_۱۴۰۰_با_روحانی #دلار #روحاني</t>
  </si>
  <si>
    <t>نطق امروز #غلامرضا_حیدری در #مجلس: ساختار قدرت به گونه‌ای است که اختیارات یکجا و مسئولیت‌ها جای دیگری است. یکی از ارکان نظام جمهوریت است. جادارد برای حل منازعات داخلی و خارجی به آرای عمومی مراجعه شود. خود را حق مطلق نپنداریم و هرچه را بافکرماتفاوت دارد باطل نپنداریم.</t>
  </si>
  <si>
    <t>#مجلس امروز شاهد خودنمایی دلواپسان بود و پایداری ها به خانم #سلحشوری حمله کردند.</t>
  </si>
  <si>
    <t>https://pbs.twimg.com/media/DmQPzuDXcAEU-3H.jpg</t>
  </si>
  <si>
    <t>http://tn.ai/1820508</t>
  </si>
  <si>
    <t>#آیت‌الله_مومن در گفتگو با تسنیم: #روحانی گفت برای حضور در جلسه #خبرگان با موضوع معیشت مردم "وقت ندارم"/ وظیفه خبرگان مطالبه کردن است از همین رو ما هم مناسب دیدیم که از روسای قوا دعوت کنیم که در اجلاسیه حضور داشته باشند و پیگیری معیشت مردم باشند</t>
  </si>
  <si>
    <t>https://telegram.me/joinchat/AyqAoT4TA85sCQ8vyOMN4w</t>
  </si>
  <si>
    <t>رزمنده دفاع جانانه مقدس نیروی ویژه ، تکاور تیپ ۵۵ هوابرد تخریب چی ، کد ۱۲۱ (ایثارگر)</t>
  </si>
  <si>
    <t>tehran/ iran</t>
  </si>
  <si>
    <t>ما آنقدر خوشحالیم که نمی توانیم بشماریم اگر همه مان دست به دست دهیم و یک گروه درست کنیم کاری خواهیم کرد کارستان مگر اسم این بازی را نگفته بودم ما به این بازی می گوئیم «#قطار_ثروت_سواری» #پوشک_پوشالی #روحانی #نوبخت #جهانگیری</t>
  </si>
  <si>
    <t>فرشید برخوردار</t>
  </si>
  <si>
    <t>دروغ گفتن جلوی دوربین هم خودش یه مهارته. #حسن_خمینی #روحانی #جهانگیری</t>
  </si>
  <si>
    <t>﮼‌شُدِه‌اَز‌دَرد‌بِخَندی‌کِه‌نَبارد‌چَشْمَت؟‌مَن‌دَر‌این‌خَنْدِه‌پُر‌غُصه‌مَهارَت‌دارَم...!</t>
  </si>
  <si>
    <t>#روحانی هنوز رئیس جمهوره یا ولمون کرده رفته؟ اینجور که داریم سقوط می‌کنیم فکر کنم کسی پشت فرمون نیست</t>
  </si>
  <si>
    <t>ձოﻨгհօ3εﻨռ</t>
  </si>
  <si>
    <t>https://pbs.twimg.com/media/DmQQM1WWwAExB4I.jpg</t>
  </si>
  <si>
    <t>آقای #روحانی به خبرگان فرمودن برای حضور در اجلاس و توضیح درباره ی وضعیت معیشت مردم #وقت_ندارم ! توضیح در عکس راستی چطور وقت داری با اون یکی اکانتت منو بلاک کنی؟ @HassanRouhani</t>
  </si>
  <si>
    <t>با حسن #روحانى به جايى ميريم كه يه مدت ديگه، سازمان ملل كمك هاى بشردوستانه ميفرسته واسمون</t>
  </si>
  <si>
    <t>http://t.me/hicch</t>
  </si>
  <si>
    <t>‏فیلسوف اهل هیچ دسته فکری نیست. فیلسوف بودن او به همین است.</t>
  </si>
  <si>
    <t>چه از #روحانی خوشتان بیاید و چه نه؛ قانونا او موظف به پاسخگویی به #مجلس_خبرگان نیست!</t>
  </si>
  <si>
    <t>محمد وحیدی🇮🇷‏</t>
  </si>
  <si>
    <t>elevator business</t>
  </si>
  <si>
    <t>Every where</t>
  </si>
  <si>
    <t>من جدی دارم فکر میکنم اگه رییسی میومد چی میشد ؟!؟!🤔🤔🤔 #رییسی #روحانی</t>
  </si>
  <si>
    <t>خوزه آرکادیو دولا پایداد</t>
  </si>
  <si>
    <t>ریتوئیت به معنای تایید شخص نیست! تحلیلگر مسائل پیش پا افتاده ـ پناهنده‌ی توئیتر ـ وی در خانواده ای مذهبی اعتقاد خود را از دست داد ـ #حق_طلبم</t>
  </si>
  <si>
    <t>#براندازم ـ ایران اشغالی</t>
  </si>
  <si>
    <t>#روحانی گفته : آرزوی بازگشت به قبل از ۵۷ را به گور می‌برند. اوضاعشون خیلی خرابه، مخصوصا با این وضعیت #پوشک اوضاع وخیم تر از آنست که ما میدونیم و میبینیم. به زودی خبرهای دزدی و اختلاسها و فرارهای زیادی خواهیم شنید. بار و بندیلشان را می بنند</t>
  </si>
  <si>
    <t>خرمالو 🏳</t>
  </si>
  <si>
    <t>وقتی #دیجی‌کالا با 175 نفر از کارکنانش (که احتمالاً همه جوان بودن)، خداحافظی می‌کنه یعنی هزاران «تولیدکننده، فروشنده و ... هستن که الان کمتر کار می‌کنند و چیزی برای «عرضه» ندارن. این یعنی «بحران». البته شاید هنوز هم آقای #روحانی بگه «بحران» نداریم و در مرحله‌ی «آسیب» هستیم!</t>
  </si>
  <si>
    <t>‏‏‏‏یک فیلمساز ناراضی... وابسته به هیچ جناحی نیستم ... شوخی‌هام رو جدیم نگیرید .. ضد آخوند خالص در حد مغ‌کشان... دایرکت ندید ممکنه پشت در بخونید 😉</t>
  </si>
  <si>
    <t>روحانی گفته آرزوی بازگشت به سال ۵۷ را به گور خواهید برد دیگه خودشون هم میدونن چه گوهی خوردن که مردم آرزوی گذشته رو دارن #روحانی #رژیم_را_سرنگون_کنیم #ایران_رو_پس_میگیریم</t>
  </si>
  <si>
    <t>خبرنگار پارلمانی روزنامه ایران / توئیت ها دیدگاه شخصی من هستند نه موضع روزنامه ایران @IranNewspaper</t>
  </si>
  <si>
    <t>کمیسیون امنیت ملی #مجلس امروز دو طرح مهم مورد نظر مخالفان دولت را رد کرد: 1-طرح راه اندازی و استفاده از پیام رسان‌های مالی که مقدمه پیوستن به #سوئیفت_روسی بود 2-طرح ممنوعیت انتخاب یا انتصاب مقامات و مدیران #دو_تابعینی</t>
  </si>
  <si>
    <t>احسان بداغی</t>
  </si>
  <si>
    <t>IT engineer / اصلاح طلب / نگران آینده کشور</t>
  </si>
  <si>
    <t>هر چند گوش شنوایی نیست اما نطق فوق العاده ای بود درود بر شما #مجلس #پروانه_سلحشوری #نطق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</si>
  <si>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Dimo</t>
  </si>
  <si>
    <t>همین امروز آموزش #پوشک درست کردن با تیشرت بچه رو دیدم خواستم بگم آقای #روحانی ما ک اول و آخر با این مشکل کنار میایم،فقط رو سیاهیش به شما میمونه و #اصلاح_طلبان ک از مدیریت پوشک هم عاجز بودین</t>
  </si>
  <si>
    <t>حضرت دیپلماسی🇮🇷</t>
  </si>
  <si>
    <t>#فرقه_تبهکار اقای حسن #روحانی ما #ملت_ایران میخواهیم به اصول #استقلال_ملی #منافع_ملی و #هویت_ملی و #حکومت_ملی بازگردیم اما اگر فکر کردید به همان قانون اساسی مشروطه بازگردیم که حکومت شیعه و دخالت #اخوندواخوندزاده باشد لطفا در جریان باشید ”کور“ خوانده اید</t>
  </si>
  <si>
    <t>Reza Amouzadeh</t>
  </si>
  <si>
    <t>‏‏‏ایرانم را دوباره میسازم...</t>
  </si>
  <si>
    <t>آ.مؤمن عضو #خبرگان #خرفت فرمودن : #روحانیِ #گوسفند گفته وقت ندارم در جلسه خبرگان (در ارتباط با وضعیت معیشتی مردم) شرکت کنم! نفهم جان شما وظیفه ات #نظارت و مطالبه از #رهبر عزیزتونه اگر خیلی زرنگی بسم الله... #جمهوری_اسلامی_انتخاب_من_نیست #رژیم_را_سرنگون_کنیم</t>
  </si>
  <si>
    <t>مِستِر مُهَندِس</t>
  </si>
  <si>
    <t>روحانی گفته آرزوی بازگشت به پیش از سال ۵۷ را به گور خواهید برد دیگه خودشون هم میدونن چه گوهی خوردن که مردم آرزوی گذشته رو دارن #روحانی #رژیم_را_سرنگون_کنیم #ایران_رو_پس_میگیریم</t>
  </si>
  <si>
    <t>خدایا ما را از شر #خاتمي #روحاني #اصلاحات #لاریجانی و #نوشابه نجات بده #فرجام_غربگرایی</t>
  </si>
  <si>
    <t>جدی من فقط دارم دیییوووونه میشم از دست اینا یا شما هم مث منید ؟ تو رو خدا بگید تحمل شنیدنشو دارم #روحانی #دلار #دولت #انقلاب #جمهوری_اسلامی #دزد #کثیف #نالایق #وقت_ندارم #برجام #تله_کابین_توچال #دروغ #خود_سوزی</t>
  </si>
  <si>
    <t>https://pbs.twimg.com/media/DmQT5jXXoAEqWkZ.jpg</t>
  </si>
  <si>
    <t>متلک مارک دوبوویتز، فعال‌سیاسی رسانه‌ای ضدایرانی درباره سقوط ارزش ریال کاش عکس امام را روی این اسکناس نمی‌زدند کاش #روحانی به حرف اقتصاددانها گوش‌میکرد تا اینطور خفت نکشیم</t>
  </si>
  <si>
    <t>نمیخوام در توصیف شجاعت و صداقت و نماینده واقعی بودن خانم @P_Salahshouri از کلیشه های جنسیتی استفاده کنم/کنیم ولی چندنمونه واقعی #نماینده مردم بودن کاش داشتیم فارغ از نگاه به آینده دوباره برگشتن یا بعد دو دوره #ریاست جمهوری..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</si>
  <si>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‏‏آنجا که طبیعت توقف میکند ، هنر آغاز میشود . آن که انتظار دارد هرچهار فصل ، بهار باشد ، نه خود را میشناسد ، نه طبیعت را و نه زندگی را</t>
  </si>
  <si>
    <t>دولت قبل هر وقت گوجه می‌دیدیم یاد #احمدی‌نژاد و سر کوچه‌‌شان می‌افتادیم، حالا هر وقت بچه خرابکاری می‌کند و باید #پوشک‌ عوض کند یاد #روحانی.</t>
  </si>
  <si>
    <t>محمد حیدری ۷۱</t>
  </si>
  <si>
    <t>شما ها در مجلس فقط حرف میزنید عمل نمیکنید 30 سال کشور دست #خامنه‌ای و #سپاه است و این اقا سال به سال بر قدرت اش افزوده شده و در این سالها شما #اصلاح_طلبان به غیر از حرف و همراهی با سیستم #فاسد چیکار کردید؟ از #مجلس بله قربان گو بی هویت انتظاری نیست #پروانه_سلحشوری #همه_پرسی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</si>
  <si>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https://pbs.twimg.com/media/DmQUndRX0AI1fAl.jpg</t>
  </si>
  <si>
    <t>دستم نمی رسد که بگیرم عنان دوست #ارز #دلار #دشمن #پوشاک #روحانی</t>
  </si>
  <si>
    <t>mohsenbarazandeh</t>
  </si>
  <si>
    <t>در زمان #احمدی_نژاد 45 تومن یارانه می گرفتیم که می شد 12 دلار، در زمان #روحانی هم داریم همون 45 تومن رو می گیریم که میشه 3 دلار. درصورتیکه در زمان احمدی نژاد تحریم بودیم ولی به گفته دولت روحانی ما مشکل فروش نفت و صادرات نداریم</t>
  </si>
  <si>
    <t>‏‏رویایی دارم رویای آزادی... تحلیل مسائل سیاسی ایران</t>
  </si>
  <si>
    <t>#روحانی: دشمن می‌خواهد ۴۰ سال به عقب برگردیم/ هیچوقت نبوده که ملت ایران دست خود را جلوی دیگران برای نان و زندگی دراز کند. برگشتن به 40سال قبل که تبدبل به رویای #مردم_ایران شده،دست دراز کردن جلوی دیگران برای نان هم مختص قشری بود که به اشتباه امروز بر مسند قدرتند. #دلار۱۴۰۰۰تومانی</t>
  </si>
  <si>
    <t>سخنگوی کمیسیون بهداشت و درمان #مجلس از قول مسئولان #تامین_اجتماعی برای پرداخت بدهی‌های سال ۹۶ به شرکت‌های دارویی و کارخانه‌های داروسازی و اختصاص ۱۷۰۰ میلیارد تومان به بیمه سلامت و کمک‌های دارویی خبر داد./خانه ملت</t>
  </si>
  <si>
    <t>‏‏‏پدر ، همسر ، پدر بزرگ ، هنر دوست ایرانی ، مسلمان ، مفتخر به مذهب شیعه و یک کلام ،ختم کلام ، فدایی ولایت</t>
  </si>
  <si>
    <t>جمهوری اسلامی ایران ، تهران</t>
  </si>
  <si>
    <t>pic.twitter.com/Vddhh4z7AQ</t>
  </si>
  <si>
    <t>🔸حسن خمینی در پیام تبلیغاتی برای ریاست جمهوری #روحانی، اردیبهشت ۹۶: 💬 «اقتصاد‌دان‌های بزرگ نسبت به توانمندی دولت شهادت داده‌اند و همین جان و روح ما را مستحکم می‌کند که با رای به روحانی آینده‌ را همراه هم رقم بزنیم رقم زدی؟؟؟؟؟</t>
  </si>
  <si>
    <t>م - رضا یوسفی</t>
  </si>
  <si>
    <t>‏سعی کن هیچ وقت دست به روی روحانیت دراز نکنی، بالاخص که روحانیتش بچه دروازه غار باشه....</t>
  </si>
  <si>
    <t>#روحانی امروز گفته محاله به سال 57 برگردیم. این صحبت نشون میده، لایه های بالای قدرت کاملا #براندازی و #رضاپهلوی رو جدی گرفتن. جمهوری اسلامی راهی جز سرنگونی یا نوشیدن جام زهر در پیش نداره.</t>
  </si>
  <si>
    <t>رضا مثقالی</t>
  </si>
  <si>
    <t>journalist in iran</t>
  </si>
  <si>
    <t>فرق تحلیل مشکلات اقتصادی دوره #روحانی و #احمدي_نژاد توسط رسانه ها و فعالین اصلاح طلب؛ تحول خواه و حتی برانداز اینه که آن زمان اول می کوبیدن تو سر احمدی نژاد بعد به سمت بیت و رهبری الان مستقیم حواله می کنند به رهبر!</t>
  </si>
  <si>
    <t>امير جعفري</t>
  </si>
  <si>
    <t>آیت الله مومن: #روحانی گفت برای حضور در جلسه خبرنگان با موضوع معیشت مردم "وقت ندارم"</t>
  </si>
  <si>
    <t>کجایند ملتی که #هاشمی را روی دست آنچنان با شکوه تشییع کردند؟؟؟ کجایند تا طعم دلار ۱۵۰۰۰ تومانی را بچشند بخورید دستاورد دولت #روحانی را این دولت منحوس تداوم #هاشمی را.</t>
  </si>
  <si>
    <t>‏‏روزنامه نگار دانشجوی اقتصاد</t>
  </si>
  <si>
    <t>یکی از بزرگترین فایده های بحران اقتصادی و اجتماعی و سیاسی تو 9 ماه گذشته این بود که #روحانی رو شناختیم و فهمیدیم چقد لجباز و یکدنده و خودمحوره وگرنه یه بیست سالی هم باید با این بزرگوار سر میکردیم</t>
  </si>
  <si>
    <t>shahab</t>
  </si>
  <si>
    <t>#فرقه_تبهکار حسن #روحانی در مراسم افتتاح طرح های پطروشیمی در عسلویه: "امکان ندارد که بدخواهان موفق شوند ما را به قبل از سال ۵۷ برگردانند." توی گرما رفتی عسلویه که از ”پهلوی“ وبازگشتش بنالی؟ توی تهرون هم میتونستی انجام بدی و در ضمن مجلس باسمه ای خبرگان رو هم از دست ندی</t>
  </si>
  <si>
    <t>ای استخر فرح، #روحانی در انتظارت #وقت_ندارم</t>
  </si>
  <si>
    <t>http://www.icana.ir/Fa/News/401866</t>
  </si>
  <si>
    <t>اعضای شورای نظارت بر صداوسیما مجاز به شرکت در جلسات هیات امناء بدون حق رأی شدند سخنگوی کمیسیون فرهنگی #مجلس، مصوبات کمیسیون متبوعش درخصوص طرح اداره و #نظارت بر #صداوسیما را تشریح کرد.</t>
  </si>
  <si>
    <t>عده‌ای از بیکاری به #وقت_ندارم روحانی گیر می‌دهند، در صورتی که همه تقصیرها از روحانی نیست، آن‌هایی که #وقت_داشتند و کاری نکردند هم مقصرند. #روحانی #جهانگیری #پوشک #افشانی_استعفا #خودسوزی #چوب #مشایی #احمدی_نژاد #مجلس #لاریجانی #سیف #سایپا #ایران_خودرو #ارز #سکه #دلار</t>
  </si>
  <si>
    <t>‏شهروند درجه سه</t>
  </si>
  <si>
    <t>اگراین قاعده رابپذیریم که ترس ازدست دادن #قدرت است که صاحبان قدرت راکنترل می کند، درشرایطی که کنارگذاردن حسن #روحاني بازی درزمین دشمن محسوب می شود و او دمار از روزگارما وایران عزیزمان درآورده و ازدر قدرت ماندن خودش هم مطمئن است، شما بگویید چگونه می توانیم او را کنترل کنیم؟! #دلار</t>
  </si>
  <si>
    <t>امین اکرمی</t>
  </si>
  <si>
    <t>https://sharghdaily.ir</t>
  </si>
  <si>
    <t>دبيرصفحه آخرشرقJournalist at Shargh/ @SharghDaily / اینجا نظرات شخصی‌ام را مینویسم</t>
  </si>
  <si>
    <t>Tehtan, Iran</t>
  </si>
  <si>
    <t>ليلاز تشريح كرد چرا اين طوري شد و چرا #روحاني كاري نمي كند وروددلاراز دی ماه سال گذشته به بازار ایران از سوی آمریکایی ها ممنوع شد و دولت روحانی هم بسیار بی کفایت و بد عمل [کرد] و دقیقا پا جای پای احمدی نژاد گذاشت و نتیجه شد وضعیتی که شاهد هستیم.</t>
  </si>
  <si>
    <t>Gisoo Faghfouri</t>
  </si>
  <si>
    <t>pic.twitter.com/phFWSFOEm1</t>
  </si>
  <si>
    <t>بخشى از نطق ماندگار #پروانه_سلحشوری در جلسه امروز #مجلس (تصويرى)</t>
  </si>
  <si>
    <t>اصلاح طلبان(پارسال): شاید با #روحانی سوییس نشویم اما با #رئیسی قطعا ونزوئلا خواهیم‌شد:)))))))))))))))</t>
  </si>
  <si>
    <t>ولی چه خطری در اثر اشتباه حضرت عاقا از بیخ گوش ملت رد شد فکر کن اگه رییسی #رییس_جمهور بود خیلی ها هنوز داشتن #اصلاحطلب ها رو تقدیس میکردن هر روز که اوضاع بدتر میشه من بیشتر به مسئله بالا فکر میکنم</t>
  </si>
  <si>
    <t>#فرقه_تبهکار حسن روحانی پیش از این نیز در مورد معترضان در ایران گفته بود که قصد بازگرداندن حکومت پهلوی را دارند و هشدار داده بود که به باور او این امر امکان‌پذیر نخواهد بود. هسن آغا #روحانی باورت تنگ اومده و ”عبدلهگی“ زده پس یقه تو گرفته برو دکتر بگو شبها کابوس پهلوی میبینی</t>
  </si>
  <si>
    <t>https://twitter.com/SadraMohaqeq/status/1036946585069015041
http://fa.euronews.com/2018/09/03/journalist-and-economic-expert-saeed-leilaz-talks-iran-economy-in-exclusive-interview</t>
  </si>
  <si>
    <t>*این آقا یا خودش را به نفهمی زده و ملت را خر فرض میکند بخاطر منافع اش یا هرچی و یا واقعا نفهم است و از اختیارات و دخالت های #رهبری #سپاه خبر ندارد و نمیداند سیاست های کلان ج.ا چی است و از کجا میاید و هزینه اش برای مردم در این 40 سال چقدر بوده #لیلاز #خامنه‌ای #روحاني #ایران RT @SadraMohaqeq: سعید لیلاز:«من پشت پرده را نمی‌دانم ولی اختیاراتی که آقای خامنه‌ای به روحانی و سران قوا داده اگر به چوب داده بود تا الان یک کاری کرده بودند. من مسئولیت را اساسا متوجه روحانی می‌دانم چون ما از ۸ ،۹ ماه قبل به او هشدار داده بودیم که دلار را بحران خواهد گرفت»</t>
  </si>
  <si>
    <t>اگر شنیدید #دلار۱۴۰۰۰تومنی تعجب نکنید، اگر شنیدید #دلار۱۵۰۰۰تومانی تعجب نکنید... چون #دلار در بازا نیست و هر چه که نیست، هر قیمتی بگی، باز هم نیست.... فقط مجلس می تواند با استیضاح #روحانی یه کاری کند. #پوشک</t>
  </si>
  <si>
    <t>https://pbs.twimg.com/media/DmQY3UEW4AgVyRy.jpg</t>
  </si>
  <si>
    <t>بیانات رهبری در عصر #احمدی‌نژاد: از لحاظ انعكاس بين‌المللی كشور از يک عزت بی‌سابقه‌ای برخوردار است؛ ابهت نظام اسلامى و عظمت ملت ايران بيش از همیشه است. دولت حتی یک روز را هم بيهوده از دست نداده. در عصر روحانی: #پوشک کمیاب شده است! حزابله: #روحانی را به احمدی‌نژاد ترجیح می‌دهیم!</t>
  </si>
  <si>
    <t>گرانی #دلار در زمان احمدی تقصیر دولت بود در زمان #روحانی تقصیر سپاه. واقعا این اصلاح طلب ها جهان های عجیب و موازی ای دارند. #پروانه_سلحشوری</t>
  </si>
  <si>
    <t>لیلاز: «من پشت پرده را نمی‌دانم ولی اختیاراتی که آقای خامنه‌ای به #روحانی و سران قوا داده اگر به چوب داده بود تا الان یک کاری کرده بودند. من مسئولیت را اساسا متوجه روحانی می‌دانم چون ما از ۸ ،۹ ماه قبل به او هشدار داده بودیم که دلار را بحران خواهد گرفت» RT @SadraMohaqeq: سعید لیلاز:«من پشت پرده را نمی‌دانم ولی اختیاراتی که آقای خامنه‌ای به روحانی و سران قوا داده اگر به چوب داده بود تا الان یک کاری کرده بودند. من مسئولیت را اساسا متوجه روحانی می‌دانم چون ما از ۸ ،۹ ماه قبل به او هشدار داده بودیم که دلار را بحران خواهد گرفت»</t>
  </si>
  <si>
    <t>«سران سه قوه هنوز تصمیمی برای حل مشکلات معیشتی مردم نگرفته‌اند» عضو کمیسیون شوراها: سران سه قوه تصمیماتی را که باید برای حل مشکلات معیشتی مردم می‌گرفتند، تاکنون نگرفته‌اند. باید نتیجه سوال از #روحانی این باشد که مسئولین به میان مردم بروند و باتوجه به مشکلات مردم راهکار ارائه دهند</t>
  </si>
  <si>
    <t>‏‏‏‏‏‏‏‏آزاد چون‌ باد.... یک پوستر چسبون ساده اصلاحات/ دلداده به نصرت رحمانی نیمچه خبرنگار</t>
  </si>
  <si>
    <t>https://pbs.twimg.com/media/DmQUjPUW0AA8wDN.jpg</t>
  </si>
  <si>
    <t>https://twitter.com/MortezaGasemi66/status/1036977978671083525</t>
  </si>
  <si>
    <t>حرف حق رو در مورد #پروانه_سلحشوری این کاربر زده. چون ثابت‌کرده که خانم سلحشوری یک نماینده مردمی است و به رای مردم احترام گذاشته است اما حالا #نماینده ای دیگر به اسم ولایی، مستقل و حتی امید با سکوتشان به رای مردم خیانت می‌کنند. #همه_پرسی هم ترسناک نیست خدایی حجت مردم هستند RT @MortezaGasemi66: نماینده ای که توئیت چندمحکوم فتنه رو به عنوان نطق در مجلس میخونه نماینده مردمه؟ وای به نماینده ای که حتی استقلال نداره و یه متنی رو دیکته میکنن میگن برو تو مجلس انشا کن #نماینده_مستقل م آرزوست #شفافیت_آراء_مجلس #پروانه_سلحشوری</t>
  </si>
  <si>
    <t>علی چاهه</t>
  </si>
  <si>
    <t>http://vazhe.blog.ir</t>
  </si>
  <si>
    <t>به ۹۰‎٪ کودکان کار ایران تجاوز جنسی می‌شود.</t>
  </si>
  <si>
    <t>https://twitter.com/sadramohaqeq/status/1036946585069015041
http://fa.euronews.com/2018/09/03/journalist-and-economic-expert-saeed-leilaz-talks-iran-economy-in-exclusive-interview</t>
  </si>
  <si>
    <t>تکرار می‌کنم که تنها راه بحران کنونی کناره‌گیری فوری (احتمالاً غیررسمی) #روحانی و سپردن امور داخلی به‌شخص #قالیباف است. RT @SadraMohaqeq: سعید لیلاز:«من پشت پرده را نمی‌دانم ولی اختیاراتی که آقای خامنه‌ای به روحانی و سران قوا داده اگر به چوب داده بود تا الان یک کاری کرده بودند. من مسئولیت را اساسا متوجه روحانی می‌دانم چون ما از ۸ ،۹ ماه قبل به او هشدار داده بودیم که دلار را بحران خواهد گرفت»</t>
  </si>
  <si>
    <t>محمدعلی کاظم‌نظری</t>
  </si>
  <si>
    <t>●کارشناسی‌باستانشناسی●ارشدسینما. ‏‏علایق[تاریخ،فرهنگ‌و‌هنر،فیلم‌وسینما،فلسفه] [مشغولِ خلقِ حس با روایتِ در قاب، با کمک نور، روی پرده، برای یادآوری] ‎</t>
  </si>
  <si>
    <t>یه چهار دیواری در تهران</t>
  </si>
  <si>
    <t>#فرجام_غربگرایی پاسخگوباش #روحانی</t>
  </si>
  <si>
    <t>Mojtaba,Feyzizadeh</t>
  </si>
  <si>
    <t>https://pbs.twimg.com/media/DmQbdwFXcAIUtOl.jpg</t>
  </si>
  <si>
    <t>دولت #روحانی چکیده دولت‌های #هاشمی، #خاتمی و دولت‌هایی است که قرار بود #کروبی ، #میرحسین_موسوی، مهرعلیزاده، معین و... تشکیل دهند و همچنین حاصل #تَکرار مرد عبا شکلاتی بود. #اقتصاد #پوشک #رفع_حصر</t>
  </si>
  <si>
    <t>دلار ۱۴۰۰۰ تومانی رو به رهبر کبیر در گور رفته رژیم و رهبر فعلی مسلمین جهان تبریک و تهنیت میگم! انشاله با همین فرمون پیش برین به ته دره فروپاشی اقتصادی و فروپاشی رژیم خواهیم رسید! علی برکت اله! #دیگه_تمومه_ماجرا #دلار #خامنه‌ای #روحانی #براندازی</t>
  </si>
  <si>
    <t>https://pbs.twimg.com/media/DmQbyJRXgAI6dXF.jpg</t>
  </si>
  <si>
    <t>#وقت_ندارم چون پاسخی ندارم #وقت_ندارم چون وعده های دروغ دادم #وقت_ندارم چون می خواهم پشت ولایت فقیه مخفی شوم #وقت_ندارم چون مفهومی از #درد و تنگدستی #مردم ندارم #وقت_ندارم چون با فشار به مردم راهی پیدا شودتا با #ترامپ هم گفتگو کنم..... #روحانی #روحانی_مچکریم</t>
  </si>
  <si>
    <t>ظاهرا مذاکرات #پوشک ی پشت پرده کلید خورده. خدا کنه وسط مذاکرات قهوه‌ای بشی #روحانی. #پوشک_بچه @Rouhani_ir</t>
  </si>
  <si>
    <t>freelance photographer</t>
  </si>
  <si>
    <t>#مجلس #دلار۱۴۰۰۰تومانی #خودسوزی #پوشک #استیضاح_روحانی یک صدا باشیم</t>
  </si>
  <si>
    <t>Robin Sha'bani</t>
  </si>
  <si>
    <t>pic.twitter.com/XRWTvaCatF</t>
  </si>
  <si>
    <t>https://t.me/NEWS365/84959</t>
  </si>
  <si>
    <t>نطق #غلامرضا_حیدری در #مجلس : 🔹خفه کردن در #استخر به #خفگی_نظام نیانجامد!! 🔹دوست واقعی ما #منافع_ملی مان است نه #جنگ با دنیا یا تندروی های داخلی و خارجی 🔹در ایران اختیارات یکجا و مسئولیت‌ها یکجای دیگر نسخه کامل #ویدیو :</t>
  </si>
  <si>
    <t>من توی ایران هیچکس رو ندارم ولی نمیدونم چرا وقتی خبر وضع بد اقتصادی مردم رو میخونم اشک می ریزم با اینکه سالهاست دیگه ایران رو بوسیدم گذاشتم کنار. #دلار۱۳۰۰۰تومانی #مجلس #اقتصاد</t>
  </si>
  <si>
    <t>‏من تنها هستم زیرآسمان آبی ....</t>
  </si>
  <si>
    <t>آیت الله #جنتی در اجلاس #خبرگان : طوری تبلیغ می‌کنند که انگار #رهبری، در همه امور اجرایی کشور، "فعال مایشاء" هستند و #دولت، #مجلس و #قوة_قضائیه کاره‌ای نیستند. ایشان بیشترین اختیارات را در ماه های اخیر به دولت و قوه قضائیه داده اند، اکنون قوا باید پاسخگو باشند.</t>
  </si>
  <si>
    <t>آسمان آبی</t>
  </si>
  <si>
    <t>https://telegram.me/HarfBeManBot?start=MzUyMjY5Mzk4</t>
  </si>
  <si>
    <t>‏‏‏‏‌‌‌‌‌‌‌‏❁ ﷽ ❁🕋مسلمانم و شیعه، متولد ماه مهر🍁اواخر دهه ۶۰😎 إن‌شاء‌الله یک ‎‎‎‎‎#جوان_مومن_انقلابی😊رهبرم سید علی و اندیشه‌ام آوینی مهاجرم🌷اهل نِی،هور،آب</t>
  </si>
  <si>
    <t>https://pbs.twimg.com/media/DmQeIhCX0AEGrkg.jpg</t>
  </si>
  <si>
    <t>همینا تا دیروز میگفتن مدیریت #احمدی_نژاد کشور رو به زمان #قاجار برده حالا میگن مدیریت #روحانی که کاندیدای خودشون بود کشور رو میبره به زمان قاجار من که به این نتیجه رسیدم منظور #اصلاح_طلبان از #اصلاحات رسوندن کشور به هر نحو به زمان قاجاره اینا قاجار و وطن فروشی دوست دارن #کروبی</t>
  </si>
  <si>
    <t>⁦🇮🇷⁩حـ‌امـ‌د هـ‌اشـ‌مـ‌ی⁦🇮🇷⁩</t>
  </si>
  <si>
    <t>بزرگترین دین، عقل و خرد است و به آن پایبندم ❌عرزشی ومجاهد خبرنگار و تصویربردار آزاد عاشق و مطمئن به فردای آزاد و آباد ایران</t>
  </si>
  <si>
    <t>Slovak Republic</t>
  </si>
  <si>
    <t>روحانی:آرزوی برگشت به قبل از ۵۷ را به گور می‌برند.ما به جلو پیش می‌رویم! این تمام ماهیت حکومت اسلامیست که بگوید برای ما مردم ذره ای ارزش ندارد و برای بقای خودمان تمامی مردم را قتل و عام میکنیم اما این را بدانید تمام ترسوها وقتی از شدن کاری مطمئن هستند عربده میکشن #روحانی #دلار</t>
  </si>
  <si>
    <t>نازلی کویین</t>
  </si>
  <si>
    <t>شاید وقیحترین و عجیبترین چیزی که در این دوره دیدم،اینه که برادر مسئول ستاد مبارزه با #مفاسد_اقتصادی و قوای مجریه و مقننه و قضاییه،مفسدن و اجازه برخورد به برادران مفسد خودشون نمیدن و ادعای برخورد با مفسد رو هم دارن! #مفسد_اقتصادی #روحانی #جهانگیری #لاریجانی</t>
  </si>
  <si>
    <t>روحانی گفته یک عده میخوان مارو به قبل سال 57 ببرند که این کار محقق نمیشود نکنه واقعا داریم به سال 57 میریم که این حرف را میزنید #روحانی #دلار #دلار۱۴۰۰۰تومانی</t>
  </si>
  <si>
    <t>‏‏‏جزئی از کل 🇮🇷⚽️📸📚🔬 #ippi</t>
  </si>
  <si>
    <t>انقدر تصمیمات #مجلس و #دولت کشکی و بی حساب کتابه که نگو. دیروز اومدن لطف کنن به صنعت #چاپ و #جوهر چاپ رو ارز دولتی دادن بهش ولی نمیگن تولید کننده های داخلی چی پس؟ لااقل بیاید یکم وقت بذارید اونایی که داخل تولید میشن رو بشناسید و حمایت کنید.</t>
  </si>
  <si>
    <t>Hossein E.M</t>
  </si>
  <si>
    <t>یک عدد متاهله متعهد....</t>
  </si>
  <si>
    <t>دقیقا روی زمین ...</t>
  </si>
  <si>
    <t>بچه های‌دوره دبیرستان و راهنمایی الان‌خوب معنی درس اجتماعیشون رو‌لمس‌ میکنن: #احتکار #استیضاح #عرضه_وتقاضا #تورم #ارزش_پول و....</t>
  </si>
  <si>
    <t>فرشته مجهول</t>
  </si>
  <si>
    <t>#دلار 14 هزارتومان رو هم رد کرد،در شهریور تمام زورشون رو میزنند تا ارز بالا نره و سپرده مردم از بانک خارج نشه، دیگه جلوی بالا رفتن ارز رو نمی گیرند تا همه چیز انقدر گرون شه و تورم به جایی برسه که مردم قدرت خرید نداشته باشند و نتونند فرار کنند. #روحانی #خامنه‌ای #سقوط_ریال #ظریف</t>
  </si>
  <si>
    <t xml:space="preserve">Shiraz </t>
  </si>
  <si>
    <t>#پروانه_سلحشوری از شير زناني است كه از ترس از دست دادن قدرت سكوت نكرده است 💪🏻👌🏻👏🏻 #ايران #دلار۱۴۰۰۰تومانی #تحريم #برجام #نمايندگان #قدرت #رانت #مجلس #ازادي #رفع_حصر #اصلاحات</t>
  </si>
  <si>
    <t>Golrokh</t>
  </si>
  <si>
    <t>حاکمیت و دولت چرا باید سه چهارم درآمد منو ازم بگیرن و خرج جنگ یمن و سوریه کنن؟ اینم یه تفسیر برای #کاهش_ارزش_پول_ملی #دلار #یمن #سوریه #دلار۱۴۰۰۰تومانی #ریال #روحانی #ایران</t>
  </si>
  <si>
    <t>Mortez KARIMI</t>
  </si>
  <si>
    <t>https://twitter.com/shakilamonfared/status/1036937275207086080</t>
  </si>
  <si>
    <t>یادمون باشه که فقط #روحانی نیست، “کل سیستم حکومتی” مقصره، اگه این حرفو روش تاکید نکنیم پسفردا میان همه چیو میندازن گردن دولت و سعی میکنن نظامو حفظ کنن. RT @shakilamonfared: روحانی گفته: آرزوی بازگشت به قبل از ۵۷ را به گور میبرند. ۱-روحانی میدونه مردم آرزوشونه به قبل از ۵۷ برگردن ۲-روحانی میدونه دیگه شانسی برای بقا ندارن ۳-روحانی میدونه قبل از ۵۷ مردم روزهای خیلی خوبی داشتن ۴-روحانی دشمن ملت ایرانه و نمیخواد مردم رنگ خوشی رو ببینن *روحانی کیه؟!</t>
  </si>
  <si>
    <t>دنزل عینکی</t>
  </si>
  <si>
    <t>http://jahaneghtesad.com/%da%a9%d8%a7%d8%b1%d9%88%d8%a7%d9%86-%d8%b3%d8%a7%d8%b2%d9%86%d8%af%da%af%db%8c-%d8%a7%db%8c%d8%b1%d8%a7%d9%86-%d9%85%d8%aa%d9%88%d9%82%d9%81-%d9%86%d9%85%db%8c-%d8%b4%d9%88%d8%af/</t>
  </si>
  <si>
    <t>«کاروان سازندگی ایران متوقف نمی شود» #رییس_جمهور در مراسم #افتتاح_سه_طرح_بزرگ_پتروشیمی در #عسلویه تاکید کرد #کاروان_سازندگی_ایران #متوقف_نمی شود #عسلویه #طرح های_بزرگ #پتروشیمی #مرجان #دماوند و #پردیس</t>
  </si>
  <si>
    <t>هر دینار کویت معادل چهارصد و شصت هزار ریال ایران #رئیس_جمهور</t>
  </si>
  <si>
    <t>ررحاني گفته #وقت_ندارم چون خودش ميدونه هيچ حرف و توجيه جديدي نداره و ترجيح داده حرف نزنه، براي #روحاني اين پيشرفت محسوب ميشه . قدر اين پيشرفت رو بدونيم،</t>
  </si>
  <si>
    <t>https://www.facebook.com/siavash.ardalan</t>
  </si>
  <si>
    <t>BBC Persian/World reporting on international news, sustainability/ climate change issues and some Iranian politics. دل هر ذره را که بشکافی آفتابیش در میان بینی</t>
  </si>
  <si>
    <t>پادشاه لباس ندارد بعضی سخنرانی ها سزاوار ثبت در تاریخ هستند: #پروانه_سلحشوری - با وجود #شورای_نگبهان امکان بهتر از #روحانی نیست _ روحانیت بجای #فساد درگیر موی زنان ست - #سپاه به پادگان برگردد - #خامنه‌ای اجازه همه پرسی دهد - آزادی زندانیان سیاسی و #موسوی و #کروبی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</si>
  <si>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Siavash Ardalan</t>
  </si>
  <si>
    <t>http://bit.ly/2wIa2gu</t>
  </si>
  <si>
    <t>نمایندگان دستورکارهای مهم دیگری هم غیر از #استیضاح دارند که در ترافیک کاری صحن علنی معطل مانده‌اند؛ اعلام وصول طرح‌هایی چون علنی‌شدن آرای نمایندگان یا طرح دوفوریتی #مجلس برای بازگرداندن ایرانیان خارج از کشور که در جامعه مورد توجه قرار گرفته‌اند.</t>
  </si>
  <si>
    <t>علاوه بر افسردگی بعد از زایمان با پدیده جدیدی به نام افسردگی بعد از سخنرانی #روحانی روبه رو هستیم. غیر ممکنه این بشر حرف بزنه و همه چیز گرون نشه! #دلار۱۳۰۰۰تومنی</t>
  </si>
  <si>
    <t>https://pbs.twimg.com/media/DmQh-UxX0AAd4j9.jpg</t>
  </si>
  <si>
    <t>آیت‌الله مومن: #روحانی گفت برای حضور در جلسه خبرگان با موضوع #معیشت_مردم وقت ندارم! عضو مجلس خبرگان رهبری: قرار بر این بود که درباره "معیشت مردم" در اجلاس خبرگان از روسای قوا دعوت کنیم که حضور پیدا کنند اما "رئیس جمهور گفت وقت ندارد" #رئیس_جمهور_وقت_ندارد</t>
  </si>
  <si>
    <t>https://instagram.com/alimoosavi786</t>
  </si>
  <si>
    <t>‏‏‏‏‏‏‏‏‏‏‏‏‏‏‏در خانواده ای مذهبی چشم به جهان گشودم، بقیه شایعات را تکذیب میکنم.</t>
  </si>
  <si>
    <t>شرف المکان بالمکین</t>
  </si>
  <si>
    <t>-آقای دولت #روحانی میشه توضیح بدی چرا عمدا مواد اولیه ی تولید پوشک رو در گمرک نگه داشتین تا #پوشک به 140 هزار تومن برسه؟ +نه نمیشه #وقت_ندارم !</t>
  </si>
  <si>
    <t>سید علی ⁦🇮🇷⁩</t>
  </si>
  <si>
    <t>#وقت_ندارم جناب پرزیدنت جمله ای تاریخی ادا کردند که وقت امدن برای پاسخگویی ندارم توقع داشتند خبرگان شرفیاب بشوند حالا معلوم نیست اقای #روحانی دقیقا چه کاری دارند که وقت ندارد چون ایشون مملکت رو رها کرده . یحتمل شغل دومی دارند که همگان بیخبر هستند</t>
  </si>
  <si>
    <t>به نظر من جریان #مشایی یک نوع بازی برای تحت تاثیر قراردادن افکار عمومی هست که #اعتراضات شکل نگیره #احمدی_نژاد #روحانی #جمهوري_اسلامي</t>
  </si>
  <si>
    <t>sinarad</t>
  </si>
  <si>
    <t>PhD in Telecommunications Engineering ( RFM ) - FRA / EMC I/E consultant</t>
  </si>
  <si>
    <t>https://pbs.twimg.com/media/DmQjG3yX4AE1-6_.jpg</t>
  </si>
  <si>
    <t>فکر کنم اولین جمله #روحانی در اولین سخنرانی تلویزیونی پیش رو این باشه که : ما را به سخت جانی تان این گمان نبود شماها دیگه خیلی ....</t>
  </si>
  <si>
    <t>احسان عزیزی</t>
  </si>
  <si>
    <t>یکی گردن دراز کنه ببینه اصلا کسی پشت فرمون هست؟ داریم می‌ریم ته دره. #روحانی #دلار</t>
  </si>
  <si>
    <t>Shaghayegh N</t>
  </si>
  <si>
    <t>‏‏‏‏‏‏‏‏شهروند، همسر، پدر، برادر، نوه... | ‏‏بازاریاب پروژه‌های بدون‌پول، خدایگان جلسه‌های دهن‌پرکن، سانسورچی ‎‎‎‎‎‎‎‎‎‎#شبکه_پویا</t>
  </si>
  <si>
    <t>با این خیزی که دولت #روحانی برای نابودی کشور برداشته تا آخر سال نرسیده چیزی از #جمهوری و #اسلام و #ایران باقی نمی‌مونه.</t>
  </si>
  <si>
    <t>شما هم مثل من فکر می‌کنید؟! هر روزی که میگذره بیشتر به این نظریه یقین پیدا میکنم که اگه به جای #روحانی چوب خشک یا دسته بیل میذاشتن عملکرد قابل قبول تری از خودش به جا میذاشت. نظر شما چیه؟!</t>
  </si>
  <si>
    <t>‏‏شاهزاده ایلیا هستم ‏پادشاه آینده ی ایران و منجی آزادیبخش مامِ میهن</t>
  </si>
  <si>
    <t>زنده باد #روحانی و #دلار۱۵۰۰۰تومانی #چالش_دعوت_از_آقای_روحانی_برای_توضیح_پیرامون_مشکلات_معیشتی_مردم_ایران_زمین</t>
  </si>
  <si>
    <t>شاهزاده ایلیا</t>
  </si>
  <si>
    <t>Need an end to set me free...</t>
  </si>
  <si>
    <t>هرچند نامه #کروبی نتونست #خبرگان رو بیدار کنه، ولی #مجلس رو یه تکونی داد. امیدوارم استمرار داشته باشه #پروانه_سلحشوری #غلامرضا_حیدری</t>
  </si>
  <si>
    <t>https://pbs.twimg.com/media/DmQGgeXXcAIXjjz.jpg</t>
  </si>
  <si>
    <t>https://twitter.com/Roozarooznews/status/1036961634592415744</t>
  </si>
  <si>
    <t>من در این نطق غیر یک سری حرف پوپولیستی برای روشنفکر نشان دادن خود چیز دیگری نمی بینم! نماینده #مجلس رسما همه خصومت های آمریکا با ایران را در واقع تقصیر ایران می داند و بالمآل در حال تطهیر نقش شوم #آمریکا در خاورمیانه و خصوصا در نسبت با #ایران است RT @Roozarooznews: نطق امروز حیدری: اشغال سفارت آمریکا آغاز تحریم وجنگ شد،جنگ را پس از فتح خرمشهر ادامه دادیم تا امام فرمود جام زهر نوشیدم.فعالیت هسته‌ای شروع کردیم آنقدر هزینه دادیم که به نرمش قهرمانانه رسیدیم بهوش باشیم مافیای پشت موسسات مالی،ارز،قاچاق وخفه کردن دراستخر،کل نظام را به خفگی نکشاند</t>
  </si>
  <si>
    <t>«به قول #سهراب_سپهری : ای آدم‌ها که در ساحل نشسته‌ و شاد و خندان هستید یک نفر در آب دارد جان می‌دهد" عاليجناب #روحاني ايران تورم ٧٠٪ را تجربه مي كند و #دلار۱۴۰۰۰توماني اقتصاد ورشكسته را نابود كرده است،امروز ديگر مشكل مردم ما #امريكا نيست،بلكه سبد اقتصاد خانواده است كه خاليست.</t>
  </si>
  <si>
    <t>https://pbs.twimg.com/media/DmQltbKUcAALEZB.jpg</t>
  </si>
  <si>
    <t>طارق طیب محمد بن بوعزیزی دستفروش تونسی بود که در مقابل ساختمان شهرداری خود را به آتش کشید. اقدام او آغازگر انقلاب در تونس بود. . . . حرکت این شهروند و فشار بر مردم بسیار خطرناک است #دولت #روحانی باید مشکلات #مردم را بشنود با این وضع نمی شود کشور را اداره کرد #ایران #دلار</t>
  </si>
  <si>
    <t>کم کم دارم به این نتیجه میرسم که نکنه داریم چوب #رئیسی رومیخوریم یادتونه میگفت خودامام رضا جواب این همه تهمتهایی رو که زدین میده؟ آخه #پوشک یا #نوار_بهداشتی ،،مگه داریم مگه میشه؟😬 یعنی واقعا #روحانی ازکنترل پوشک بچه هم عاجزه؟ شنیدین کلی پوشک توگمرکه ولی #دولت اجازه ترخیص نداده؟!</t>
  </si>
  <si>
    <t>من از رأی دادنم #پشیمان نیستم.از اینکه اندک عقلی دارم و میفهمم سناریوی ناامیدی از #روحانی و #اصلاحات در جریانه شکرگزارم.از اینکه ثباتی دارم که هر روز به هر بهانه به بغل یه جریان پرتاب نشم و ابراز غلط کردن نکنم خوشحالم.امیدوار خواهم بود و به اندازه خودم تلاش میکنم و انجام وظیفه RT @nakeesaa: من گه خوردم رای دادم. شما چی؟ :)</t>
  </si>
  <si>
    <t>‏‏‏‏‏‏‏آزادیخواه معتقد به هر ایرانی یک حق رای زندانی سیاسی.عضو قیام دانشجویی ۷۸، جنبش ماهستیم،جنبش سبز،جنبش فدائیان ایران،تئوریسین انقلاب سفید و جنبش سپیدجامگان</t>
  </si>
  <si>
    <t>ایران اشغال شده</t>
  </si>
  <si>
    <t>https://twitter.com/FarsNews_Agency/status/1036895904161247232</t>
  </si>
  <si>
    <t>آخوند #روحانی وسط باز را به گوه خوردم خواهیم انداخت. #انقلاب_سفید #روبان_سفید_آزادی #ایران_را_پس_میگیریم #جنبش_بیداری RT @FarsNews_Agency: 🎥#روحانی: امکان ندارد که بدخواهان ما موفق شوند ما را به قبل از سال ۵۷ برگردانند/از مشکلات عبور می‌کنیم.</t>
  </si>
  <si>
    <t>Babak Khoram🦁☀️</t>
  </si>
  <si>
    <t>http://www.imdb.com/name/nm2579994/bio?ref_=nm_ov_bio_sm</t>
  </si>
  <si>
    <t>Writer|filmmaker|screenwriter|TV Producer مصطفا عزیزی: نویسنده، فیلم‌نامه‌نویس، طراح و تهیه‌کننده‌ی برنامه‌های تلویزیونی.</t>
  </si>
  <si>
    <t>#روحانی گفته:«دشمن می‌خواهد ما را به ۴۰ سال عقب برگردانند» «آرزویی است که محقق نمی‌شود» راست می‌گوید بسیار سخت است مملکتی که ۱۴۰۰ سال به عقب برگردانده شده است در مدت کوتاهی به ۴۰ سال قبل برگرداند.</t>
  </si>
  <si>
    <t>Mostafa Azizi</t>
  </si>
  <si>
    <t>https://pbs.twimg.com/media/DmQmeE8XcAAynDc.jpg</t>
  </si>
  <si>
    <t>تدوام مدیریت شخصی که مملکت را به این حال و روز انداخته، #بازی_در_نقشه_دشمن است یا اینکه شخصی خیلی مودبانه از او بخواهد کنار بکشد؟! #دلار۱۳۰۰۰تومانی #احمدي_نژاد #روحانی #روحانی_برو</t>
  </si>
  <si>
    <t>‏‏‏‏‏‏‏‏‏‏فعلا ‏‏نه ‎‎‎‎‎‎‎‎‎‎‎‎#چپ نه ‎‎‎‎‎‎‎‎‎‎‎‎#راست</t>
  </si>
  <si>
    <t>خوبی سرکار بودن #روحانی اینکه هروقت مامانم بابت اشتباهی بهم تذکر میده میگم {الناس علی دین ملوکهم} 😁😁😁 *دین مردم بر طبق دین رهبران و حاكمان آنان است</t>
  </si>
  <si>
    <t>Mhnz 🇮🇷</t>
  </si>
  <si>
    <t>the DaRkNeSs🖤 من همونم هنوز همون،عوض شدم عوضی نه یه سریا عوض نشدن ولی عوضی شدن</t>
  </si>
  <si>
    <t>همه‌ی ایران سرای من است.</t>
  </si>
  <si>
    <t>https://pbs.twimg.com/media/DmQmvVIW0AEUDrf.jpg</t>
  </si>
  <si>
    <t>🔴 ای کسانی که ایمان آوردید عمرا بتونید بخورید و بیاشامید چه برسه که اسراف کنید. 🔹#سوره #روحانی آیه ۱۳۹۷ به بعد....</t>
  </si>
  <si>
    <t>AmIrR</t>
  </si>
  <si>
    <t>Member of IranParty (حزب ایران), Social Democrat &amp; Politically Liberal &amp; Laic and Also Geotechnical Engineer.</t>
  </si>
  <si>
    <t>https://pbs.twimg.com/media/DmQf0YQWsAEAGxE.png</t>
  </si>
  <si>
    <t>https://twitter.com/steve_hanke/status/1036988896368885760</t>
  </si>
  <si>
    <t>تورم امروز به ۲۶۸٪ رسید.البته دولت تدبیر امید تورم را ۱۰.۸٪ اعلام کرده که با اندکی افزایش به رقم بالای ۱۱٪ خواهد رسید. پ ن: #اصحاب_اصلاح مدتها احمدی نژاد را به بهانه تورم و نرخ دلار مذمت کردند،فی الحال چرا نسبت به دستاوردهای #روحانی لال شده اند؟ #به_عقب_برنمیگردیم #سقوط_ریال RT @steve_hanke: BREAKING: Iran's annual inflation rate has hit another all-time high, surpassing the previous high of yesterday's 244%. Measured for today, 9/4/18, the annual inflation rate is 268%.</t>
  </si>
  <si>
    <t>Masoud Salehi</t>
  </si>
  <si>
    <t>آقاي #روحاني حالا درسته مردم #پوشك ندارن ولي شما كه داري لااقل ببند بوش همه جا رو ورداشته.</t>
  </si>
  <si>
    <t>‏‏‏همون دبستانی که امید حضرت عمام بود 😁😁😁 🕎</t>
  </si>
  <si>
    <t>دهاتمون</t>
  </si>
  <si>
    <t>دقت کردین اولین و آخرین ریس جمهور جمهوری اسلامی نتونستن تا پایان دوره شون ریس جمهور باشند. #بنیصدر #روحانی #سال_آخر</t>
  </si>
  <si>
    <t>Arash Tavakouli</t>
  </si>
  <si>
    <t>آي مسلمونا ....گريه كنيد ثوابه</t>
  </si>
  <si>
    <t>#روحانی هم اعتراف کرد که مردم دنبال بازگشت #پهلوی هستن . اونوقت یه عده سبزاللهی و بنفش اللهی هنوز انکار میکنن.</t>
  </si>
  <si>
    <t>مُلاي شَهرِقِصِّه</t>
  </si>
  <si>
    <t>سخنگوی کمیسیون امنیت ملی در اقدامی عجیب خبر داد: طرح ممنوعیت انتخاب مدیران دوتابعیتی رد شد. /خبرفوری یعنی واقعا الان #مجلس میخواد دو دستی کشور بده تحویل کسانی که این مملکت به هیج جاشون نیست چون تابعیت یه کشور دیگه رو دارند.... مجلس متوجه هست داره چیکار میکنه؟؟ وزارت اطلاعات چی؟؟</t>
  </si>
  <si>
    <t>یک ماه پیش #روحاني توی مصاحبه تلویزیونی گفت که سوییس همه مشکلاتشو با رفراندوم حل میکنه. ک هفته بعدش گفت که باید فرماندهان نظامی با #رفراندم انتخاب بشن. سه روزپیش یکی ز #اصلاح_طلبان گفت باید رهبر مورد سوال قرار بگیره. امروز یکی از نمایندگان اصلاح طلب گفت راه برون رفت رفراندوم است</t>
  </si>
  <si>
    <t>Tehran,iran . An Iranian citizen . With a wonderful feeling . Single . I will not respond to anonymous people or no photographs</t>
  </si>
  <si>
    <t>اره والا تو که حقوقت ماهی ۱۲۰۰ میلیون نیست مردم بد بخت دارن زیر افزایش قیمتها لح میشن خدای جنگ بشه از این بهتره #گرانی #دلار۱۴۰۰۰تومانی #روحانی RT @FarsNews_Agency: 🎥#روحانی: امکان ندارد که بدخواهان ما موفق شوند ما را به قبل از سال ۵۷ برگردانند/از مشکلات عبور می‌کنیم.</t>
  </si>
  <si>
    <t>یک عدد انسان هستم در ارزوی رسیدن به مقامی از مقامات بهشت instagram:civil.eng.2017</t>
  </si>
  <si>
    <t>شوخی واقعا مسخره ای که #روحانی سه سال دیگش مونده و #لاریجانیم یه سال دیکش</t>
  </si>
  <si>
    <t>M.AMIRI</t>
  </si>
  <si>
    <t>https://pbs.twimg.com/media/DmQszlZXgAAPUmt.jpg</t>
  </si>
  <si>
    <t>ایستاده ایم❤💚❤ #این_را_به_همه_بگویید #مكه_الان #رزمایش_خدمت #پهلوی #بیکاری #أمريكا #فرح #محمدرضاشاه_پهلوی #مجلس #إسرائيلية #راز_مشایی #دادگاه_علنی</t>
  </si>
  <si>
    <t>Amirhosein</t>
  </si>
  <si>
    <t>گورستان ها پر از افرادیست که می پنداشتند؛ چرخ دنیا بدون آنها نمی چرخد...!</t>
  </si>
  <si>
    <t>دوستان توليدكننده عزيز، اگر جنسي در انبارها روي دستتان مانده و فروش نمي رود، ميتوانيد با بالاترين قيمت بفروشيد، كافيست #شايعه كنيد #كمياب شده است. #پوشك #نواربهداشتي #توليد_داخل #روحاني</t>
  </si>
  <si>
    <t>mohsen zarean</t>
  </si>
  <si>
    <t>‏‏فمنیست/طرفداراصلاح طلبی و اعتدال سابق که حالا از این جماعت شیاد بیزار است.ورود طرفداران مجاهدین خلقم ممنوع با مذهب رابطه خوبی ندارد. به امید روزهای خوب ایران</t>
  </si>
  <si>
    <t xml:space="preserve"> ایران</t>
  </si>
  <si>
    <t>به عقب برنمی گردیم به خیلی عقب برمی گردیم #روحانی</t>
  </si>
  <si>
    <t>داروساز خسته</t>
  </si>
  <si>
    <t>انا صاحب دواهی العظما»»</t>
  </si>
  <si>
    <t>ته چاه</t>
  </si>
  <si>
    <t>کسیکه پرونده داشته باشد اجازه دارد #رییس_جمهور شود چونکه میتوان با او معامله کرد تا پای #اسناد_ضد_ملت را امضا کند #راز_مشایی #مشایی</t>
  </si>
  <si>
    <t>هیاکل النور</t>
  </si>
  <si>
    <t>اواخر دوره نمایندگی #مجلس مثل زمان #احتضار است. تهلیل گفتن کار هر کسی نیست. و البته هرکه در او غش باشد خود را نشان می دهد. و این زمان، همه دوران پسانمایندگی را رقم میزند. اینکه به نظام و مردم خدمت کنی یا ... #حیدری #سلحشوری</t>
  </si>
  <si>
    <t>http://ipresta.ir</t>
  </si>
  <si>
    <t>دانوش. ایده‌آل گرا، برنامه‌نویس وب و #پرستاشاپ، ایده‌پرداز، مشاور تجارت الکترونیک و جستجوگر. حامی #کپی_رایت، حقوق افراد دارای #معلولیت و #دیستروفی</t>
  </si>
  <si>
    <t>به عنوان یک شهروند به نظرم خواسته های مطرح شده در نطق امروز پروانه سلحشوری میتونه کف خواسته‌های من باشه #پروانه_سلحشوری #مجلس</t>
  </si>
  <si>
    <t>یک نِرد</t>
  </si>
  <si>
    <t>https://www.instagram.com/tahlilsyasi/</t>
  </si>
  <si>
    <t>سیاست ما عین دیانت ماست</t>
  </si>
  <si>
    <t>https://pbs.twimg.com/media/DmQuPiHXsAAxzLH.jpg</t>
  </si>
  <si>
    <t>کوچولو به لطف من #نسل_سوخته تویی دهه #شصتی ها اداتو در میارند #روحانی #ایران #پوشک #از_موشک_تا_پوشک</t>
  </si>
  <si>
    <t>تحلیل سیاسی</t>
  </si>
  <si>
    <t>دشمن ،دشمن ، دشمن و... حالا لابلای اینها چندتا واژه مثل ظالمانه، عقب، جلو، فشار، طاغوت، استکبار، اقتدار، بذار ، بیار، هوار ، بذاریم میشه سخنرانی امروز #روحانی</t>
  </si>
  <si>
    <t>‏‏‏‏‏‏‏‏‏‏‏‏‏‏‏‏‏‏‏‏‏علاقه مند ‎‎‎‎‎‎‎‎‎‎‎‎‎‎‎‎‎‎‎‎#جامعه_شناسی و ‎‎‎‎‎‎‎‎‎‎‎‎‎‎‎‎‎‎‎‎‎‎‎‎‎‎#رسانه .:. ‎‎‎‎‎‎#انجمن_اسلامی_فردوسی .:: یک نفر مانده از این قوم...</t>
  </si>
  <si>
    <t>Mashhad of Imam Reza (a.s)IRAN</t>
  </si>
  <si>
    <t>برادر اصلاح طلب، حامی و طرفدار #روحانی یه وقتی از دلار ۱۴ هزار تومنی دم نزنی!! که اگه بگی یه وقتی خدای نکرده حزب رات ندن</t>
  </si>
  <si>
    <t>هادی نگار</t>
  </si>
  <si>
    <t>Democracy is a concept, I like the feeling of freedom. Fan of Monarchy, and supporting @PahlaviReza for Iran’s near future</t>
  </si>
  <si>
    <t>#روحانی میخواهند مارا ۴۰ سال به عقب برگردانند به سال ۵۷، در حقیقت منظورش اینه که ۴۰ سال به جلو ببرن #با_پهلوی_تا_رفراندوم</t>
  </si>
  <si>
    <t>D A N T E 🇦🇺🇮🇱</t>
  </si>
  <si>
    <t>إِنَّ قَوْماً عَبَدُوا اللَّهَ شُكْراً فَتِلْكَ عِبَادَةُ الْأَحْرَارِ</t>
  </si>
  <si>
    <t>حالا هر چند تا وزیر که دوست دارید #استیضاح کنید ولی تا وقتی که #روحانی رئیس دولت ه اوضاع همینه کاش #رهبری بیشتر در مورد بازی در زمین دشمن توضیح میدادن</t>
  </si>
  <si>
    <t>روخا</t>
  </si>
  <si>
    <t>بی ارزش ترین پول جهان بودنمون مسجل شده ، فقط داریم تفاضل زیاد میکنیم.... #دلار۱۴۰۰۰تومانی #دلار #روحاني #اقتصاد</t>
  </si>
  <si>
    <t>فعال جنبش دانش آموزی و گاها فعال فرهنگی #آتش_به_اختیار</t>
  </si>
  <si>
    <t>https://pbs.twimg.com/media/DmQwmYmU8AAYFjc.jpg</t>
  </si>
  <si>
    <t>آمده بودند تا مشتی باشند بر دهان دلواپسان ! ولی ماجرا جور دیگری رقم خورد ! مشت خوبی بر دهان مردم زدید . دست مریزاد #روحاني</t>
  </si>
  <si>
    <t>مهدی عارفی</t>
  </si>
  <si>
    <t>#دلار از ۱۴،۰۰۰ تومان و یورو از ۱۶،۰۰۰ تومان عبور کردند ۶ شهریور ۹٧/ #روحانی در صحن علنی مجلس:قیمت ارز، متعادل‌تر خواهد شد./سحام</t>
  </si>
  <si>
    <t>pic.twitter.com/ay5ooJ4q52</t>
  </si>
  <si>
    <t>#صهیونیسم_شیعه: خوابی که #خامنه_ای و #روحانی، که دم به دم نیز قربان صدقه ی یک دیگر می روند و از یکدیگر تعریف تجمید می کنند، برای مردم ایرانزمین دیده اند، چنان که پیشتر نیز گفته ایم، رساندن مردم به مرز علف خوردن است. و سپس، مرگ و میر گسترده. هنوز نان هست، پول نیست. تا چندي...</t>
  </si>
  <si>
    <t>به امید روزی که توی بیوی #تلگرام هامون به جای #نکات_اخلاقی خودمون رو معرفی کنیم #دلار #پوشک #خودسوزی #روحانی #رامین_حسین_پناهى</t>
  </si>
  <si>
    <t>sheykh_soshun</t>
  </si>
  <si>
    <t>😃هیچ راهی بجز راه رهایی نداریم. یا تک تک بمیریم یا با هم زندگی کنیم</t>
  </si>
  <si>
    <t>Pomona, NJ</t>
  </si>
  <si>
    <t>#اصلاحات #روحانی #دلار ای کسانی که از ترس رئیسی و دلار هفت تومنی به روحانی ( روباه بنفش) رای دادید. الان دقیقا دلار چنده؟</t>
  </si>
  <si>
    <t>آفتاب لب بوم</t>
  </si>
  <si>
    <t>‏‏‏‏‏‏‏‏‏‏‏‏‏ناشر اکاذیب، تشویشگر اذهان عمومی، روزماله‌نگار، ژورمالیست، غیرفعال رسانه‌ای، کارنشناس در حوزه‌های اجتماعی سیاسی فرهنگی اقتصادی ورزشی هنری و ...</t>
  </si>
  <si>
    <t>https://twitter.com/ehsan_cheraghi/status/1036930544498561024</t>
  </si>
  <si>
    <t>منتقدین این توییت معتقدند که پست ریاست‌جمهوری و وزراتخانه‌ها در اصل در اختیار نظامی‌ها و دولت پنهان است اما هیچکدام پاسخی به این سوال نمی‌دهند که اگر دولت در اختیار نظامی‌هاست چرا حسن #روحانی وعده‌ی رفع حصر و آزادی و رونق اقتصادی داد؟! آیا روحانی از زبان فرمانده سپاه وعده داد؟ RT @ehsan_cheraghi: پروانه سلحشوری @P_Salahshouri یجوری میگه راه برون رفت از وضعیت فعلی برگشتن نظامی‌ها به پادگانه انگار الان سردار جعفری رییس جمهوره، سردار فدوی معاون اول رییس جمهوره، سردار سلامی وزیر اقتصاده، سردار حاجی‌زاده رئیس‌کل بانک مرکزیه، سردار سلیمانی هم رئیس سازمان برنامه و بودجه‌ست!</t>
  </si>
  <si>
    <t>#روحانی امروز به بدخواهان گفته به سال‌های قبل از ۵۷ برنمیگردیم! فکر کنم منظورش اینه که تا نوروزسال ۵۸ به عقب برمیگردیم و بیشتر از اون نمیریم😅😁 #فرجام_غربگرایی</t>
  </si>
  <si>
    <t>خدمتتون عارضم که آقای ربیعی در استان سیستان و بلوچستان مشاهده شده . از #نمایندگان_مجلس انتظار داریم چندین #وزیر دیگه رو هم استیضاح کنن شاید این استان لااقل با استفاده از خدمات پس از وزارت اونا به سوی آبادانی بیشتر بره #استیضاح #شفافیت_آراء_نمایندگان</t>
  </si>
  <si>
    <t>با ادبيات وارد شويد :)</t>
  </si>
  <si>
    <t>آقاي رئيس جمهور فرمودند اينكه بخوان ما رو به قبل از سال ٥٧ برگردونند آرزويي هست كه محقق نميشه، كجاي كارين دكتر، همين جوري پيش بره مستقيم مي رسيم به انسانهاي اوليه با همون نيازهاي اوليه! #روحاني #دلار۱۴۰۰۰تومانی</t>
  </si>
  <si>
    <t>مرجان</t>
  </si>
  <si>
    <t>یه سوال دارم واقعا جوابی براش ندارم. دوستان کمک کنن. واقعا #روحاني باید دیگه چه کار کنه تا به همه اثبات بشه لیاقت و عرضه ی ریاست جمهوری نداره؟ #عدم_کفایت</t>
  </si>
  <si>
    <t>Better call Reza</t>
  </si>
  <si>
    <t>Urmia Lake</t>
  </si>
  <si>
    <t>اینکه همه تقصیرها رو گردن #روحانی بی عرضه و بزدل میندازین فقط تباهیتون رو نشون میده خیلی عوامل دیگه دخیلن تو این وضعیت که همه میدونیم پس اگه میخواییم یک چیز رو سیبل کنیم بهتره بگیم #جمهوری_اسلامی که همه شون رو شامل بشه</t>
  </si>
  <si>
    <t>کاپیتان رِضا 🏴</t>
  </si>
  <si>
    <t>دعوتت کردم بیایی #جلسه نیومدی راستشا بگو کجا رفته بودی #روحانی به خدا رفته بودم توچال دعا کنم.... #خبرگان #توچال #بی_لیاقت #خائن</t>
  </si>
  <si>
    <t>‏وکیل دادگستری</t>
  </si>
  <si>
    <t>https://twitter.com/mahtabgholizade/status/1036948743134879744
http://fa.euronews.com/amp/2018/09/03/journalist-and-economic-expert-saeed-leilaz-talks-iran-economy-in-exclusive-interview</t>
  </si>
  <si>
    <t>حتی یاران #احمدی_نژاد هم بعد از ریاست جمهوری ازش تبری جستن، آقای #روحانی ببین چی شده که لیلازی که در فیلم تبلیغاتی شما بود غیر مستقیم تبری جسته RT @mahtabgholizade: سعید لیلاز به یورو نیوز گفته: «اختیاراتی که آقای خامنه‌ای به روحانی و سران قوا داده اگر به چوب داده بود تا الان یک کاری کرده بودند. من مسئولیت را اساسا متوجه روحانی می‌دانم.» #اقتصاد #دلار۱۳۰۰۰تومانی #دلار۱۴۰۰۰تومانی #دولت #روحانی</t>
  </si>
  <si>
    <t>hamid Norouzi</t>
  </si>
  <si>
    <t>شوهر #پروانه_سلحشوری : خفه شو بابا سر راهت از #مجلس اومدنی دو سه تا #پوشک بخر من هر چی گشتم پیدا نکردم. دیگه از این چرندیات پشت تریبون بلغور نکنیا. فردا مردم تو خیابون یقمو ول نمیکنن.. صد بار گفتم تا ده بشمار بعد حرف بزن پرواناااا😂🔊 #فرجام_غربگرایی #شفافیت_آراء_نمایندگان</t>
  </si>
  <si>
    <t>https://pbs.twimg.com/media/DmQzSrZWsAImiHP.jpg</t>
  </si>
  <si>
    <t>بخوانند کسانی که دائم با فرار رو به جلو نظام را«بخوان رهبری» را مسئول این وضعیت اقتصادی می دانند. #روحانی #لاریجانی ها</t>
  </si>
  <si>
    <t>شیخ مَمّد</t>
  </si>
  <si>
    <t>‏‏‏‏‏‏‏‏‏‏‏‏‏دنیا مشتش را بازکرد، شهدا گل بودند و ما پوچ !! اشتباه من رو به پای مکتبم نزار !!</t>
  </si>
  <si>
    <t>https://pbs.twimg.com/media/DmQzVKYVAAAXp1g.jpg</t>
  </si>
  <si>
    <t>. در سال آخر دولت #موسوی حداقل دستمزد یک کارگر ۷۰ دلار بود در سال آخر دولت #احمدي_نژاد بعد از (دو سال تحریم فلج کننده) این حداقل دستمزد ۲۱۵ دلار بود الان در سال پنجم #روحانی (قبل از شروع تحریمها) ۸۰ دلار است بازم به احمدی نژاد تهمت بزن، فحش بده، تمسخر کن #کفران_نعمت</t>
  </si>
  <si>
    <t>من از تبار حبیب م</t>
  </si>
  <si>
    <t>بیگلری، نماینده مردم سقز و بانه: آقای #روحانی! چگونه خوابتان می‌برد از این که قیمت کالاهای مورد نیاز مردم حدود 70% افزایش یافته؟ آیا خبر دارید که امروز #دلار به بالای ۱۳هزارتومان رسیده؟ - نیاز نیست خوابش ببره ایشون الان توی خواب ناز هستن اگه خواب نبود که کار به اینجا نمی رسید!</t>
  </si>
  <si>
    <t>‏‏چنان چه آغاز کرده ای بر همان خواهی بود!</t>
  </si>
  <si>
    <t>مرعشی:هاشمی اگر بود حریف کارهای #روحانی نمیشد بزرگوار زمان انتخابات که همش میگفتید تَکرار کنید حالا یادتون افتاده ازین حرفا بزنید!</t>
  </si>
  <si>
    <t>#روحانی ماشین اقتصاد کشور را از چاله درآورد انداخت ته دره یه آرپیجی هم نثارش کرد</t>
  </si>
  <si>
    <t>مخالفان برجام امروز را تحويل بگيرند #رسايي #كوچكزاده #جناح راست #برجام #دلار۱۳۰۰۰تومانی #مخالفت #قدرت #عراقچی #روحاني</t>
  </si>
  <si>
    <t>آقای #روحانی وقت داره رنگ ریشش رو هر روز درست کنه ولی وقت نداره بابت مشکلاتی که ایجاد کرده به #مجلس_خبرگان پاسخ بده حق داره خب!!</t>
  </si>
  <si>
    <t>https://telegram.me/HarfBeManBot?start=MTY3NjU3ODEx</t>
  </si>
  <si>
    <t>‏‏‏‏‏‏‏‏‏‏‏‏انگار در دسترس نمی‌باشم دایرکت اینجانب عنکبوت دارد آرام رد شوید اذیت نشوند...</t>
  </si>
  <si>
    <t>#روحانی رسما با تعادل، معتدل٬ اعتدال، عدل و عدالت دهنمونو سرویس کرد.</t>
  </si>
  <si>
    <t>ســـٰادْخ</t>
  </si>
  <si>
    <t>‏‏‏قاتل اسرائیل</t>
  </si>
  <si>
    <t>https://pbs.twimg.com/media/DmQ2kCEXoAIjxGp.jpg</t>
  </si>
  <si>
    <t>میگن موجودی کمیاب به نام رئیس جمهور مشاهده شده لطفا در صورت مشاهده این موجود خطرناک سریعا به مکان امن پناه ببرید...! #رئیس_جمهور #رازبقا</t>
  </si>
  <si>
    <t>پسر شجاع 👦</t>
  </si>
  <si>
    <t>مرغ چاق هپروتم نیم از عالم خاک چند روزی چدنی ساخته اند از بدنم......🎓 جاهل اهلی 🤘🏼🎓</t>
  </si>
  <si>
    <t>هپروت</t>
  </si>
  <si>
    <t>https://pbs.twimg.com/media/DmQ23RHW4AE8HT0.jpg</t>
  </si>
  <si>
    <t>-#دلار داره همینجوری میکشه بالا یه کاری بکن #بیناموس +ایناروس،قربان ایناروس -تو رو که میدونم دارم به #روحانی میگم #سقوط_ارزش_ریال #سقوط_ریال</t>
  </si>
  <si>
    <t>jahele Ahli 🎓🙅🏽‍♂️جاهل اهلی</t>
  </si>
  <si>
    <t>حمله #مرعشی و #لیلاز به #روحانی، دو پیام دارد: ۱، تبرئه خود ۲، آماده‌کردن فضا برای زیرپاکشی از #دولت که قبلا گفتم استیضاح دولت بدون وجود منجی به دلیل شکاف عمیق مذهبی-اجتماعی-معیشتی منجر به بحران مشروعیت خواهد شد.</t>
  </si>
  <si>
    <t>طنز تلخ این مملکت اینه کسانی که در زمان #میرحسین و #هاشمی و #خاتمی و حالا #روحانی جمعا به مدت ۳۲ سال پستهای اجرایی کشور دستشون بوده و هست ادعای اصلاح وضع موجود دارند. کسانی که مسبب وضع فعلی هستند طلبکار #نظام و #رهبری و #شورای_نگهبان و #سپاه شدن. پاره نشین از تناقض!</t>
  </si>
  <si>
    <t>Colonel</t>
  </si>
  <si>
    <t>‏‏‏‏‏‏‏‏‏‏.:فلسفه خوانیم اگر شعر و سیاست بگذارد:. .:دانشجو:. وقف الزهرا سلام الله</t>
  </si>
  <si>
    <t>عزیزم ما نمیفهمیم و الا وظایف #رئیس_جمهور تو قانون اساسی اصلا رسیدگی به #معیشت و کار برای مردم نیست که؛ ما به این بزرگواران رای میدیم تا مقداری جاشیه سازی کنن برای مملکت بعدا هم طلب کار بشن از زمین و زمان. اهان یه توچال و کوهنوردی هم حتما باید برن! #وقت_ندارم</t>
  </si>
  <si>
    <t>محمد حسین ذاکر</t>
  </si>
  <si>
    <t>https://pbs.twimg.com/media/DmQ5OcAUcAAsxPD.jpg</t>
  </si>
  <si>
    <t>جنابان @Rouhani_ir و @Eshaq_jahangiri تا رتبه آخر فقیرترین کشور دنیا راهی نمونده یکمی همت تون رو بیشتر کنین!! و من الله التوفیق #دلار #دلار۱۴۰۰۰تومانی #وقت_ندارم #روحانی #جهانگیری #تخم_لق #برجام</t>
  </si>
  <si>
    <t>https://pbs.twimg.com/media/DmQ5VEtXoAA7LDh.jpg</t>
  </si>
  <si>
    <t>+قربان چه نشسته اید سعیدلیلازگفته"اختیاراتی که آقای خامنه‌ای به روحانی وسران قواداده اگربه چوب داده بودتاالان یک کاری کرده بودند.من مسئولیت رااساسامتوجه #روحانی می‌دانم" چی کار کنیم؟ -اوضاع خیلی بیریخته، بگو #پروانه_سلحشوری یه نطق بره بشور ببره. برگشتنیم یه #پوشک بگیر.</t>
  </si>
  <si>
    <t>#روحانی هنوز رئیس جمهوره یا ولمون کرده رفته؟ اینجور که داریم سقوط می‌کنیم فکر کنم کسی پشت فرمون نیست😎😏</t>
  </si>
  <si>
    <t>Sepanta</t>
  </si>
  <si>
    <t>‏انقلاب اسلامی ایران ساده به دست نیامده ......</t>
  </si>
  <si>
    <t>📣«نجفی‌خوشرودی»، سخنگوی #کمیسیون_امنیت_ملی #مجلس: طرح ممنوعیت انتخاب یا انتصاب مدیران #دوتابعیتی در کمیسیون امنیت ملی رد کرد</t>
  </si>
  <si>
    <t>🇮🇷میرزا محمد🇮🇷</t>
  </si>
  <si>
    <t>گفتم دو دست را به دو چشمان سپر کنم با سرگذشتِ خویش من سرگذشتِ یأس و امیدم #احمد_شاملو</t>
  </si>
  <si>
    <t>https://pbs.twimg.com/media/DmQ5oQNU8AIqjAN.jpg</t>
  </si>
  <si>
    <t>یک دینار کویت=۴۶هزار تومان یعنی از یارانه یک ماه یک ایرانی بیشتره..!!! با #روحانی تا ونزوئلا راهی نمونده تف به روت روحانی #IranRegimeChange</t>
  </si>
  <si>
    <t>mahnaz nadi</t>
  </si>
  <si>
    <t>#فوری #نظرسنجی نظر شما با توجه به اوضاع داغون اقتصادی توسط دولت #روحانی درباره این جمله چیه؟ چقدر موافق این #آرزو هستین؟ *ای کاش #رئیسی رییس جمهور بود* لطفا نظر بدین و #ریت بزنین</t>
  </si>
  <si>
    <t>https://pbs.twimg.com/media/DmQ56cmX0AAzhW0.jpg</t>
  </si>
  <si>
    <t>دیدین من اومدم جنگ نشد....! #دلار۱۳۰۰۰تومانی #روحاني #رئیسی</t>
  </si>
  <si>
    <t>چشمانم بسته نیست.</t>
  </si>
  <si>
    <t>خانم #پروانه_سلحشوری و آقای حیدری، شما #اصلاحطلبان با دسته گلی که با حمایت از #روحانی به دستان این ملت دادید، تا ۷۰سال آینده اصلا نباید در فضای سیاسی حرف بزنید. حالا اومدید آسمون ریسمون مییافید پشت تریبون مجلس؟</t>
  </si>
  <si>
    <t>چَلنگر</t>
  </si>
  <si>
    <t>#روحانی: انها میخواهند ما را ب چهل سال قبل برگردانند، ولی ما نیمه چاهیم و بر نمیگردیم :) پ.ن: اقا چهل سال، پیش کش ما رو ب دوران پر شکوه احمدی نژاد هم برگردونن راضییم دیگه</t>
  </si>
  <si>
    <t>#روحانی یه واحد از یک فازپتروشیمی رو افتتاح کرده اسمش روگذاشته افتتحاح پتروشیمی مرجان صداوسیماهم باقدرت تمام درحال تبلیغ این عوام فریبی است انگارنه انگار #دلار شده ۱۴۵۰۰ و #سکه شده ۵ تومن عموجان فکر #پوشک باش که اسرائیلی ها دارن طعنه میزنن از #موشک به پوشک رسوندن مارو</t>
  </si>
  <si>
    <t>🇮🇷 من انقلابی‌ام 🇮🇷 Ardabil, Iran</t>
  </si>
  <si>
    <t>https://pbs.twimg.com/media/DmQ7b8MW4AEJa3g.jpg</t>
  </si>
  <si>
    <t>🔴 اگر چوب این اختیارات را داشت... 🔺 سعید لیلاز: اختیاراتی که آقای خامنه‌ای به #روحانی و سران سه قوه داده اگر به چوب داده بود تا الان یک کاری کرده بودند.</t>
  </si>
  <si>
    <t>S.Akherbin</t>
  </si>
  <si>
    <t>If you have a beautiful smile, you don't need any makeup.</t>
  </si>
  <si>
    <t>Afghanistan.kabul.k4</t>
  </si>
  <si>
    <t>https://pbs.twimg.com/media/DmQ7TRbXoAEvuqY.jpg</t>
  </si>
  <si>
    <t>قيمت هر 1 #دينار_كويت در #بازار_آزاد_ایران به 460,000 #ریال رسيد قابل توجه کسانیکه در #انتخابات_ریاست_جمهوری #هشتگ با #روحانی تا 1400 میزدن</t>
  </si>
  <si>
    <t>Tavakoli MH</t>
  </si>
  <si>
    <t>‏‏‏‏‏‏‏‏‏فعال رسانه</t>
  </si>
  <si>
    <t>آقای #رییس_جمهور امروز به مجلس خبرگان نرفتند تا پاسخگوی #خبرگان نباشند خدا بهشون خیر دهد که #نمایش_اقتدار_و_ثبات_جمهوری_اسلامی را ارائه دادند</t>
  </si>
  <si>
    <t>حمیدرضا بیانی  hamidreza bayani</t>
  </si>
  <si>
    <t>امروز بچه را به جای #پوشک با کهنه و پلاستیک بستیم، دقیقا مثل دهه شصت کم کم داریم به غارنشینی برمی گردیم. #روحانی یادته می گفتی به عقب برنمی گردیم؟</t>
  </si>
  <si>
    <t>https://t.me/eranico_com/35790</t>
  </si>
  <si>
    <t>♨️ حیدری (نماینده #مجلس) در نطق امروز خود: اشغال سفارت آمریکا آغاز تحریم و جنگ شد، جنگ را ادامه دادیم تا امام فرمود جام زهر نوشیدم. 🔹برای فعالیت هسته‌ای آنقدر هزینه دادیم که به نرمش قهرمانانه رسیدیم. ویدئو کامل سخنان در کانال #تلگرام ارانیکو:</t>
  </si>
  <si>
    <t>انگلیسی + اسپانیول + فارسی + Un sociólogo , Soy Revolucionario pero no soy diplomático aunque sabo</t>
  </si>
  <si>
    <t>Teherán</t>
  </si>
  <si>
    <t>نماینده هایی داریم از لیست امید که با شبح اگه اوون‌یکی رای بیاره، تمام قد از این یکی حمایت کردن و حالا که حاصل بینش سیاسی‌شون اینجوری وضعیت اقتصادی مملکت رو به چالش کشیده میرن پشت تریبون #مجلس ، خاک رو به افلاک گره میزنن. #پروانه_سلحشوری #غلامرضا_حیدری</t>
  </si>
  <si>
    <t>Luna | محمدجواد عسگری</t>
  </si>
  <si>
    <t>‏‏‎‎#براندازم</t>
  </si>
  <si>
    <t>#روحاني امروز سخنرانی کرده گفته به قبل از ۵۷ برنمیگردیم درسته برنمیگردین ما به زور سرنگونتون میکنیم #حکومت_آدم_سوز #خودسوزی #براندازم #IranRegimeChange</t>
  </si>
  <si>
    <t>iZsoheil7</t>
  </si>
  <si>
    <t>اقای #روحانی شما اگه بخوای هم‌ نمیتونی به قبل از سال ۵۷برگردید. با گندی که جمهوری اسلامی به این مملکت زده، شما خیلی تلاش کنی بتونی به یک‌ ماه قبل برگردی.</t>
  </si>
  <si>
    <t>noah</t>
  </si>
  <si>
    <t>جوان انقلابی، دشمن خر مقدسها و سکولارها، متخصص آی تی، بزرگترین ارزوم شهادت در رکاب حضرت ولیعصر(عج)، متاهل و عاشق همسرم و اقا مهدیار پسر گل بابا😎</t>
  </si>
  <si>
    <t>اقایان دستگاههای امنیتی و قوه قضائیه، شمارو به خدا شما دست به کار شید این زالومه های اقتصادی رو جمع کنید، دولت علنا خودشو زده به اون راه و دیگه امیدی بهش نیست #شفافیت_آراء_نمایندگان #فرجام_غربگرايى #فرجام_غربگرائی #پوشک #روحاني #پروانه_سلحشوری</t>
  </si>
  <si>
    <t>مرتضی دین پرور</t>
  </si>
  <si>
    <t>از تریبون #مجلس شعار بسیار شنیدیم اما #پروانه_سلحشوری بود که به شعور مردم احترام گذاشت و صدای ملتی شد که تمام امیدهایشان و آرزوهاشان به بازی گرفته شده و در جدال سهام دارن انقلاب زندگیشان،سخت،سخت میگذرد</t>
  </si>
  <si>
    <t>‏‏‏‏‏یک کلام ، ختم کلام : ‏‎‎‎‎‎‎‎‎‎‎‎‎#براندازم</t>
  </si>
  <si>
    <t>Shahi</t>
  </si>
  <si>
    <t>روحانی : به سال ۵۷ باز نمی گردیم ------------ ایشون همونی نیستن که با شعار #به_عقب_برنمیگردیم رای جمع میکردن؟ مگه قول پیشرفت نداده بودن؟ چی شد یهو تقلیل(تعدیل) وعده پیدا کرد؟ #براندازم #روحانی</t>
  </si>
  <si>
    <t>TaaHa</t>
  </si>
  <si>
    <t>سنگ پا هم گاه، کم می آورد/ گوشهٔ اَبروش، خَم می آورد کار نبود، #دلاک_ساده شدم</t>
  </si>
  <si>
    <t>مهندس_خبرنگار</t>
  </si>
  <si>
    <t>https://twitter.com/NavadeEghtesadi/status/1036963126141431810</t>
  </si>
  <si>
    <t>بانک مرکزی نمرده طبق سخنرانی #روحانی در مجلس مورخ ۹۷/۶/۶ ایشان به بانک مرکزی دستور دادند برای بالا نگه داشتن دلار ارز به بازار تزریق نکنند #دولت_گوش_بر RT @NavadeEghtesadi: دلار حدود 13 هزار تومان شده اما بانک مرکزی انگار نه انگار! هیج واکنشی نشان نمیدهد و نمیگوید چرا دلار یکدفعه چند هزار تومان گران شده!!؟ بانک مرکزی مُرده است؟</t>
  </si>
  <si>
    <t>https://pbs.twimg.com/media/DmQ9rOEX0AAN5Fk.jpg</t>
  </si>
  <si>
    <t>صبح از خواب بيدار ميشيم ، صبحونه ميخوريم ، سركار ميريم، ٨تا ١٠ ساعت بلكه بيشتر كار ميكنيم، هيچ پولي خرج نميكنيم وبا برگشت به خونه ١٠ درصد فقير تريم اينه داستان زندگي ما!!!.! #دلار۱۳۰۰۰تومانی #سكه #روحانی</t>
  </si>
  <si>
    <t>مدیرعامل شرکت رسانه ای آوای پارت نویسنده/خبرنگار/پژوهشگر</t>
  </si>
  <si>
    <t>طرح ممنوعیت انتخاب یا انتصاب مدیران دوتابعیتی در کمیسیون امنیت ملی رد شد!! #ما_هیچ_ما_نگاه #دوتابعیتی #مجلس @KarimiGhodousi</t>
  </si>
  <si>
    <t>علی طوسی</t>
  </si>
  <si>
    <t>این #روحانی داره به یکی یکی وعده هاش عمل میکنه مثل، تا ۱۴۰۰۰ با روحانی!</t>
  </si>
  <si>
    <t>و الله که شهر بی تو مرا حبس می‌شود ...</t>
  </si>
  <si>
    <t>نهادی، ارگانی، رسانه ای چیزی مونده از #پرسپولیس دفاع نکرده نباشه ؟ #رفیعی #قهرمانی #فدراسیون #رئیس_جمهور</t>
  </si>
  <si>
    <t>اسپیدار</t>
  </si>
  <si>
    <t>دوستان عزیز انقلابی اما تندرو ; چرا مرتب از جناب #روحانی میخواهید از "کفت دست مو بکنه؟!" یک بخش منابع کشور خرج امامزادگان زنده و مرده میشود بخش دیگری خرج جنگ هفت ساله سوریه شده که تا اینجا هم کلی بدهی داره بخش دیگر تازه کفاف حقوق ومزایای کارمندان نمی دهد.قسمتی هم سهم دزداست ..</t>
  </si>
  <si>
    <t>https://instagram.com/javad_tayyeb</t>
  </si>
  <si>
    <t>‏‏‏‏‏‏‏‏‏‏‏‏‏‏‏‏‏‏‏‏‏‏‏‏‏‏‏‏‏‏‏‏‏‏‏‏‏با ولایت تا شهادت... دانش آموزم... ‎‎‎‎‎‎‎‎‎‎‎‎‎‎‎‎‎‎‎‎‎‎‎‎‎‎‎‎‎‎‎‎‎‎‎‎‎‎‎‎#امام_حسنی_ام 💚✌</t>
  </si>
  <si>
    <t>IRAN.HMD</t>
  </si>
  <si>
    <t>روزها از جلسه #سوال_از_رییس‌جمهور میگذرد و در عین حال شرایط زندگی مردم روز به روز سخت تر میشود اصلا فایده سؤال از روحانی چه‌بود؟ کدام مشکل مردم در جلسه برطرف شد؟ سخنرانی رئیس‌جمهور در یک همایش با حضور در مجلس چه تفاوتی داشت؟</t>
  </si>
  <si>
    <t>جَــوٰاد طَــیّـــب</t>
  </si>
  <si>
    <t>🔴 روحانی: اینها می‌خواهند ما را به ۴۰ سال عقب برگردانند. اما ما با رهبری حضرت اقا و دولت تدبیر ب کمتر از 1400 سال راضی نمیشویم. با #روحانی تا 1400 سال قبل</t>
  </si>
  <si>
    <t>https://pbs.twimg.com/media/DmQ-3AQW0AAagKG.jpg</t>
  </si>
  <si>
    <t>http://t.me/NEWS365/84959</t>
  </si>
  <si>
    <t>حیدری در نطق میان‌دستور: 🔹اختیارات، یک جا و مسئولیت‌ها جای دیگری است 🔹نخست وزیر و رییس جمهوری و رییس #مجلس سابق در #حصر و #ممنوع_التصویر هستند 🔹#موشک هوا کردیم و تنش آفرین شدیم #غلامرضا_حیدری 👇مشاهده #ویدیو کامل 👇</t>
  </si>
  <si>
    <t>تو باغچه</t>
  </si>
  <si>
    <t>https://twitter.com/arasharas/status/1037022837406609409
https://twitter.com/mohammadsedarat/status/1036943982021038080</t>
  </si>
  <si>
    <t>_بی‌منطق‌ترین جمله‌ای که تا حالا شنیدی چی بوده؟ +خیالتون از هم چیز راحت باشه #روحاني طور RT @arasharas: _بی‌منطق‌ترین جمله‌ای که تا حالا شنیدی چی بوده؟ + همه میگن ...</t>
  </si>
  <si>
    <t>تربچه</t>
  </si>
  <si>
    <t>https://pbs.twimg.com/media/DmQ_sFcWwAAwfld.jpg</t>
  </si>
  <si>
    <t>+بچه ها کی میتونه به این گند بزنه؟ _استاد اجازه! من #روحانی #سقوط_ریال #محسن_رضایی</t>
  </si>
  <si>
    <t>خارج از گود</t>
  </si>
  <si>
    <t>#روحانی میگه دشمن داره کاری میکنه که ما به قبل از سال پنجاهو هفت برگردیم. ولله که من راضی ام برگردم به اون سالها. #به_عقب_باز_نمیگردیم</t>
  </si>
  <si>
    <t>Coco Jambo</t>
  </si>
  <si>
    <t>Im Haj Yanga</t>
  </si>
  <si>
    <t>#روحانی : ما به قبل از سال ۵۷ نمی ... وسطش بابام: به امید خدا می‌رسیم . مامان از اشپرخونه: آمین 😂😂😂😂😂 #IranProtest</t>
  </si>
  <si>
    <t>haj Yanga</t>
  </si>
  <si>
    <t>#روحانی: اینها می‌خواهند ما را به ۴۰ سال عقب برگردانند، تسلیم شویم و بگوییم اشتباه کردیم، این آرزوهای #دشمن هیچ‌وقت محقق نخواهد شد. پ.ن: چهل سال نه ، لطفا به چهل و پنج سال پیش برگردیم</t>
  </si>
  <si>
    <t>خبرنگار،کارشناس علوم سیاسی، فعال اصلاح طلب(ساختاری ) "به جای لایک دنبال کنید"</t>
  </si>
  <si>
    <t>#جنتی:"مامی مانیم" #حسن روحانی:"به سال57برنمی گردیم". پس به کجا می رویم؟ ببین کارمان به کجارسیده که آرزوی مردم برگشت به شرایط قبل ازسال 57 است. آقای #روحانی اگرازسرمایه مردمی استفاده میکردی هیچ قدرتی نمی توانست شمارامجبوربه این انفعال درمواضع کند. #جنتی #روحانی #کروبی #کدخدایی</t>
  </si>
  <si>
    <t>اسفندیارعبدالهی</t>
  </si>
  <si>
    <t>فقط #اصلاح_طبکار جماعتن که بعد از اینهمه گند و کثافتی که بالا اوردن #فرار_رو_به_جلو و #جنگ_روانی به این قشنگی میتونن راه بندازن، الحق و الانصاف تو هر کاری بی کفایت و بی عرضه باشید، تو حقه بازی و شانتاژ بازی بی بدیل هستید #پوشک #فرجام_غربگرائی #روحانى #شفافیت_آراء_نمایندگان</t>
  </si>
  <si>
    <t>اگر رئیسی پیروز میشد فوق فوقش دلار میشد #5000تومان خوشبختانه الان از #14000تومان گذشت اصلا ناراحت نشدم چون هنوز #روحانی اندوهگین نشده</t>
  </si>
  <si>
    <t>https://pbs.twimg.com/media/DmRCUBAXsAApHyM.jpg</t>
  </si>
  <si>
    <t>-چیه اون بالا، قیمت موشکه؟ +نه حسن،به لطف شما قیمت پوشکه! #روحانی</t>
  </si>
  <si>
    <t>🔥احساس سوختن به تماشا نمي شود🔥 🔥آتش بگير تا كه بداني چه ميكشم 🔥</t>
  </si>
  <si>
    <t>تكليـف</t>
  </si>
  <si>
    <t>مجلس خبرگان: آقاي #روحاني شما به اجلاسيه #خبرگان دعوت شده ايد روحاني: اجلاسيه كجاست؟ خبرگان: مكان هميشگي! روحاني: همون توچال ديگه...</t>
  </si>
  <si>
    <t>mohajer</t>
  </si>
  <si>
    <t>یکی از آخرین باقیات صالحات آقای هاشمی رفسنجانی،گذاشتن شیخ حسن روحانی تو دامن ملت بود انشاءالله که خداوند در اون دنیا به بهترین شکل ممکن پاداش این کار خیرشون رو بده #روحانی #غریق_کوشک</t>
  </si>
  <si>
    <t>http://www.oligen.ir</t>
  </si>
  <si>
    <t>فعلن هستم!</t>
  </si>
  <si>
    <t>وقتشه #جهانگیری تو جلسه‌ی هیات دولت بگه: آقای #روحانی به خودت بیا!</t>
  </si>
  <si>
    <t>Vahid Darabi</t>
  </si>
  <si>
    <t>She was born to be free, let her run wild in her own way and you will never lose her... 🕊</t>
  </si>
  <si>
    <t>#روحانى اين همه گفت #به_عقب_برنمیگردیم راست گفت و من نفهميدم! منظورش از عقب قبل انقلاب ٥٧ بوده!</t>
  </si>
  <si>
    <t>خط سوم</t>
  </si>
  <si>
    <t>مردان سیاست ، بزرگترین تاریخدانانند ...</t>
  </si>
  <si>
    <t>چرا بعد 2 هفته ثبات در بازار ارز و سکه ، دقیقا از صبح روز حضور #روحانی در مجلس ، بازار آشفته تر شد و دلار شدیدا در حال بالارفتن است ؟ پشت پرده چه میگذرد ؟</t>
  </si>
  <si>
    <t>سیبیلو</t>
  </si>
  <si>
    <t>Ph.D علوم سیاسی|مدرس دانشگاه|پژوهشگر|#آتئیست بودم|#آگنوستیک شدم|مدتی #لائیک|مدتی علاقه مند به #شینتو و #مسیحیت|نهایتا به #تشیع برگشتم</t>
  </si>
  <si>
    <t>ازاونجایی که نمیتونم مخارج ازدواج و زندگی دو نفر رو بدم و دخترهایی که میشناسم، نمیتونن جهیزیه و سایرخرج های خودشون و متقبل بشن لذا جهت انجام سنت پیغمبر تا پایان دولت #روحانی فقط میشه #ازدواج_عاطفی کرد! یعنی اون خونه باباش منم خونه بابام از راه دور همدیگه رو دوست داشته باشیم!</t>
  </si>
  <si>
    <t>دکتر کُد</t>
  </si>
  <si>
    <t>https://pbs.twimg.com/media/DmRDm1VXcAMwD1h.jpg</t>
  </si>
  <si>
    <t>درحالی که اکثر نشریات به دلیل #گرانی سرسام آور کاغذ با مشکلات عدیده ای روبرو هستند روزنامه دولت ویژه نامه ۲۵۳ صفحه ای عملکرد نداشته دولت آقای #روحانی را منتشر کرده و رایگان توزیع میکند!</t>
  </si>
  <si>
    <t>او خواهد آمد... Revolutionary,Commenter,Photographer,Love Cars</t>
  </si>
  <si>
    <t>I.R.Iran,Khuzestan,Dezful</t>
  </si>
  <si>
    <t>منصفانه تر بود که هرکس فقط تاوانِ نفهمی و خیانت خودش را میداد، نه یک ملت..... #روحاني #مسئولین #دولت #وغیره</t>
  </si>
  <si>
    <t>$£¥£Đ</t>
  </si>
  <si>
    <t>فک نمیکردم ی روزی #احمدی_نژاد قرمان ملی بشه😂 #rohani #روحاني #روحانی_مچکریم #دلار #نالایق #حسن_روحانی #تله_کابین_توچال #</t>
  </si>
  <si>
    <t>https://pbs.twimg.com/media/DmREpShUwAAlBWh.jpg</t>
  </si>
  <si>
    <t>غيبت روحاني در اجلاس #خبرگان رهبري #روحاني: مگه توچال نبود؟ اخ اخ...</t>
  </si>
  <si>
    <t>https://twitter.com/seyyedhamid71/status/1036975684021760001</t>
  </si>
  <si>
    <t>.@seyyedhamid71 خب، سید، شترسواری دولا دولا چرا؟ اگه #روحاني رو تحدید میکنی، باکت از چیه؟ #استخرِ_فرح حواله میدی یعنی میگی از دسته خودیایی هستی که ادعا دارن سر رفسنجانی رو زیر آب کردن یا از جریانش باخبرن. گاوت یا آبستنه یا نیست. کدومه؟ RT @seyyedhamid71: ای آنکه میگی برای معیشت مردم #وقت_ندارم استخر فرح در انتظارت</t>
  </si>
  <si>
    <t>‏قلم میزنم نه برای شادی و ناراحتی کسی، می نویسم برای حقیقت</t>
  </si>
  <si>
    <t>https://pbs.twimg.com/media/DmRFboNWsAA3JbG.jpg</t>
  </si>
  <si>
    <t>به عقب بر نمی گردیم فقط میخوایم نوستالژی هامون رو با #روحانی تَکرار کنیم پوشک بچه شده 90 هزار تومان کم کم باید رفت به سمت سنتی</t>
  </si>
  <si>
    <t>H.shirazi</t>
  </si>
  <si>
    <t>چیزی به ذهنم نمیرسه، چیزی برای افتخار و شواف ندارم _ معمولا پشیمان از کرده‌ی خویش _ بری برگردی همینم پاک کردم</t>
  </si>
  <si>
    <t>لای در</t>
  </si>
  <si>
    <t>#روحانی: ما از مشکلات عبور خواهیم کرد [...حتی اگه از رو جنازه‌ی مردم رد بشیم]</t>
  </si>
  <si>
    <t>آقای ویــــــــ</t>
  </si>
  <si>
    <t>آقای #روحانی اونهایی که سعی دارند مارا به چهل سال قبل برگردانند دشمن ما نیستند. خیرخواه این سرزمینند. دست بردارید از این اراجیف گویی. @HassanRouhani @Rouhani_ir</t>
  </si>
  <si>
    <t>یه فرد معمولی که دوست داره بعضی از حرفها رو پیش خودش نگه نداره و به جایی بگه، مثل قدیمها که نامه خطاب به خواننده احتمالی مینوشتن و با یه بطری تو دریا می‌انداختن</t>
  </si>
  <si>
    <t>با نزدیکی به انتخابات مجلس ظاهرا نماینده ها یاد مردم افتادن. #مجلس #شجاعت؟ #حق_طلبی؟</t>
  </si>
  <si>
    <t>https://t.me/shoarnevis419</t>
  </si>
  <si>
    <t>بچه اهواز(کوت عبد الله هستم ؛ولی تهران بزرگ شدم علاقه زیادی به فوتبال وفوتسال دارم گرافیک کار هم هستم پی وی تلگرام: دلیر وبی باک https://t.me/sohael_96</t>
  </si>
  <si>
    <t>https://pbs.twimg.com/media/DmRGAwcXoAALkZM.jpg</t>
  </si>
  <si>
    <t>بی رحم !... گوشی را بردار... کارت دارم قول می دم فحش ندم تو هم چیزی نگو... میخوام یکم دیگه #دلار۱۴۰۰۰تومانی ببرم بالاتر گناه نیست هست ؟!..😂😂 #روحاني #براندازم #IranRegimeChange</t>
  </si>
  <si>
    <t>دلیروبی باک</t>
  </si>
  <si>
    <t>https://pbs.twimg.com/media/DmRGOh0V4AAM9Qw.jpg</t>
  </si>
  <si>
    <t>#جنتی: همه بدانند ما میمانیم. #روحانی: امکان ندارد ما را به قبل از انقلاب ۵۷ برگردانند. واکنش‌ها به این صحبت‌ها جالب بوده. #به_عقب_برنمیگردیم #دلار #پوشک #گرانی #تورم</t>
  </si>
  <si>
    <t>pic.twitter.com/j79kSakh9p</t>
  </si>
  <si>
    <t>بهترین صداگذاری قرن :))))))) #روحانی #برجام #تحریم</t>
  </si>
  <si>
    <t>https://pbs.twimg.com/media/DmRGbVbWsAAhJGK.jpg</t>
  </si>
  <si>
    <t>خدا رو شکر که ۱۵۰۰۰۰ تومان نشده #دلار #روحانی</t>
  </si>
  <si>
    <t>F10</t>
  </si>
  <si>
    <t>pic.twitter.com/kxo1M9uroz</t>
  </si>
  <si>
    <t>کاری که دولت فش #روحانی داره با مردم میکنه. فک ثابت تحریم ها هستن که ۴۰ ساله تداوم دارند، و فک متحرک #دولت_غربگرا هست که زورش رو گذاشته رو مردم و تا حالا داره داره میکشه. انشاالله که مثل این تست مردم عزیز به شکست نرسند. خدایا خودت کاری بکن.</t>
  </si>
  <si>
    <t>Urmia</t>
  </si>
  <si>
    <t>https://pbs.twimg.com/media/DmRGwpaX4AAJBjT.jpg</t>
  </si>
  <si>
    <t>-چیه اون بالا، قیمت موشکه؟ +نه حسن،به لطف شما قیمت پوشکه! #روحاني #پوشک</t>
  </si>
  <si>
    <t>Saeed Afshar</t>
  </si>
  <si>
    <t>"كلبه احزان شود روزي گلستان غم مخور" ،معلم،دانش آموخته هنر ،به شدت دنبال حقيقت</t>
  </si>
  <si>
    <t>درسال تحصيلي ٩٨-٩٧به شدت در مقطع ابتدايي با كمبود معلم روبه رو هستيم كمتر از بيست روز به شروع سال مونده وهنوز نه سازمان امور استخدامي نه وزير نه كميسيون آموزش مجلس هيچ كس به فكر نيست با كلاسهاي خالي چه كنيم؟!! #بطحایی #مجلس</t>
  </si>
  <si>
    <t>mahna rad</t>
  </si>
  <si>
    <t>‏‏‏‏‏‏~•وَقْـتـی هَـوٰایِ شَـهْـرْ نـَفَـسْ گـیـر مـیـشَـوَدْ• بــٰا روْضـِهـ حُـسـِیـنْ نـَفَـسْ تـٰازِهـ مـیـکُـنـیـم•~</t>
  </si>
  <si>
    <t>مردم دارن تاوان دموکراسی و انتخابهای غلطشون رو پس میدن, باشد که در آینده (عمرا) عبرت بگیرند! #شهرداری_تهران #خودسوزی #مجلس #رئیس_جمهور #فرجام_غربگرایی</t>
  </si>
  <si>
    <t>ماس ماوی</t>
  </si>
  <si>
    <t>*. حالت فعال از خرداد 1397 ✒️</t>
  </si>
  <si>
    <t>https://pbs.twimg.com/media/DmRHJQiWsAAYKWx.jpg</t>
  </si>
  <si>
    <t>https://goo.gl/2TYmAU</t>
  </si>
  <si>
    <t>روحانی: دشمن می‌خواهد ۴۰ سال به عقب برگردیم.  ... دشمن عزیز ! در #دولت_عقبگرد آقای #روحانی ، آرزوی شما ( پیش از آن‌که از دل، به زبان بیاید ) در حال محقق‌شدن است!</t>
  </si>
  <si>
    <t>siavash bahrami</t>
  </si>
  <si>
    <t>‏‏‏‏‏‏‏‏‏‏‏‏ابد والله ما ننسی حسینا ببخشید پشتم به شماست‌.... اصلا فالو نکن، حتا شما...37927</t>
  </si>
  <si>
    <t>زمین</t>
  </si>
  <si>
    <t>#پوشک یا موشک؟ هسته‌ای رو هم اینجوری به باد دادن. #روحانی #برجام</t>
  </si>
  <si>
    <t>@Hobuoot</t>
  </si>
  <si>
    <t>https://twitter.com/farsnews_agency/status/1036895904161247232</t>
  </si>
  <si>
    <t>🎥#روحانى: امكان ندارد بگذاريم مردم يك نفس راحت بكشند و در رفاه زندگى كنند/ دهن مردم را سرويس مى كنيم RT @FarsNews_Agency: 🎥#روحانی: امکان ندارد که بدخواهان ما موفق شوند ما را به قبل از سال ۵۷ برگردانند/از مشکلات عبور می‌کنیم.</t>
  </si>
  <si>
    <t>*شين*</t>
  </si>
  <si>
    <t>#روحانی در مراسم افتتاح پتروشیمی در عسلویه : بسرعت از مشکلات عبور خواهیم کرد. اینقدر مشکل زیاده که با سرعت نور هم نمیشه عبور کرد</t>
  </si>
  <si>
    <t>https://twitter.com/rouhani_ir/status/483931418603827200?s=21</t>
  </si>
  <si>
    <t>#روحانی: ولله قسم سال های ۸۴ تا ۹۲ گذشت و دیگر تکرار نمی‌شود  روحانی امروز: نمی‌توانند ما را به قبل از ۵۷ برگردانند روحانی فردا: بخدا قسم ما را نمی‌توانند به قبل از مشروطه برگردانند روحانی پس‌فردا: بخدا به عصر حجر برنمی‌گردیم @Rouhani_irRT @Rouhani_ir: به والله سال‌های ۸۴ تا ۹۲ گذشت و دیگر تکرار نمی‌شود.</t>
  </si>
  <si>
    <t>دوستم پیام داده سه روزه رفتم مسافرت چرا اوضاع کشور اینطوری شده😂 گفتم از همون راه برو از مرز رد شو . اینطرفی برنگرد 😂😂 میگه دلار #14000تومن مگه میشه مگه داریم گفتم با #روحانی غیرممکن وجود نداره 😉😉</t>
  </si>
  <si>
    <t>‏‏‏بهتر است از حقیقت سیلی بخوری تا اینکه دروغ تو را ببوسد...</t>
  </si>
  <si>
    <t>https://pbs.twimg.com/media/DmRIzQQVsAA3QT6.jpg</t>
  </si>
  <si>
    <t>🚫 ۱۴هزار را رد کردیم رفتیم تو پلان ۱۵ هزار! 🖍️حسن ، والله وعلی العظیم ما از اول هم میدونستیم توی دروغگو لایق این سمت نیستی #روحانی #دلار 🇮🇷 @cyber_daragh</t>
  </si>
  <si>
    <t>یا زینب (س)</t>
  </si>
  <si>
    <t>مسوول فقط اونجا که حاضر نیست برای چندبرابر شدن قیمت ها جواب گو باشه #فرجام_غربگرایی #روحانی</t>
  </si>
  <si>
    <t>‏‏‏‏‏‏‏‏‏‏‏‏مشهد/دانشجو زبان/کارگر زاده/فقط ‎‎‎‎‎‎‎‎‎‎‎‎‎‎‎‎‎‎‎‎‎‎‎‎‎‎‎‎#انقلابیگری و طرفدار ‎‎‎‎‎‎‎‎‎‎‎‎‎‎‎#حق</t>
  </si>
  <si>
    <t>خانوم محترم مردم #رفع_حصر نمیخوان رفاه #اقتصادی میخوان! آسایش میخوان! جنابعالی از نیاز های #حزبیتون سخن گفتید که در اولویت مردم نبود به چه چیزی می نازید!؟ شما همان فردی هستید که میخواستید به بهانه #جام_جهانی کار در #مجلس را ترک کنید حالا کاسه داغ تر از آش شدین!؟ خجالت بکشید.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</si>
  <si>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هُلمز توئیتر</t>
  </si>
  <si>
    <t>‏‏‏‏‏‏‏‏‏‏‏‏‎‎‎‎‎‎‎‎‎‎‎‎#شیعه ،‎‎‎‎‎مترجم ،کارشناس ارشد برق قدرت، عاشق سینما، عاشق نابودی اسرائیل. «فَإِنَّ مَعَ الْعُسْرِ يُسْرًا»</t>
  </si>
  <si>
    <t>https://pbs.twimg.com/media/DmRJaIRXgAY2rwu.jpg</t>
  </si>
  <si>
    <t>شاید شما #روحانی رو مسبب #دلار۱۴۰۰۰تومانی و #پوشک_نجومی بدونید، اما من فکر می کنم که #لاریجانی باعث فلاکت و بدبختی مردم شد، چون اوست که دولت رو برای بی قانونی، چپاول و دزدی تشجیع کرد و جلوشون رو نگرفت و به ریش مردم خندید. من که هیچ وقت ازش نمیگذرم، هیچ وقت ...</t>
  </si>
  <si>
    <t>AmirHossein_110</t>
  </si>
  <si>
    <t>اسلام وانقلاب اسلامی همیشه از نفوذیها ضربه خورده مثلا همین جمناچندماه قبل از انتخابات این مجمع تشکیل میشه وبایه اشتباه تاکتیکی باعث شداین دولت بی کفایت سرکاربمونه واین مشکلات پیش بیاد. #پوشک #جمنا #نفوذ #دولت #روحانی #نفوذی</t>
  </si>
  <si>
    <t>Belgium - Brussels</t>
  </si>
  <si>
    <t>pic.twitter.com/ZljJDtVx21</t>
  </si>
  <si>
    <t>ببینید به کجا رسیدیم ! برسر خرید پوشک بچه مغازه دار میگه از بالا به من دستور دادند که ۴تا ندیم ۲تا بدیم ... #مردم رو به جان هم انداختند #گرانی #اقتصاد_فروپاشیده #ایران #روحانی #Iran</t>
  </si>
  <si>
    <t>AliFakhari</t>
  </si>
  <si>
    <t>Servant of Allah &amp; Student of international relations: Regional studies twitting in; Persian English, Arabic</t>
  </si>
  <si>
    <t>دلار هرچقدر هم که بالا برود برود این فشار اقتصادی نتیجه فقر و‌ فروپاشی فرهنگیه، نتیجه ی ناکارامدی دولت در تضمین امنیت روانی جامعه و ناتوانی جامعه در تضمین امنیت روانی دولت در یک کلمه نتیجه بی اعتمادی #دلار #احتکار #دولت #سرمایه_اجتماعی #امنیت_اقتصادی #Iran #روحانی #۱۴۰۰۰</t>
  </si>
  <si>
    <t>Mohammadinmanam</t>
  </si>
  <si>
    <t>http://instagram.me/Mahtab.kardouni74</t>
  </si>
  <si>
    <t>‏‏‏‏‏‏‏‏‏‏‏‏‏‏ ساکنِ شهرِ برادر امام رضا /دانشجو روانشناسی/ اگر چشمانتان حرفی برای گفتن دارند، خوشبختید</t>
  </si>
  <si>
    <t>امروز یکی از آشناهای نزدیکی که به روحانی رای داده بود، اومده بود خونمون. از قضا پسرش هم 11 ماهشه و بسیار دلش پر بود از وضعیت #پوشک خیلی صریح بهش گفتم شما بیخود کردی به #روحانی رای دادی. همین شماهایین که با نادونی تون باعث این وضعیت شدین!</t>
  </si>
  <si>
    <t>M a h t a b</t>
  </si>
  <si>
    <t>دلار 14 هزار تومان علی برکت الله آقای #روحانی</t>
  </si>
  <si>
    <t>هنوز شک داری که جن وجود داره یا نداره؟؟؟؟ یه سری به #مجلس، به #هیئت دولت، #قوه_قضائیه بزن بعد ببین این همه #تخم_جن از کجا آمده که ریدن به کشور.</t>
  </si>
  <si>
    <t>دانشجویان باز هم ستاره دار شدند علی برکت الله آقای #روحانی</t>
  </si>
  <si>
    <t>کاش میشد آقای #روحانی رئیس جمهور همون بیست و سه میلیونی میشد که بهش رای دادن و ۱۴۰۰ چقدر دوره</t>
  </si>
  <si>
    <t>کاپتان بایاشی</t>
  </si>
  <si>
    <t>I have MSc degree in Software Engineering.I am interested in politics and technology.I Support Atheism,Feminism and freedom of speech.</t>
  </si>
  <si>
    <t>چطور ممکنه افرادی مثل #روحانی ،#خاتمی یا اعضای #خبرگان که همگی پیر هستن از رفتارشون و #چاپلوسی و #خایه_مالی شون تو این سن خجالت نکشن؟حالا جوونیشون میگیم دنبال #قدرت بودن الان دیگه دردشون چیه که حاضرن اینجوری برای #خامنه_ای خودشونو کوچیک و #ذلیل کنن؟</t>
  </si>
  <si>
    <t>Kooka</t>
  </si>
  <si>
    <t>https://pbs.twimg.com/media/DmRNbtCWwAAQdXB.jpg</t>
  </si>
  <si>
    <t>https://www.hra-news.org/articles/a-365/?tg_rhash=22a41dd9689763</t>
  </si>
  <si>
    <t>مروری بر گزارش مرکز پژوهش های #مجلس درباره #حجاب؛ آینده با حجاب نیست/ نوید محبی</t>
  </si>
  <si>
    <t>نوری همدانی مصباح یزدی حسن زاده املی سیستانی سید حسن نصرالله جنتی یزدی علم الهدی رییسی پناهیان زکزاکی عیسی قاسم 💞🥀</t>
  </si>
  <si>
    <t>https://pbs.twimg.com/media/DmRNeJQXoAEp52J.jpg</t>
  </si>
  <si>
    <t>آقای #روحانی برای پاسخ به نماینده #خبرگان_رهبری وقت دارید ؟ یا #وقت_ندارم دیگه انتخاب با خودتونه 🎃</t>
  </si>
  <si>
    <t>سيدحامد🥀</t>
  </si>
  <si>
    <t>‏‏‏‏‏‏‏‏‏‏‏‏‏‏‏‏‏‏‏‏هرچی میخوای باشی باش فقط یه پوچِ از خود راضی نباش :) مالک این اکانت در برابر حرفِ مفت بسیار کم حوصله میباشد ;) ‎‎‎#beautifully_independent</t>
  </si>
  <si>
    <t>top of the hill</t>
  </si>
  <si>
    <t>تو یه جامعه با ثبات اقتصادی مردم که خیالشون از معیشت راحت شد دغدغه‌هاشون مهمتر و انسانی‌تر میشه مثل حقوق اجتماعی و فعالیت‌های فرهنگی نه پوشک و نون و گوجه و... آقای #روحاني چه کردی با ما؟</t>
  </si>
  <si>
    <t>تک توپ‌انداز</t>
  </si>
  <si>
    <t>روحانی حرف اقتصاددان‌ها را گوش نمی‌کند؛ روحانی حرف هاشمی را گوش نمی کرد؛ روحانی حرف هیات دولت را گوش نمی‌دهد؛ روحانی حرف مجلس را گوش نمی کند؛روحانی حرف سیاسیون را گوش نمی‌کند؛ روحانی حرف هواداران را گوش نمی‌کند؛ #روحانی غیر از واعظی؛ نوبخت؛ و آشنا؛ دقیقا حرف چه کسی را گوش می‌کند؟ RT @SadraMohaqeq: سعید لیلاز:«من پشت پرده را نمی‌دانم ولی اختیاراتی که آقای خامنه‌ای به روحانی و سران قوا داده اگر به چوب داده بود تا الان یک کاری کرده بودند. من مسئولیت را اساسا متوجه روحانی می‌دانم چون ما از ۸ ،۹ ماه قبل به او هشدار داده بودیم که دلار را بحران خواهد گرفت»</t>
  </si>
  <si>
    <t>https://pbs.twimg.com/media/DmRORjoW0AI_-iY.jpg</t>
  </si>
  <si>
    <t>#محمدرضا_زائری، #روحانی منتقد در ایران در یادداشتی از فشارها برای لغو سخنرانی‌ها و روضه‌خوانی‌هایش در آستانه ماه #محرم خبر داده است.</t>
  </si>
  <si>
    <t>آقای #روحانی شما هنوز رئیس جمهور ایران هستین؟ انقدر خبری از شما و دولتتون نیست شک کردم که شاید رفتین #ارز #دلار #یورو #گرانی #پوشک</t>
  </si>
  <si>
    <t>https://pbs.twimg.com/media/DmRPkDxW4AEwaGK.jpg</t>
  </si>
  <si>
    <t>اون آقایی که جلوی شهرداری تهران خودسوزی کرد، حقوق نماینده ش تو مجلس ۳۲ میلیون تومانِ! حالا اگه فکر کردید، دغدغه اون نماینده، این آقا و امثال این آقا هستن؛ کاملا درست فکر کردید!!! #باج_گیرهای_سیاسی #مفت_خورهای_بی_خاصیت #پروانه_سلحشوری #دلار۱۴۰۰۰تومانی #حصر #نظارت_استصوابی #روحانی</t>
  </si>
  <si>
    <t>‏‏‏‏درجستجوی معرفت درغربت، عاشق صداقت، بیزار از جهالت</t>
  </si>
  <si>
    <t>عملکرد #روحانی تیم اقتصای #دولت در این یکساله طوری بوده که اگر هیچ‌کاری نمیکردند و خودشون را کنار می.کشیدند تا ترامپ با غلطک از روی #اقتصادایران ردشه، خرابی کمتری ببار میامد</t>
  </si>
  <si>
    <t>mohseninasab</t>
  </si>
  <si>
    <t>https://pbs.twimg.com/media/DmRP_n0X0AI5vpI.jpg</t>
  </si>
  <si>
    <t>اون دوست عزیز با اون پلاکارد #استخرِ_فرح " ما دیگه با #روحانی کار نداریم و اصلا اشکال نداره که توی استخر یا هر جایی دوست دارید و می تونید لطفا ماموریت را انجام دهید ." با تشکر مردم</t>
  </si>
  <si>
    <t>میگه ما به قبل از 57 بر نمی گردیم، یعنی تا 57 اشکال نداره #روحانی #به_عقب_برنمیگردیم #تا١٤٠٠باروحاني #تا57با_ج_ا</t>
  </si>
  <si>
    <t>Ramin Naderi</t>
  </si>
  <si>
    <t>‏‏🌍🇮🇷جمهوری اسلامی ایران 🇮🇷🌎</t>
  </si>
  <si>
    <t>خلیج فارس</t>
  </si>
  <si>
    <t>رئیس جمهور و وزرا که انگار نه انگار ، نماینده های مجلس چیکار می کنند؟ پاسخ سئوالات نمایندگان چی شد ؟ تو این وضعیت ما باید نمایندگان را مجبور به استیضاح کنیم . #استیضاح</t>
  </si>
  <si>
    <t>@313</t>
  </si>
  <si>
    <t>#رئیس‌جمهور مطابق #قانون‌اساسی موظف است اگر در معرض سؤال نمایندگان #مجلس‌شورای‌اسلامی قرار گرفت، برود و پاسخ دهد ولی #قانون نه چنین اجازه‌ای به #خبرگان داده که او را بازخواست کند و نه #رئیس‌جمهور ملزم به پاسخگوئی‌ به آنهاست! البته اینها در فرض عمل کردن به قانون است!!</t>
  </si>
  <si>
    <t>https://pbs.twimg.com/media/DmRRusbWsAE73mm.jpg</t>
  </si>
  <si>
    <t>همه گلابی های برجام رو خودت تنهایی خوردی که الان پراید چهل میلیون تومن شده؟ #روحاني #برجام #پوشک</t>
  </si>
  <si>
    <t>یعنی اگر #روحانی خودش بیاد بگه مسبب اصلی مشکلات کشور منم باز یه عده هستن و بهش میگن نه خره تو چیکاره ای همش تقصیر سپاه و رهبریه یعنی خر واقعی همینان</t>
  </si>
  <si>
    <t>Şans ne gezer divanede...</t>
  </si>
  <si>
    <t>#فرجام_غربگرایی ، #روحانی را هم یک روز زمین خواهد زد چنان چه #مصدق را زمین گیر کرد</t>
  </si>
  <si>
    <t>rezapour</t>
  </si>
  <si>
    <t>اقتصاد مملکت به باد فنا رفته، نماینده عدالتخواه(!) #مجلس از #نظارت_استصوابی میگه! خدایا کریمانه ما رو نجات بده!</t>
  </si>
  <si>
    <t>‏کارشناس ارشد حقوق خصوصی فعال سیاسی فعال دانشجویی سابق عضو حزب اتحاد ملت</t>
  </si>
  <si>
    <t>در #مجلس تاریک، امروز روزی درخشان و نورانی بود. نطق های #پروانه_سلحشوری و #غلامرضا_حیدری در باب #همه_پرسی باید پیگیری شود. همه پرسی حقی مترقی است در #قانون_اساسی که باید در بن بست های سیاسی مثل امروز از آن استفاده نمود</t>
  </si>
  <si>
    <t>شهید بهشتی(ره): در این انقلاب آنقدر کار هست که می توان انجام داد بی آنکه هیچ پست، سمت، حکم و ابلاغی درکار باشد.</t>
  </si>
  <si>
    <t>#روحانی انصافا روراست بود!! گفت یکار میکنم اصلا خودتون بگید #یارانه رو نمیخوام کی آخه چشمش دنبال 3 #دلار یارانه اس؟ #فرجام_غربگرایی</t>
  </si>
  <si>
    <t>امین یافته</t>
  </si>
  <si>
    <t>https://pbs.twimg.com/media/DmRSeBGUcAEWDS5.jpg</t>
  </si>
  <si>
    <t>#فرجام_غربگرایی برابر با بدبختی و نابودیه . بفهم نفهم #روحانی</t>
  </si>
  <si>
    <t>نتیجه چهل سال شعار دادن و سیاست های انقلابی و انتخاب های گزینشی شده این روزگار مردم است جناب رهبر، ریاست های قوای سه گانه مسئولین نظام شما که جوابگوی ما نیستید، اما جوابگوی خدا که خواهید بود! #روحانی #رهبر #فقر #گرانی #تورم #ارز #دلار۱۴۰۰۰تومانی</t>
  </si>
  <si>
    <t>تقارن نامه کروبی بازی تاجزاده و این دو سخنرانی امروز #مجلس رو جدی بگیرید ،اینها استارت برنامه ایه که مدتهاس روش کارشده،کشوندن کشوربه بحران و بعد انداختن توپ به زمین رهبری و کشوندن افکار عمومی از وضع موجود به مطالبه #رهبری و جام زهر دیگر!!! #فرجام_غربگراییی</t>
  </si>
  <si>
    <t>امروز۱۳شهریور۹۷ یکی از تلخ ترین روزهای ملت ایران در این دوران تأسف باربود؛ #رضا_خندان دستگیر شد #دلار ۱۴۰۰۰ تومان شد #ستاره_دار ها دوباره احیا شدند #جنتی گفت ما می مانیم #روحانی با حرفهایش ناامیدی را تشدیدکرد #پروانه_سلحشوری و #غلامرضا_حیدری ذره ایی از واقعیتها رافاش کردند و...</t>
  </si>
  <si>
    <t>Freelance journalist @euronews_pe</t>
  </si>
  <si>
    <t>lyon france</t>
  </si>
  <si>
    <t>نطق پروانه سلحشوری، نماینده تهران در #مجلس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</si>
  <si>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Maryam Toosi</t>
  </si>
  <si>
    <t>https://twitter.com/EhsanBodaghi/status/1036973843104051201</t>
  </si>
  <si>
    <t>باوجود ماده 989 #قانون_مدنی که هرگونه اشتغال دولتی ایرانیان #دوتابعیتی (کسب #تابعیت خارجی بدون ترک تابعیت #ایران) را منع کرده و اموالشان را مشمول #مصادره می‌داند، چه نیازی به #قانون جدید است که وقت #مجلس را می‌گیرند؟ RT @EhsanBodaghi: کمیسیون امنیت ملی #مجلس امروز دو طرح مهم مورد نظر مخالفان دولت را رد کرد: 1-طرح راه اندازی و استفاده از پیام رسان‌های مالی که مقدمه پیوستن به #سوئیفت_روسی بود 2-طرح ممنوعیت انتخاب یا انتصاب مقامات و مدیران #دو_تابعینی</t>
  </si>
  <si>
    <t>‏‏‏‏‏عاشق شعر و داستان و نقاشی و گرافیک و... در کل ‎‎‎‎‎‎#ادبیات و ‎‎‎‎‎‎#هنر بودم ولی به حرف مشاورها رفتم ‎ریاضی خوندم! یه لیسانسه ی برق پشیمون!</t>
  </si>
  <si>
    <t>همشهری شهید خرازی</t>
  </si>
  <si>
    <t>این روزهای سخت هم میگذره؛ روسیاهیش هم میمونه فقط و فقط برای #مردم! نسل بعد هم مطمعنا این روزها رو فراموش میکنه و... و این چرخه ی باطل ادامه خواهد داشت... پ.ن: لعنت بهت رفسنجانی؛ که امثال #روحانی میوه های زقوم شجره ی ملعونه ی تفکر پلید تو هستند....</t>
  </si>
  <si>
    <t>مَمَّدرضا</t>
  </si>
  <si>
    <t>عراقچی:برای ما بهتر است در #برجام بمانیم #روحانی: ما #برجام را بدون اروپا ادامه میدهیم! سه مزاحم شرّشان کم شد ما #برجام را بدون چین و روسیه هم ادامه میدهیم! همه مزاحمها شرّشان کم شد و با خیال راحت به تنهایی برجام را ادامه میدهیم! #برجام_پوشکی #دولت_پوشک #برجام_خسارت_محض</t>
  </si>
  <si>
    <t>«نجفی‌خوشرودی»، سخنگوی کمیسیون امنیت ملی #مجلس: طرح ممنوعیت انتخاب یا انتصاب مدیران #دوتابعیتی در کمیسیون امنیت ملی رد شد. در #مجلس چه ميگذرد؟! حواسمان را پرت فلان #سلبريتي كرده اند كه #جاسوس پروري را رسمي كنند #شفافیت_آراء_مجلس</t>
  </si>
  <si>
    <t>https://pbs.twimg.com/media/DmRTXfpX4AAtp5t.jpg</t>
  </si>
  <si>
    <t>یه زمانی این کارت ها حکم پلی استیشن و ps4 رو داشتن... آقای #روحانی حالا که انقدر داریم #به_عقب_برمیگردیم قربون دستت فرمونو یه جور بگیر دوباره بچه ها تو کوچه ها با این کارت ها بازی کنند!</t>
  </si>
  <si>
    <t>http://arsam-m.blogspot.com</t>
  </si>
  <si>
    <t>I’m an Iranian living in London. Blogger, Political activist. Former secretary general of the student committee to defend political prisoners in Iran.</t>
  </si>
  <si>
    <t>#روحانی میگه فکر بازگردان کشور به سال‌های قبل از ۱۳۵۷ را از سر بیرون‌کنید. اتفاقا این مردک ترسو و فریبکار این بار رو ‌راست میگه؛ تحت حاکمیت این رژیم ضدانسانی کشور به آن سال‌های غرورآفرین شاد، موفق و در حال رشد بر نخواهد گشت. برای نجات ایران سقوط رژیم ضروری و حتمی است.</t>
  </si>
  <si>
    <t>Arsam Mesbahi</t>
  </si>
  <si>
    <t>به وصل دوست گرت دست می دهد یک دم❤برو که هرچه مراد است در جهان داری</t>
  </si>
  <si>
    <t>لکن طوری نشود که برای پوشک بچه هم دستتان به سوی اجانب باشد . طیاره هایی که آوردید بسمانست. #روحانی</t>
  </si>
  <si>
    <t>به سوی تو</t>
  </si>
  <si>
    <t>‏‏کمی تا قسمتی طراح</t>
  </si>
  <si>
    <t>https://pbs.twimg.com/media/DmRUehEXoAE8cw0.jpg</t>
  </si>
  <si>
    <t>#به_عقب_باز_نمیگردیم جناب دکتر #روحانی دهه شصتی ها این مشماهای سفید و سیاه و کهنه بچه رو خوب یادشونه</t>
  </si>
  <si>
    <t>Farzad Narimanzadeh</t>
  </si>
  <si>
    <t>هر از گاهى تو #مجلس يك شيرزن مثل @P_Salahshouri پيدا ميشه جور همه ساكتين و كاسبين #فراکسیون_امید را يك تنه بر دوش ميكشه! رايم حلالت #پروانه_سلحشوری !</t>
  </si>
  <si>
    <t>Mohsen Azizi 🇮🇷</t>
  </si>
  <si>
    <t>صبح از خواب بیدار میشیم، صبحونه می‌خوریم، سر کار میریم، ۸ تا ۱۰ ساعت کار می‌کنیم، هیچ پولی خرج نمی‌کنیم، و با برگشت به خونه، ۱۰ درصد از صبح فقیرتریم ! #حقیقت_تلخ #روحانى #فقر #دلار</t>
  </si>
  <si>
    <t>‏‏کارشناس حدیث عاشق نقاشی عاشق دخترم فاطمه ضحی ❤️</t>
  </si>
  <si>
    <t>نصف جهان</t>
  </si>
  <si>
    <t>تنها دلخوشیم اینه که دولت امید هرآنچه از جنایت وخیانت ازگرانی گرفته تا اختلاس و وطن فروشی و الی آخر رو ده سال بعد تو یک کتابی بنام خاطرات من(#روحاني)قلم خواهد زد و به رشته تحریر درمیاره. تازه اون موقع خیلی از الطاف خفیه رو میشود رویت کرد.</t>
  </si>
  <si>
    <t>راحله سادات کرامتی</t>
  </si>
  <si>
    <t>http://SmbHosseini.ir</t>
  </si>
  <si>
    <t>Software Engineer</t>
  </si>
  <si>
    <t>آقای #روحانی هنوز رئیس جمهوره یا ولمون کرده رفته؟ اینطوری که داریم #سقوط می‌کنیم، احساس می‌کنم کسی پشت فرمون نیست @Rouhani_ir #تورم #دلار_۱۳_هزار_تومانی</t>
  </si>
  <si>
    <t>Smb H</t>
  </si>
  <si>
    <t>‏‏‏‏دارای اندکی تحصیلات، یک اصلاح طلب چپی(سوسیال دموکرات) و یک دوستدار طبیعت و محیط زیست (وارث فرهنگ ۲۵۰۰ ساله، در طبیعت آشغال نریز و آتیش روشن نکن!)</t>
  </si>
  <si>
    <t>خنده دار تر از امید به #رفع_حصر امید به #روحانی و دولتشه!</t>
  </si>
  <si>
    <t>‏جگر میخواد داشته باشی تا حقیقت رو لایک کنی. اگر محافظه کاری نه لایک کن نه ریتوییت!!!</t>
  </si>
  <si>
    <t>I....ir....R</t>
  </si>
  <si>
    <t>باسلام،،، آیا شما بعداز #استیضاح وزرا و پاسخ گویی #رییس_جمهور و کشف انبارهای #احتکار و انبارهای #ایران_خودرو وبرخورد مراجع ذیصلاح ،تغییری در قیمت اجناس واتومبیل میبینید؟ اگر پاسخ شما مثبت است مردم منتظرند این تغییرات را ببینند،لطفا توضیح دهید #سوال_از_رئیس‌جمهور</t>
  </si>
  <si>
    <t>احسان فیروزی 🇮🇷⁩</t>
  </si>
  <si>
    <t>🇮🇷 جمهوری اسلامی ایران</t>
  </si>
  <si>
    <t>https://pbs.twimg.com/media/DmQ45R9U4AEVFxE.jpg</t>
  </si>
  <si>
    <t>https://twitter.com/Farhad63693277/status/1037016432888823808</t>
  </si>
  <si>
    <t>اگر #چوب این اختیارات را داشت تا الان یک کاری کرده بود. #روحاني RT @Farhad63693277: اگر چوب این اختیارات را داشت!</t>
  </si>
  <si>
    <t>🇮🇷 عطشانی کوچصفهانی</t>
  </si>
  <si>
    <t>باپوزش فراوان از دوستان محترم،مودب و نیک خودم اما: آقای #روحانی #رئیس‌جمهور تاحد زیادی میشد قصور رو از دولت درسایه دید والتهابات بازار و #ارز و #دلار و پول ملی روتوطئه تاحدی میشد ازت پشتیبانی کرد تاحدی میشد بهت اعتمادکرد اما علنا اسهال وارانه خرابکاری کردی درکنار بقیه ارکان نظام</t>
  </si>
  <si>
    <t>http://alsefi.blogfa.com</t>
  </si>
  <si>
    <t>‏روستای آلسفی نگین دشتستان</t>
  </si>
  <si>
    <t>borazjan</t>
  </si>
  <si>
    <t>#احتکار بهانه است. لطفا جدی باشید. #دولت، #مجلس و #قضاییه کمربند را یک سوراخ محکم تر ببندید</t>
  </si>
  <si>
    <t>mehdipaidar</t>
  </si>
  <si>
    <t>pic.twitter.com/qfNS6PdeHv</t>
  </si>
  <si>
    <t>امروز دلار از ۱۴،۰۰۰ تومان و یورو از ۱۶،۰۰۰ تومان عبور کردند ۶ شهریور ۹٧/ روحانی در صحن علنی مجلس: قیمت ارز، متعادل‌تر خواهد شد! #دلار۱۴۰۰۰تومانی #دلار #روحاني #مجلس</t>
  </si>
  <si>
    <t>آقای دکتر #روحانی امروز حاضر نشد وقت منتخبان ملت در #خبرگان را با حرف های تکراری و آمارهای فضایی خود بگیرد. از این جهت رفتارش قابل تقدیر است.</t>
  </si>
  <si>
    <t>‏‏ما در میانِ زخم و شب و شعله زیستیم... در تورِ تشنگی و تباهی... با نظمِ واژه‌های پریشان گریستیم</t>
  </si>
  <si>
    <t>#روحانی : " دشمن می‌خواهد ما را به ۴۰ سال عقب برگردانند " 🔴 خب حداقل دژمن میخواد به دوره ای برگردیم که ریال ارزش داشت @Rouhani_ir</t>
  </si>
  <si>
    <t>🔴littlemarat🔴</t>
  </si>
  <si>
    <t>Born in Tehran. Studied in State University of NY, USA. Lives in Sweden since 30 years ago.</t>
  </si>
  <si>
    <t>https://twitter.com/PMOIRAN/status/1037030704364826624</t>
  </si>
  <si>
    <t>چه خوب. شکی ندارم که #روحاني و #ظريف از همین الآن جایشان را خیس کرده‌اند. ولی ضربه مهلک را #رژیم از ارتش آزادی دریافت خواهد کرد. وضعیت اقتصادی کنونی حتی ممکن است موجب تلاشی درونی رژیم گردد. #ايران_رو_پس_ميگيريم. RT @PMOIRAN: 🔴فوری 🔻خبرنگار تلویزیون CBS آمریکا در سازمان ملل: «رئیس جمهور آمریکا دونالد ترامپ ریاست نشست شورای امنیت سازمان ملل در مورد رژیم ایران را ۲۶ سپتامبر-۴مهر، شخصا بعهده خواهد داشت». #ایران #IranRegimeChange #PMOI53</t>
  </si>
  <si>
    <t>Abdolnaser Sadidi</t>
  </si>
  <si>
    <t>#روحانی میگه فکر بازگرداندن کشور به سال‌های قبل از ۱۳۵۷ را از سر بیرون کنید. اتفاقا این مردک ترسو و فریبکار این بار رو ‌راست میگه؛ تحت حاکمیت این رژیم ضدانسانی کشور به آن سال‌های غرورآفرین شاد، موفق و در حال رشد بر نخواهد گشت. برای نجات ایران سقوط رژیم ضروری و حتمی است.</t>
  </si>
  <si>
    <t>اون #مجلس بی عرضه نشیته و منتظره تا ملت از گرسنگی به سرشون بزنه و دست به هر کاری بزنن؟! حسن کلید ساز و دار و دستش چیکار باید بکنن در اثبات بی عرضگیشون؟!</t>
  </si>
  <si>
    <t>عشقم حسین (ع)، رهبرم سرورم ❤🕋</t>
  </si>
  <si>
    <t>هر گونه پيگرد قانونى ، ديوار نويسى دارد .</t>
  </si>
  <si>
    <t>فکر می‌کنید #روحانی فرمون مملکت هنوز دستش هست ؟! با یک سرعتی داریم #سقوط_اقتصادی می کنیم که فکر کنم ماشین بدون راننده سواریم . #به_قبل_۵٧_برمیگردیم #IranRegimeChange</t>
  </si>
  <si>
    <t>دیگر توانی برای فروش یخ ندارم</t>
  </si>
  <si>
    <t>فرض کنید #روحانی برای توضیح مشکلات اقتصادی در #مجلس_خبرگان نمیگفت #وقت_ندارم و 5 ساعت هم وقت میذاشت! فکر میکنید مثلا چی میخواست بگه؟ از کدوم اقدام و تدبیر میتونست صحبت کنه؟ اینکه به جای تَکرار آمار کذایی و مهمل، نیومد، حرف نزد و وقت نگرفت باید ممنونش هم باشید</t>
  </si>
  <si>
    <t>اگر بجاي @Rouhani_ir و دولت اعتدال؛ رئيسي #رئيس_جمهور شده بود و اوضاع ارز و بازار همينگونه وخيم و افسارگسيخته ميشد امّا! لااقل صنعت هسته اي و اُبهت مقابل اسرائيل و عربستان و نوچه ها را داشتيم و هر بي سر و پايي برايمان خط و نشان نميكشيد كه كار به موشكي برسد #دولت_خائن #دولت_گوش_بر</t>
  </si>
  <si>
    <t>پیشنهاد می کنم در راستای شفاف سازی، لیست همراهان آقای دکتر #روحانی در سفر به #نیویورک منتشر شود. @hesamodin1</t>
  </si>
  <si>
    <t>https://pbs.twimg.com/media/DmRcxUyW0AA5lvi.jpg</t>
  </si>
  <si>
    <t>http://buff.ly/Q9jDB3</t>
  </si>
  <si>
    <t>روزنامه #وطن_امروز،۱۴ شهریور ۹۷  #روحانی #دلار #طنز_راه_راه</t>
  </si>
  <si>
    <t>از شما می پرسم شمایی که یک شبه انگشتتان را روی دکمه #فیلترینگ فشردید آیا این آشفته بازار باز هم کار #تلگرام است ؟ چرا مسببین واقعی این هرج و مرج را #فیلتر نمی کنید #دولت_بیکفایت #ساکتین_مجلس #روحاني</t>
  </si>
  <si>
    <t>ولایت علی بن ابیطالب حصنی فمن دخل حصنی امن من عذابی</t>
  </si>
  <si>
    <t>tehran.iran</t>
  </si>
  <si>
    <t>این #دولت فشل و #مجلس بی بخار تقصیر خودمونه اگه کسانی که ادعای انقلابی بودن دارن درست کار میکردن الان وضع این نبود #فرجام_غربگرایی</t>
  </si>
  <si>
    <t>سمیع بن صامت</t>
  </si>
  <si>
    <t>میدونی دیگه... گفتن نداره :)</t>
  </si>
  <si>
    <t>زیر آسمون خدا، هتل هزار ستاره</t>
  </si>
  <si>
    <t>توی این بلبشوی همه چیز! شاید بهترین خبر تصویب #قوانین_شفافیت_اطلاعات باشه... و اولین قدم برای تصویب این دست قانون‌ها، #شفافیت_آراء_نمایندگان هستش... پس نه فراموشش کنیم نه کم بذاریم توی پیگیریش که سود دنیوی و اجر اخروی داره. #مجلس #نماینده #قانون #شفافیت</t>
  </si>
  <si>
    <t>Pooria</t>
  </si>
  <si>
    <t>https://twitter.com/ayparaci_sadat/status/1036990153385025536</t>
  </si>
  <si>
    <t>آقاي #روحانی جواب بده لطفا واقعا شاخکاي منم تيز کرد واقعا کار مهم و اولويت دارت چيه ؟؟؟ RT @ayparaci_sadat: یکی به من بگه روحانی، دقیقا چه کار واجبتری داره که تو جلسه خبرگان با موضوع #معیشت_مردم شرکت نمیکنه و گفته "وقت_ندارم" ؟؟ #فرجام_غربگرایی</t>
  </si>
  <si>
    <t>مثل سرباز بجنگ ، مثل ژنرال بمیر🚬🃏</t>
  </si>
  <si>
    <t>هنوزم انتخاب بین بد و بدتره ?? 😂😂😂 جم کنید باو #روحاني #احمدی_نژاد #رئیسی</t>
  </si>
  <si>
    <t>اسکارفیس 🚬</t>
  </si>
  <si>
    <t>من خرمگسی هستم که خدا به مردم آتن ارزانی داشته... سقراط</t>
  </si>
  <si>
    <t>گفتن نداره که!!</t>
  </si>
  <si>
    <t>یه خبر خوب!! #روحانی گفته به هیچ عنوان به قبل از ۵۷ بر نمی گردیم!! دقت کنید روحانی گفته ها!!😂😂😁</t>
  </si>
  <si>
    <t>با مسئولين شوخى دارم، اميدوارم جدى بگيرن.</t>
  </si>
  <si>
    <t>میگن نرخ #دلار هر روز اینطوری تعیین میشه #جهانگیری میگه چهار و‌دویست! رییس بانک مرکزی میگه سی هزار! #روحانی هم میگه نه چهار و دویستِ تو نه سی هزارِ تو ، پونزده هزار خیرشو ببینید. #اعتدال</t>
  </si>
  <si>
    <t>Ahmadreza.Koushki🇮🇷</t>
  </si>
  <si>
    <t>‏‏‏‏‏‏‏‏‏‏‏‏خسته از چپ و راست. اگر فالو کردم توقع فالوبک ندارم. مطالبو دوست داشتی فالو کن</t>
  </si>
  <si>
    <t>#روحاني گفته امکان نداره به قبل ۵۷ برگردیم، عزیزم یچیزی بگو بگنجه، ما الان در عصر حجر و هزاران سال قبل از محمدرضا پالانی بسر میبریم. باید با برگ درخت بچه‌ها رو ببندیم... #پوشک_بچه #سرطان_اصلاحات</t>
  </si>
  <si>
    <t>تئودور هرتزل</t>
  </si>
  <si>
    <t>https://pbs.twimg.com/media/DmRfu_AXgAEhXwn.jpg</t>
  </si>
  <si>
    <t>#روحانی امروز در عسلویه : "دشمنان و بدخواهان میخواهند ما را ۴۰ سال به عقب ببرند !" امروز ملت ایران به تجربه آموخته اند که هرگونه بازگشت به دوران منهای ج ا یک پیشرفت بزرگ محسوب میشود .</t>
  </si>
  <si>
    <t>جناب پرزیدنت وقتی برای مردم را ندارد، می فهمی! در نگاه لیبرال ها مردم ابزاری برای رسیدن به قدرت می باشد و دیگر هیچ ، بقیه اش یک مشت شعار تو خالی برای عوام الناس است. #وقت_ندارم #روحانی</t>
  </si>
  <si>
    <t>https://twitter.com/isna_farsi/status/1036923416970977281
http://www.isna.ir/news/97061306563</t>
  </si>
  <si>
    <t>مسلما دوران قبل از ۵۷ بعنوان دوران ترقی و پیشرفت و توسعه با وجود شکمباره گان مفتخور و دزد و وقیح همچون تو #روحانی محقق نخواهد شد #آخوند_باید_گم_بشه RT @isna_farsi: رئیس‌جمهور روحانی: *اینکه ما را به قبل از ۵۷ برگردانند، آرزویی است که محقق نمی‌شود *دشمن می‌خواهد ما را به ۴۰ سال عقب برگردانند *از مشکلات عبور خواهیم کرد *همچنان نفت را تولید و صادر می‌کنیم</t>
  </si>
  <si>
    <t>دوستانی که سینه چاک کرده بودید ما به عقب برنمیگردیم یادتون هست ؟؟؟ نظرتون چی برگردیم ؟ یا باز میخواید یه دوری بزنید و بیاید؟ #روحانی #با_روحانی_تا_۱۴۰۰ #پوشک #دلار #سکه</t>
  </si>
  <si>
    <t>در کعبه ما جنگ رسیدن به خدا نیست...</t>
  </si>
  <si>
    <t>https://pbs.twimg.com/media/DmRhT9iW4AAkupX.jpg</t>
  </si>
  <si>
    <t>بزار یه خورده بادت بزنم خسته شدی انقدر رونق اقتصادی ایجاد کردی #سقوط_ارزش_ریال #روحاني #IranRegimeChange</t>
  </si>
  <si>
    <t>Sefi</t>
  </si>
  <si>
    <t>به دنبال راستی و درستی</t>
  </si>
  <si>
    <t>سخنرانی شجاعانه #پروانه_سلحشوری و آقای #حیدری در #مجلس به راه حل برون رفت از #بحران فعلی اشاره می کند #همه‌پرسی #تغییر_قانون اساسی</t>
  </si>
  <si>
    <t>Ladan</t>
  </si>
  <si>
    <t>https://pbs.twimg.com/media/DmRhVFTX4AAOvKO.jpg</t>
  </si>
  <si>
    <t>خانم #پروانه_سلحشوری گویا فراموش کردید شما و دوستانتان در همین روندی که به آن نقد میکنید وارد #مجلس شدید، آیا خودتان را #نماینده واقعی مردم نميدانيد یا هر کسی را که نظر مخالف با شما را دارد؟</t>
  </si>
  <si>
    <t>هیچ تر از هیچ</t>
  </si>
  <si>
    <t>همش که نباید ما حرف بزنیم کلیپ وعده های #روحانی رو جلو خودش پخش کنین ملت یکم بخندن صفا کنن.</t>
  </si>
  <si>
    <t>محمدحسین نعمتی</t>
  </si>
  <si>
    <t>چطور #احمدي_نژاد همه کاره بود و تمام تقصیرات گردنش و #روحانی هیچکاره؟! یعنی خیلی جر زنید!</t>
  </si>
  <si>
    <t>http://mellatmag.com</t>
  </si>
  <si>
    <t>کارشناس عمران ، مدیر پروژه های عمرانی و عضوهیات مدیره شرکت ناسیس - فعال سیاسی اصلاح طلب و عضو حزب اتحاد ملت</t>
  </si>
  <si>
    <t>منتظریم که تکرار درخواست #همه_پرسی را از زبان سایر اعضای فراکسیون ، سران #اصلاحات و #رییس_جمهور بشنویم @ir_aref @HassanRouhani @Eshaq_jahangiri</t>
  </si>
  <si>
    <t>ali amere</t>
  </si>
  <si>
    <t>ما از این هستی ده‌روزه به جان آمده‌ایم/ وای بر خضر که زندانی عمر ابد است</t>
  </si>
  <si>
    <t>pic.twitter.com/jGeDazmylU</t>
  </si>
  <si>
    <t>این نطق‌های شجاعانه و جدی نگرفتن حکومت و پر بودن گوش مردم از مشکلات و ناامیدیشون ازموثر بودن در عین دانستن علت‌ها و رسیدن سرنخ مشکلات کشور به یک نفر و لوث شدن نهادهای انتخابی، همه یادآور فضای #مجلس روزهای قبل از انقلابه البته که برای شاه هم اولویت حفظ قدرتش درمقابل خواست مردم بود</t>
  </si>
  <si>
    <t>صادق</t>
  </si>
  <si>
    <t>‏‏‏‏‏‏‏دبیر شورای تبیین مواضع بسیج دانشجویی غرب استان تهران/‎‎#دانشجوی_انقلابی</t>
  </si>
  <si>
    <t>https://pbs.twimg.com/media/DmRidcCWwAIcg3F.jpg</t>
  </si>
  <si>
    <t>پرزنت #روحانی یادم هست در سخنرانی انتخابات میفرمودید که شما همه مشکلات را میشناسید و برای همه آنها راه حل دارید. بی ثباتی در بازار تا چه روزی ادامه دارد؟؟؟؟ #دلار۱۴۰۰۰تومانی #قاچاقچیان_رسمی</t>
  </si>
  <si>
    <t>جواد فایضی</t>
  </si>
  <si>
    <t>اگر اقای #روحانی یه زحمت میکشید واین 6سال خفه میشد ))))) الان دلار 3000 تومان بود!!!!!!!</t>
  </si>
  <si>
    <t>گندهای دولت و #روحانی دشمنان ایران رو هم امیدوار به ضربه زدن و امتیاز گرفتن کرده!</t>
  </si>
  <si>
    <t>میگن #پوشک بهانه اس! #خشتکمون نشانه اس... #روحانی #ایران #روحانی_مچکریم</t>
  </si>
  <si>
    <t>http://www.manototv.com</t>
  </si>
  <si>
    <t>Managing Director, Marjan Television Network Ltd.</t>
  </si>
  <si>
    <t>pic.twitter.com/azBVh7pjyR</t>
  </si>
  <si>
    <t>#روحانی امروز در عسلویه : "دشمنان و بدخواهان میخواهند ما را ۴۰ سال به عقب ببرند !"</t>
  </si>
  <si>
    <t>Kayvan Abbassi</t>
  </si>
  <si>
    <t>بی عارترین رییس جمهور تاریخ #روحانی ! ۴ ساله اول دولتش همه چیز رو گره زد به برجام و فقط حرف زد و نقدینگی تولید کرد و بمب تورم ساخت، الانم بجای کنترل بازار و دنبال راهکار گشتن دائم میگه چندسال تحمل کنید مشکلات رو تا عبور کنیم البته منظور اصلیش اینه تا من دورم تموم شه برم!!</t>
  </si>
  <si>
    <t>سلام به مخالفین وازوطن رانده شدها لیبرال ها،سلطنت طلبها ،سکولارها ،چپها،وازادی خواهان ازادی وطن ،به امید ایران دمراتیک وازاد،#متحدشویم،ایران مال همه ایرانیاست</t>
  </si>
  <si>
    <t>Azarbadegan</t>
  </si>
  <si>
    <t>https://pbs.twimg.com/media/DmPOBuQWsAEs_Pd.jpg</t>
  </si>
  <si>
    <t>https://twitter.com/sobhe_pirozy/status/1036898906775404545</t>
  </si>
  <si>
    <t>این زن پا نداره 😂 #روحاني بی عرضه RT @Sobhe_Pirozy: فقط به اون زنه نگاه کنید که با فوتوشاب کار شده 😀😀😀 #ايران #اعتراضات_سراسری #براندازم</t>
  </si>
  <si>
    <t>@Maraghe2👉ممد مراغه 2 💣</t>
  </si>
  <si>
    <t>وقتی به گفته خودشان #روحانی با حمایت #اصلاح_طلبان به قدرت رسید پس جنابان اصلاح طلب پاسخگوی وضع فعلی باشید!</t>
  </si>
  <si>
    <t>کمی حقوقدان‌‌‌‌|خسته از بی عدالتی|#براندازم</t>
  </si>
  <si>
    <t>The Earth</t>
  </si>
  <si>
    <t>جدی #روحانی هنوز هست ؟ با این شدتی که داریم سقوط میکنیم حس میکنم کسی پشت فرمون نیست!! #سقوط_ریال #دلار۱۴۰۰۰تومانی</t>
  </si>
  <si>
    <t>rasool</t>
  </si>
  <si>
    <t>آدم خوب است هالو باشد ولی زالو ‌نباشد</t>
  </si>
  <si>
    <t>بنظر مفیدترین حرکت عملی برای نجات کشور تقاضا از #روحانی برای استعفاست تو انتخابات رییس‌جمهور بعدی که کسی شرکت نمیکنه و #برانداز ها میفهمن که با شرکت نکردن اتفاقی نمیافته ارزشی‌های کسخل هم که فکر میکردن مشکل از روحانیه میفهمن که کسخلن دیگه فقط میمونه براندازی</t>
  </si>
  <si>
    <t>آقای هالو</t>
  </si>
  <si>
    <t>#روحانی کلید دیگه ای نیست امتحان کنی؟ قفل هرز شد!</t>
  </si>
  <si>
    <t>آقای #روحانی اکر جای شما برگ خشک میزاشتن الان وضعیت بهتر نبود؟</t>
  </si>
  <si>
    <t>azna,lorestan</t>
  </si>
  <si>
    <t>hadi janbozorgi☫</t>
  </si>
  <si>
    <t>‏‏‏‏‏‏‏‏بیاید با هم مهربان باشیم. جامانده از کربلا...</t>
  </si>
  <si>
    <t>#رئیس_جمهور محترم امروز فرمودند که ما به قبل از #سال_۵۷ برنمی‌گردیم... تو رو خدا آخه به چی سال ۹۷ دل خوش باشیم شما که غیرت اینو ندارین که بازار پوشک بچه رو کنترل کنین میتونین #دلار رو به ۷۰ #ريال سال ۵۷ برسونین... کَسگم مشکل برای افکارت پیش آمده دو تا کمپوت بگیر سری به خودت بزن.</t>
  </si>
  <si>
    <t>🇮🇷bikarبیکار🇮🇷</t>
  </si>
  <si>
    <t>به خودم هِي زدم از اينجا برو - اما موش خورده شناسنامه ي من</t>
  </si>
  <si>
    <t>ضرب المثلي داريم؛ كلاغي كه به گوه خوردن عادت كنه ديگه نميتونه ترك كنه حالا دروغ هاي جمهوري اسلامي در مورد انبارهاي #محتكران از همين دسته! #روحاني تو مجلس اعتراف ضمني ميكنه كه دلار رو با برنامه ريزي حكومتي گرون كردن! حالا هي اين انبارهارو واسه ي ردگم كني مطرح ميكنن! #حكومت_دروغ</t>
  </si>
  <si>
    <t>ليث صفاري</t>
  </si>
  <si>
    <t>‏راه ظهورت را بستم.......اما خدا را چه ديدي شاید قرار است حر تو باشم.</t>
  </si>
  <si>
    <t>#روحانی بگم خدا چیکارت کنه آخه... #دلارم14000 آخه.... من یه مقدار پول جمع کردم که #اربعین برم کربلا ولی با این اوضاع تا مرز هم فکر نکنم که بشه برم.. پس این #برجام چی شد آخه... که باهاش سر 23میلیون نفره رو شیره بستی.. #فرجام_غربگرایی</t>
  </si>
  <si>
    <t>Alli vaezzade</t>
  </si>
  <si>
    <t>‏‎#عاشق_شهادت ‎#مطیع_ولایت ‎#منتظرظهورحجت سرباز کوچک میدان سخت جنگ نرم درمقابل دشمن خارجی، ‎#وطن_فروش_داخل ،روغنفکران غرب زده جبهه سیاسی ‎#انقلابی</t>
  </si>
  <si>
    <t>https://pbs.twimg.com/media/DmRl5oEXcAUc6sl.jpg</t>
  </si>
  <si>
    <t>یعنی هیچ دونفری رو پیدا نمیکنی اینقدر شبیه هم باشن مگه این چهارتا #روحاني #بقایی #احمدي_نژاد #مشایی</t>
  </si>
  <si>
    <t>سرباز سایبری ولایت</t>
  </si>
  <si>
    <t>‏‏‏‏‏‏پایبند به تکریم ارباب رجوع🕶️</t>
  </si>
  <si>
    <t>https://twitter.com/jafariysaeid/status/1036932648768360454</t>
  </si>
  <si>
    <t>"دفاع #روحانی از #سپاه تنها درستی بود که میشد در این شرایط اتخاذ بشه.نظام بین‌الملل فضای طرح اختلافات داخلی نیست، باید چهره‌ای متحد نشون داد" توییت شده توسط یک گاو، حدود یکسال قبل پ.ن: این اتفاق نتیجه همونه RT @jafariysaeid: آقای #جهانگیری چه کردی با این دلارت، یه دوره آموزشی بذار بقیه هم یاد بگیرن #دلار</t>
  </si>
  <si>
    <t>عظما🐢</t>
  </si>
  <si>
    <t>‏‏‏به گرفتار رهایی نتوان گفت ازادی</t>
  </si>
  <si>
    <t>خب به سلامتی مشکل پوشک حل شد بچه ها اگه نخورن نمیرینن #شیر_خشک #پوشک_بچه #دلار۱۴۰۰۰تومانی #روحانی #بدبختی</t>
  </si>
  <si>
    <t>morphin</t>
  </si>
  <si>
    <t>يه خواهش از مسئولان جاهل و نابخرد ج.ا! يه هفته روزه سكوت بگيريد!مشورت بگيريد از چارتا متخصص! فقط زر زديد تا الان! #تحريم #ارز #بحران #روحاني #دشمن</t>
  </si>
  <si>
    <t>Amir Heydari</t>
  </si>
  <si>
    <t>‏‏‏‏‏‏‏یک ایرانی خسته،تنها،نا امید.. مردم دنیا دو دسته هستند،یا آبادانی هستند یا دوست دارند آبادانی باشند. با هر کسی میشه کنار اومد ولی از بوی گند مجاهد بیزارم</t>
  </si>
  <si>
    <t xml:space="preserve">آبادان </t>
  </si>
  <si>
    <t>اتفاقا آقای #روحانی به خاطر عظمت ایران و ایرانی برای آزادی و آبادی کشور #ایران_را_پس_میگیریم #به_قبل_۵٧_برمیگردیم @Rouhani_ir</t>
  </si>
  <si>
    <t>ژنرال شارل سه گل</t>
  </si>
  <si>
    <t>pic.twitter.com/h0lcua68Zt</t>
  </si>
  <si>
    <t>جا داره دوباره این ویدئو رو نگاه کنیم آقای #روحانی شما هم نگاه کن بد نیست</t>
  </si>
  <si>
    <t>چون گشت زمین ز جور گردون سرد و سیه و خموش و آوند بنواخت ز خشم بر فلک مشت آن مشت تویی، تو ای دماوند!</t>
  </si>
  <si>
    <t>#روحاني: آرزوی بازگشت به قبل از ۵۷ را به گور می‌برند. ریس جمهور باید دغدغه آینده داشته باشه نه ترس از گذشته !</t>
  </si>
  <si>
    <t>با حسن #روحانى به سمتى ميريم كه يه مدت ديگه، سازمان ملل كمك هاى بشر دوستانه واسمون ميفرسته</t>
  </si>
  <si>
    <t>Interested in Business and Art of management, junior product manager. industrial engineer. Novel lover. podcast listener. 🚀I will be intern till my last day,</t>
  </si>
  <si>
    <t>#ارزشی ها هشتگ میزن: #تلگرام_رمز_فتنه_بهمن #روحانی کد #همه_پرسی میده #سلحشوری و #حیدری یکباره نطق میکنن در مورد همه پرسی روحانی مدام به #رهبر امتیاز میده #ترامپ وعده داد که #حکومت_ایران تا #بهمن رفتنی است احتمالا در بهمن همه پرسی برگذار میشه غیر از ارزشی ها نظر همه تامین میشه</t>
  </si>
  <si>
    <t>http://linkedin.com/in/pantea-mohebi-zanganeh-69a02731</t>
  </si>
  <si>
    <t>MA British Studies University of Tehran, Board Member at Dana Insurance, Member of Iranian World Studies Association, Posts about #IranDeal #Peace #MiddleEast</t>
  </si>
  <si>
    <t>https://twitter.com/hselahvarzi/status/1036330505187348481</t>
  </si>
  <si>
    <t>كاملا موافقم. بخصوص كه امروز با ديدن ازدحام غير معمول در مراكز خريد احساس ترس داشتم! بهتر است اگر توانايي و قابليت حل مشكلات نيست، با اظهار نظرهاي غالبا غير كارشناسانه، در اين شرايط سخت روح و روان مردم را بيشتر از اين تحت فشار نگذاشت! #مجلس #تورم #گراني RT @HSelahvarzi: به نظر میرسد رفتار شتاب زده و اظهارات متناقض دولتمردان و تصمیمات تعجب برانگیز #مجلس از عمده ترین دلایل التهاب در #بازار و‌ باعث بروز نگرانی در مردم برای تامین‌ مایحتاج باشد. کاش میشد که این بزرگواران هیچ کاری نمی کردند و حرفی نمی زدند! #ارز #کالا #گرانی #تورم</t>
  </si>
  <si>
    <t>Pantea M. Zanganeh</t>
  </si>
  <si>
    <t>برخلاف نظر #روحانی افکار عمومی ملت ایران به خصوص نسل جوان کم کم با ارزشهای قبل از انقلاب اسلامی آشنا می شوند،ارزشهایی مانند جدایی دین از حکومت،دادگستری مدرن،اقتصاد شکوفا،دولت توسعه گرا،کیفیت آموزشی،حاکم بودن اخلاق بر جامعه و امثالهم؛ بنابراین #به_قبل_از_57_برمیگردیم</t>
  </si>
  <si>
    <t>جا داره وزير وزراى #دولت و نماينده هاى #مجلس رو وردارن ببرن سينما #تنگه_ابوقريب براشون اكران كنن، شايد اندكى غرورشون جريحه دار بشه و غيرت مليشون گل كنه.</t>
  </si>
  <si>
    <t>قالیباف دلم واست تنگ شده . برگرد عزیزم که جز تو کسی کار بلد نیست سحر خیز و بکوش و توانا دگر کیست ؟#روحانی</t>
  </si>
  <si>
    <t>http://www.11news.ir</t>
  </si>
  <si>
    <t>خبرنگار و عکاس خبرگزاری خبرآنلاین</t>
  </si>
  <si>
    <t>#روحانی موقع #انتخابات گفت #به_عقب_برنمیگردیم اما با سرعت جت برگشتیم، اما امروز گفت به چهل سال پیش برنمی‌گردیم... امیدوارم زودتر به چهل سال قبل برگردیم</t>
  </si>
  <si>
    <t>zavosh mohammadi</t>
  </si>
  <si>
    <t>‏‏‏‏روزی در مملکتی زندگی خواهم کرد که در قانونش نامی از نژاد و مذهب و زبان نیامده باشد</t>
  </si>
  <si>
    <t>فاز ۳ پتروشیمی پردیس که امروز #روحانی با نیش باز افتتاح کرد آبان ۹۶ به تولید رسیده بود و دی ۹۶ هم به ۹۵% ظرفیت اسمی رسیده بود</t>
  </si>
  <si>
    <t>Nakhunte</t>
  </si>
  <si>
    <t>https://twitter.com/eranico_com/status/1037066666126000129</t>
  </si>
  <si>
    <t>♨️ پس از خبر جنجالی تشکیل جلسه شورای امنیت به ریاست #ترامپ، نیکی هیلی به #روحانی هم پیشنهاد می‌دهد درصورت تمایل می‌تواند در جلسه شورای امنیت که درباره ایران برگزار می‌شود حضور داشته باشد و سخنرانی کند. RT @Eranico_com: ♨️ ۲۶ سپتامبر جلسه شورای امنیت برای بررسی موضوع ایران به ریاست شخص #ترامپ نیکی هیلی (سفیر آمریکا در سازمان ملل متحد: 🔹 دونالد ترامپ، رئیس جمهوری ایالات متحده در ۲۶ سپتامبر جلسه‌ای را در شورای امنیت سازمان ملل برای بررسی موضوع ایران تشکیل خواهد داد.</t>
  </si>
  <si>
    <t>Clinical Psychologist</t>
  </si>
  <si>
    <t>New York, USA</t>
  </si>
  <si>
    <t>اگر بدوني بدخواهانتون از كجا آويزانتان خواهند كرد... #روحاني #به_قبل_۵٧_برمیگردیم RT @FarsNews_Agency: 🎥#روحانی: امکان ندارد که بدخواهان ما موفق شوند ما را به قبل از سال ۵۷ برگردانند/از مشکلات عبور می‌کنیم.</t>
  </si>
  <si>
    <t>Nazdane</t>
  </si>
  <si>
    <t>ژانر و فیلد خاصی ندارم،فعلا تجربه‌گرم.</t>
  </si>
  <si>
    <t>حرف‌های پروانه سلحشوری توی مجلس به گوش ما جدید نیست ولی ازین به بعدش برای صدر تا ذیل نظام هم جدید نیست. صریح حرف زدن حتی درمورد چیزهای واضح قضاوت ما از شرایط رو دقیق‌تر می‌کنه. دمش گرم به هر حال. #مجلس</t>
  </si>
  <si>
    <t>Maryam</t>
  </si>
  <si>
    <t>Photojournalist</t>
  </si>
  <si>
    <t>https://pbs.twimg.com/media/DmRpsyXXgAIJZt_.jpg</t>
  </si>
  <si>
    <t>https://www.mehrnews.com/photo/4394078/</t>
  </si>
  <si>
    <t>امروز #صحن_علنی_مجلس #حاشیه #نماینده #عکس_مریم_کامیاب ادامه عکسها در #خبرگزاری_مهر :</t>
  </si>
  <si>
    <t>Maryam Kamyab</t>
  </si>
  <si>
    <t>‏‏در کنار مردمم میمانم، کنارشون گریه می کنم.میخندم.بزرگ‌ می شوم و میمیرم. ایران وجود من است. قلب من است. هستی من است.</t>
  </si>
  <si>
    <t>ایران - وطنم، پاره ی تنم</t>
  </si>
  <si>
    <t>https://pbs.twimg.com/media/DmRp0gsWsAMQV5Y.jpg</t>
  </si>
  <si>
    <t>وقتی میگن زن نصف مرده به روایت تصویر!! #روحاني</t>
  </si>
  <si>
    <t>در کنار مردمم هستم</t>
  </si>
  <si>
    <t>ز تمام بودنی ها، تو همين از آن من باش/ که به غیر با تو بودن، دلم آرزو ندارد http://Instagram.com/m.j.javadzadeh</t>
  </si>
  <si>
    <t>شما اگر می‌خواهید به من خدمتی کنید گهگاهی به یادم بیاورید که من همان محمدعلی رجایی فرزند عبدالصمد، اهل قزوینم که قبلاً دوره‌گردی می‌کردم و در آغاز نوجوانی قابلمه و بادیه‌فروش بودم... #رئیس_جمهور #شهید_رجایی @Rouhani_ir</t>
  </si>
  <si>
    <t>محمدجواد جوادزاده</t>
  </si>
  <si>
    <t>‍ ‍ کمبود پوشک رو به فال نیک بگیریم، شاید مسئولین همه رو بستن به خودشون که بیشتر از این نرینن به مملکت ... #فامیل_دور‌‌‌‌‌‌‌‌ #بدبختی #روحاني #ایران #گرانی #پدر_شرمنده #کارگر #جیب_خالی #سفره_انقلاب</t>
  </si>
  <si>
    <t>‏‏‏‏‏Journalist At Isna News Agency دبیرِ سرویسِ ورزشی ایسنا در خراسان</t>
  </si>
  <si>
    <t>یه یزدان که گر ما خرد داشتیم، کجا این سرانجام بد داشتیم... #مجلس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</si>
  <si>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Shervin Ramezani 🇮🇷</t>
  </si>
  <si>
    <t>#افتتاح_درمانی به سبک #روحانی ،جناب پرزیدنت ما این نوع ژست ها را قبلا دیده ایم لطفا گشایش در #افتضاح_معیشت مردم را افتتاح بفرمایید و اگر نمیتوانید #استعفا دهید و بروید</t>
  </si>
  <si>
    <t>Structural Engineer</t>
  </si>
  <si>
    <t>خدا وكيلي مادر بزرگ مرحوم من توانايي بيشتري براي اداره مملكت داشت تا شما #روحاني #جهانگیری. داستانتون چيه شما!!!؟؟؟ چرا اينقدر صندلي واستون شيرينه كه به قيمت بدبخت كردن مردم بهش چسبيدين! #دولت_بيكفايت</t>
  </si>
  <si>
    <t>Babak Ahangar بابك آهنگر</t>
  </si>
  <si>
    <t>ناز کُنی؛ نَظر کُنی؛ قَهر کُنی؛ ستم کُنی ، گر که جَفا، گر که وَفا، از تو حذَر نمی‌کنم 💫✨🔮💍 با اسلام سرجنگ دارم،با مسلمونها نه!</t>
  </si>
  <si>
    <t>سرزمین عجایب</t>
  </si>
  <si>
    <t>سخنرانى هاى #خامنه_اى و #روحانى و ديگر مسئولين : 💩💩💩💩💩💩💩💩💩💩 💩💩💩💩💩💩💩💩💩💩 💩💩💩💩💩💩💩💩💩💩 💩💩💩💩💩💩💩💩💩💩 برادر حرف نزن،خب، معلومه ديگه پوشك ناياب ميشه،با اين سخنرانيها</t>
  </si>
  <si>
    <t>💫آناهيد،دخترشاه پريون💫</t>
  </si>
  <si>
    <t>https://pbs.twimg.com/media/DmRr-hoXoAIQfss.jpg</t>
  </si>
  <si>
    <t>#دلار شد 14000 تومان!!! یابوا تو #مجلس #دولت #قوه_قضاییه چه گوهی دارید میخورید؟؟؟</t>
  </si>
  <si>
    <t>pic.twitter.com/0TxlUro6V7</t>
  </si>
  <si>
    <t>غلامرضا شرفی عضو #مجلس: از خدا بترسید و بترسید که دست خدا از آستین مردم #آبادان بیرون بیاید و یقه گیر شما شود چرا در این اوضاع و احوال کشور آب به آسیاب دشمن می ریزید؟ ... و باز هشدار میدهم مسائل روزمره اجتماعی به موضوعات امنیتی تغییر رویکرد میدهد</t>
  </si>
  <si>
    <t>‏‏‏‏‏#انقلابی_ام ‏‏‏‏‏#اللهم_عجل_لولیک_الفرج -آیا خداوند برای بنده اش کافی نیست؟ -مهدی جان بیاکه دنیا با حضورت جای قشنگی خواهد شد❤ http://instagram.com/reza16ra‎‎‎‎‎</t>
  </si>
  <si>
    <t>https://pbs.twimg.com/media/DmRsn91XcAAV3_j.jpg</t>
  </si>
  <si>
    <t>-این کیه برداشتی آوردی؟اینکه وزیرپوشک نیستش که؟ +پوشک که وزیر نداره آقا؟من این صحبتاحالیم نیست،برید وزیرپوشکوبرداریدبیاریدتوضیح بده #مجلس</t>
  </si>
  <si>
    <t>Reza Ahmadpour</t>
  </si>
  <si>
    <t>https://Telegram.me/SaeedTavanarad</t>
  </si>
  <si>
    <t>فعّال دانشجویی | دانشگاه ع.پ شهید بهشتی🎓 | #مستقلی | اللّٰهمّ ارزقنی شهادة فی سبیلک | #انقلاب_سوم را ما نسل سومی‌ها باید رقم بزنیم. | کانال تلگرام👇</t>
  </si>
  <si>
    <t>🇮🇷 جمهوری اسلامی ایران 🇮🇷</t>
  </si>
  <si>
    <t>حالا جدا از شوخی اونایی که در انتخابات ۹۶ به خاطر آینده‌ی فرزند آقای #رئیسی به آقای #روحانی رأی دادند، فکرش را می‌کردند که در مدت کوتاه یک سال، سطح دغدغه‌ی #مردم را از #موشک به #پوشک برسانند؟! :)</t>
  </si>
  <si>
    <t>⁦🇮🇷⁩ سعید توانا راد ⁦🇮🇷⁩</t>
  </si>
  <si>
    <t>#دلار۱۳۰۰۰تومانی وقتی مطالبات مردم از #دولت زیاد میشه وقتی مردم #شفافیت_آراء_مجلس میخوان وقتی مبارزه با #رانت و #فساد و البته داداش ها رو میخوان اونوقته که دولت هم #دلار رو میبره بالا تا گوشها پیچونده شود و مردم ادب شوند #روحانی_مچکریم #روحانی #خائن</t>
  </si>
  <si>
    <t>https://pbs.twimg.com/media/DmRtNE6W4AEMPbG.jpg</t>
  </si>
  <si>
    <t>#به_قبل_۵٧_برمیگردیم چون برگشت به جلو است یا شاید back to the future است چون در این چهل سال امثال شما #روحانی تلاش کردید ایران را به اسلام ۱۴۰۰ قبل عقب ببرید</t>
  </si>
  <si>
    <t>Iran Vatane Hame</t>
  </si>
  <si>
    <t>با نیروهای درون مرز بدنبال تغییر رژیم دشمنش و واپسگرای ملاتاریا بوده و پس از گذر بدنبال استقرار حکومت پادشاهی پارلمانی است.#براندازیم</t>
  </si>
  <si>
    <t>#ادغام نیروی زمینی #ارتش در شمالغرب کشور و #انحلال تیپ ۱۲۱ نیرو مخصوص تکاور #تبریز به چه منظور است؟ انتشار خبر خارج کردن #پادگان ارتش از تبریز سه روز قبل از نشست #پوتین #روحانی و #اردوغان از چه روست؟ غیر از #ایران فروشی است؟ #ایران_رو_پس_میگیریم #شاهزاده_رضا_پهلوی #براندازیم</t>
  </si>
  <si>
    <t>جنبش ملی پادشاهی خواهان ایران ( مهران کمال پور )</t>
  </si>
  <si>
    <t>http://www.eftekhari42.com</t>
  </si>
  <si>
    <t>‏‏‏‏‏‏‏‏‏تلخ ترین قسمت هر آهنگ اونجاست که متوجه صدای خواننده نیستی و تمام فکرت فقط نسبت به یه تصویر از گذشته است.</t>
  </si>
  <si>
    <t>تو خونمونم</t>
  </si>
  <si>
    <t>همه میگن هیچکس از یه سوراخ دوبار گزیده نمیشه اما انگار روحانی و دوستان میخوان چند باری نیش بخورن تاکی یک تجربه اشتباه باید تکرار شه‌. #فرجام_غربگرایی #روحانی</t>
  </si>
  <si>
    <t>فدریکا خانم</t>
  </si>
  <si>
    <t>‏انشاله یک جوان انقلابی! عاشق مبارزه با صهیونیست! جوجه فیلسوف!</t>
  </si>
  <si>
    <t>کی گفتم #سوال_از_رئیس_جمهور نمایش #سیرک_مجلس هست که شما در توئیتر بهش میگید #شوآف ؟ اتفاقی در اقتصاد و ارز و طلا نیفتاد! معیشت مردم که تغییری نکرد! طرح با مدیریت لابیجانی به قوه قضائیه هم که نرفت! بقول مازنی ها ترشِ انار شیره نئؤنه</t>
  </si>
  <si>
    <t>میثم. کریمیان</t>
  </si>
  <si>
    <t>حافظ و سعدي با صداى شجريان همراه با كمي تلاش براي حس خوب داشتن</t>
  </si>
  <si>
    <t>دور اندیشی #روحانی نقطه ی عطف شخصیتش بود،با این حال پای انتخابم وایستادم و ذره ایی شک ندارم دستهای پشت پرده در تلاش برای زمین زدن #دولت و به تبعیت آن ناامید کردن #مردم است اما سیاستش توی مجلس حالمو بهم زد اینجاست فرق #میرحسین معلوم میشه همونی که میگفت : #امید رساترین اعتراض ماست</t>
  </si>
  <si>
    <t>حاشا به غیرتت خانم #نماینده! دشمن شاد کن شدی!</t>
  </si>
  <si>
    <t>یکی به #روحانی بگه اون روز تو مجلس میگفت مجوز برداشت نمیدم از #صندوق_ذخیره_ارزی ایا وقتش نشده این دیگه بازی با روح روان نیست رسمی خانه خراب کنی شایدم اصلا صندوقی درکار نباشه هرروز دلار هزارتومن میذاره رو قیمت باز بگیم امریکا هیج غلطی ...درستش اینه مردم ایران غلط..‌‌</t>
  </si>
  <si>
    <t>https://pbs.twimg.com/media/DmRvQ0HWwAAH5KY.jpg</t>
  </si>
  <si>
    <t>🎥#روحانی: امکان ندارد که بدخواهان ما موفق شوند ما را به قبل از سال ۵۷ برگردانند #به_قبل_۵٧_برمیگردیم #به_قبل_از_57_برمیگردیم</t>
  </si>
  <si>
    <t>👑</t>
  </si>
  <si>
    <t>آزاده هستتتتممممم| بي نقاب، آزاده و رها</t>
  </si>
  <si>
    <t>نميدونم اين زبون درازي كه بعضي از اين #نماينده هاي مجلس پيدا كردند و از #آب گل آلود ماهي ميگيرن تا حالا كجا بوده🤔</t>
  </si>
  <si>
    <t>Azadeazi</t>
  </si>
  <si>
    <t>اقای #روحانی امروز سه شنبه ۱٣ شهریورِ ٩٧ گفتند که محال است به قبل از ۵٧ برنمیگردیم. روز به شب نرسیده جوانانِ ایرانی در توییتر با هشتگِ #به_قبل_۵٧_برمیگردیم پاسخ این آخوند را دادند و رسوایش کردند. جمهوری اسلامی همینقدر بی اعتبار شده است که می بینید!!</t>
  </si>
  <si>
    <t>qom rey</t>
  </si>
  <si>
    <t>تاریخ خواهد نوشت یکی با رساندن برد #موشک های ایران به #تل‌_آویو #اسرائیل را درمانده کرد. یکی در تامین #پوشک بچه‌های این سرزمین درمانده شد. #روحانی #علی_برکت_الله #ایران #ظریف #آمریکا #ترامپ</t>
  </si>
  <si>
    <t>ساده</t>
  </si>
  <si>
    <t>http://instagram.com/amirsajaadian</t>
  </si>
  <si>
    <t>Badminton player / Mathematical</t>
  </si>
  <si>
    <t>به نظرم بعدِ گلِ خداداد عزيزى تا الان ، ايران موفقيتِ ديگه اى كسب نكرده #روحاني #دلار #ظریف</t>
  </si>
  <si>
    <t>iam_am¡ran</t>
  </si>
  <si>
    <t>هر گاه سخن از #گوجه_فرنگی شود، یاد #احمدي_نژاد می‌افتم فکر کنم از این به بعد هر وقت صحبت از #پوشک شود ناخودآگاه نام #روحانی در ذهنمان خودنمایی کند.</t>
  </si>
  <si>
    <t>https://pbs.twimg.com/media/DmRxaoCUYAAmkIs.jpg</t>
  </si>
  <si>
    <t>روحانی و سران سه قوه!!!! اعتراف از این واضح تر که #روحانی جزء سران سه قوه نیست؟؟؟ فقط سوال اینجاست: رییس قوه ی مجریه کیست؟ #واعظی؟ #نوبخت؟ #نهاوندیان؟ #آشنا؟ #سریع_القلم؟ یا...</t>
  </si>
  <si>
    <t>journalist#خبرنگار شهري</t>
  </si>
  <si>
    <t>#رئيس_جمهور گفته، اجازه نميديم ما رو به دهه ٥٧ برگردونند!داداش داريم ميريم دهه ٢٠ يا ٣٠ اونم با ورژن ٢٠١٨ شما خبر نداري</t>
  </si>
  <si>
    <t>Sara Kisehchi</t>
  </si>
  <si>
    <t>pic.twitter.com/YwuRmHTiWK</t>
  </si>
  <si>
    <t>#خبر مهم #استیضاح حسن #کلیدساز چرا از هیچ مطبوعات یا رسانه ای منتشر نشد؟ و این خانم نماینده ناگهان از دهنش در رفت و گفت؟ باز هم مخفی کاری؟! #ایران_را_پس_میگیریم #استیضاح_روحانی #مجلس_بی_لیاقت #شاهزاده_رضا_پهلوی #براندازیم</t>
  </si>
  <si>
    <t>‏‏‏‏‏مُبلّغ، خبرنگار، یاداشت نویس، جنگ هر کجا باشد ما هم آنجا برای دفاع هستیم سخت و نرم هم ندارد رزمنده همیشه آماده شلیک است... از اصلاح طلب و اصولگرا متنفرم</t>
  </si>
  <si>
    <t>خدا #روحانی رو از ایران بگیره بده امریکا ما بسمون هست هر چی گند داشت زد به ایران خدایا تا حالا کدوم امتی را اینقدر مجازات و امتحان کردی؟!!😃 یک نفر شده وسیله امتحان هشتاد میلیون با یک نفر و عدم مدیریتش کل هشتاد ملیون دارن امتحان پس میدن بسه دیگه خدا والله کم اوردیم!!</t>
  </si>
  <si>
    <t>مهدی شاهی زاده علیار</t>
  </si>
  <si>
    <t>https://pbs.twimg.com/media/DmRx3F5W4AE62FR.jpg</t>
  </si>
  <si>
    <t>مسئول وضعیت فعلی ایران چه کسی هست ؟ #ترامپ یا #روحانی ؟ مسئله این است یا ترامپ روحانی یا روحانی ترامپ یا اون افغانیه که گوششو بریدن ؟</t>
  </si>
  <si>
    <t>⚠ اگه با همین دست فرمون #روحانی به عقب برنگرده، بعد از #پوشک باید مواظبت #خشتک مون باشیم...! #به_عقب_برنمیگردیم #روحانی_مچکریم #حسین_فریدون</t>
  </si>
  <si>
    <t>کار خدا را ببین یکی با ساخت #موشک مشهور می‌شود یکی با ناتوانی در تامین #پوشک #روحانی #دولت #ظریف #برجام #علی_برکت_الله #نهاوندیان #نیلی #نوبخت</t>
  </si>
  <si>
    <t>‏‏‏‏‏غم این خفته ی چند خوابم کرد</t>
  </si>
  <si>
    <t>اهواز . تهران</t>
  </si>
  <si>
    <t>اگه یه سری پاچه‌خوار بنفش هم هنوز منقرض نشده بودن با سخنرانی #روحانی منقرض شدن. روحانی امروز همه شون رو ناامید کرد که دیگه به برگشتن به شرایط قبل از ۵۷فکر‌ نکنن! مهندس آرزوی همه برگشتن به قبل ۵۷ بود که قهوه ای متمایل به بنفشش کردی</t>
  </si>
  <si>
    <t>امیرو</t>
  </si>
  <si>
    <t>ترسم که به 1400 نرسی #روحانی، این ره که می‌روی به.....</t>
  </si>
  <si>
    <t>امام خمینی (ره):با دین ما بازی نکنید که با دنیای شما بازی میکنیم!!!</t>
  </si>
  <si>
    <t>https://pbs.twimg.com/media/DmRzKF7UYAAiir9.jpg</t>
  </si>
  <si>
    <t>نمیدونم بخندم😂 یا گریه کنم😭 یه استاد دانشگاه اصلاح طلب گفته:اگه رهبر این اختیارات رو به (چوب)داده بود !!تا الان یه کاری کرده بود #روحانی #روهانی #روحانی_ دیگه نمیدونم چطور بگم #روحاني_مچکریم !!!</t>
  </si>
  <si>
    <t>t,s,a</t>
  </si>
  <si>
    <t>#روحاني فرموده بود " به والله سالهای 84 تا 92 گذشت و دیگر تکرار نخواهد شد" به قول دوستی که می گفت راست می گوید آن روزهای خوش رفت دیگر برنمیگردد لعنت به تو روحانی که تاریکترین روزهای #ایران را رقم زدی و مرد نیستی که دلم خوش به کناره گیری تو باشد</t>
  </si>
  <si>
    <t>https://t.me/AliRezaQorbani</t>
  </si>
  <si>
    <t>خدای قلم را به خاطر توفیق نوشتن سپاسگزارم.</t>
  </si>
  <si>
    <t>جمهوری اسلامی ایران. مشهد</t>
  </si>
  <si>
    <t>كارگزاراني‌ها و حزب اعتدال و توسعه يعني احزابي كه مديران ارشد روحاني از آن برخاسته‌اند، آشكارا به بيانيه‌پراكني عليه هم روي آورده‌اند. قديم‌ترها مثالي بود كه قاطرهاي درشكه در سربالايي‌ها يكديگر را گاز مي‌گيرند! #کارگزاران_سازندگی #اعتدال_و_توسعه #دلار #روحانی</t>
  </si>
  <si>
    <t>علیرضا قربانی</t>
  </si>
  <si>
    <t>https://youtu.be/EX7HIOEM_-0</t>
  </si>
  <si>
    <t>گفتگوی تلفنی با #نماینده منتصب رژیم در #طویله شورای اسلامی، کسی که از شنیدن نام #شاهنشاه نه تنها #ناراحت نشده و ناسازی نگفته، بلکه #خوشحال شده و #میخندد. گفتگو با #طیبه سیاوشی شاه عنایتی نماینده مردم #تهران و بیان #استیضاح حسن روحانی #براندازیم</t>
  </si>
  <si>
    <t>‏دانشحوی دکترای روابط بین‌الملل دانشگاه تربیت مدرس تهران . . یک ایرانی تنوع پذیر و معتقد به تساهل</t>
  </si>
  <si>
    <t>مضحک این است که هنوز با یک عده ای روبرو می شویم که می گویند شرایط فعلی نتیجه انتخاب اشتباه مردم است و معتقدند اگر بجای #روحانی به #رئیسی رای می دادیم الان اوضاع مملکت مرتب و گل و بلبل بود. واقعا این حجم از #تباهی باور پذیر نیست. #خجسته_نباشیم</t>
  </si>
  <si>
    <t>#اصلاح_طلب ها چه غلطی می کنن اون از #بریدن #گوش بچه کارگر اینم از خودسوزی مقابل #شهرداری روزنامه نگارهای شرق و اعتماد لال شدن اگر الان قالیباف شهردار بود هشتگ #قالیباف_استعفا داغ شده بود حاصل تکرار بی حاصل سید فتنه گر چیزی جز فتنه نبود #روحانی #خاتمی #دولت #پوشک #بچه</t>
  </si>
  <si>
    <t>http://campashrafmassacre.wordpress.com/</t>
  </si>
  <si>
    <t>Supporting @IranArabSpring on Twitter.</t>
  </si>
  <si>
    <t>Iran - Syria - Iraq - Yemen - Lebanon</t>
  </si>
  <si>
    <t>pic.twitter.com/AlPQKB7eFH</t>
  </si>
  <si>
    <t>#مجلس یا #مهد_کودک #بهارستان؟! 😀😃😄😁😆😅😂🤣 #ايران</t>
  </si>
  <si>
    <t>@IranArabSpring No2</t>
  </si>
  <si>
    <t>همه کار میکنن پیشرفت کنن ما کار میکنیم که به قبل ۵۷ برسیم ینی خاااااک #روحانی @HassanRouhani</t>
  </si>
  <si>
    <t>نویسنده و منتقد</t>
  </si>
  <si>
    <t>ایران اصفهان</t>
  </si>
  <si>
    <t>حاجی دلیگانی: معتقدیم استنکاف از قانون صورت گرفته و قانون نیز نقض شده است. ما در حال تدوین مستندات هستیم و مستندات این نقض قانون را در اختیار داریم. البته اینکه هیئت رئیسه نخواهد سوالات را به قوه قضاییه ارسال کند بحث دیگری است. #سوال_از_رییس‌جمهور #ساکتین_مجلس</t>
  </si>
  <si>
    <t>نویان</t>
  </si>
  <si>
    <t>آقای #روحانی امیدواری به #مردم دادن خیلی هم خوبه اما آیا شرایط #جامعه هم چنین چیزی را میپذیرد #مردم شب را میخوابند #صبح که بیدار میشوند باید #فشار بیشتری تحمل کنند</t>
  </si>
  <si>
    <t>https://pbs.twimg.com/media/DmR2fs4V4AAuec2.jpg</t>
  </si>
  <si>
    <t>انصافاً دیروز در #مجلس، #پروانه_ورپریده روخوانی #طوطی_وار مقبولی از روی املای مشترک #خاتمی و #کروبی داشت! تنها سوتی فاحش ایشان، عدم قرائت عبارت کلیدی مندرج در خط سوم از صفحه چهارم بود که گفته بود: "تنها راه برون رفت از وضعیت بغرنج کنونی، چیزی نیست جز #آشتی_ملی"😆 #علی_برکت_الله</t>
  </si>
  <si>
    <t>‏‏‏‏‏‏‏‏‏‏‏‏‏‏‏نگاهت را به افق بسپار،به سوی بینهایت و فراتر از آن بنگر...... مقابله با آتئیسم در اولویت من است</t>
  </si>
  <si>
    <t>🗺🌏🌍🌎</t>
  </si>
  <si>
    <t>pic.twitter.com/vuAf56aztT</t>
  </si>
  <si>
    <t>ببینید چطوری تبلیغ #روحانی رو میکردن، مریان و متینا رادپور دختران #مهدی_رادپور مالک هلدینگ نفت و گاز یکی ازمدیران رانت خوار دولت روحانی... روحانی آینده این سرزمین را روشن کن__روحانی فکری به حال روز ایران من کن😭😭</t>
  </si>
  <si>
    <t>ariya apocalyps💞</t>
  </si>
  <si>
    <t>آقای #روحانی متاسفانه باید بگم این شرایطی که بوجود آمده #مردم دیگر آرزوی قبل از #سال57 را دارند</t>
  </si>
  <si>
    <t>http://www.iran-emrooz.net/index.php/news1/72797/</t>
  </si>
  <si>
    <t>یک یادآوری تاریخی: #مجلس ششم 31 تیر 1381درباره #نظارت_استصوابی نامه ای به رهبری نوشت که به"نامه جام زهر"معروف و باعث رد صلاحیت بیش از 80 نماینده در دور بعد شد. در این نامه اخطارهای صادقانه ای بود که اگر شنیده میشد امروز در مسیر دیگری بودیم. #پروانه_سلحشوری</t>
  </si>
  <si>
    <t>خداجون گناه های ما را به #ریال و کار های نیکمان را به #دلار محاسبه بفرما #دلار #مجلس #پوشک #موشک #مسئولین_بی_مسئولیت</t>
  </si>
  <si>
    <t>فیلسوف</t>
  </si>
  <si>
    <t>به نظر شما واقعا تو 1400 دوباره مردم به هم فکران #روحاني که در شش ماه #دلار از 3 به 13 هزار تومان تبدیل کردند رأی خواهند داد نمیدونم ولی فعلا تو فکرم اصلا روحانی به 1400 خواهد رسید یا خودش از قطار پیاده میشه یا شاید از قطار پیاده اش بکنندددد #دلار۱۳۰۰۰تومانی افتضاح #اقتصادی</t>
  </si>
  <si>
    <t>‏دختر پاییز یعنی من ، یک جنون زاده ی مهربان 🍁</t>
  </si>
  <si>
    <t>یه سوال : #روحانی هنوز رئیس جمهوره یا ول کرده رفته ؟؟؟ والا با این سرعتی که داریم رو به دره میریم به نظرم کسی پشت فرمون نیست</t>
  </si>
  <si>
    <t>yeganeh</t>
  </si>
  <si>
    <t>‏‏‏فعال رسانه ای تبریز/// جهاد با تیغ زبان و تیر قلم در خاکریز مقابله اسلام خمینی و اسلام لیبرالیسم</t>
  </si>
  <si>
    <t>دیروز در یکی از جلسات سطوح بالای نظام #شیخ_الفقها به #شیخ_القضات کنایه زده که #آفتابه_دزد رو همه میتونن بگیرن برو سراغ #دانه_درشت ها. من جای شیخ القضات بودم همونجا به شیخ الفقها میگفتم کاندیدای ۱۸ ساله رو همه میتونستن #رد_صلاحیت کنن باید میرفتی سراغ #روحانی.</t>
  </si>
  <si>
    <t>صابر عیسی پور</t>
  </si>
  <si>
    <t>‏هست امین چار حرف و تاج سه حرف بسم بین هم سه حرف و اﷲ چار</t>
  </si>
  <si>
    <t>https://pbs.twimg.com/media/DmR58JPX0AAi2eD.jpg</t>
  </si>
  <si>
    <t>- دیگر خراب کاری نکنیا #پوشک گرونه آفرین عمو +باچه #پوشک_بچه #روحانی</t>
  </si>
  <si>
    <t>امین الملک</t>
  </si>
  <si>
    <t>پروانه به پرواز در آمد! آن هم چه پروازي #سلحشوري #مجلس #رهبري #روحاني #حصر #موسوی #كروبي #رهنورد #زندانيان_سياسي</t>
  </si>
  <si>
    <t>بهتر از اين نميشد #ظريف اعتراف كرد كه مردم ديگر حسابش نميكنن و #روحاني فهميد #رضاپهلوي محبوبت از قبل در قلب مردم است.#به_قبل_57_برمیگردیم</t>
  </si>
  <si>
    <t>https://pbs.twimg.com/media/DmR61RcUYAAS2_7.jpg</t>
  </si>
  <si>
    <t>#پروانه_سلحشوری گفته نیروهای نظامی برگردن به پادگان ها. اون وقت کی پروژه بسازه که آقای رئیس جمهور افتتاح کنن؟ #مجلس #نماینده_احمق</t>
  </si>
  <si>
    <t>دلار الان ۱۴ هزار رو رد کرد رفت بالا سکه هم ۴میلیون و ۷۵۰ یورو هم ۱۶ هزار رو رد کرد #روحاني #رهبر لعنت به هر دوتاتون مردم دیگه کلیه هم ندارند بفروشند.</t>
  </si>
  <si>
    <t>با #روحانی تا1400فقط کمربند ایمنی خودتون و کودکان خود را فراموش نکنید دو بار ببندید ^_^</t>
  </si>
  <si>
    <t>https://pbs.twimg.com/media/DmR7sOhV4AAj2Ze.jpg</t>
  </si>
  <si>
    <t>اگر فکر کردید طرفداران #روحاني متنبه شدن و فهمیدن اشتباه رای دادن، اشتباه کردین. نمونه ای از نظرات مردم زیر پست حمید فرخ‌نژاد که به روحانی گفته بود استعفا بده... زمان احمدی‌نژاد همه‌چیز تقصیر رئیس‌جمهور بود، زمان روحانی و اصلاح‌طلبان، رییس‌جمهور هیچ‌کاره‌ست.! #سرطان_اصلاحات</t>
  </si>
  <si>
    <t>https://twitter.com/mmohammadii61/status/1037085653295656960</t>
  </si>
  <si>
    <t>اینکه احمدی نژاد به کجا کشیده مشخصه، باید دید این میوه حاصل چه درختیه! #رفسنجانی #خاتمی #احمدي_نژاد و زودتر از اونچه تصور میشد #روحانی همه میوه هائی شدن که قسمت بزرگی کرم خوردگی دارن،وقتی مسئول میشن شیوه مدیریت همونه دیدگاه های اجرائی تا حدی فرق داره. مصونیت و رانت جز این نمیشه RT @mmohammadii61: ویدئوی امروز #مشایی سند خوبی است برای آشکار شدن اینکه کدام تحلیل های مالیخولیایی کار #احمدی_نژاد را به اینجا کشانده است.</t>
  </si>
  <si>
    <t>Mostafa Babanezhad</t>
  </si>
  <si>
    <t>علاقه مند به کشورم، طرفدار ایران</t>
  </si>
  <si>
    <t>#رشتو به هر کدام از اطرافیان نگاه میکنم بیشتر حساب بانکیشون رو به #دلار یا کالا و سرمایه تبدیل کردند. حداقل در چند سال اخیر این حجم از کاهش نقدینگی ( حتی در مقایسه با دوره اول #روحانی ) مشاهده نشده. با این روند و زمانی که #ریال به حداقل موجودی در بازار برسه، دولت میتونه /#تب</t>
  </si>
  <si>
    <t>علی بیهقی 🇮🇷</t>
  </si>
  <si>
    <t>مقصر وضعیت فعلی فقط و فقط ما مردمیم ، هر دروغی گفتن باور کردیم ، هر چی بهمون فروختن خریدیم، هرکاری دلمون خواست فقط برا منافع خودمون انجام دادیم ،هر کسی رو دیدیم فرستادیم پست های مهم رو گرفت، الآنم باز می‌خوایم تقصیر رو گردن بقیه بندازیم #روحاني #دلار #فرجام_غربگرایی</t>
  </si>
  <si>
    <t>http://NIASAMED.COM</t>
  </si>
  <si>
    <t>‏‏‏‏مدیر عامل شرکت نیاسا|مخترع و ایده پرداز برتر کشور |پژوهشگر برتر استان خوزستان| CEO OF NIASA CO.| Journalist | Biomedical Engineering | Together For Humanit</t>
  </si>
  <si>
    <t>Iran, Khozestan , Ahvaz</t>
  </si>
  <si>
    <t>pic.twitter.com/SiqsIcD8mE</t>
  </si>
  <si>
    <t>آقای #رئیس_جمهور و نمایندگان مجلس گرامی اینجا #سیستان_بلوچستان است، بخشی از خاک کشوری که شما در راس امورش هستید! @HassanRouhani @Eshaq_jahangiri @alimotahari_ir @drpezeshkian_ir @mah_sadeghi</t>
  </si>
  <si>
    <t>Masoud Makvandi</t>
  </si>
  <si>
    <t>http://T.me/arefsmart/</t>
  </si>
  <si>
    <t>وكيل عدليه</t>
  </si>
  <si>
    <t>https://pbs.twimg.com/media/DmR-XxLU0AEMz1c.jpg</t>
  </si>
  <si>
    <t>وقتي امشب با اين زوج فرانسوي صحبت ميكرديم،از تبليغات گسترده عليه ايران و ناامنيش براي سفر ميگفتن ميگفتن از #روحاني و #ظريف باعث شدن اون چهره منفي تو #فرانسه تا حدي تلطيف بشه اما دغدغه اصلي داخلي امروز اينه كه ما داريم به اين مشكلات و خبراي بد #عادت_ميكنيم</t>
  </si>
  <si>
    <t>Arefmasouditabar</t>
  </si>
  <si>
    <t>#به_قبل_57_برمیگردیم تا اخوند #محمد_خاتمي و #روحاني را به مسجد برميگردانيم ،تا روضه خواني را ادامه دهند!</t>
  </si>
  <si>
    <t>ای آنکه تا ۱۴۰۰ شعارت #پوشک_بچه ها در انتظارت عاشقانه ای برای #روحاني</t>
  </si>
  <si>
    <t>خوشا پر کشیدن پرستو شدن</t>
  </si>
  <si>
    <t>مرکز هستی</t>
  </si>
  <si>
    <t>https://pbs.twimg.com/media/DmSArmZW0AA4O7Q.jpg</t>
  </si>
  <si>
    <t>چوب هم نیستین #لاریجانی ها #روحانی</t>
  </si>
  <si>
    <t>https://twitter.com/tavakoli1367/status/1037053465950937089</t>
  </si>
  <si>
    <t>#مجلس و مشخصتر #فراکسیون_امید میتواندطراح‌های نظیر ۱.لغوقانون #نظارت_استصوابی ۲.ممنوعیت نظامیان وگروه‌های وابسطه ازانجام هرگونه فعالیتی خارج از چارچوب فعالیت‌های نظامی ۳.استفاده دولت تنها از حساب #خزانه والزام به حذف تمام حسابهای فرعی توسط تمام نهادها را ارائه دهد @P_Salahshouri RT @tavakoli1367: نطق سلحشورانه خوب است و لازم و بخشی از وظایف یک نماینده در مجلس؛ متشکریم! امّا برای تبدیل نطق به طرح چه می‌کنید؟ در اقلیتید؟ قبول، گام اول را بردارید و بعد بگویید «اکثریت همراهی نکرد و نشد» یک سال مانده و فرصت باقی‌ست!</t>
  </si>
  <si>
    <t>اولا که #وزارت_اطلاعات با کل مجموعه‌ای که در دولت و خارج آن به این وزارت اجازه داده درمورد حق تحصیل یکنفر تصمیم بگیرد غلط کرده دوما: حل خواهد شد؟ بیجا میکنید مشکل ایجاد میکنید تا بخواهید حل کنید. خیانتی که شما در دولت به رای و پروژه اصلاح‌طلبی میکنید تاالان کسی کرده؟ #روحانی RT @ZiaNabavi1: طبق نظر #وزارت_اطلاعات صلاحیتم برای ادامه تحصیل رد شده است. این را در هسته گزینش س.سنجش فهمیدم. همه چیز مثل قبل بود؛ داستان نقص پرونده، دورهمی دانشجوهای #ستاره‌دار، شرح حالهای شبیه هم. تنها نکته جدید حرفهای دکتر نوربخش مسئول هسته گزینش بود که میگفت: "حل خواهد شد" ما هم امیدواریم.</t>
  </si>
  <si>
    <t>‏‏‏‏‏مهندس اُموراتِ نفتی/الهیات خوان/فلسفه دوست/گاهی نویسنده/خطاط ذوقی/فعّالِ کهنه کار دانشجویی/علاقه مند به سیاستِ انقلابی نه دیپلماتیک/ولی..هیچم اگر بنده نیست</t>
  </si>
  <si>
    <t>در دایره قسمت ما وسطِ طِهرانیم</t>
  </si>
  <si>
    <t>https://twitter.com/elia12420/status/1037032052783239168</t>
  </si>
  <si>
    <t>آقای #رئیس_جمهور مردمِ متوسط که هیچی...مردمِ زیرِ خطِ فقر؛دارن نابود میشنا!این ولبشوی اقتصادی که راه انداختی امان مردم کشورتو بریده؛تا کِی میخوای بخوابی؟ +من برای این چیزا #وقت_ندارم پس برای چی وقت دارید؟! بگردم یه راه دررویی برای #مذاکره ی دوباره پیدا کنم. RT @elia12420: -آقای رئیس جمهور #زابل خیلی وضعش خرابه بیکاری،خشکسالی و طوفان ریزگرد امان مردم رو بریده لطفا فکری بکنید!؟ +من برای این چیزا #وقت_ندارم</t>
  </si>
  <si>
    <t>🔸وزیرخارجه #فرانسه: اقدامات اروپا هیچ شرکتی رابه بازگشت به ایران مجبور نمی‌کند 🔹 ژان ایو لودریان در مصاحبه‌ای در ارزیابی تأثیرات عملی اقدامات اروپا برای ترغیب ایران به ماندن در #برجام گفت این کارها نمیتواندهیچ شرکت اروپایی رابه بازگشت به ایران مجبورکند #روحانی😶 #ظریف_عراقچی😐</t>
  </si>
  <si>
    <t>خدمتی که #روحانی در حق #احمدی_نژاد و #اصولگراها کرد و کاری که با #اصلاحات و #اصلاح_طلب کرد خود #احمدی_نژاد نکرد. #ایرانیم #ایرانم_ارزوست</t>
  </si>
  <si>
    <t>اولا: دم بسیاری از نمایندگان، مخصوصا #پروانه_سلحشوری گرم. الحق‌والانصاف رایی که گرفتند را حلال کردند دوما: سرنوشت #ضیا_نبوی یکی از آن آزمون‌هایی است که تکلیف ما را با #روحانی مشخص میکند رایی که دادیم رای درستی بود هنوز از آن دفاع میکنم، منتها به معنای دفاع بی‌قید از دولت نیست</t>
  </si>
  <si>
    <t>به خاطر آینده بچه هام... اینو گفتو به #روحانی رای داد !</t>
  </si>
  <si>
    <t>мя.кσσкι нαѕтαм</t>
  </si>
  <si>
    <t>سال پيش تو يه شركت كامپيوتري كار پيدا كردم خيلي خوشحال بودم اولين كاري كه كردم رفتم مركز IT و يه سيستم گيمينگ در حد متوسط قيمت كردم كلا ٥ميليون در ميومد واسم #به_قبل_57_برمیگردیم #روحاني #game #gamer #gaming #iran ادامه در توييت بعدي...</t>
  </si>
  <si>
    <t>Mr.KO_oKi</t>
  </si>
  <si>
    <t>https://iranhumanright.wordpress.com/</t>
  </si>
  <si>
    <t>Independent Group of Supporters &amp; Advocates for Human Rights in Iran. * Group-multi—users/contributors. *#hashtags/\/#Hamian_HRs/\/#HHs__/\/#Iranian4Iran</t>
  </si>
  <si>
    <t>https://pbs.twimg.com/media/DmR8g0mWwAAlFfs.jpg</t>
  </si>
  <si>
    <t>#روحانی/#دولت/#مجلس: پشت #لاريجاني #رهبر یا قوه [نا]#قضا مخفی نشو! مسئولیت قبول و #شجاع_شو! از بی خاصیتی شما خسته ایم...... #شعله‌سعدی-ها #نرگس_محمدی-ها فعالان آگاه مردمی را آزاد و همین حالا به #تحول_ساختاری واقعی نه در شعار تن ده یا #استعفا! ——(لطفا #ريتوييت)——&gt;@Rouhani_ir</t>
  </si>
  <si>
    <t>#Hamian_HRs</t>
  </si>
  <si>
    <t>عضو جنبش عدم تعهد</t>
  </si>
  <si>
    <t>نطق ماندگار #پروانه_سلحشوری در #مجلس نشان داد که ظاهرا اون ها هم چیزی رو میخوان که ما میخوایم فقط انگار تا حالا روشون نمی شد بگن؛ #رفع_حصر رفع مشکل #نظارت_استصوابی بازگشت نظامیان به پادگان ها آزادی #زندانی_سیاسی #آزادی_اجتماعی تغییرات ساختاری و...</t>
  </si>
  <si>
    <t>کافه چی بازنشسته</t>
  </si>
  <si>
    <t>این روزها حال دوستان #ارزشی و #اصولی های عزیز دیدن دارد؛ نه از دولت راضی هستند، نه می‌توانند خواستار کنار رفتن #روحانی شوند (چون بازی در زمین دشمن تلقی می‌شود) و نه کسی را دارند که در معرض و استقبال رای مردم قرار گیرد</t>
  </si>
  <si>
    <t>http://instagram.com/leila100ri</t>
  </si>
  <si>
    <t>‏‏‏‏‏‏‏‏‏‏‏‏‏‏‏‏‏‏‏‏‏‏‏‏‏‏‏‏‏‏﷽ . .چند بُعدی ، بلند پرواز ، آماده ی مبارزه برای ‎#صلح ، همان لیلی گمشدهٔ قصّه ها که در پناه خدا و زهرای علی ع پیدا شد! 0~100~∞</t>
  </si>
  <si>
    <t>دل مونده ڪربلا..خودم اِشٺوٺم!</t>
  </si>
  <si>
    <t>https://pbs.twimg.com/media/DmSJXh4W4AAOJ46.jpg</t>
  </si>
  <si>
    <t>یعنی #روحانی الان راحت خوابیده؟؟</t>
  </si>
  <si>
    <t>Leiℓa Sadri {أُمِّ مَـہــدی}🇮🇷</t>
  </si>
  <si>
    <t>NO GODS__NO MASTERS</t>
  </si>
  <si>
    <t>#روحانی حجت تمام کرد. به گمانم صادقانه ترین حرف را در طول ۴۰ سال دروغ زد: “امکان ندارد به قبل از سال ۵۷ برگردیم” عبور از این منجلاب دیگر امکان پذیر نیست! #مرگ_ریال #سقوط_اقتصادی</t>
  </si>
  <si>
    <t>Sadegh Mirjaberi</t>
  </si>
  <si>
    <t>Customer Experience Associate ( Repair ) @ Comcast</t>
  </si>
  <si>
    <t>Seattle, WA</t>
  </si>
  <si>
    <t>اینکه #سلبریتی های عزیز به اشتباهشان در مورد حمایت از #روحانی‌ اذعان می کنن خیلی هم‌عالی ، که البته من‌ هم این اشتباه رو‌کردم، ولی بعضی‌ از دوستان #عرزشی داستان‌ رو به نفع خود تمام نکنن. همه و همه #اصلاح_طلب و #اصول_گرا یه گهید. #امیر_مهدی_ژوله #جمهوری_اسلامی</t>
  </si>
  <si>
    <t>Kevin Keynejad</t>
  </si>
  <si>
    <t>آقای #روحانی سال 92 با گفتمان #معیشت رای آورد در حالیکه از همون موقع تا الان یا الان، یا الان! یا الان؟ ... یا الان :) #اقتصاد ثانیه محور</t>
  </si>
  <si>
    <t>https://pbs.twimg.com/media/DmQq_o-XsAEvE35.jpg</t>
  </si>
  <si>
    <t>https://twitter.com/Esi20200/status/1037001101046890496</t>
  </si>
  <si>
    <t>#زابل مُرد از بس #هوا ندارد... #روحانی:برا این چیزا #وقت_ندارم #زابل #سیستان RT @Esi20200: خامنه ای از زابل و منطقه سیستان با کلید واژه تنگه احد ایران یاد کردن اون وقت مسئولین غربزده دارن کاری میکنن که سیستان خالی از سکنه بشه و کل کشور ضررش رو ببینه! بی آبی و طوفان همراه با گردو خاک امان مردم رو بریده #پدر_ایران #زابل #سیستان</t>
  </si>
  <si>
    <t>اقای خامنه ای چرا پای کاری که کردی وخرابی ناشی از برجام نمیمانی ایا پرزیدنت #روحانی بدون اجازه شما اب هم میتواند بخورد؟ یا ظریف حتی اختیار مدل ریش خودش را ندارد پس ما چطور باور کنیم شما کاره ای نیستی لطفا جواب ملت را بدهید به جای موعضه</t>
  </si>
  <si>
    <t>‏دلا معاش چنان کن که گر بلغزد پای... فرشته ات به دو‌دست دعا نگهدارد</t>
  </si>
  <si>
    <t>#روحانی شبیه #دیبی کلاه قرمزیه همه چی رو بر عکس میگه ، #دلار بالاتر نمیره یعنی دلار میرسه به سقف، #تورم کم شده یعنی ملت هیچی واسه خوردن ندارن، به قبل ۵۷ بر نمیگردیم یعنی خواهشا قطعا حتما #به_قبل_۵٧_برگردیم</t>
  </si>
  <si>
    <t>asal</t>
  </si>
  <si>
    <t>#دکتر_حیدری نماینده تهران: آگاه باشیم بازارناآرام ارزوسکه، رانتخواری وخفه کردن در #استخر کل نظام رابه خفگی نکشاند! #شفافیت #مجلس #حیدری !!؟</t>
  </si>
  <si>
    <t>میخواستم بخوابم به این فکر میکردم که چقدر باید به ما ظلم بشه که سر از لاک در بیاریم و برای خودمون کاری کنیم!پارسال همین موقع#دلار ۳۷۰۰بود وحالا۱۴۰۰۰ تومن!شما تفاوت رونگاه کن! بخدا هرجای دنیا بود مسئولینش همه باهم استعفا میدادن! #ريتوييت_لطفا #رهبر #روحانی #این_را_به_همه_بگویید</t>
  </si>
  <si>
    <t>برگشت به ۵۷ (چهل سال پیش) خودش نوعی حرکت به جلو و پیشرفت حساب میشه! آقای #روحانی بهتر بود قاجار رو ‌مثال میزدی #به_قبل_۵٧_برگردیم</t>
  </si>
  <si>
    <t>حزب بيست</t>
  </si>
  <si>
    <t>#روحانى:در كلبه ما #رونق اگر نيست #ركود است در دولت ما #تورم اگر نيست گرانى هست بازى با كلمات هست دروغ هست #خيانت است #دوتابعيتى هست خودم نمونش #روحانى برو گم شر</t>
  </si>
  <si>
    <t>mohammad herisi</t>
  </si>
  <si>
    <t>https://pbs.twimg.com/media/DmSS40UW0AA_h9C.jpg</t>
  </si>
  <si>
    <t>-از رو دست من تقلب میکنی😡 ؟؟؟ +نادر به خدا من نبودم ، نماینده بالایی خوابش برده بود،به خاطر همین مجبور شد از رو دست تو تقلب کنه کنه. -حالا من چه جوری اعتراضمو نشون بدم؟این دفعه ربطی به کشاورزی نداره تا بتونم گلابی بخورم.🤔آها فهمیدم ایندفعه به نشانه اعتراض کاغذ میخورم. #مجلس</t>
  </si>
  <si>
    <t>mzm75</t>
  </si>
  <si>
    <t>#روحانى و سوال از او #دلار ١١٠٠٠ ميشود و #ظريف و سوال از او #دلار۱۵۰۰۰تومانی ميشود هرچند اين دولت هيچوقت دلار را پايين نمى اورد ولى گران كردن در تخصص اوست #روحانى استعفا</t>
  </si>
  <si>
    <t>‏‏‏در جایی که سخن از حقیقت جویی است چه ضرورت دارد که من بیهوده از آنچه سابق به خطا پنداشتم دفاع کنم و عبث لجاج و عناد ناروا ورزم؟</t>
  </si>
  <si>
    <t>X0,Y0,Z0</t>
  </si>
  <si>
    <t>مثلا این ی نماینده به فکر مردم هستش و نماینده خوبمون این اسکل ها چرا اینطورین ، ماینده چند میلیون آدم هستن بعد چند دقیقه فرصت حرف زدن از طرف اون چند میلیون رو دارن اونوقت اون چند دقیقه رو یا شعر میخونن یا قران میخونن یا از امام و دین میگن یا به گروه دیگه فحش میدن #مجلس نه #طویله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</si>
  <si>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دهانی جریده از فریاد</t>
  </si>
  <si>
    <t>نه ممکن بود دل از او بریدن/ شنیدن کی بود مانند دیدن.. ‏بازمانده ی کوچه های باران..</t>
  </si>
  <si>
    <t>باید از طرفدارا و حامیان #روحانی پرسید چطور شد که از راه #اعتدالیون به #برندازی #نظام رسیدن!!!</t>
  </si>
  <si>
    <t>Ali_gh68</t>
  </si>
  <si>
    <t>#ارزشی های عزیزم یکم مغز داشته باشید و کسی رو بابت #رای و انتخابش سرزنش نکنید! #روحانی عضو #تشخیص_مصلحت_نظام و #خبرگان بوده (البته فقط دو تا از سمت هاش در #نظام) این یعنی تو اون جمع مورد اعتماد ترین فرد از نظر نظام.نیازه توضیح داد این دو جا تحت نظر کی هستن؟</t>
  </si>
  <si>
    <t>niloofar</t>
  </si>
  <si>
    <t>به رفتار #ارزشي ها دقت كرديد؟ اصولا با هركس كه پي آسايس و تنش زدايي با دنياست و حرف از حقوق مردم مي زنه مشكل دارن. تا دوره قبل به #ظريف و #روحاني حمله مي كردن، الان كه اينا گند زدن كاريشون ندارن. به نماينده هاي فاسد هم كار ندارن. دارن #غلامرضا_حیدری و #پروانه_سلحشوری رو ميدرن!!</t>
  </si>
  <si>
    <t>Ehsan E</t>
  </si>
  <si>
    <t>https://pbs.twimg.com/media/DmSc3pWV4AAc033.jpg</t>
  </si>
  <si>
    <t>http://yon.ir/cuVEa</t>
  </si>
  <si>
    <t>#سبزعلیپور مطرح کرد روحانی مکتب جدیدی در اقتصاد پایه ریزی کرده است!! (مکتب اقتصادی #روحانیست ) تصمیمات و سیاستهای اقتصادی #روحاني را اصلی و ابدا نمیتوان در هیچ مکتب اقتصادی یافت کرد، فلذا اوضاع اقتصادی کشور آنچنان نابسامان شده و مشکلات لحظه به لحظه ....</t>
  </si>
  <si>
    <t>https://www.instagram.com/maormz/</t>
  </si>
  <si>
    <t>1999 🇮🇷Esfahan☫ 🕋Waiting😍 ⚛Love Chemistry🔬 Uni➡vru Violin student</t>
  </si>
  <si>
    <t>مردم اعنراض نکنید دولتمردانون بیشتراز بچه های شمانیازبه پوشک دارن اصلاازقدیم‌گفتن: پوشکی که به خانه دولت رواست به بچه حروم #روحانی #جهانگیری</t>
  </si>
  <si>
    <t>Maormz</t>
  </si>
  <si>
    <t>https://t.me/Taghadom</t>
  </si>
  <si>
    <t>جديدترين #اخبار برگزیده: تحولات #سیاسی ایران ، منطقه و جهان ، #بيدارى_اسلامى و #اقتصادی و #بازار های مالی</t>
  </si>
  <si>
    <t>pic.twitter.com/fWJxHnZK3q</t>
  </si>
  <si>
    <t>🔴 #روحانی: امکان ندارد که بدخواهان ما موفق شوند ما را به قبل از سال ۵۷ برگردانند / از مشکلات عبور می‌کنیم.</t>
  </si>
  <si>
    <t>پایگاه خبری تقدم</t>
  </si>
  <si>
    <t>آیت‌الله مومن، عضو مجلس خبرگان رهبری: #روحانی گفت برای حضور در جلسه #خبرگان با موضوع #معیشت_مردم "وقت ندارم".</t>
  </si>
  <si>
    <t>https://pbs.twimg.com/media/DmSmEhCX0AAp4aJ.jpg</t>
  </si>
  <si>
    <t>سعید لیلاز، قائم مقام حزب کارگزاران سازندگی: اختیاراتی که آقای ‌خامنه‌ای به #روحانی و #سران_سه_قوه داده اگر به #چوب داده بود تا الان یک کاری کرده بودند.</t>
  </si>
  <si>
    <t>‏‏‏‏‏‏‏‏‏‏‏‏‏‏‏‏‏‏‏‏‏‏‏‎ 36ساله متاهل که به شدت دنبال کار سرایداری هستم هر جای ایران باشه مهم نیست میام ،تخصص تعمیرات و نگهداری ساختمان هم دارم 09364371583</t>
  </si>
  <si>
    <t>https://twitter.com/majazestan/status/1036704313140293642</t>
  </si>
  <si>
    <t>یا قرص سیانور در اختیار مردم بزارن به قران من اولین نفر میگیرم و می خورم ،یا این #روحانی بی سواد بی کفایت بره کنار ،والله اگر کنار بره مردم بهش افتخار میکنند ،میگن نتونست و قبول کرد و رفت ،ولی هر چه بمونه بیشتر ما فرو میریم RT @majazestan: این فقرِ به‌یکباره، این بدبختیِ یهویی، این موجِ بی‌کاری، دربه‌دری، مهاجرت، بی‌کسی، شایسته مردم ایران نیست. هست؟ این سرشکستگی گذرنامه، این بی‌اعتباری واحدِ پولِ ملّی، این ترس از آینده، ترس از کارآفرینی، ترس از تشکیل خانواده، شایسته مردم ایران نیست. هست؟ چه‌کنیم خدایا؟ چه‌کنیم...</t>
  </si>
  <si>
    <t>امروز تمام مردم ایران یک شباهتی با #بیل_گیتس دارند ، اون حتی میخوابه سرمایه اش ثانیه ای بالا میره ،ما مردم ایران هم حتی وقتی می خوابیم از سرمایه مون کم میشه .خدا رو خوش نمیاد،این فرمول فرمول دشمنان ملت ایرانه والله #روحانی ضررش از اسرائیل بیشتره ،</t>
  </si>
  <si>
    <t>https://pbs.twimg.com/media/DmSxfa6XoAEywME.jpg</t>
  </si>
  <si>
    <t>به #احمدی_نژاد خبر رسید که می‌خوان بنزین #ایران🇮🇷 رو تحریم‌ کنن، ظرف مدت کوتاهی در حوزه تولیدِ #بنزین خودکفا شدیم به #روحانی خبر رسید، مکرر هم رسید که #آمریکا قابل اعتماد نیست و #تحریم در راهه، در حوزه‌های #استراتژیک که بماند، در زمینه #پوشک هم کم آوردیم!</t>
  </si>
  <si>
    <t>اُمة البصيرة</t>
  </si>
  <si>
    <t>‏مهندسی فیزیک اتمی</t>
  </si>
  <si>
    <t>خوزستان</t>
  </si>
  <si>
    <t>میبینم که اقتصادو قهوه ای کردی... هی بلدم بلدم راه انداخته بودی چی شد پس؟ #روحانی</t>
  </si>
  <si>
    <t>mohammad ghatineh</t>
  </si>
  <si>
    <t>Lifeguard 🏊🏻🏊🏻⛱⛱ کور بشه هرکی خوشیه مارو نمیتونه ببینه</t>
  </si>
  <si>
    <t>انقلاب نصر با خودسوزی یه پسره سبزیفروش و نشره فیلمش تو توییتر شروع شد ( تاجایی که من میدونم ) ، ماشالله به غیرته خودم ، خوذم برا خودم متاسفم با هیچکسی کاری ندارم #خودسوزى #جمهوری_اسلامی_انتخاب_من_نیست #روحاني #روحانی_خفه_شو</t>
  </si>
  <si>
    <t>شاقولوس</t>
  </si>
  <si>
    <t>#رئیس_جمهور داریم که وقتی از او برای اجلاس #خبرگان با تمرکز بر "#معیشت_مردم" دعوت می‌شود، می‌گوید که #وقت_ندارم و به جلسه نمی‌رود آقای #روحانی وقت دارید به توچال بروید.؟!</t>
  </si>
  <si>
    <t>rezamata</t>
  </si>
  <si>
    <t>همان‌هایی که خودشان را پاره کردند تا رئیس جمهور موهن و محبوبشان، #روحانی، دوباره رای بیاورد، امروزه و به سبب شرایط اقتصادی به ما فحش و ناسزا می‌گویند. چنین آدم‌های عجیبی هستند.</t>
  </si>
  <si>
    <t>https://pbs.twimg.com/media/DmTBcXbXcAAl0m8.jpg</t>
  </si>
  <si>
    <t>. #دلار ۱۲ هزار تومان... #سکه ۴ میلیون تومان... پراید ۴۰ میلیون تومان... #پوشک ۹۰ هزار تومان... خط فقر در تهران ۵ میلیون تومان... #یارانه دولتی همچنان ۴۵ هزار تومان! . #روحانی #ترانه_علیدوستی #مهناز_افشار</t>
  </si>
  <si>
    <t>Ahmad</t>
  </si>
  <si>
    <t>به نظرتان شده جناب #روحانی و اعوان و انصارش یک شب سر گرسنه بر زمین بگذارند؟ شده بخاطر اینکه دخترشان غذایی برای خوردن داشته باشد خودش آنشب چیزی نخورده باشد؟! شده آیا فرزندشان برای نداشتن غذا گریه کرده باشند و پا به زمین کوبیده باشند؟! خواهشا #میشه_بسه</t>
  </si>
  <si>
    <t>...بیار باده که بنیاد عمر بر بادست..</t>
  </si>
  <si>
    <t>آقای #روحانی !با این تورم و این قیمتها چگونه باید خانواده مان را اداره کنیم؟ شما بگویید چه کنیم؟</t>
  </si>
  <si>
    <t>اسدالله میرزا</t>
  </si>
  <si>
    <t>آغاز یک روز سگی دیگه رو تبریک میگم ! میریم ببینیم امروز چقدر از دیروز فقیرتر و بدبخت تر میشیم !!! #دلار #اقتصاد #روحانی #رهبر #ریتوییت #ریت</t>
  </si>
  <si>
    <t>#مجلس ششم یا #مجلس دهم؟؟ مسئله این است... این مجلس داره جلو میزنه از مجلس ششم تو #خیانت ...</t>
  </si>
  <si>
    <t>برو که هیچ کس ندا به گوش کر نمی زند</t>
  </si>
  <si>
    <t>حسن #روحانی: در اینکه مردم با مشکلات جدید مواجه شده‌اند شکی نیست. نکنیمون مسوولیت‌پذیر!</t>
  </si>
  <si>
    <t>اوگی</t>
  </si>
  <si>
    <t>#روحانی : دشمن می‌تواند مشکل ایجاد کند، اما این مثل روز روشن است که به اهدافش نمی‌رسد. برای رهبرشدن فعلا ادبیاتش رو داری تا بقیه‌ش</t>
  </si>
  <si>
    <t>Still ballin / #GGMU #ForcaBarca #TeamLH44 #DayDreamer</t>
  </si>
  <si>
    <t xml:space="preserve">Kerman - Tehran </t>
  </si>
  <si>
    <t>اگر یک ایرانی با طور میانگین ۸۰ سال عمر کنه ، یک پنجم زندکیشو درگیر کیری بازیای کشورش بوده #احمدی‌نژاد #روحانی</t>
  </si>
  <si>
    <t>مو کلاغی</t>
  </si>
  <si>
    <t>آفریده خدا که می خواهد بنده خدا باشد. اگر بشود که چه می شود.</t>
  </si>
  <si>
    <t>یه جوری دارین #روحانی رو تطهیر می کنین که انگار نه انگار همین پارسال برای انتخاب دوباره اش؛ داشتین خودتون رو «فارسی سخت»(!!!) می دادید #پروانه_سلحشوری</t>
  </si>
  <si>
    <t>🇮🇷 sadra1357 🇵🇸</t>
  </si>
  <si>
    <t>http://www.borazjani.com</t>
  </si>
  <si>
    <t>دانشجوی سیاست و مشغول رسانه، عکاس و مستندنگار</t>
  </si>
  <si>
    <t>https://twitter.com/amirpourmand/status/1037056472100888578</t>
  </si>
  <si>
    <t>نمی‌شود تغییرات هزینه‌ای #مردم روی مداری بالاتر از قبل تنظیم شود اما برنامه‌ای برای افزایش سطح درآمدها خصوصا #کارگران و دهکهای پایین نداشت؟از تبعات بی #وزیر شدن #وزارت_کار و #وزارت_اقتصاد یکی همین که کارها بجای بهتر شدن، بر زمین ماندند و معلوم نشد هدف #مجلس از #استیضاح چه بود؟ RT @amirpourmand: در حال حاضر تهیه یک ست دوربین و لنزهای متداول برای یک عکاس خبری بیش از ۸۰ میلیون تومان میشه و متوسط دستمزد ماهیانه در حدود ۱ میلیون و هشتصد تا دو میلیون تومان است... نمی دونم تا چه زمانی میشه ادامه داد؟</t>
  </si>
  <si>
    <t>پیام برازجانی🇮🇷</t>
  </si>
  <si>
    <t>#ورزش_میکنم، #کتاب و #رمان میخوانم (#چرا_رمان؟ #چراکتاب؟) ، و آنچه که توییت میکنم زاییده ذهن خودم است... پس هستم. #رامسری</t>
  </si>
  <si>
    <t>"آنان که به #احمدی‌نژاد مفتخرند هرگز تو مپندار که هالو و خرند دیروز در خانه او جمع شدند شاید دو سه تا گوجه فرنگی بخرند" بنده در راستای همین شعر جناب #هالو عرض می‌کنم که با وجود رای به #روحانی به هیچ وجه به ایشان افتخار نمی‌کنم. علی برکت الله</t>
  </si>
  <si>
    <t>Mohsen Minbashi 🇮🇷</t>
  </si>
  <si>
    <t>آقای #روحانی نتیجه وزیر سفارشی میشه وضعیتی که الان هست. #شریعتمداری #کرباسیان</t>
  </si>
  <si>
    <t>http://instagran.com/hoseinazarpira</t>
  </si>
  <si>
    <t>studied nuclear physic- freestyle Wrestler</t>
  </si>
  <si>
    <t>سه تا قوه داریم در نهایت دوستی دارن با هم كار میكنن وضع مملكت شده این یعنی خود من مدیر یا مسئول جایی باشم رفقام بخوان كارمو با دوستی اشتباه بپیچونن باهاشون بحثم میشه این #مجلس یا #روحانی یكم روی رزومه خودشون تعصب ندارن آنقدر وقیحانه دروغ میگن و كار میكنن به خدا شرم هم خوب چیزیه</t>
  </si>
  <si>
    <t>حسین آذرپیرا</t>
  </si>
  <si>
    <t>http://eslahatnews.com</t>
  </si>
  <si>
    <t>‏‏‏اخبار مهم و موثق 👤ما اخبار را با نگاه اصلاح طلبی بدوراز پنهان کاری نشر می‌دهیم. تنها صفحه رسمی پایگاه خبری اصلاحات نیوز در توئیتر</t>
  </si>
  <si>
    <t>https://pbs.twimg.com/media/DmTRckdX4AMPDWj.jpg</t>
  </si>
  <si>
    <t>سعید #لیلاز، قائم مقام حزب کارگزاران سازندگی: من پشت پرده را نمی دانم ولی اختیاراتی که آقای خامنه ای به #روحانی و سران سه قوه داده اگر به #چوب داده بود تا الان یک کاری کرده بودند.</t>
  </si>
  <si>
    <t>اصلاحات نیوز</t>
  </si>
  <si>
    <t>مجلس كنونى تا آنجا همراه روحانى بوده كه پس از جلسه رأى اعتماد به وزيران دولت روزنامه شرق نوشت: وزارى دولت از موانع كوتاه #بهارستان عبور كردند! اما اكنون ناتوانى دولت #روحانى به جايى رسيده كه همين مجلس پاسخ ايشان را قانع كننده نمى دانند..اين ديگر سخن منتقدان نيست! حسین شریعتمدارى</t>
  </si>
  <si>
    <t>کلید های دولت #روحانی برای رشدکشور: #برجام #رفع_حصر #رفراندوم رابطه به هرشکل ممکن با کدخدا کلید های یدکی: کلیدخانه های خارج از کشور برای فرار از کشوربعدعملیات #براندازی کلیدذخایر ارزی وبانک ها برای چپاول کلیدهای درحاشیه نه به حجاب نبودفیلترینگ کنسرت خیابانی نقد همه افراد</t>
  </si>
  <si>
    <t>Civil Engineer (MASc), Smoking, FEM Analysis, Seismic Science, Football, Music, a little Politics, less philosophy, That’s all I am.</t>
  </si>
  <si>
    <t>٢ نطق تاريخي امروز تو #مجلس داشتيم. اومدن كل حرف اپوزيسون هاي موجود رو البته با ادبيات خاص همين اعتدالي زدن ( كمك كنيد! )، نظام براي چرخش و نرمش آماده شده! هـيچ حرفي درش نيست.</t>
  </si>
  <si>
    <t>Arash Fzn</t>
  </si>
  <si>
    <t>تو فرودگاه #گرگان،#عارف رو دیدم با کلی خایه مال دورش!مگه این جاکش #نماینده #تهران نیست!؟اومده #گرگان چه گوهی بخوره!؟اومده #خلیج #گرگان در حال خشک شدن رو بفروشه!؟</t>
  </si>
  <si>
    <t>‏‏‏‏‏‏‏یه مامان مترجم ومعلم،علاقمند به ادبیات،روانشناسی،سینما تحصیلکرده ی ادبیات انگلیسی وروانشناسی</t>
  </si>
  <si>
    <t>این خانم #پروانه_سلحشوری بود دیروز تو #مجلس حرف زد، بابام داشت نگاه میکرد آخرش گفت از خیلی مردا مردتره، میگذرم از نگاه مردانه ش،حسابی چسبید بهم.</t>
  </si>
  <si>
    <t>Mina_elyasi</t>
  </si>
  <si>
    <t>#مدیریت_بحران از ژاپن یاد بگیر امروز یه پل تو شهر کانسای فرو ریخت خود نخست وزیر الان توییت زد که تمام شد مشکل بدون هیچ تلفاتی البته خودش هم در محل حظور داشت مثل #روحانی</t>
  </si>
  <si>
    <t>ديروز حيدري و پروانه سلحشوري نطق فرمودن كه بازم ما غلط زياد كرديم كه وضع اقتصادي اينجوري شد تقصير امريكا نيست كه تازه #روحاني هم تقصير نداره! واقعا جاداره از اين #ليست_اميد همه خودسوزي كنند</t>
  </si>
  <si>
    <t>می‌نويسم امضا می‌کنم</t>
  </si>
  <si>
    <t>می‌نويسم امضا می‌کنم که #روحانی الان خوابه</t>
  </si>
  <si>
    <t>دست به امضا</t>
  </si>
  <si>
    <t>https://pbs.twimg.com/media/DmTUsjBW0AAaNA9.jpg</t>
  </si>
  <si>
    <t>عمو جون دیگه بزرگ شدی، #پوشک می‌خوای چیکار؟ #روحانی</t>
  </si>
  <si>
    <t>https://pbs.twimg.com/media/DmTVQbxXgAAsrUi.jpg</t>
  </si>
  <si>
    <t>https://www.yjc.ir/00Rvec</t>
  </si>
  <si>
    <t>نیکی هیلی: #روحانی می‌تواند در نشست شورای امنیت به ریاست ترامپ شرکت کند نماینده آمریکا در سازمان ملل گفت رئیس‌جمهور ایران می‌تواند در نشستی که همزمان با مجمع عمومی سازمان ملل به ریاست ترامپ برگزار می‌شود حضور داشته باشد</t>
  </si>
  <si>
    <t>https://pbs.twimg.com/media/DmTXOWNX0AAmUYR.jpg</t>
  </si>
  <si>
    <t>مذاکره ی مناظره طورِ #روحانی و #ترامپ در شورای امنیت ششم مهر. #مذاکره #ترامپ #روحانی #شورای_امنیت #6_مهر #26سپتامبر</t>
  </si>
  <si>
    <t>saeed mdi</t>
  </si>
  <si>
    <t>اگر #هاشمی و #خاتمی و #روحانی همه همتشان را جمع کنند و هوششان را و در یک ظرف بریزند یک جو از هوش و ذکاوت #مشایی و #احمدی_نژاد نخواهد شد</t>
  </si>
  <si>
    <t>١- فکر میکنم یک #مکتب_سیاسی نزدیک به #ماکیاولی در ایران وجود داره که میشه اسمش رو گذاشت #دهنمکیسم ! اولین بار ده‌نمکی با مطرح کردن پوچ‌ترین و سطحیترین جوکها و آوازها و تحلیل های کوچه بازاری تونست محبوبیت خلق! کنه #احمدی‌نژاد نفر بعدی بود و بعدش #روحانی و #امید ی ها.</t>
  </si>
  <si>
    <t>بدبخت شدیم رفت، وقتی #روحاني میگه به قبل از 57 برنمیکردیم، یعنی حتما برمیگردیم(هرچی رو گفته نمیشه حتما شده)، دوباره از دل دیکتاتوری شیخ به دیکتاتوری شاه خواهیم افتاد</t>
  </si>
  <si>
    <t>Journalist دانش‌آموخته و مدرس علوم‌ارتباطات‌ و روزنامه‌نگاری، نظراتم شخصی‌ست، پای کارِ ایرانم</t>
  </si>
  <si>
    <t>IRAN🇮🇷</t>
  </si>
  <si>
    <t>هرچند ناموفق #احمدی‌نژاد باتوسعه و افزایش ظرفیت دانشگاه‌ها،استخدامهای گسترده،افزایش حقوق‌ها ویارانه تلاش کرد برجمعیت طبقه متوسط بیافزاید وحاشیه امن برای نظام تامین کند #روحانی با رهاکردن معیشت مردم اصرار برافزودن عدد قشر ضعیف وفقیر دارد تابه استعداد و‌‌پتانسیل قیام فقرا بیافزاید!</t>
  </si>
  <si>
    <t>م.بابايي 🇮🇷</t>
  </si>
  <si>
    <t>https://t.me/sefr_e_motlagh</t>
  </si>
  <si>
    <t>تنظیم کننده تنفس بدنبال حقیقت، حقیقت، حقیقت. گروه، حزب، دسته، فالوور یا فالووینگ نشانه عقیده واقعی نیست. حرف خارج شده از دهان، مطلب توییت شده نشانه آن است.</t>
  </si>
  <si>
    <t>https://pbs.twimg.com/media/DmPrXTdW0AAyFC6.jpg</t>
  </si>
  <si>
    <t>https://twitter.com/rez65bah/status/1036931198654836739</t>
  </si>
  <si>
    <t>چی شده که اینقدر به «کم» قانع شدیم؟ #مجلس باید در روز شاهد پنج نطق مشابه این باشه. یک نطق میان دستور که بازهم مجیز #رهبری رو میگه و راه حل برون رفت رو ورود شخص او میدونه در حالی که اغلب مشکلات مربوط به دستگاههای تحت نظر شخص اوست، جای اینهمه تقدیر و تشکر نداره! RT @rez65bah: نطقِ امروزش نشان داد که #حق_مردم برای او ارجح‌تر از #تایید_صلاحیت برای انتخابات مجلس آینده است! امروز نماینده‌ای دیدم از #جنس_مردم! از جنس نمایندگان #مجلس_ششم! از جنس #علی‌اکبر_موسوی_خویینی! #پروانه_سلحشوری #عصاره_فضائل_ملت</t>
  </si>
  <si>
    <t>هیپوتالاموس</t>
  </si>
  <si>
    <t>https://pbs.twimg.com/media/DmTdk5FW4AAQxnV.jpg</t>
  </si>
  <si>
    <t>#روزنامه_جام_جم چهارشنبه ۱۴ شهریور ۹۷ #روحانی: نمیتوانند ما را با قبل از ۵۷ برگردانند</t>
  </si>
  <si>
    <t>با دلار ۱۳هزاری، یاد زمان انتخابات،که بعضی کارشناسان می گفتند اگر #رییسی رای بیاورد دلار پنج هزار میشود حال همان کارشناسان با وضع #گرانی_ها می‌گوید اگر #روحانی نبود #گرانی_ها بیشتر میشد، #قضاوت_با_مردم</t>
  </si>
  <si>
    <t>Mr.Shahrokh.Alavi🇮🇷🇵🇸🇸🇾🇮🇶🇱🇧🇾🇪</t>
  </si>
  <si>
    <t>همش سه سال مونده ولی آخرش هممون سی سال پیرتر شدیم! #روحانی</t>
  </si>
  <si>
    <t>طهماسب</t>
  </si>
  <si>
    <t>‏‏‏‏‏‏‏‏‏‏‏‏‏‏‏‏‏‏‏‏یه سیاستمدار فسیل شده با تفکرات ‎‎‎‎‎‎‎‎‎‎‎‎انقلابی،کسی که روزی هفتاد بار میمیرد،بیشتر اوقات فکر،گاهی اوقات طنز سیاسی و همیشه یک #سیاستمدار</t>
  </si>
  <si>
    <t>https://pbs.twimg.com/media/DmTeSHNX4AEoSoY.jpg</t>
  </si>
  <si>
    <t>از مشاغل ایجاد شده توسط دولت شیخ کلید ساز🗝️🗝️🗝️🗝️🗝️🗝️🗝️🗝️🗝️🗝️🗝️ #روحانی 👊 #مچکریم ✋</t>
  </si>
  <si>
    <t>http://jjo.ir/caypixuy</t>
  </si>
  <si>
    <t>نماینده آمریکا در #سازمان_ملل_متحد: #روحانی می‌تواند در نشست #شورای_امنیت به ریاست #ترامپ، سخنرانی کند او مدعی شد نشست شورای امنیت که قرار است اواخر ماه جاری میلادی به ریاست ترامپ برگزار شود ارتباطی با تلاش برای براندازی #نظام حاکم #ایران ندارد.</t>
  </si>
  <si>
    <t>#کروبی گفته بود با این این شرایط به دوران قاجار بر میگردیم #روحانی دیروز در جواب گفت ما به قبل از 57 باز نمی گردیم. پ.ن: با خودشون درگیرن</t>
  </si>
  <si>
    <t>بادیگارد</t>
  </si>
  <si>
    <t>با توجه به نشست آتی شورای امنیت به ریاست ترامپ درباره ایران، خوب است از ایران #روحانی یا #طریف شرکت کنند.زیرا: ۱. به اظهارات ترامپ پاسخ دهند. ۲. سطح پایین نماینده ایران، باعث نادیده گرفتن پاسخ ایران میشود. ۳. ابتکار رسانه ای را از ترامپ میگیرد. ۴. امکان گفتگو علنی فراهم می شود.</t>
  </si>
  <si>
    <t>‏‏‏‏‏‏‏‏‏‏‏‏‏‏‏‏‏‏‏‏‏‏‏‏‏به فضل و هول قوهٔ الهی بنده حماقت را به جنون میرسانم// این اکانت بیمه حضرت ابوالفضل است. معادلات اقتصادی هم مالِ خر است. امر دیگری؟؟</t>
  </si>
  <si>
    <t>جهنم درب آخر</t>
  </si>
  <si>
    <t>https://youtu.be/PhCmekUG9mw</t>
  </si>
  <si>
    <t>مقایسه حرفهای #روحانی بعنوان رئیس جمهور و این عمله بعنوان بسیجی. یک ملت هشتاد میلیونی با یه مشت بیسواد طرف هستند</t>
  </si>
  <si>
    <t>عاقا - امام سیدعلیل</t>
  </si>
  <si>
    <t>https://pbs.twimg.com/media/DmTgwNrX4AAnR4B.jpg</t>
  </si>
  <si>
    <t>https://www.ilna.ir/fa/tiny/news-664199</t>
  </si>
  <si>
    <t>حسن صادقی در گفت‌وگو با #ایلنا مطرح کرد: باید #مجلس را #استیضاح کرد/عملکرد قوه مقننه، مبین این حرف اپوزیسیون خارج‌نشین شده که با دستمال کثیف نمی‌توان شیشه را تمیز کرد/خروجی امروز مجلسیان نتیجه‌ استفاده نادرست از نظارت استصوابی است</t>
  </si>
  <si>
    <t>پاسخ #روحانی برای حضور در جلسه خبرنگان با موضوع #معیشت مردم: "وقت ندارم" #مدیر_پاسخگو #لیست_امید #دولت_تدبیر_امید</t>
  </si>
  <si>
    <t>mh</t>
  </si>
  <si>
    <t>کارشنارس ارشد ‎‎‎‎‎#مهندسی_صنایع| دبیر خبر خبرگزاری دانشجو | ‏‏‏نویسنده ‎‎#روزنامه_جوان | دبیر اسبق کرسی های ‎#آزاداندیشی دانشگاه های تهران بزرگ|</t>
  </si>
  <si>
    <t>من واقعا مشکوک شدم به این وضعیت رئیس جمهور نمیتونه اینقدر بیخیال اوضاع اقتصادی کشور باشه؛ هرچقدر هم ضعیف و ناکارامد باشه ... به سخنرانی ها و کد هایی که روحانی و محسن هاشمی میدن واسه بهمن ۹۷ مشکوکم #فتنه #روحانی #پوشک #محسن_هاشمی</t>
  </si>
  <si>
    <t>امیررضا غلامی</t>
  </si>
  <si>
    <t>https://pbs.twimg.com/media/DmThtK6WsAAUy2T.jpg</t>
  </si>
  <si>
    <t>https://www.ilna.ir/fa/tiny/news-663696</t>
  </si>
  <si>
    <t>فرشاد مومنی و حسین راغفر مطرح کردند؛ جزئیاتی از شاخص دست‌نشاندگی، فقر و فسادِ اعلیحضرت/ خصولتی‌ها کشور، #دولت و #مجلس را در دست گرفته‌اند/ به زودی تولید در کشور زمین‌گیر می‌شود</t>
  </si>
  <si>
    <t>‏‏‏‏یِی زندگی روتینی مث بقیه مردم، یِی نفسی میاد و می‌ره آقووو!</t>
  </si>
  <si>
    <t>شیراز کاکو! شیراز!</t>
  </si>
  <si>
    <t>اینقدری که #روحانی و کابینه‌اش شیرازی هستن، ما شیرازی‌ها شیرازی نیستیم!</t>
  </si>
  <si>
    <t>آقوی همساده</t>
  </si>
  <si>
    <t>‏‏‏‏‏‏‏ارائه دیدگاه وانت نیسانی از نوع آبی در خصوص مسائل سیاسی روز کشور/ اگر فالو کردید که هیچ وگرنه جاتون عقبِ وانته ‎‎#انقلابی فالو = بک</t>
  </si>
  <si>
    <t>https://pbs.twimg.com/media/DmTifYrXsAACyXz.jpg</t>
  </si>
  <si>
    <t>#دلار خانم.... آیا وکیلم شما را با تعداد ۱۴ عدد اسکناس ده هزار ریالی وجه رایج مملکتی تعویض نمایم؟!!! دلار با #روحانی رفته ۱۸۰۰۰ تومنی بشه؟! برای بار دوم می پرسم... #دلار۱۴۰۰۰تومانی</t>
  </si>
  <si>
    <t>🇮🇷وانت نیسان سیاسی🇮🇶</t>
  </si>
  <si>
    <t>Learning Humanities in High school. [Do or Die]</t>
  </si>
  <si>
    <t>رئیس‌جمهور روحانی: *اینکه ما را به قبل از ۵۷ برگردانند، آرزویی است که محقق نمی‌شود خو بیایم ۴۰سال قبل رو با حالا مقایسه کنیم: تحصیل رایگان پاسپورت معتبر اشتغال دارای ناوگان هوایی مدرن و.... #روحانی #تا١٤٠٠باروحاني</t>
  </si>
  <si>
    <t>داداش ادیسیوس</t>
  </si>
  <si>
    <t>https://twitter.com/jskojabadi/status/1036996022055129088</t>
  </si>
  <si>
    <t>ایشون فکر کنم در خواب هستند دولت #روحانی با ورودش به عرصه دولتی کلا همه چیز را نابود کرد باعث شد پولدار بیشار صاحب پول شود و فقیر از همیشه فقیر تر بشود و این در قانون و انقلاب ما نیامده است RT @jskojabadi: #سعید_لیلاز : ۹۶/۲/۲۳: یارانه ۲۵۰ شود، دلار ۸۰۰۰ تومن می‌شود و مردم هم فریب شعار پوپولیستی افزایش یارانه‌ها را نمی‌خورند ۹۶/۲/۱۳: اگر روحانی نمی‌آمد سقوط ایران قطعی بود؛ من از روی علم و کارشناسی مسایل رامطرح می‌کنم ۹۵/۱۰/۳۰: دولت تدبیر وامید درخشان‌ترین عملکرد اقتصادی راداشته است</t>
  </si>
  <si>
    <t>\M/ 🌈</t>
  </si>
  <si>
    <t>#روحانی اومد کلید نشون داد با همون کلید دهن ماروو گایید حاجی بکش بیرون دیگه😑</t>
  </si>
  <si>
    <t>🌈دُخت🇺🇸🇮🇱</t>
  </si>
  <si>
    <t>موزیسینی که میخواهد صدای سازَش شنیده شود!</t>
  </si>
  <si>
    <t>هر کجا که حالمان خوب باشد</t>
  </si>
  <si>
    <t>یعنی صبح یه جوری #رادیو داشت از #روحانی و #دولت و #اقتصاد حرف میزد که احساس میکردی فضای باز انتقادی به #گشادی بیش از انداز‌ه‌ای رسیده</t>
  </si>
  <si>
    <t>اَل دی</t>
  </si>
  <si>
    <t>آقای مومن! اگر وظیفه شورای #خبرگان_رهبری را نمی‌دانید چرا در این شورا هستید؟ #مجلس می‌تونه از دولت توضیح بخواهد. رهبر هم می‌تونه از هر سه قوه توضیح بخواهد. این عین قانون است. شما فقط باید از رهبری توضیح بخواهید. اما افسوس که خودتان بهتر از هر کس می‌دانید که فقط #مترسک هستید.</t>
  </si>
  <si>
    <t>‏‏‏‏دبیر سرویس دانشگاه خبرگزاری دانشجو(http://snn.ir‎‎‎‎‎‎ )| صفحه شخصی است</t>
  </si>
  <si>
    <t>:))</t>
  </si>
  <si>
    <t>pic.twitter.com/1g65bfmql1</t>
  </si>
  <si>
    <t>فیلمی که یکی از دانشجوها از #سيستان_و_بلوچستان برای ما فرستاده... تا ۱۴۰۰ با #روحانی احتمالا همه زیر شن دفن می‌شیم...</t>
  </si>
  <si>
    <t>م.عبدالعلی‌پور</t>
  </si>
  <si>
    <t>‏‏‏عاشقِ قرمه سبزی</t>
  </si>
  <si>
    <t>Pinned Tweet</t>
  </si>
  <si>
    <t>شما اگر به روحانی رای دادی، یه عمل تاثیرگذار انجام دادی (کاری ندارم اون شخص یا کلا رای دادن درسته یا غلط) پس وقتی از رای یا روحانی پشیمون میشی بهتره انزجار و مخالفتت هم تاثیرگذار باشه نه صرفا یه هشتگ بزنی یا توییت کنی پشیمونم و عذر میخوام #روحانی #تا۱۴۰۰باروحانی</t>
  </si>
  <si>
    <t>نیم پوندی</t>
  </si>
  <si>
    <t>‏‏دستان تو تصمیم بود/ باید می‌گرفتم و می‌رفتم</t>
  </si>
  <si>
    <t>مثل اینکه #روحانی تهدیدش رو عملی کرد. به رییس بانک مرکزی گفته جلوی بالا رفتن #دلار رو نگیر تا ببینن یه من ماست چقدر کره داره🤔</t>
  </si>
  <si>
    <t>azamina🎗</t>
  </si>
  <si>
    <t>http://mubuc.blog.ir</t>
  </si>
  <si>
    <t>خاک تو سرتون با این مملکت داریتون! #روحانی #ظریف #پدر_ایران @JZarif</t>
  </si>
  <si>
    <t>Sadegh Zamani</t>
  </si>
  <si>
    <t>از #خامنه_ای بگیرتا آن ملیجکش #جواد_ظریف و غلام حلقه به گوشش #روحانی بگیر تا دلقکان ریزو درشت نظام رئیس بانک مرکزی ووزیر صنعت و #احمد_جنتی و ......... سخنرانی و بیانیه صادر میکنند اماهیچ درباره #۹میلیارد_دلار_گمشده سخن برزبان نمی آورند به راستی این ۹ میلیارددلار سرنوشتش چی شد</t>
  </si>
  <si>
    <t>اینجا از تجربه زیسته خود می گویم</t>
  </si>
  <si>
    <t>Iran _ Tehran</t>
  </si>
  <si>
    <t>وضعیت کشور شده شبیه ماشینی که راننده اش فرمون را ول کرده و داریم به سمت ته دره سقوط می کنیم. #روحاني</t>
  </si>
  <si>
    <t>Mahdi_A</t>
  </si>
  <si>
    <t>pic.twitter.com/O39XOU5lqs</t>
  </si>
  <si>
    <t>و اما امروز... لطفا کاری کنید کارستان. #جهانگیری #برجام #تورم #گرانی #کارستان #روحانی #ارز</t>
  </si>
  <si>
    <t>چراغِ بی° روغنَ</t>
  </si>
  <si>
    <t>کمالِ همنشین</t>
  </si>
  <si>
    <t>از #احمدی_نژاد به #روحانی از #موشک به #پوشک از #ضاحیه به #لوزان از #انرژی_هسته‌ای_حق_مسلم_ماست به #اهواز_هوا_ندارد و... #فرجام_غربگرايى فرجام تائید صلاحیت #روحانی با اعمال نفوذ فُلانی</t>
  </si>
  <si>
    <t>Dr.MSN89</t>
  </si>
  <si>
    <t>نميخواهم از #روحاني حمايت كنم ولي خوب از اين #مجلس_خبرگان چه خروجي ميخاست بيرون بياد كه حالا چون روحاني نرفته مشكل ايجاد كرده.واقع بين باشيد @sp_hos</t>
  </si>
  <si>
    <t>ترجمه ی متعادل شدن قیمت ارز رو هم فهمیدیم. کلا ی فرهنگ لغت جدید مخصوص دولت تدبیر و امید باید بنویسن. تدبیر و امید = بدبختی و نا امیدی #دولت #روحانی</t>
  </si>
  <si>
    <t>http://www.ictna.ir</t>
  </si>
  <si>
    <t>آژانس خبری فناوری اطلاعات و ارتباطات (ایستنا) آخرین اخبار، گزارش ها و تحلیل های حوزه فناوری اطلاعات و ارتباطات</t>
  </si>
  <si>
    <t>سخنگوی کمیسیون برنامه، بودجه و محاسبات #مجلس شورای اسلامی از رد طرح راه اندازی پیام رسان مالی و #رمزارز ها در جلسه امروز کمیسیون برنامه، بودجه و محاسبات خبر داد.</t>
  </si>
  <si>
    <t>ICTna.ir | ایستنا</t>
  </si>
  <si>
    <t>https://pbs.twimg.com/media/DmTqkquWwAAHpYq.jpg</t>
  </si>
  <si>
    <t>بلومبرگ: دیدار احتمالی ترامپ و روحانی در جلسه شورای امنیت سازمان ملل #بلومبرگ #ترامپ #روحانی</t>
  </si>
  <si>
    <t>‏‏‏‏‏هر چه از ایشان در نظرم بد آمدی...همینجا توییت می کنم!؟</t>
  </si>
  <si>
    <t>https://ift.tt/2ClncVR</t>
  </si>
  <si>
    <t>و باز هم #لاریجانی از استیضاح #روحانی جلوگیری کرد به بهانه اینکه اوضاع کشور آشفته تر میشه, مگه با حضور روحانی اوضاع کشور هر روز آشفته تر نمیشه؟</t>
  </si>
  <si>
    <t>چوگو حافظ!!</t>
  </si>
  <si>
    <t>بیاید کمبود پوشک رو یه مقدارم به فال نیک بگیریم، شاید همه رو فعلا بستن به خودشون که بیشتر از این نرینن به مملکت #پوشک‌بچه #پوشک #دولت‌ایران #روحانی</t>
  </si>
  <si>
    <t>Alisafari</t>
  </si>
  <si>
    <t>pic.twitter.com/3kKuNtQKCC</t>
  </si>
  <si>
    <t>۴٪های پر رو #صبح_شما_هم_بخیر #روحانی #لیست_امید #شورای_شهر_تهران #غربگراها #برجامیون</t>
  </si>
  <si>
    <t>https://pbs.twimg.com/media/DmTryBkX4AA4Et5.jpg</t>
  </si>
  <si>
    <t>بلومبرگ از دیدار احتمالی #ترامپ و #روحانی در جلسه شورای امنیت سازمان ملل خبر داد.</t>
  </si>
  <si>
    <t>با شروع بحران اقتصادی ونزوئلا دستمال توالت جزو اولین چیزهای بود که نایاب شد و نبودش تبدیل به یه بحران ملی شد، بعدشم صف‌های بلند تهیه کالا‌های اساسی #پوشک #روحانی #نالایق #احتکار #ونزوئلا #بحران_اقتصادی #بحران_پوشک #فرجام_غربگرایی #خیانت_fatf</t>
  </si>
  <si>
    <t>گویا دلار هم از #روحانی حرف‌شنوی نداره! چند وقت پیش دستور داده بود دلار بیاد پایین! #دلار۱۴۰۰۰تومانی</t>
  </si>
  <si>
    <t>لازم بدونم چيزى و بايد بگم ، پس ميگم</t>
  </si>
  <si>
    <t>ديگه رسما كارم تهران خونم كرج</t>
  </si>
  <si>
    <t>چند هفته پيش استيضاح #على_ربيعى اسم ٢نماينده #مجلس_شوراى_اسلامى برده شد كه يكى سالانه ٥٠٠ ميليون از ربيعى حقوق ميخواست و اون يكى فردى رو ميخواست وارد سيستم كنه كه راى #استيضاح ندن بعد صبح طرح ١فوريتى مبارزه با رانت و فساد اقتصادى تو #مجلس بوده</t>
  </si>
  <si>
    <t>1983 سام بزرگ</t>
  </si>
  <si>
    <t>آقای امیر حسین قاضی زاده، ما شماره‌ی چند رو رای بدیم؟ #مجلس. ۱۴/۰۶/۱۳۹۷</t>
  </si>
  <si>
    <t>http://nikprint.ir/</t>
  </si>
  <si>
    <t>‏‏‏‏‏‏‏‏‏یک آدم معمولی. اینجا از روزمرگی های یک کارآفرین زن می نویسم. درگیر تمام وقت یک استارتاپ به اسم نیک پرینت</t>
  </si>
  <si>
    <t>من یک سوال دارم، چرا وقتی یک نماینده مجلس داره پشت تریبون سخنرانی میکنه، باقی نماینده ها همه دارند با هم حرف میزنند؟ مگه بچه اند؟ واقعا این رفتار زشته و خوب دقت کنی هیچ جای دنیا اینطوری نیست. #مجلس</t>
  </si>
  <si>
    <t>Nikoo</t>
  </si>
  <si>
    <t>https://twitter.com/duman_ir/status/1037073145059000321</t>
  </si>
  <si>
    <t>به دیگر کلام #روحانی باید امضا کند. یادتان باشد سال ۹۳ روحانی گفت در گذشته دیگران جستجو نکنید. یادتان نیست ولی برگردید متوجه خواهید شد چرا برجام و الان وضعیت ماست RT @duman_ir: #مشایی: اگر همکاری میکردیم دیگرمشکلی نبود. رئیس جمهور هم میشدم. اگر چندین پرونده ومشکل جدی داشتم، من هم تائیدصلاحیت میشدم. چون میشد با من معامله کرد. مشکل این است وقتی کسی پرونده ندارد با او معامله هم نمیشود کرد. دیگر نمیشود پای اسنادی را امضا کرد که حقوق مردم در آن تضییع میشود.</t>
  </si>
  <si>
    <t>https://pbs.twimg.com/media/DmTtBsBXcAElLM8.jpg</t>
  </si>
  <si>
    <t>http://tn.ai/1820769</t>
  </si>
  <si>
    <t>طرح تشدید #مبارزه_با_مفاسد_اقتصادی از دستورکار #مجلس خارج شد! #کواکبیان:این طرح بار مالی دارد و باید از دستورکار پارلمان خارج شود در این طرح تشکیل #سازمان مستقل با اختیارات کامل برای مبارزه و رسیدگی به جرائم اقتصادی پیش‌بینی شده بود</t>
  </si>
  <si>
    <t>Bachelor in law, IAU, Iran 🇮🇷. Master in international relations-PFUR- Russia 🇷🇺. PhD student in international relations-USF ,USA 🇺🇸</t>
  </si>
  <si>
    <t>Tampa, FL</t>
  </si>
  <si>
    <t>https://pbs.twimg.com/media/DmTuI8-W0AA3ynl.jpg</t>
  </si>
  <si>
    <t>کاری که #اصولگرایان ۷ سال پیش با #احمدي_نژاد کردند. امروز #اصلاح_طلبان با #روحاني می کنند. هر دو تا توانستند از بودن در دولت هم جناح بهره بردند و در آخر با گرفتن رویکردهای انتقادی، حساب خود را از دولتشان جدا کردند تا در انتخابات های بعدی، به راحتی برائت جویند. @milanimohsen</t>
  </si>
  <si>
    <t>Arman Mahmoudian</t>
  </si>
  <si>
    <t>ما اگه به #روحانی رای نمیدادیم،الان داشتیم تحریمی ها رو به خاطر ریاست جمهوری #رییسی شماتت می‌کردیم. اون موقع بود که ۱۶ سال عقب میوفتادیم.</t>
  </si>
  <si>
    <t>Im just trying to do my best, if the universe let me do my job!</t>
  </si>
  <si>
    <t>خداروشکر نمایندگان ملت بیدارن! *** 📌طرح تشدید مبارزه با مفاسد اقتصادی از دستور کار #مجلس خارج شد(!!!)</t>
  </si>
  <si>
    <t>زوربای ایرانی</t>
  </si>
  <si>
    <t>آقای #نماینده با افزایش مناطق آزاد تجاری قصد سامان دادن کدام #معیشت هستید ،معیشت خودتان یا مردم؟ پیشنهاد میکنم کل ایران را #منطقه_آزاد اعلام کنید ، منطقه اش مال ما ، آزادیش مال شما آقایان و #آقازاده ها !! #نمایندگان_مجلس</t>
  </si>
  <si>
    <t>https://pbs.twimg.com/media/DmTvUxNXsAABLa1.jpg</t>
  </si>
  <si>
    <t>به نظرتون #رئیس_جمهور که وقت نداره در جلسه #خبرگان_رهبری شرکت کنه و درباره اوضاعی که خودش باعثش بوده حرف بزنه اصلا برای چی در #انتخابات شرکت کرده و نماینده خبرگان شده لابد عشق انتخاباته #وقت_ندارم @Rouhani_ir</t>
  </si>
  <si>
    <t>#روحانی قبلن میگفت به پیر و به آیه به سالهای قبل ۹۲ برنمیگردیم الان ک دلار شده ۱۵ تومن گفته به قبل ۵۷ برنمیگردیم یعنی منتظر اونروزا باشید</t>
  </si>
  <si>
    <t>‏اونطوری که بنظر میرسه،نیست.</t>
  </si>
  <si>
    <t>ساده لوح تر از منی که به امید فردای بهتر به روحانی رای دادم ، اون بنده خداییه که یقین داره اگه ملت به روحانی رای نداده بودند الان کشور به خاک سیاه نمی نشست. #دلار #قیمت_دلار #روحانی #اقتصاد #اقتصاد_ایران</t>
  </si>
  <si>
    <t>Saman</t>
  </si>
  <si>
    <t>‏واقع بین و پیگیر باشیم! امیدهایمان را بی عرضه بودنشان نابود کردند! اما تقاص و تاوانی نیز هست!</t>
  </si>
  <si>
    <t>به واللّه سال های ۸۴ تا ۹۲ گذشت و دیگر #تَکرار نمی شود. این صحبت از استند آپ های مهیج این روزهاست. نویسنده ای هم جز رئیس جمهور #بنفش یا همون #روحانی نداره! #دلار ۱۴۱۰۰! #سکه ۴۷۰۰! #شفافیت</t>
  </si>
  <si>
    <t>amirdhbzrgi</t>
  </si>
  <si>
    <t>رئیس فراکسیون غذا و داروی مجلس می‌گوید: "مردم نگران نباشند؛ در تامین #شیرخشک و #پوشک_بچه مشکلی نداریم." فکر می‌کنم #دولت(پیر) و #مجلس باید از خجالت بمیرند؛ دغدغه‌ی کشور از موشک دوربرد و پرتاب ماهواره و نانو و سلول‌های بنیادین رسیده به پوشک بچه! #روحانی! تو با این مملکت چه کردی؟!</t>
  </si>
  <si>
    <t>Human rights activist, lover of poetry and traditional music and paint a bit🌹 I am a student of Mohammad Ali Taheri</t>
  </si>
  <si>
    <t>Planet Earth</t>
  </si>
  <si>
    <t>دقت کردین تو ایران یه جا را میخوان بکَنَن ۵۰ نفر مهندس ومسول بالا سر یه کارگر می ایستن وهر کدامشون تز خاصی میدن! یعنی ۵۰ نفر بیخاصیت فقط پول نظارت بر بی مدیرتیشونو میگرن ویک نفر کارگر که در اخر حقوقش در حلقوم این ناظر کارا و... میره! خلاصه همه مثل #رئیس_جمهور مفیدمون!</t>
  </si>
  <si>
    <t>انتظار</t>
  </si>
  <si>
    <t>فرمون دقیقا دست کیه؟ @hesamodin1 @HassanRouhani #روحانی #آشنا</t>
  </si>
  <si>
    <t>https://pbs.twimg.com/media/DmTxM2tXcAA3aya.jpg</t>
  </si>
  <si>
    <t>🔸پیش‌بینی بلومبرگ: دیدار احتمالی #ترامپ و #روحانی در جلسه شورای امنیت سازمان ملل</t>
  </si>
  <si>
    <t>‏‏‏‏‏‏کدخدا رو بزرگ کردن برای مذاکره با ترسوها!</t>
  </si>
  <si>
    <t>سواحل قناری</t>
  </si>
  <si>
    <t>https://twitter.com/rezarashidpour/status/1037023567186206720</t>
  </si>
  <si>
    <t>«رضارشیدپور»، همونی نبود که در کمپین انتخاباتی #روحانی این شعر میخوند براش: رندان سلامت می‌کنند &amp; جان را غلامت می‌کنند مستی ز جامت می‌کنند &amp;amp; مستان سلامت می‌کنند غوغای #روحانی نگر &amp;amp; #سیلاب_طوفانی نگر RT @rezarashidpour: بیش از نودو پنج درصد روستاهای #سيستان_و_بلوچستان تلفن ندارند. این توهم و یا سیاه‌نمایی نیست. آمار ارائه شده توسط جناب #آذری_جهرمی ست.</t>
  </si>
  <si>
    <t>ننه جون کدخدا</t>
  </si>
  <si>
    <t>شنیده بودید اگه خلاف استخاره عمل کنی خوبیت نداره و اولش هر قدر خوش اما آخرش شَر میشه؟ #روحانی واسه انتخابات استخاره کرده و استخارش بد اومده بود اما باز شرکت کرد و شد رئیس جمهور الان هم داره دهن ملت رو ضدعفونی میکنه #دلار #فرجام_غربگرایی</t>
  </si>
  <si>
    <t>معلوم نیست تو مجلس چه خبره! کی داره به چی رای میده؟ که به چی رای نمیده؟ کی اصلا تو کمیسیون چی میگه؟! دیروز تو کمیسیون امنیت ملی چه چیزی تصویب شد و نشد؟! #شفافیت_آراء_مجلس #مجلس #روحانی #دلار۱۴۰۰۰تومانی #صادقی در دستشویی آستان قدس #مرتیکه پفیوز احمق نادان!</t>
  </si>
  <si>
    <t>https://pbs.twimg.com/media/DmTyUgDX4AAFrNn.jpg</t>
  </si>
  <si>
    <t>تنها #انقلاب خطرناک، انقلاب #گرسنگان است. من از شورش هایی که دلیل آن بی نانی باشد، بیش از نبرد با یک #ارتش دویست هزار نفری بیم دارم. #ناپلئون_بناپارت #روحانی #فقر #اقتصاد #اوضاع_اقتصادی #دلار</t>
  </si>
  <si>
    <t>این #اصلاح_طلبان خیلی موجودهای عجیبی هستن! مدام میگن چرا فقط از #روحانی انتقاد میکنید؟ عزیزان #مجلس و #شورای_شهر و #دولت رو در اختیار دارید، یعنی برای مدیریت کشور کمه؟؟ رو که نیست که سنگ‌پای قزوینه</t>
  </si>
  <si>
    <t>pic.twitter.com/H6e8aRcpTK</t>
  </si>
  <si>
    <t>#حسن_خمینی در پیام تبلیغاتی برای ریاست جمهوری #روحانی ، اردیبهشت ۹۶: اقتصاد‌دان‌های بزرگ نسبت به توانمندی #دولت شهادت داده‌اند و همین جان و روح ما را مستحکم می‌کند که با رای به روحانی آینده‌ را همراه هم رقم بزنیم! . . ایشون و اون اقتصاددان‌ها! الان دقیقا کجا هستن؟ کسی خبر داره؟</t>
  </si>
  <si>
    <t>اینطور که از شرایط برمیاد اگر امروز با حکومت نجنگیم فردا باید با #قحطی و #گرسنگی بجنگیم. #تحریم #دلار۱۵۰۰۰تومانی #روحانی #براندازم #خودسوزی #پوشک_بچه</t>
  </si>
  <si>
    <t>Researcher</t>
  </si>
  <si>
    <t>🚯</t>
  </si>
  <si>
    <t>نظر تون در مورد قیمت دلار آمریکا به تومان تا آبان ماه ؟ #نظرسنجی #ريتوييت_لطفا #روحانی #خامنه‌ای #دلار</t>
  </si>
  <si>
    <t>Ariana🕊</t>
  </si>
  <si>
    <t>حدودا ۴۷۴ روز از آفریده شدن جمله ی " ما به عقب برنمی گردیم" میگذره. هر چی حساب کتابِ با ارفاق میکنم می بینم توی این ۴۰ ساله در بهترین حالت نسبت به دنیا ما درجا ایستادیم؛ جلو رفتن پیشکش. #به_عقب_برنمیگردیم #ایران #دلار #گرانی #اقتصاد #روحانی</t>
  </si>
  <si>
    <t>ShAhRooZ</t>
  </si>
  <si>
    <t>Evry thing is okey if Gaverment don't do Eny things.</t>
  </si>
  <si>
    <t>شیر و پنیر با اقتصاد مقاومتی ساخته میشه ؟؟؟ یا با ارز دولتی یا ازاد وارد میشه ؟؟؟ در عرض یا هفته ۴۰% رو قیمت رفته ؟؟ دیدم مادری رو که به امید خرید ۲ پاکت شیر اومد بود با ۱ پاک شیر خارج شد #اقتصاد #روحانی @sadeghZibakalam @mah_sadeghi @Rouhani_ir</t>
  </si>
  <si>
    <t>Nima Naseri</t>
  </si>
  <si>
    <t>#روحانی گفت داریم دلار ذخیره میکنیم. رئیس بانک مرکزی گفت یک سنت هم نداریم. یعنی دلارها تو بانک و حساب ذخیره ارزی ذخیره نشده. دلارها تو جیبها ذخیره میشه.</t>
  </si>
  <si>
    <t>A Foreign Affairs Analyst and Student in International Relations</t>
  </si>
  <si>
    <t>خب اینجوری که بوش میاد #روحانی و #ترامپ ممکنه آخر سپتامبر دیدار کنند آخر این ماه قراره ترامپ ریاست بک جلسه شورای امنیت رو برای تصمیم درباره تحریم ایران به عهده بگیره، روحانی هم اونجاست. قاعدتا ایران باید از خودش دفاع کنه پس قابل توجیه که در یک جلسه بشینن..</t>
  </si>
  <si>
    <t>Aydin ☎️</t>
  </si>
  <si>
    <t>https://pbs.twimg.com/media/DmT0JJIXcAEGjTZ.jpg</t>
  </si>
  <si>
    <t>https://www.ilna.ir/fa/tiny/news-663393</t>
  </si>
  <si>
    <t>رحیمی در گفت‌وگو با ایلنا:#روحانی با هنر خود شرایط پیش آمده را مدیریت کند/ فراکسیون امید درباره #استیضاح وزرا آئین‌نامه دارد/ «استیضاح» نسخه نهایی نیست</t>
  </si>
  <si>
    <t>موشک یا #پوشک مسئله این است. #دلار #تحریم #روحانی</t>
  </si>
  <si>
    <t>hesam harandi</t>
  </si>
  <si>
    <t>دانشجوی دکترای اقتصاد بین الملل (ارز، تجارت) مدرس اقتصاد، آمار، ریاضی و اقتصادسنجی علاقمند به تاریخ، شعر، رمان، فلسفه علم و کلام. با قابلیت توصیه های مطالعاتی</t>
  </si>
  <si>
    <t>https://pbs.twimg.com/media/DmT0Py-XgAAQeot.jpg</t>
  </si>
  <si>
    <t>افت ارزش پول ملی ما تقریبا شبیه آرژانتینه.این کشور درحال حاضر بیش از 30%GDP خودش بدهی خارجی داره که به این روز افتاده حالا ببینید آقای #روحانی و تیمش (البته بهمراه #ترامپ)چقدر زحمت کشیدن تا ما مثل آرژانتین بشیم. خداقوت</t>
  </si>
  <si>
    <t>‏‏‏ اگر خدا کمک کند و لغزشی نباشد مدافع ‎‎#انقلاب ‎‎#مدیون شهدا ـ</t>
  </si>
  <si>
    <t>تمام اون لجن پراکنی هایی که قرار بود رئیس جمهور بکند و بنا به سیاستی نکرد با توصیه اساتید جنگ روانی نام #آشنا به وسیله نمایندگان فله ای لیست نا امید به لجن ترین شکل ممکن انجام شد. #فرجام_غربگرایی #پروانه_سلحشوری #مجلس</t>
  </si>
  <si>
    <t>بارکد</t>
  </si>
  <si>
    <t>از وقتی #روحاني در #مجلس گفته "آرزوی ما #شهادت است"، #ابوبکر_البغدادی هر شب میاد به خوابم و میگه:« من گفته بودم که تو از خودمونی. بین ما هنوز هم جایی واسه تو هست». شنیدم شهادت هم خودشو محکوم به #اعدام کرده. #سؤال_از_رئیس_جمهور</t>
  </si>
  <si>
    <t>همون یکی</t>
  </si>
  <si>
    <t>http://www.telegram.me/alisoltanivash</t>
  </si>
  <si>
    <t>علاقه‌مند جامعه شناسی، اندیشه و فلسفه سیاسی و نیز ادبیات- دانشجوی دکتری علوم ‌سیاسی دانشگاه علامه‌طباطبایی/مدرس دانشگاه</t>
  </si>
  <si>
    <t>آقای #روحانی مطالبه ما هم #رفع_حصر است اما رفع حصر رئیس جمهورمان که دربند مشاوران #آشنا و غیرآشناست رفع حصر مدیریت اقتصاد کشور از چنگال نوبخت ها، نهاوندیان ها و نیلی ها و رفع حصر #اقتصاد_مقاومتی که در باتلاق لیبرالیسم گیر کرده است.</t>
  </si>
  <si>
    <t>https://pbs.twimg.com/media/DmT1YvwX0AAzjjM.jpg</t>
  </si>
  <si>
    <t>در حالی که #سکوت_عارفانه برخی نمایندگانِ مردِ #فراکسیون_امید ادامه دارد، نطق تاریخی #پروانه_سلحشوری یک بار دیگر ثابت کرد که #زن می‌تواند! می‌تواند #رییس‌جمهور، #وزیر و #نماینده شایسته‌ای باشد. چشم‌ها را باید شست. جور دیگر باید دید... #مدیریت_زنان</t>
  </si>
  <si>
    <t>والا اینجایی که هستیم مث جنگله</t>
  </si>
  <si>
    <t>https://pbs.twimg.com/media/DmT1gApWwAACAQD.jpg</t>
  </si>
  <si>
    <t>10$=140,000ریال ناقابل................... الان دستمال توالت ارزشش از پول ملی ما بیشتره به ریال در بیاریم به دلار خرج کنیم تو ایران با هزارتا بدبختی و بیچارگی زندگی کنیم هزینه سوئیس رو پرداخت کنیم #دلار #ایران #روحانی #دولت #جمهوري_اسلامي #ظریف</t>
  </si>
  <si>
    <t>👻منم بازی🚶‍♂️</t>
  </si>
  <si>
    <t>https://pbs.twimg.com/media/DmT1W-pXcAIMVxR.jpg</t>
  </si>
  <si>
    <t>#مجلس ضمن مخالفت با كلیات طرح تامین #كالاهای_اساسی این طرح را از دستوركار مجلس خارج كردند طرح تشدید مبارزه با #مفاسد_اقتصادی از دستوركار مجلس خارج شد کاملاً مشخصه نمایندگان ملت به فکر ملت هستند.....</t>
  </si>
  <si>
    <t>عضو شوراي مركزي حزب مردمي اصلاحات مدير توليد هنرى</t>
  </si>
  <si>
    <t>https://pbs.twimg.com/media/DmT1qb8XcAAS_nM.jpg</t>
  </si>
  <si>
    <t>ديدار احتمالى #ترامپ و #روحانى به كاهش مشكلات كشور هيچ كمكى نخواهد كرد نه ميتواند بكند و نه ميخواهيم #كره__شمالى</t>
  </si>
  <si>
    <t>Farzan Farahpour</t>
  </si>
  <si>
    <t>راه برون رفت از وضع فعلی تولیده! اینکه ارز کشور به خاطر چه چیزهای مسخره ای داره از کشور خارج میشه! اقایون مسئول به جای خرید های تک ترین تکنلوژی ها سرمایه گذاری میکردید و تکنلوژی درجه دو یا سه وارد میکردید یا ایجاد میکردید چنین مشکلی نداشتیم! #روحانی #دلار #سکه</t>
  </si>
  <si>
    <t>https://www.instagram.com/p/BnVZJ0FlPSb/?utm_source=ig_twitter_share&amp;igshid=1halw34c0c7jq</t>
  </si>
  <si>
    <t>محمداسماعیل سعیدی نماینده مردم #تبریز در #مجلس شورای اسلامی، گفت: تحقق و تفحص از ماشین‌سازی تبریز با امضای جمعی از نمایندگان در مجلس کلید خورد. وی افزود: #ماشین_سازی_تبریز که از صنایع…</t>
  </si>
  <si>
    <t>#روحانی فرموده به قبل ۵۷ برمیگردیم!! حاج عاقا ما به قبل مشروطه برگشتیم کجای کاری شما؟ #به_عقب_برنمیگردیم</t>
  </si>
  <si>
    <t>تمامی پالایشگاه های ما دارای تکنلوژی درجه دو یا سه اند ولی خیلی از مشکلات کشور رو حل کردند!درسته بهینه نیستند ولی در زمان جنگ اقتصادی بسیار مفید هستند! ما اگه تکنلوژی 20 سال پیش تو خیلی از صنایع رو در اختیار داشتیم انقدر دلار اهمیت نداشت! #دلار #روحانی #سکه</t>
  </si>
  <si>
    <t>سنگر سایبری</t>
  </si>
  <si>
    <t>#دلار اگه ده میلیون تومان هم بشه ما پای رهبرمون ایستادیم! آقای #روحانی زهی خیال باطل!</t>
  </si>
  <si>
    <t>همسنگر</t>
  </si>
  <si>
    <t>|member of HAMA party| | journalist| |manager of Gharbdaily news agency| |writer| |translator| |teacher|</t>
  </si>
  <si>
    <t>1- باری ... امروز #پروانه_سلحشوری قید تایید صلاحیتش در دوره بعدی را به کلی زد تا در مذمت #نظارت_استصوابی سخن براند. کاش این پشت پا زدن به قدرت، #عارف و دیگر ساکتان #مجلس را به خود آورد.</t>
  </si>
  <si>
    <t>▷ ◉──────── 00:00♪</t>
  </si>
  <si>
    <t>کرنج (باغ بی‌برقی)</t>
  </si>
  <si>
    <t>#مجلس برای من دیگه چیزی جز یه سیرک مسخره نیست. مملکت رو هواس چهارتا عمله اومدن دارن از رفع حصر و خفگی در استخر حرف می‌زنن! اصن ریدم تو قبر پدر اونی که توحصره و اونی که حصرشون کرده #یا‌لیاخوف‌‌مددی</t>
  </si>
  <si>
    <t>ربــــات‌الممالــــــــک +_+</t>
  </si>
  <si>
    <t>بالاخره یک مرد توی #مجلس شورا پیدا شد، مطمئنم از زیر دست #شورای_نگبهان در رفته ایشون! #جنتي دیگه این اشتباه رو #تکرار نمیکنه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</si>
  <si>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http://www.ibena.ir/news/90867/</t>
  </si>
  <si>
    <t>ایبِنا بررسی کرد؛ پیشنهادهای #مجلس برای قانونگذاری #رمزارزها/ جهت‌گیری دنیا چیست؟</t>
  </si>
  <si>
    <t>https://pbs.twimg.com/media/DmT4hrzX0AAO6Pc.jpg</t>
  </si>
  <si>
    <t>#تورم ٢٤٤٪ تنها گوشه اى از سيل ويرانگرىست كه در حال نابود كردن كشورم #ايران است آقاى #روحانى روزهاى سختى در پيش است</t>
  </si>
  <si>
    <t>من یک #پاراگراف هستم که با شروع سطر تازه، از بخش های دیگر جدا می شوم | فرزند | برادر | رفیق | برنامه نویس .Net | مترجم زبان انگلیسی</t>
  </si>
  <si>
    <t>قدس، پایتخت فلسطین</t>
  </si>
  <si>
    <t>#کواکبیان طرح تشدید #مبارزه_با_مفاسد_اقتصادی رو به خاطر بار مالی از دستورکار #مجلس خارج کرد! +طرح تشدید نظارت بار مالی داره، اما افزایش قیمت دلار و #پوشک و محصولات دیگه؛ بار مالی رو دوش خانواده ها نمی زاره! اینا نماینده مردم نیستن ب خدا؛ نماینده مفسدا هستن!</t>
  </si>
  <si>
    <t>🇮🇷  پاراگراف</t>
  </si>
  <si>
    <t>دهن کجی #مجلس به #مردم. طرح ممنوعیت انتخاب یا انتصاب مقامات و مدیران دارای #تابعیت مضاعف و مرتبط با کشورهای خارجی به تصویب نرسید.</t>
  </si>
  <si>
    <t>s.cheginy</t>
  </si>
  <si>
    <t>خداییش کشور دست هر شخص عادی و بی تخصصی جز #روحانی بود، قیمت دلار و سکه این نبود! #دلار</t>
  </si>
  <si>
    <t>‏‏‏‏‏خواب بودیم ، نسل انسان منقرض شد...</t>
  </si>
  <si>
    <t xml:space="preserve"> آن جا که یار خواندم...</t>
  </si>
  <si>
    <t>مجلس = لانه فساد... طرح تشدید مبارزه با فساد رای نیاورد... و دیگر هیچ... خسته شدم دیگه... لِه لِه... تاکی آخه... #مجلس</t>
  </si>
  <si>
    <t>زی زی گولوووووووو</t>
  </si>
  <si>
    <t>فقط شانس آوردیم #جهانگیری و #روحانی و #نوبخت واسه بعد خروج #آمریکا از #برجام چندین سناریوی مختلف آماده کرده بودن وگرنه اوضاع خراب میشد.</t>
  </si>
  <si>
    <t>به دنبال مخالفت نمایندگان طرح تامین کالاهای اساسی از دستور کار #مجلس خارج شد.</t>
  </si>
  <si>
    <t>#نیکی_هیلی از حضور #روحانی برای حضور در جلسه #شورای_امنیت سازمان ملل به ریاست #ترامپ، دعوت کرده!</t>
  </si>
  <si>
    <t>يكى تو #مجلس به #كواكبيان بگه داد نزن شيرت خشك ميشه</t>
  </si>
  <si>
    <t>اونايي كه قانون بلدن تو قانون جايي هست مردم بتونن اعلام كنن غلط كرديم به #روحاني راي داديم؟ از نو راي گيري كنيد</t>
  </si>
  <si>
    <t>https://pbs.twimg.com/media/DmT6rN2XoAEw4E8.jpg</t>
  </si>
  <si>
    <t>https://www.radiozamaneh.com/410800</t>
  </si>
  <si>
    <t># پروانه_سلحشوری، نماینده #مجلس: ۱۰ درصد از جمعیت خوزستان در اثر مشکلات زیست‌محیطی مهاجرت کرده‌اند -</t>
  </si>
  <si>
    <t>https://www.instagram.com/sardareshgh313/</t>
  </si>
  <si>
    <t>‏‏‏حزب الله اهل طاعت است!</t>
  </si>
  <si>
    <t>به زودی به #حاج_احمد میرسیم...</t>
  </si>
  <si>
    <t>هوادارای #پرزیدنت واقعاً فکرشو میکردن که سطح توقعاتشون از دولت به #پوشک برسه؟😏 #تا_1400_با_روحانی #روحانی #دلااااار</t>
  </si>
  <si>
    <t>✌مرصاد✌</t>
  </si>
  <si>
    <t>تو را به اندازه تمام كساني كه نشناخته ام دوست مي دارم... محمد سالار/ كمي فعال سياسي/ اصلاح طلب/ اميدوار Married to @Parisa_M71</t>
  </si>
  <si>
    <t>https://pbs.twimg.com/media/DmT67lwWwAAWXMQ.jpg</t>
  </si>
  <si>
    <t>بازگشت #کهنه به جای #پوشک آقای #روحاني مگر قرار نبود به عقب برنگردیم؟!</t>
  </si>
  <si>
    <t>سالارِ اَحمَدى</t>
  </si>
  <si>
    <t>‏‏‏‏‏‏‏‏‏‏‏‏‏‏‏‏‏‏‏‏‏‏‏ دیگری برخاست می‌شد مست مست پای‌کوبان چانه‌اش بگرفت به‌دست</t>
  </si>
  <si>
    <t>کاش لیست به اصطلاح امید حداقل فرمون سلحشوری ر ادامه بدن، بلکه به یه دردی بخورن. #مجلس #لیست_امید</t>
  </si>
  <si>
    <t>چانه‌بدست</t>
  </si>
  <si>
    <t>مرررردم یادتون رفته قیمت دلار لحظه ای میرفت بالا مرررردم یادتون رفته قیمت سکه لخظه ای میرفت بالا #جهانگیری #دلار #روحانی #انتخابات #بازی</t>
  </si>
  <si>
    <t>آقاي #رييس_جمهور (#روحاني): با كت و شلوار نمي شه اقتصاد رو اداره كرد. به اسحاق هم دل نبنديد لطفا. تاريخ همه اين وقائع را به اسم شما خواهد نوشت نه آن مير پير و يا إسحاق . بايد پاچه ها رو بالا زد و وارد گود شد. بِسْم الله.</t>
  </si>
  <si>
    <t>طرح تشدید مبارزه با #مفاسد اقتصادی و"تامین کالاهای اساسی"از دستورکار مجلس خارج شد با رای نمایندگان طرح تشدید مبارزه با مفاسد اقتصاد و"تامین کالاهای اساسی"از دستورکار #مجلس خارج شد. جاسوس ابزار #تلگرام هم با اسرار #دولت و حمایت#ق_ق فعاله بعد شما انتظار دارید اوضاع درست بشه؟!</t>
  </si>
  <si>
    <t>جا داره در این لحظاتِ عزیز یادی کنیم از آنهایی که به خاطر #ترس از دیوار کشی، به #روحانی رأی دادند! آنها الآن در صف #پوشک هستند :)</t>
  </si>
  <si>
    <t>#مجلس طرح عدم انتخاب #دوتابعیتی‌ ها رو رد کرده. اونوقت ما نشستیم از برجام انتقاد می‌کنیم. ما که نه البته... هیچ‌وقت هیچ‌وقت هیچ‌وقت دلم با این فجازی‌چی‌های حقوق سرِ بُرج صاف نمیشه. بهم توضیح بدید چطوری تحمل می‌کنید این جماعت رو؟ #ریتوییت_لطفا</t>
  </si>
  <si>
    <t>صبح امروز را با اولین نرخ دلار آغاز میکنیم ۲۰۰تومان افزایش نسبت به قیمت دیروز #دلار #روحانی</t>
  </si>
  <si>
    <t>چند سال پیش قیمت دلار ۱۰۰۰تومن بود الان قیمت دلار تو یه روز ۱۰۰۰ تومن میره بالا جالبه #دلار #روحانی</t>
  </si>
  <si>
    <t>دهن کجی #مجلس به #مردم. طرح ممنوعیت انتخاب یا انتصاب مقامات و مدیران دارای #تابعیت مضاعف و مرتبط با کشورهای خارجی به تصویب نرسید</t>
  </si>
  <si>
    <t>عاقا من یه پیشنهاد دارم بزنیم بر طبل بی عاری ، به قول شاعر: ز هوشیاران عالم هر که را دیدم غمی دارد بزن بر طبل بی عاری که آن هم عالمی دارد مثلا مثل حسن جون @HassanRouhani بریم تله کابین توچال حال کنیم چیه صبح تا شب حرص خوردن #وقت_ندارم #روحانی #فرجام_غربگرایی #خیانت_fatf #نالایق</t>
  </si>
  <si>
    <t>خدایی آدم میمونه که چی بگه.به کی بگه.این همه گرونی و تورم باور کردنی نیست.کسی هم نمیاد بگه که چه خبره و کی تموم میشه.مگه میشه همه چی دو برابر بشه.روی چه منطقی؟مگه اینقدر بی صاحابیه که همه چیز اینقدر بالابره.اینه همه احتکار چی میگه این وسط. #روحاني</t>
  </si>
  <si>
    <t>ss.azizi</t>
  </si>
  <si>
    <t>دغدغه های هواداران دولت در زمان انتخابات: ورود زنان به ورزشگاه /فستیوال / رفع حصر دغدغه های مردم در حال حاضر: نانِ شب / خجالت نکشیدن از فرزند / اجاره خونه! . #پرزیدنت #روحانی #دولت #ناتوان #بی_عرضه</t>
  </si>
  <si>
    <t>ملتی که بخاطر روسری و شورت و تومبون رای بدهد نتیجه اش میشود #روحانی. بچشید #دلار ۱۵۰۰۰ تومانی را. #مشایی و #احمدی_نژاد زنده اند و خاندانهای کثیف خواهند رفت.</t>
  </si>
  <si>
    <t>https://www.instagram.com/p/BnVZJ0FlPSb/?utm_source=ig_twitter_share&amp;igshid=5xrj2iygdlcy</t>
  </si>
  <si>
    <t>https://pbs.twimg.com/media/DmT8_VXWwAAuIz2.jpg</t>
  </si>
  <si>
    <t>گور پدر حصریون دیروز در #مجلس علیه اصول انقلاب و #قانون_اساسی و دفاع مقدس و امام و آقا نطق کردند، صدای هیشکی در نیومد؟ #غیرت ما کجا رفت؟</t>
  </si>
  <si>
    <t>https://pbs.twimg.com/media/DmT9EkyWsAAmlc5.jpg</t>
  </si>
  <si>
    <t>کجا میرید ؟ دارم شعر میخونم براتون ... #پروانه_سلحشوری #مجلس</t>
  </si>
  <si>
    <t>‏ ارشد علوم سیاسی /گاهی خبرنگار... ‎</t>
  </si>
  <si>
    <t>https://pbs.twimg.com/media/DmT9OtFXoAA2gQw.jpg</t>
  </si>
  <si>
    <t>یادتونه #روحانی در انتخابات ریاست جمهوری گفت"والله وبالله و تاالله سال‌های 84تا92 تکرار نخواهد شد " دیروز در بوشهر هم گفت ما به سال‌های قبل 57 برنمیگردیم. این ملعون اندازه صدتا اسرائیل و آمریکا به کشور خسارت وارد کرده. اینجاست که باید با صدای بلند بهش بگیم:#روحانی_خفه_شو</t>
  </si>
  <si>
    <t>محمد علی جبرئیلی</t>
  </si>
  <si>
    <t>آقای #زائری را یک #روحانی با سواد، روشنفکر، آزاد اندیش و آزاده می دانم، جای بسی تأسف است که مانع #سخنرانی ایشان شده اند. شاید بتوان جلوی سخنرانی را گرفت اما نمی توان مانع آزادی اندیشه و بیان شد. به مسببان این مساله باید گفت: به کعبه نرسی ای اعرابی این ره که می روی به ترکستان است</t>
  </si>
  <si>
    <t>‏دبیر شورای تبیین مواضع بسیج دانشجویی شهرستان بافت(کرمان) ‏ما مشك رنج‌هاي انقلاب را به دندان كشيده‌ايم و دست و پا داده‌ايم، اما رهايش نكرده‌ایم</t>
  </si>
  <si>
    <t xml:space="preserve">ble.im/kat_shekan313 بام کویر </t>
  </si>
  <si>
    <t>طرح تشدید مبارزه با #مفاسد_اقتصادی را از دستور کار مجلس خارج کردند. چقدر این #مجلس ما فساد ستیز است ، ،خداییش عصاره فضائل ملت هستند!!</t>
  </si>
  <si>
    <t>علی چاهخوزاده</t>
  </si>
  <si>
    <t>http://www.iranwire.com</t>
  </si>
  <si>
    <t>گزارش‌های خبری حرفه‌ای و متفاوت، با کمک شهروند خبرنگاران ایرانی</t>
  </si>
  <si>
    <t>pic.twitter.com/gRfhSxh6Md</t>
  </si>
  <si>
    <t>ویدئوی روز: نواختن ساز توسط یک #روحانی از صفحه @zahrakeshvari</t>
  </si>
  <si>
    <t>ایران وایر</t>
  </si>
  <si>
    <t>I'm on the edge</t>
  </si>
  <si>
    <t>https://pbs.twimg.com/media/DmT-AGmXoAEujdt.jpg</t>
  </si>
  <si>
    <t>اینکه مَردُمت دیگه رسیدن تهِ خط تهِ نامردیه ... اینکه داری روزبه روز همه رو شکنجه میدی با بالابردنِ کالاوخوراک وپوشاک، آخرِ بی رحمیه ... بشنو صدایِ ناله هارو مردِ ناحسابی ... حس کن دردایِ لاعلاجِ این ملتو ... #روحاني #حسن_روحانى @HassanRouhani #فقر #برجام #تورم</t>
  </si>
  <si>
    <t>Ahmad Bayati</t>
  </si>
  <si>
    <t>http://Reba.ir</t>
  </si>
  <si>
    <t>ربا را بزداییم و معیشت را از نو بسازیم</t>
  </si>
  <si>
    <t>اگر روحانی در جلسه #سوال_از_رییس‌جمهور نگفته بود قیمت ارز را کاهش نخواهد داد،اگر همتی نگفته بود بانکها قصد کاهش نقدینگی و ارز را ندارند و اگر حاجی دلیگانی نگفته بود عده ای با افزایش نقدینگی و ارز دنبال گروگان کشی سیاسی از نظامند،قیمت 14000تومانی دلار جای تعجب داشت.</t>
  </si>
  <si>
    <t>نهضت مردمی ممانعت از جنگ با خدا</t>
  </si>
  <si>
    <t>سال 57 #دلار 7 تومان بود یعنی تا به الآن حداقل 2 هزار برابر شده! بعد #روحانی از بازگشت به سال 57 ما را میترساند؟ عجب جوکی!</t>
  </si>
  <si>
    <t>pic.twitter.com/Dym7EoJTV3</t>
  </si>
  <si>
    <t>#حمله عضو #مجلس به ارگانهای تحت امر #خامنه‌ای پروانه سلحشوری عضو مجلس: میخواستم از نهادهای نظامی و شبه نظامی و حضور همه جانبه آنها در امور کشور انتقاد کنم ولی مگر میشود به گروهی که سه گانه قدرت ثروت و نیروی نظامی را با هم دارد اعتراض کرد؟</t>
  </si>
  <si>
    <t>افزایش 150 هزار تومانی قیمت سکه تا این لحظه 🔹قیمت سکه بهار آزادی با افزایش 150 هزار تومانی نسبت به روز گذشته، 4 میلیون و 720 هزار تومان در بازار داد و ستد می شود #دلار #روحانی #فرجام_غربگرایی #نالایق #به_عقب_برنمیگردیم #وقت_ندارم #خیانت_fatf</t>
  </si>
  <si>
    <t>طرح تامین کالاهای اساسی از دستورکار #مجلس خارج شد در جلسه امروزکلیات طرح تامین #کالاهای_اساسی دردستور کار قرار گرفت اما نمایندگان با ۸۶ رای موافق، ۹۸ رای مخالف و ۸ رای ممتنع با آن مخالفت کردند اقتصادآنلاین</t>
  </si>
  <si>
    <t>‏خشونت محکوم است گفتمان پیروز</t>
  </si>
  <si>
    <t>#پروانه_سلحشوری ثابت کرد میتوان از فیلتر #نظارت_استصوابی گذر کرد ولی انسان بود و از حقوق ضایع شده مردم دفاع کرد و ننگش بر آن بیش از 200نماینده ای که #عارف وار کرسیهای #مجلس را اشغال کرده اند</t>
  </si>
  <si>
    <t>Ehsan Ghadiri</t>
  </si>
  <si>
    <t>هشتگ های مهم روز ایران</t>
  </si>
  <si>
    <t>AtheistTerme: #روحانی: "به قبل از ۵۷ برنمی‌گردیم؛ محال است بر ایران مسلط شوند و اینکه ما را به قبل از ۵۷ برگردانند،آرزویی است که محقق نمیشود" وقتی یه رئیس جمهور همچین حرفی رو بزنه یعنی اوضاع خیلی وخیم تر از اونیه که ما میشنویم و فکر میکنیم و لمس میکنیم. خودشون هم میدونن فروپ…</t>
  </si>
  <si>
    <t>‏هشتگ‌های ‏مهم ‏روز</t>
  </si>
  <si>
    <t>https://pbs.twimg.com/media/DmT_j9qXcAAaiy9.jpg</t>
  </si>
  <si>
    <t>به گفته داریوش اسماعیلی، نایب رئیس کمیسیون صنایع #مجلس، سرانجام با حذف #شورای_رقابت از روند قیمت‌گذاری #خودرو های داخلی، خودرو‌های زیر ۴۵ میلیون تومان بین ۲۰ تا ۲۵ درصد افزایش قیمت خواهند داشت. این افزایش قیمت از امروز و در خودرو‌های پیش فروش #سایپا نیز اعمال خواهد شد.</t>
  </si>
  <si>
    <t>http://Instagram.com/mim.zal</t>
  </si>
  <si>
    <t>خانم ميم ذال فعال اجتماعي و دانش آموخته فقه و مباني حقوق اسلامي، اهل هنر و خبرنگاري آزاد</t>
  </si>
  <si>
    <t>https://pbs.twimg.com/media/DmUAiC1XsAEiU1P.jpg</t>
  </si>
  <si>
    <t>نمیدونم یهو چرا یاد این افتادم! همون که تو خونش می خوابید۸.۰۰۰.۰۰۰ ملیون حقوقش بود! همون که گفت:اگه دزدی کردم نگید چراها! همون که می گن داداشش و موقع خرید فروش رای گرفتن ! #حاصل_تکرار #نماینده #سلحشوری #جعفرزاده_ایمن_ابادی</t>
  </si>
  <si>
    <t>mimzal🇮🇷</t>
  </si>
  <si>
    <t>پفیوز کسی ست که طرح تشدید مبارزه با مفاسد اقتصادی رو به بهانه بار مالی از دستورکار مجلس خارج میکنه به همین صراحت #کواکبیان #مجلس</t>
  </si>
  <si>
    <t>اهل دل میگن؛ مژه به هم بزنی در عالم هستی اثر میذاره. نمایندهِ بانوی #مجلس میگه؛ #نظارت_استصوابی شورای نگهبان رو بردارین، حال اقتصاد مملکت خوب میشه! #پروانه_سلحشوری</t>
  </si>
  <si>
    <t>زمستان ِ اقتصادی از شهریورش پیداست ... #دلار #دلار۱۴۰۰۰تومانی #دیجی_کالا #روحاني</t>
  </si>
  <si>
    <t>یه بنده خدایی در ایام «#تَکرار» می‌گفت اگر هدف، #چوب هم بود به او #رای می‌دادیم. #مجلس امروز به طرح‌های «#شفافیت_آراء»، «تامین #کالای_اساسی» و «تشدید مبارزه با #مفاسد_اقتصادی» رای نداد! #سعید_لیلاز #اگر_چوب_این_اختیار_را_داشت</t>
  </si>
  <si>
    <t>قرار بود پنجاه هزار #خودرو #سایپا به #فروش برسه. برای چی؟ برای #رفاه حال #مردم!!! ما که هربار از پنج دقیقه قبل هی رفرش کردیم نتیجه نگرفتیم یا ما سرکاریم یا #مسئولین سایپا روی هم ۵۰ هزار آشنا دارن. #الله اعلم #روحانی #ایران #بنی_صدر</t>
  </si>
  <si>
    <t>برید توییت‌های آخر جلیل محبی (@jalilmohebbi) رو بخونید که ببینید نمایندگان #مجلس در جلسه امروز چه طرحی را از دستور کار خارج کرده‌اند و میزان عزم و صداقتشان در مبارزه با #فساد را متوجه شوید.</t>
  </si>
  <si>
    <t>Middle East &amp; Mediterranean Studies, Energy Analyst, Covering Me and Petro-Islam Affairs</t>
  </si>
  <si>
    <t>قضائیه از #دولت بدتر، دولت از قضائیه بدتر، #مجلس از هر دو بدتر #شفافیت_آراء_نمایندگان #مبارزه_با_مفاسد_اقتصادی #لیست_امید #حالا_تکرار_کن</t>
  </si>
  <si>
    <t>https://pbs.twimg.com/media/DmUCYCuWwAEM7oy.jpg</t>
  </si>
  <si>
    <t>#اصلاح_طلبان حالشون از خودشونم به هم می خوره. بعد انتظار دارن ما نگاهشون کنیم. #لیلاز #اصلاحات #روحانی #استعفا #رهبری #دلسوز #پدر #تنها</t>
  </si>
  <si>
    <t>https://www.instagram.com/p/BnVfLOhFVDP/?utm_source=ig_twitter_share&amp;igshid=urwy58j2psn7</t>
  </si>
  <si>
    <t>🔴مخالفت نمایندگان با فوریت طرح شفافیت آراء نمایندگان 🔺نمایندگان مردم در #خانه_ملت با فوریت طرح #شفافیت آراء در مجلس مخالفت کردند. @qalampress #قلم_پرس #مجلس #شفافیت_آرای_نمایندگان_مجلس</t>
  </si>
  <si>
    <t>مرنج ومرنجان</t>
  </si>
  <si>
    <t>مجلس شورای اسلامی در اقدامی غیرمنتظره طرح «تشدید مبارزه با مفاسد #اقتصادی» را از دستور خارج کرد./مهر #مجلس انقلابی #روحت شاد بهشتی</t>
  </si>
  <si>
    <t>ya  ali</t>
  </si>
  <si>
    <t>جوک سال رو شنیدین؟؟؟ **#روحانی گفته #وقت_ندارم** 🤣🤣🤣🤣🤣🤣🤣🤣</t>
  </si>
  <si>
    <t>Karma, has no menu. You get served what you deserve.🍀</t>
  </si>
  <si>
    <t>دو بسته پوشك بچه ٢٤٠ هزار تومان... چي بايد گفت؟ #گرانی #دلار۱۴۰۰۰تومانی #دلار #روحاني</t>
  </si>
  <si>
    <t>Mar Yam</t>
  </si>
  <si>
    <t>‏‏‏‏‏‏‏دوژمن ضحاک زمانه،،، خواهان یک نظام سکولار دموکرات،«حامی شاهزاده»چون لایق تر سراغ ندارم،ولی بازم معتقدم حرف آخر رو صندوق میزنه</t>
  </si>
  <si>
    <t>ایران پارسی باهمه اقوام و نژاد</t>
  </si>
  <si>
    <t>گویا #روحانی گفته ما به قبل از ۵۷ برنمیگردیم،خوب درست میگه چون ما ملت ایران بزودی و با #اتحاد_براندازان #به_قبل_از_57_برمیگردیم ،بدون شک وقتیکه #رژیم_را_سرنگون_کنیم #ایران_را_پس_میگیریم و همه شما را محاکمه خواهیم کرد</t>
  </si>
  <si>
    <t>شرایط طوری شده که اگه به جای برخی مسئولین عروسک کوکی بذارن اوضاع بهتر میشه!! #استعفا_دسته_جمعی #روحانی</t>
  </si>
  <si>
    <t>‏‏ما هیچ، ما نگاه</t>
  </si>
  <si>
    <t>خانم پروانه سلحشوری، از شما به خاطر نطق آتشین و شجاعانه در مجلس سپاسگزارم. از طرف یک ایرانی. #پروانه_سلحشوری #مجلس #فساد</t>
  </si>
  <si>
    <t>AminJahangard</t>
  </si>
  <si>
    <t>https://pbs.twimg.com/media/DmUE-zsU4AAxclP.jpg</t>
  </si>
  <si>
    <t>سعید #لیلاز: ورود دلار از دی ماه سال گذشته به بازار ایران از سوی آمریکایی ها ممنوع شد و دولت #روحانی هم در این زمینه بسیار بی‌کفایت و بسیار بد عمل کرد. با وضعیت فعلی قیمت دلار تا ۱۵ هزار تومان هم خواهد رسید.</t>
  </si>
  <si>
    <t>http://huxta.com/</t>
  </si>
  <si>
    <t>آموزش کاربردی شناخت و تغییر فرآیندهای رفتار در راستای کسب مهارت تفسیر، پیش بینی و مهندسی اجتماعی و ذهنی.</t>
  </si>
  <si>
    <t>می گویند #روحانی ، #مسولین ، #ایرانی دروغ می گویند. در هر فریب و دروغی سه متغییر تاثیرگذار برای هدف نهایی فریب وجود دارد. دروغگو، شنونده دروغ و بافت زمینه. شنونده دروغ از دروغگو تاثیرگذارتر است.تا شنونده دروغ را بشنود و پذیرای آن باشد. دروغ ادامه می یابد. #میثم_ایرانپناه</t>
  </si>
  <si>
    <t>نخست اندیش</t>
  </si>
  <si>
    <t>https://pbs.twimg.com/media/DmUDVoPWwAEhfKu.jpg</t>
  </si>
  <si>
    <t>https://twitter.com/IRNA_1313/status/1037239467101315072</t>
  </si>
  <si>
    <t>۱۶۰ نماینده این طرح را امضا کرده بودند اگر به این نمایندگان رای دهید جای شما در طویله است #نمایندگان_مجلس #محفل_اسلامی #طویله_بهارستان #لیاخوف_الان_وقتشه #مجلس #شفافیت_آرا RT @IRNA_1313: در حالی که دقایقی پیش نمایندگان مجلس با یک فوریت طرح «#شفافیت_آرای_نمایندگان» مخالفت کردند این طرح از موضوعات مورد پیگیری کاربران در شبکه‌های اجتماعی بود مجلس با ۵۹ رأی موافق، ۱۰۸ رأی مخالف و ۵ رأی ممتنع از مجموع ۱۹۴ نماینده حاضر در جلسه با این طرح مخالفت کرد #ایرناداده</t>
  </si>
  <si>
    <t>http://maitham.blogfa.com</t>
  </si>
  <si>
    <t>PhD in economics. My interests: Institutional economy, Development, Public economics. ميثم پيله فروش عضو شوراي مركزي جمعيت پيشرفت و عدالت</t>
  </si>
  <si>
    <t>#مجلس اين هفته: اضافه شدن مناطق آزاد و ويژه راي بالا آورد طرح مبارزه با فساد (شامل جرم انگاري رانت خواري، بررسي و اعاده اموال نامشروع، حمايت از سوت زنان و گزارش گران فساد) راي نياورد فوريت طرح شفافيت آراي نمايندگان راي نياورد حمايت كالايي از مردم راي نياورد</t>
  </si>
  <si>
    <t>Meisam Pileforoush</t>
  </si>
  <si>
    <t>حقوق خوانده در کارشناسی / جزا و جرم شناسی خوانده ارشد / مدیون ابدی سلطان علی بن موسی الرضا ( علیه آلاف التحیة و السلام ) /جديدا همسر</t>
  </si>
  <si>
    <t>الان نماینده شورای شهر دهات های اروپا از #روحانی دعوت کنه با کله میره ولی واسه خودیا گفته : #وقت_ندارم</t>
  </si>
  <si>
    <t>🇮🇷Mohsen🇱🇧</t>
  </si>
  <si>
    <t>از بخت واژگون چهار سالم بود كه انقلاب شد، باقيش را خودت مى دانى!</t>
  </si>
  <si>
    <t>دانشجوى ارشد تاريخ و فلسفه علم در دارالكفر لندن!</t>
  </si>
  <si>
    <t>https://pbs.twimg.com/media/DmUGnKvWwAEdTr1.jpg</t>
  </si>
  <si>
    <t>اين هم از طنزهاى تلخ تاريخ است كه كليد #روحانى هيچ قفلى را كه باز نكرد هيچ، قفل هاى محكم ترى را هم به اقتصاد و فرهنگ زد تا ديگر ايرانى به هيچ آخوندى پس از اين اعتماد نكند!</t>
  </si>
  <si>
    <t>شاپور</t>
  </si>
  <si>
    <t>بازم رای میدید همتون چیز جدیدی نیست #تظاهرات_سراسرى #روحاني #اعتراضات_سراسری #براندازم #به_قبل_۵٧_برگردیم RT @nakeesaa: من گه خوردم رای دادم. شما چی؟ :)</t>
  </si>
  <si>
    <t>Neda_h</t>
  </si>
  <si>
    <t>#استخرِ_فرح و #کریمی_قدوسی و #هاشمی. بالاغیرتا خودتان پیدا کنید پرتقال فروش را #هاشمی #رفسنجانی #روحانی #جبهه #پایداری #اصولگرا #اصلاح‌طلب #ایران #ایالات #متحده #آمریکا #دشمن #دوست #هسته‌ای</t>
  </si>
  <si>
    <t>طرح 'تشدید مبارزه با مفاسد اقتصادی' با تذكر #كواكبيان، نماينده اصلاح طلب، به دليل اينكه 'بار مالى' داره، از دستورکار #مجلس خارج شد.</t>
  </si>
  <si>
    <t>https://pbs.twimg.com/media/DmUH6kXWwAEuwu2.jpg</t>
  </si>
  <si>
    <t>فکر میکنم بخاطر موفقیت امروزم که تونستم برای خواهرزاده ام #پوشک بخرم ( البته با قیمت سه برابر) کل خانواده تصمیم گرفتن بهم مدال بدن! در مورد پاداش صد تا سکه هنوز چیزی نشنیدم! #روحانی_مچکریم #روحانی #برجام #برجام_پوشکی</t>
  </si>
  <si>
    <t>pic.twitter.com/mPjQ17NB8C</t>
  </si>
  <si>
    <t>بینید چگونه فروش ساعت 10:45 دقیقه سایپا توخالی از آب در می آید 🔹ابتدا در سایت سایپا اختلال ایجاد شده و بعد از چند ثانیه اعلام می شود ظرفیت تمام شد خسته نمیشین انقد به این مردم بدبخت دروغ میگین #سایپا #دروغ_ممنوع #ايران #روحانی</t>
  </si>
  <si>
    <t>بازم خدا را شکر که تو این مملکت #فساد سیستماتیک نداریم. #مجلس</t>
  </si>
  <si>
    <t>Media counselor , journalist, reading and writting is my favorite.</t>
  </si>
  <si>
    <t>هیچ وقت فکر نمیکردم منظور #روحانی از شعار #به_عقب_برنمگردیم، سال ۱357باشه</t>
  </si>
  <si>
    <t>roya.payamani</t>
  </si>
  <si>
    <t>https://twitter.com/fatememohebbi/status/1036900071177170944</t>
  </si>
  <si>
    <t>نمی دونم اگه #رئیسی رای میاورد چی میشد ولی دارم می بینم #روحانی که رای آورد چی شده! 😐 RT @FatemeMohebbi: - بی‌منطق‌ترین جمله‌ای که تا حالا شنیدی چی بوده؟ + اگه رئیسی رأی میاورد، وضع بدتر بود</t>
  </si>
  <si>
    <t>من و#علی(ع) شما همه| #انقلابی | اگر کم فالوور و مستعضف توییتری هستی حتما بک میگیری و گرنه شاید ،نگی نگفتم!</t>
  </si>
  <si>
    <t>#روحانی در سخنرانی دیروز : ما هرگز نمیگذاریم کشور ما به قبل از سال 57 برگردد. خب معلوم شد منظور ایشون از #به_عقب_برنمیگردیم چیه. منظورش شاهنشاهی بود. بزرگوار! قبل 57 رو که تو هم بخوای ما نمیذاریم برگرده. نکشی ما رو!</t>
  </si>
  <si>
    <t>theJeff</t>
  </si>
  <si>
    <t>‏‏روزنامه‌نگار - سعی می‌کنم واقعیت‌ها را آنطور که هست بیان کنم</t>
  </si>
  <si>
    <t>https://twitter.com/hasanasadiz/status/1036918489787912193
https://www.jamaran.ir/%D8%A8%D8%AE%D8%B4-%D9%BE%D8%B1%D9%88%D9%81%D8%A7%DB%8C%D9%84-182/1004925-%D9%86%D9%87%D8%A7%D8%AF%D9%87%D8%A7%DB%8C-%D9%86%D8%B8%D8%A7%D9%85%DB%8C-%D8%A8%D9%87-%D9%BE%D8%A7%D8%AF%DA%AF%D8%A7%D9%86-%D9%87%D8%A7-%D8%A8%D8%B1%DA%AF%D8%B1%D8%AF%D9%86%D8%AF-%D8%A2%D9%82%D8%A7%DB%8C-%D8%B1%DB%8C%DB%8C%D8%B3-%D8%AC%D9%85%D9%87%D9%88%D8%B1-%D8%A8%D8%A7-%D8%A7%D8%A8%D8%B1-%D8%A8%D8%AD%D8%B1%D8%A7%D9%86-%D9%87%D8%A7-%D8%AF%D8%B1%DA%AF%DB%8C%D8%B1%DB%8C%D9%85-%D9%87%D9%85%D9%87-%D9%87%D9%85-%D9%85%DB%8C-%D8%AF%D8%A7%D9%86%D9%86%D8%AF-%D9%81%DB%8C%D9%84%D9%85</t>
  </si>
  <si>
    <t>#افسوس که با حلوا حلوا کردن و نطق های ماندگار اینجوری، دهن شیرین نمیشه. #پروانه_سلحشوری #مجلس #حصر #نظارت_استصوابی RT @hasanasadiz: نطق ماندگار #پروانه_سلحشوری در جلسه امروز #مجلس: - نظامیان به پادگانها برگردند. - #حصر رفع شود. - مشکل #نظارت_استصوابی حل شود. #رهبر به #تغییرات کمک کند.</t>
  </si>
  <si>
    <t>توی حصریم و سبز می مانیم گرچه افکار جامعه زرد است</t>
  </si>
  <si>
    <t>کاری به بقیه ندارم ولی دلم به حال جوان های ۱۸ ساله ای که خودمم یکیش هستم میسوزه که تو ستاد #روحانی بودیم! #آرزو هایی داشتیم که بر #باد رفت</t>
  </si>
  <si>
    <t>Amirmasoud Delshad</t>
  </si>
  <si>
    <t>یک انقلاب</t>
  </si>
  <si>
    <t>https://pbs.twimg.com/media/DbVNpZ6XcAA7ymp.jpg</t>
  </si>
  <si>
    <t>https://twitter.com/mmia6889/status/987781078965542914</t>
  </si>
  <si>
    <t>خب این روزا که اوضاع اقتصادی مردم عزیز تر از جان ایران داره بد و بدتر میشه، دیدم بد نیست یادی کنیم از کسانی که خون مردم رو تو شیشه می کنن، سرمایه ی مملکت رو نابود می کنن، اخر سر طلبکار هم هستن!! #جنتی #دلار #روحانی RT @mmia6889: هر چی میری پایین بازم این دم و دستگاه #حوزه_علمیه هست. مسلمون ۲۰ میلیارد رو‌چی کار می کنید تو مرکز خدماتتون!!؟ #روحانی #بودجه #شفافیت</t>
  </si>
  <si>
    <t>Mahdi Mi</t>
  </si>
  <si>
    <t>#روحانی الان #چاووشی گذاشته نخ به نخ دهنش دود است غم دلار و سکه هم غلیظ ترین کام است</t>
  </si>
  <si>
    <t>https://pbs.twimg.com/media/DmUKP86XgAA_AOC.jpg</t>
  </si>
  <si>
    <t>🔴 نمایندگان #مجلس با یک فوریت طرح «#شفافیت_آرای_نمایندگان» مخالفت کردند! احسنت بر این نمایندگان #شجاع و #شفاف که حداقل بصورت شفاف اعلام کردن نمیخوایم #مردم بفهمن به چی #رای دادیم به چی ندادیم به زودی نوبت رای دادن ما هم میشه</t>
  </si>
  <si>
    <t>https://pbs.twimg.com/media/DmUKSwdWsAAf-1T.jpg</t>
  </si>
  <si>
    <t>۱۴۰ #نماینده گفتن ما موافق شفافیت آرا هستن ولی وقتی مخفیانه رای‌گیری کردن فقط ۵۲ نفر موافق بودن و فوریتش رای نیاورده! پیدا کنید پرتقال‌فروش را ^__^ #شفافیت_آراء_نمایندگان</t>
  </si>
  <si>
    <t>‏‏‏من و تو هر دو جفنگیم امان از من و تو</t>
  </si>
  <si>
    <t>بیاید یه روزشمار مثل روزشمار نابودی اسراییل درست کنیم بذاریم توی میدون انقلاب با دو تایمر مدت زمان ریاست #روحانی و زمان باقی مانده برای رفتن #روحاني شاید توی این شرایط به امید رفتنش زنده بمونیم اگه موافقی علی برکت الله فراموش نشه</t>
  </si>
  <si>
    <t>مهدی احمدی ⁦🇮🇷⁩</t>
  </si>
  <si>
    <t>🏳️ تک صدایی دشمن همه ماست /ریتوئیت الزاما تائید توییت نیست / ننگ ما سكوت ماست</t>
  </si>
  <si>
    <t>#روحانی #خامنه‌ای #آخوندها و #عرازشه قطعا به سال‌های قبل از ۵۷ بر نمی گردند آنها برای همیشه به یا #دریا سپرده خواهند شد. یا به زندان #مرگ_بر_خامنه_ای #سال_آخر #براندازم #دیگه_تمومه_ماجرا #IranRegimeChange #نه_به_جمهوري_اسلامي</t>
  </si>
  <si>
    <t>قیام #براندازم 🏳️🇺🇸🇮🇱</t>
  </si>
  <si>
    <t>کمیسیون #امنیت_ملی #مجلس طرح ممنوعیت انتخاب یا انتصاب مقامات و مدیران دارای #تابعیت_مضاعف و مرتبط با کشورهای خارجی را رد کرد. قشنگ این مجلس داره میشه #مجلس_ششم</t>
  </si>
  <si>
    <t>A Journalist, based in Iran 🧐</t>
  </si>
  <si>
    <t>https://pbs.twimg.com/media/DmT7pF7XsAE7zkO.jpg</t>
  </si>
  <si>
    <t>https://twitter.com/jalilmohebbi/status/1037230523423379456</t>
  </si>
  <si>
    <t>طرح مبارزه با #مفاسد_اقتصادی امروز با رأی #نمایندگان_مجلس از دستور #مجلس خارج شد؛ این طرح شامل اعاده اموال نامشروع، جرم‌انگاری رانت‌خواری، حمایت از گزارش‌دهندگان جرائم اقتصادی، ساماندهی اطلاعات جرائم اقتصادی، تشدید مجازات مجرمین اقتصادی و سرعت رسیدگی جرائم قضات #فاسد بود #ایران RT @jalilmohebbi: خلاصه آن چیزی که امروز از دستور کار مجلس بعد از شش سال کار در کمیسیون قضایی خارج شد #ريتوييت_لطفا #ریتوییت</t>
  </si>
  <si>
    <t>Amir Khaleghiyan</t>
  </si>
  <si>
    <t>http://www.abasaslani.com</t>
  </si>
  <si>
    <t>Journalist; Visiting scholar at the Center for Middle East Strategic Studies (CMESS)</t>
  </si>
  <si>
    <t>https://pbs.twimg.com/media/DmULQFXXgAAwGHF.jpg</t>
  </si>
  <si>
    <t>طرح "تشدید مبارزه با مفاسد اقتصادی"، امروز با رای نمایندگان، از دستور کار مجلس خارج شد. نمایندگان #مجلس با فوریت بررسی طرح "شفافیت رأی نمایندگان" هم مخالفت کردند. #ایران</t>
  </si>
  <si>
    <t>Abas Aslani</t>
  </si>
  <si>
    <t>بنا بر اعلام برخی کانالها، قیمت دلار امروز، 14 شهریور 97، یکسال و اندی پس از آن شعارهای انتخاباتی، به 15 هزار تومان رسید. آنهایی که از ترس دلار 5 هزار تومانی تا 8 هزار تومانی به #روحانی رای دادند، امروز چه حالی دارند؟ البته برخی از آنها هنوز زبانشان دراز است اما نه همه آنها!</t>
  </si>
  <si>
    <t>حسن آقا</t>
  </si>
  <si>
    <t>‏‏‏‏‏‏‎خبرنگار روزنامه شهروند ‎‎‎‎‎@shahrvand_paper</t>
  </si>
  <si>
    <t>https://pbs.twimg.com/media/DmULPH5W4AA2Ps0.jpg</t>
  </si>
  <si>
    <t>نماینده‌های #مجلس شده‌اند روضه خوان ملت،یکی یکی نوبت می‌گیرند نطق‌های آبکی می‌کنند و می‌روند می‌نشینند. اما با طرحی که قرار است عملکرد خودشان را شفاف کند مخالفت می‌کنند. این شرایط دستپخت همه شما است گردن هم نیندازید. #شفافیت_آراء_مجلس</t>
  </si>
  <si>
    <t>فرشید غضنفرپور</t>
  </si>
  <si>
    <t>‏‏‏‏‏‏در زندگی هر کس لحظه‌ای وجود دارد که در آن لحظه تصمیم می گیرد می خواهد چه کسی باشد / دانشجو / علاقه مند به کتاب و حقیقت</t>
  </si>
  <si>
    <t>پشت دریاها شهریست!</t>
  </si>
  <si>
    <t>هی میگن تو این اوضاع به دولت کمک کنید و فلان و بیسار. اینطور که پیداست تنها کمکی که دولت از من میخواد یه متن تر و تمیز و مطالبه گرانه و معترضانه ست واسه سخنرانی بعدی مستر پرزیدنت! شب قبل از نطق هم بهم خبر بدید میرسونم به دستتون :/ #روحانی</t>
  </si>
  <si>
    <t>ترنج خاتون</t>
  </si>
  <si>
    <t>🔴 روحانی: اینها می‌خواهند ما را به ۴۰ سال عقب برگردانند، تسلیم شویم و بگوییم اشتباه کردیم، این آرزوهای دشمن هیچ‌وقت محقق نخواهد شد. آقای #روحانی مثل اینکه توی ایران نیستید، ما داریم به دوره #قاجار بر میگردیم 😐😐</t>
  </si>
  <si>
    <t>Designer in VOC</t>
  </si>
  <si>
    <t>اغا که وضعشه چرا حمله کردین به پوشک همین کارا رو میکنین گرون میشه تو رو خدا جمع نکنین به اندازه بخرید #تورم #رکود #گرونی #مردم_علیه_مردم #روحاني #ایران</t>
  </si>
  <si>
    <t>Mohamadhosein Rezaie</t>
  </si>
  <si>
    <t>نه چپ نه راست نه بسیجی یه ایرانی معمولی که از عوام بی فکر جدا شده *فالو به معنی تایید مطالب نیست*</t>
  </si>
  <si>
    <t>امروز مرز #نفاق و #خیانت جابه جا شد: وقتی بالای 200 نفر یه طرح رو امضا میکنن ولی فقط 59 نفر بهش رأی میدن #مجلس #شفافیت_آراء_مجلس #شفافیت_آراء_نمایندگان #شفافیت</t>
  </si>
  <si>
    <t>Javad Parsa</t>
  </si>
  <si>
    <t>‏لبیک یا زینب👣✌</t>
  </si>
  <si>
    <t>https://pbs.twimg.com/media/DmUMTSVX4AAu0ke.jpg</t>
  </si>
  <si>
    <t>#نماینده -پنجم-اهواز-پاسخگو باشد</t>
  </si>
  <si>
    <t>Fatemeh.Af</t>
  </si>
  <si>
    <t>بچه های دهه شصت ：دوران #خاتمی اولش تو کف آموزش و مشکلات و #تابو جنسی،آخرش بیشترین میزان مشارکت تو #کنکور,بعدش #بیکاری و #مهاجرت دوره #احمدی _نژاد,بی پولی برای #ازدواج،دوره #روحانی #طلاق و #سکه</t>
  </si>
  <si>
    <t>zaaple</t>
  </si>
  <si>
    <t>https://pbs.twimg.com/media/DmUMXWJXcAAwaRt.jpg</t>
  </si>
  <si>
    <t>نمایندگان #مجلس کاری نکنید که مردم این بار خودشان شخصا وارد مجلس شوند و شما را با لگد از خانه ای که غصبش کردید بیرون کنند امروز بادی کاشتید ولی طوفان درو می کنید، خداوند از ظلم و بغی که به خاطر منفعت طلبی هایتان به این مردم تحمیل می کنید‌، نمی گذرد تاریخ گواهست</t>
  </si>
  <si>
    <t>https://pbs.twimg.com/media/DmUM-nxX4AAsaPL.jpg</t>
  </si>
  <si>
    <t>اکثریت ️نمایندگان مجلس با طرح «⁧ #شفافیت_آراء_مجلس » مخالفت کردند! امیدوارم فهمیده باشید اون نماینده اینکه طرح رو نمایشی امضا می‌کنه با اونی که بهش رای میده متفاوته!! امیدوارم متوجه شده باشید کیا اینجا موافق بودند و تو #مجلس مخالف!! یعنی نماینده ها فقط پیچوندن بلدن ‌و بس!</t>
  </si>
  <si>
    <t>‏تحلیلگر بازارهای مالی و جهانی Analyst Financial Markets</t>
  </si>
  <si>
    <t>#دلار آنچنان رونق اقتصادی در بازار دلار ایجاد کنم که مردم یارانه ها به چشمشون نیاد #روحانی</t>
  </si>
  <si>
    <t>Ali Parvin</t>
  </si>
  <si>
    <t>شهررضا</t>
  </si>
  <si>
    <t>ایران که نابود شد بیاید تا عراق هنوز ویزا میده بریم اونجا کون بدیم به نگهبانه دره حرم شاید یه یک دلاری پرت کرد تو صورتمون. یک دلاری رو دست نزنید بیارید ایران تا اون موقع میشه یک قصر باهاش خرید #دلار #استکبار #روحانی #نرمش_کوندهاده #رهبری #ایران #ریال_یا_پهنه_گاو</t>
  </si>
  <si>
    <t>Sam Paltino</t>
  </si>
  <si>
    <t>ما از #روحانی رییس دولت امید ناامیدیم! این مشکلات را او حل نخواهد کرد! محرم در پیش است و مجالس روضه‌ی #اباعبدالله قطعا مشکلات را حل خواهد کرد!</t>
  </si>
  <si>
    <t>pic.twitter.com/gCoiIlwCAt</t>
  </si>
  <si>
    <t>باشنیدن این صحبتها تنها چیزی که در ذهنم تداعی می شود به بن بست رسیدن کل حاکمیت آخوندی و نظام جهل وجنایت است.... به صحبتهای « غلامرضا حیدری » در صحن علنی #مجلس توجه کنید! #دیگه_تمومه_ماجرا</t>
  </si>
  <si>
    <t>امين صانعي- خبرنگار</t>
  </si>
  <si>
    <t>بلومبرگ: دیدار احتمالی ترامپ و روحانی در جلسه شورای امنیت #سازمان_ملل #بین‌_المللی #ترامپ #روحانی</t>
  </si>
  <si>
    <t>Amin Saneey</t>
  </si>
  <si>
    <t>طرح تشدید مبارزه با مفاسد اقتصادی امروز از دستور کار #مجلس خارج شد! چون مجلس مجلس #فراکسیون_امید و مجلس #لاریجانی و مطهری و صادقی و #پروانه_سلحشوری و... است! امیدوارم یه روز کلا این مجلس از دستور کار خارج بشه!!</t>
  </si>
  <si>
    <t>‏‏🌼‏شهر عزیزم اصفهان را دوست دارم 🌼</t>
  </si>
  <si>
    <t>pic.twitter.com/ueav1Sw83D</t>
  </si>
  <si>
    <t>ببینیدچطوری تبلیغ #روحانی رومیکردن، مریان و متینا رادپور دختران #مهدی_رادپور مالک هلدینگ نفت وگاز یکی ازمدیران رانت خوار دولت روحانی... %خوب روشن کرد با : +چپاول خزانه توسط نورچشمیا +دلار ۱۳ هزار تومنی +عزت ایرانی +خفت دانشمندان و نخبگان +از دست دادن منابع طبیعی ...</t>
  </si>
  <si>
    <t>فدک ۱۱۰۱۱ 🇮🇷</t>
  </si>
  <si>
    <t>pic.twitter.com/ITJYpe4xuU</t>
  </si>
  <si>
    <t>🎥 #روحانی هفته اول مهر به #نیویورک می رود/رئیس دفتر رئیس جمهور: مسئولان هنگام #سخنرانی صحبت های باورپذیر بیان کنند</t>
  </si>
  <si>
    <t>#حسن_روحانی در سال 1396: آنچنان #رونق_اقتصادی ای ایجاد کنیم که ملت اصلا به #یارانه نیاز نداشته باشن #حسن_روحانى در سال 1400(البته اگه تا اون موقع دَووم بیاره): آنچنان ریدم به #اقتصاد کشور که تا یه قرن دیگه حتی #حضرت_فیل هم نتونه این وضعو درست کنه #حسن_روحانی #روحانی #دلار</t>
  </si>
  <si>
    <t>#پروانه_سلحشوری گفته که نیروهای نظامی برگردند به پادگان‌ها. بنده خدا فکر نکرده که آن‌وقت چه‌کسی باید پروژه بسازد تا آقای #روحانی افتتاح کند. #علی_برکت_الله</t>
  </si>
  <si>
    <t>وقتی #روحانی وقت ندارد،موافقین هم منتقدمیشوند👇 لیلاز(۹۶/۲/۱۷):معتقدم روحانی فراترازانتظارعمل کرده است لیلاز(۹۷/۶/۱۳):مسولیت وضعیت بدفعلی کشورمتوجه روحانی است مرعشی(۹۶/۲/۸):روحاني کاندیدای اصلی وموردحمایت همه ماست مرعشی(۹۷/۶/۱۲):هاشمی هم بود،حریف کارهای روحانی نمیشد🧐 #وقت_ندارم</t>
  </si>
  <si>
    <t>آرامش آرامش آرامش فقط همینو بهمون بده هیچی دیگه ازت نمیخوایم #روحانی #به_عقب_برنمیگردیم #وقت_ندارم #فرجام_غربگرایی</t>
  </si>
  <si>
    <t>هرجور راحتین در موردم فکر کنین</t>
  </si>
  <si>
    <t>یه جای دور</t>
  </si>
  <si>
    <t>واعظی رییس دفتر #روحانی ؛ قبول داریم که فشار روی مردم زیاد شده است از مردم می‌خواهیم که در حد نیازشان خرید کنند از کسبه هم می‌خواهیم انصاف را رعایت کنند پ ن ؛ پس شما توی این مملکت چه غلطی می کنید ؟</t>
  </si>
  <si>
    <t>mehrshad</t>
  </si>
  <si>
    <t>https://pbs.twimg.com/media/DmUCYihXoAAu8tK.jpg</t>
  </si>
  <si>
    <t>https://twitter.com/Ahmad_dastaran/status/1037237926730653696</t>
  </si>
  <si>
    <t>چیزی که گفته میشه فاجعه، بازگشت به تعقل است. محافظه‌کارانه با #شفافیت رای نمایندگان #مجلس مخالفم این طرح جایگاه نمایندگان را در حد پوپولیست‌های توییتری تقلیل می‌دهد. هرچند اجرای آن در مواردی مثبت است اما در عمل ایراد امنیتی و پوپولیستی دارد. امیدوارم اکثریت مجلس با آن مخالفت کند. RT @Ahmad_dastaran: از فاجعه براتون حرف می‌زنم: یک طرح یک فوریتی که مطالبه عمومی مردم هست با۱۶۰امضا تقدیم مجلس می‌شه و در مجموع نزدیک۲۱۰نفر ازش حمایت می‌کنن اما فوریتش فقط۵۹تا رای موافق میاره! می‌دونید چرا بااینکه موافق فوریتش نبودن امضاش کردن؟ چون امضا کردن شفافه اما رای‌گیری نه! #شفافیت_آراء_مجلس</t>
  </si>
  <si>
    <t>https://pbs.twimg.com/media/DmUOXlTXoAAkddO.jpg</t>
  </si>
  <si>
    <t>همان حامی جاسوسان محیط زیستی که اخیرا گفته بود برای حفظ #محیط_زیست(بخوانید برای اجرای #توافق_پاریس) باید کشاورزی، صنایع، پالایشگاه های پتروشیمی و... تعطیل شوند، این بار از دخالت #سپاه در کشاورزی انتقاد کرد! آیا #مجلس نمیخواهد درباره این موارد و عملکرد #کلانتری تحقیق و تفحص کند؟!</t>
  </si>
  <si>
    <t>همین هفته پیش @HassanRouhani تو #مجلس گفت قیمت ارز در هفته‌های بعد #متعادل می‌شود. و #اگر بخواهیم می‌توانیم ظرف دو هفته ارز را به قیمت پارسال برسانیم.</t>
  </si>
  <si>
    <t>«‏‏‏‏پرچم سرخ ما همچنان برافراشته‌ست! سر سبزمان یاد باد...»</t>
  </si>
  <si>
    <t>ظاهرا به زمان ملکوتی انتخابات به وقت #مجلس داریم نزدیک می‌شیم! #نطق‌های_آتشین #شفافیت_آراء_نمایندگان</t>
  </si>
  <si>
    <t>Hassan Ighani</t>
  </si>
  <si>
    <t>چه #غلطی میکنین؟؟؟ #بانک_مرکزی #دولت #مجلس #دلار_۱۵۰۰۰</t>
  </si>
  <si>
    <t>حسن بهرامیان</t>
  </si>
  <si>
    <t>#شفافیت دوستان یادتان است داعش به #مجلس زد و قصد ترور نمایندکان را داشت؟ فکرش رو کنید , اگر ترور میشدن از فردا باید قبل اسمشان شهید میزاشتیم و از فضایل تخیلیشان میشنیدیم و نامشان رو در تاریخ کنار شهدای ترور منفقین میدیم. واقعا خدا خر رو میشناخت که بش پالون طلایی نداد</t>
  </si>
  <si>
    <t>اگر عزمی در مسوولین عالی مملکت برای مقابله با #فساد هست فرصت خوبیه که تو این ۱۷-۱۸ روزی که #مجلس #تعطیل شد، یک کاری بکنند.</t>
  </si>
  <si>
    <t>ولی باز خوبه رای دادیم #روحانی انتخاب میشد وگرنه ...</t>
  </si>
  <si>
    <t>‏عدالتخواه و دشمن قسم خورده استعمار</t>
  </si>
  <si>
    <t>#مجلس با طرح شفافیت رای نمایندگان مخالفت کرد، مردم ایران برای یکبار در تاریخ هم که شده باید دو مجلس را بلک لیست یا همان لیست سیاه کند،اول مجلسی که دربیست دقیقه #برجام را تصویب کرد دوم مجلسی که از شفافیت رای نمایندگان خودش شانه خالی میکنداین یعنی چهل سال با همین روش فریب و استعمار</t>
  </si>
  <si>
    <t>منم مجنون مهدی(عج)</t>
  </si>
  <si>
    <t>https://pbs.twimg.com/media/DmURaI1XoAAjWUx.jpg</t>
  </si>
  <si>
    <t>مجلسی که ۲۰۷ نفر بگن ما با یه طرح موافقیم بعد اون طرح فقط ۵۲ رای موافق داشته باشه یعنی مجلس یزید یعنی #دارالمنافقین. چطور روتون میشه برید برای امام حسین عزاداری کنید چطور روتون میشه اسم مجلس اسلام رو میارید #شفافیت_آراء_نمایندگان #تو_نماینده_من_نیستی #دارالمنافقین #مجلس</t>
  </si>
  <si>
    <t>بِسْمِ اللَّهِ مَجْراها وَ مُرْساها🇮🇷</t>
  </si>
  <si>
    <t>آیا یک مرد پیدا میشود #دارالمنافقین ( #مجلس ) را به توپ ببندد ؟</t>
  </si>
  <si>
    <t>ادیب فروتن</t>
  </si>
  <si>
    <t>الان بگیم دیگه وقتشه #مجلس رو به توپ ببندیم، زشته!؟ طرح شفافیت، طرح تأمین کالای اساسی، طرح تشدید مبارزه با مفاسد اقتصادی امروز رأی نیاورد و از دستور کار خارج شد!</t>
  </si>
  <si>
    <t>Psychological Student🎓</t>
  </si>
  <si>
    <t>#روحانی هنوز رئیس جمهوره یا ولمون کرده رفته؟ اینجور که داریم #سقوط می‌کنیم فکر کنم کسی پشت فرمون نیست #دلار15000تومانی</t>
  </si>
  <si>
    <t>Sina</t>
  </si>
  <si>
    <t>دانشجوی دکتری تخصصی دامپزشکی</t>
  </si>
  <si>
    <t>iran-esfahan</t>
  </si>
  <si>
    <t>https://pbs.twimg.com/media/DmUSWO9WsAAXuon.jpg</t>
  </si>
  <si>
    <t>کلنل لیاخف م ارزوست. تف به این مجلس یه مشت روباه فرستادیم #مجلس #شفافیت_آراء_نمایندگان</t>
  </si>
  <si>
    <t>mohammad</t>
  </si>
  <si>
    <t>طرفدار اصلاحات و جنبش سبز - منتقد اصلاح طلبان!</t>
  </si>
  <si>
    <t>https://twitter.com/mtrrad2/status/1037252905353601024</t>
  </si>
  <si>
    <t>باید یه تحرک جدی از طرف افراد دلسوز صورت بگیره! حماقت #خامنه‌ای و بی لیاقتی #روحاني و بی مسئولیتی #برانداز داره مملکت رو نابود میکنه! RT @mtrrad2: چیزی که مشخصه فروپاشی اقتصادی کاملا بهمون نزدیکه!</t>
  </si>
  <si>
    <t>Mrad</t>
  </si>
  <si>
    <t>ولله که حرامزاده ای....@Rouhani_ir #روحانی #دلار</t>
  </si>
  <si>
    <t>واعظی ( رییس دفتر #روحانی)‌گفته: قبول داریم فشار روی مردم زیاد شده. از مردم می‌خواهیم در حد نیاز خرید کنند!! لامصب مردم اصلا توان خرید دارن که درحد نیاز بتونن چیزی بخرن؟! این طرز حرف زدن رییس دفتر رییس‌جمهور مملکته!</t>
  </si>
  <si>
    <t>‏‏‏‏‏‏‏فعال سیاسی، روز نگار، کارشناس اقتصادی بورس و بازارهای مالی، فکر کنم در هر نظام حکومتی، اصلاح طلب باشم...</t>
  </si>
  <si>
    <t>باقاطعیت اعلام میکنم چیزی به عنوان #تولید دیگه در کشور نداریم ! به فنا رفتند هر چی #تولید_کننده است با این قیمت #دلار حالا میخواید #جمهوری_ایرانی بخونید یا #جمهوری_اسلامی #لشگر_بیکاران در راه است #دولت #حسن_روحانى #حکومت #ایران #مجلس #تصمیم_نهایی #ريتوييت_لطفا</t>
  </si>
  <si>
    <t>‏‏‏‏آیت الله گرینوف (ره): آنفالو کنید ما را، فالورهای ما بیشتر خواهد شد</t>
  </si>
  <si>
    <t>ملکوت  اعلی</t>
  </si>
  <si>
    <t>دولت قبل با آن همه هجمه داخلی و خارجی و تحریم های سنگین تر چه قدرتی داشته که در مرز 3000 تومن نگه داشت و #هسته_ای را هم حفظ کرد در این #دولت، #مجلس و ق.ق کاملا متحد، به قول خودشان کانال های مالی بعد #برجام هم دارند و دلار 15000 تومن این دولت به #سقوط خودش نزدیک شده 😏</t>
  </si>
  <si>
    <t>آیت الله گرینوف</t>
  </si>
  <si>
    <t>https://pbs.twimg.com/media/DmUTI2EWsAAk5sw.jpg</t>
  </si>
  <si>
    <t>نمایندگان #مجلس با 59 رای موافق و ۱۰۸ رای مخالف با طرح #شفافیت_آراء_مجلس مخالفت کردند!!!!</t>
  </si>
  <si>
    <t>mohammadar75</t>
  </si>
  <si>
    <t>pic.twitter.com/g8okmIcwzr</t>
  </si>
  <si>
    <t>#جنتي: همه بدانند ما مي مانيم #روحاني: آرزوي بازگشت به قبل از انقلاب ٥٧ را به گور خواهيد برد شما لعنتي ها اگر فقط همين ويديو رو ميديديد و دغدغه ايران و مردم ايران رو داشتيد فردا داوطلبانه سر به بيابون ميذاشتيد اگر خودتون رو نميكشتيد! #سيستان_و_بلوچستان</t>
  </si>
  <si>
    <t>قرار بود #برجام بشه نشان و برند دولت #روحانی اما امروز #پوشک شده نشان دولت تدبیر! #فرجام_غربگرایی</t>
  </si>
  <si>
    <t>‏‏‏‏ اندکی تحصیلات در علوم سیاسی و مطالعات منطقه ای</t>
  </si>
  <si>
    <t>https://pbs.twimg.com/media/DmUTPgSWwAAVaTs.jpg</t>
  </si>
  <si>
    <t>هنوز چند هفته از بحث #پوشک سربازان آمریکایی نمیگذرد که #قحطی و #گرانی پوشک و نواربهداشتی آمده!!! پوشک سربازان آمریکایی را بیخیال، پوشک نوزادان ایرانی و محصولات بهداشتی خانمها را فراهم کنید جای ....! #تورم #سپاه #بسیج #برجام #روحانی</t>
  </si>
  <si>
    <t>SayedMousavi</t>
  </si>
  <si>
    <t>‏کارشناس ارشد علوم سیاسی از دانشگاه شهید بهشتی. پژوهشگر منطقه خاورمیانه</t>
  </si>
  <si>
    <t>https://twitter.com/Kadkhodaee_ir/status/1037222243309379585</t>
  </si>
  <si>
    <t>قانون را می توانیم تغییر دهیم.در دوره آقای #خاتمی بحث‌های زیاد در مورد حذف #نظارت_استصوابی از سوی نخبگان #حقوقی_سیاسی مطرح شد،؛،#رهبری فرمودند این قانون در #مجلس تصویب شد؛ شما هم تلاش کنید از راهش تغییر دهید. (نقل به مضمون ) نظر شما چیست؟ RT @Kadkhodaee_ir: #شورای_نگهبان بر اساس مدارك و مستنداتِ موجود و طبق قانون، صلاحیت داوطلبان را بررسی می كند. اگر چه قوانین انتخابات جامع نبوده و نیازمند شفافیت و کارآمدی بیشتر در این عرصه هستیم، لیکن نمی توان خلاف قانون عمل كرد. #نظارت_استصوابی یعنی اجرای قانون. از اجرای قانون هراس نداشته باشیم.</t>
  </si>
  <si>
    <t>Aghapourkhalil</t>
  </si>
  <si>
    <t>‏‏‏در هیچ نظمی نگنجیدم...</t>
  </si>
  <si>
    <t>"نمایندگان مجلس با یک فوریت طرح «⁧ شفافیت آرای نمایندگان ⁩» مخالفت کردند!" آخه من این دردُ به کی بگم؟😂😂😂 @mah_sadeghi @ir_aref #مجلس #ایران</t>
  </si>
  <si>
    <t>برارِی</t>
  </si>
  <si>
    <t>https://pbs.twimg.com/media/DmUUDElW4AA4rrK.jpg</t>
  </si>
  <si>
    <t>🔴 کمپین جهانی اتحادیه #معلمان #بریتانیا با ارسال نامه ای به حسن #روحانی و صادق #لاریجانی ، رؤسای جمهور و قوه قضاییه رژیم #ایران خواستار آزادی فوری #اسماعیل_عبدی ، معلم #زندانی شد.</t>
  </si>
  <si>
    <t>‏‏‏یک #انقلابی بیزاراز#چپ و#راست اهْدِنَا الصِّرَاطَ الْمُسْتَقِيمَ</t>
  </si>
  <si>
    <t>چنان دنده عقب رفته است دولت ز دورانِ فضا و عصرِ موشک که گشته معضل و بحران ملی مهیا کردن یک بسته پوشک #روحانی کجایی</t>
  </si>
  <si>
    <t>Reza Asadi</t>
  </si>
  <si>
    <t>#اصولگرا یی که نمیخواد بفهمه مشکل چیه و همش خبر از #روحانی میگذاره باید این جمله رو خوب تکرار کنه ..شش میلیون نفر برای ثبت نام خودرو به سایت #سایپا مراجعه کردند این یعنی هر کی باشه رئیس جهور..فاتحه اش خونده هست.مردم فقط دنبال نجات پولشونند از سقوط هر ثانیه ریال ضرر هست</t>
  </si>
  <si>
    <t>https://pbs.twimg.com/media/DmUUZgYWsAEVN45.jpg</t>
  </si>
  <si>
    <t>http://tn.ai/1821061</t>
  </si>
  <si>
    <t>دادستان کل کشور درمشهد:نگذاریم عده‌ای #منفعت‌طلب بر موج آشفته بازار سوار شوند/به آقای #رئیس‌جمهور گفتم که #تیم_اقتصادی دولت، ویژگی، توان و روحیه فرماندهی #جنگ_اقتصادی راندارندومردان جنگ اقتصادی نیستندواین جبهه نیازمندتزریق نیروهایی آگاه،شجاع،بصیرومقتدر است</t>
  </si>
  <si>
    <t>قیمت دلار و سکه دوباره پر کشید الانه که #حسین_ده_باشی توییت جدیدی رو بکوبه تو سر #روحانی</t>
  </si>
  <si>
    <t>رقصنده با گرگ</t>
  </si>
  <si>
    <t>https://pbs.twimg.com/media/DmUVNrUXsAA1iay.jpg</t>
  </si>
  <si>
    <t>⭕️وزیر کشور #روحانی درصدرهیأتی بلندپایه سیاسی وامنیتی ساعاتی پيش #تهران را به مقصد #بغداد ترک کرد. وزیر کشور نظام چه ربطی به عراق داره!! عراق حیاط خلوت نظامه که دارند ازدستش بیرون میارن! #ایران #چالش_دعوت_به_تظاهرات_سراسری</t>
  </si>
  <si>
    <t>https://pbs.twimg.com/media/DmUVmCKUcAAXRdd.jpg</t>
  </si>
  <si>
    <t>همه با هم #خفه شدن.. و این ملت #ایران است که باید تاوان #گرانی و #بیکاری و #فقیر شدن را پس بده👆 #دولت #روحانی #اصلاحات #اصلاحطلب #سلبریتی #سلبریتی_سیاسی #سلبریتی_سیاسی_شاتاپ #بازیگران #تاجزاده #هاشمی #محسن_هاشمی #تاوان #خاتمی #تاوان_اشتباه #انتخابات #طلا #دلار #پوشک #فقر</t>
  </si>
  <si>
    <t>‏‏قصه نیستم که بگویی صدا نیستم که بشنوی یا چیزی چنان که ببینی یا چیزی چنان که بدانی من درد مشترکم مرا فریاد کن... ‎‎#شاملو</t>
  </si>
  <si>
    <t>❌یه خبر فوری ❌ چسب زخم هم کمیاب شده به صندوق داره میگم باقی پول چسب زخم بده... گفت:نه،نیست چسب زخم وارد میشد گفتن در مواقع ضروری بدین گفتم:دستم برید بیام نشون بدم بهتون چه وضعشه چهل سال چیکار کردن اینا خلاصه با ترس و لرز و اصرار سه تا چسب زخم گرفتم... #دلار #ایران #روحانی</t>
  </si>
  <si>
    <t>memol</t>
  </si>
  <si>
    <t>Government &amp; Politics News</t>
  </si>
  <si>
    <t>روحانى: بدخواهان ما آرزوى بازگشت به قبل٥٧ را به گور ميبرند. ما به جلو پيش ميرويم. ١٤شهريور٩٧ ركورد جديد دلار: ١٥٠٠٠٠٠ريال #روحانی بداند كه ما با افتخار #به_قبل_۵٧_برمیگردیم</t>
  </si>
  <si>
    <t>pic.twitter.com/sysYraLAdl</t>
  </si>
  <si>
    <t>♦️#روحانی هفته اول مهر به #نیویورک می‌رود 🔹واعظی، رئیس دفتر رئیس جمهور: مسئولان هنگام سخنرانی صحبت‌های باورپذیر بیان کنند</t>
  </si>
  <si>
    <t>‏‏‏‏‏یه student بهاری بنام علی.م! انحرافی هم میگن بهمون!😇</t>
  </si>
  <si>
    <t>https://pbs.twimg.com/media/C9owfnQXYAEM1ZD.jpg</t>
  </si>
  <si>
    <t>https://twitter.com/sabaazarpeik/status/854048414719385600</t>
  </si>
  <si>
    <t>احساس میکنم تاریخ داره فراموش میکنه! آرررررهههه؟! تاریخ به گور پدرش میخنده فراموش کنه! خانوم آذرپیک، دلار 150 هزار ریال! #علی_برکت_الله #روحانی #روحانی_باید_برود #پوشک RT @sabaazarpeik: به روزگاری که هر روز صبح اولین سوال مون این بود که دلار چقدر کشید بالا #برنمیگردیم</t>
  </si>
  <si>
    <t>🇮🇷DaNeShJoo!✌️</t>
  </si>
  <si>
    <t>‏‏‏‏‏عشق فقط #سیدعلی ‏‏یادت را از من نگیر بگذار من هم مثل سهراب بگویم دلخوشی ها کم نیست</t>
  </si>
  <si>
    <t>همین جا</t>
  </si>
  <si>
    <t>https://pbs.twimg.com/media/DmUWPckWsAEoqH7.jpg</t>
  </si>
  <si>
    <t>محمد حسن #دوگانی نماینده سابق مردم #فسا در ادوار هفتم، هشتم و نهم #مجلس شورای اسلامی به دلیل بیماری صبح امروز در بیمارستان درگذشت.</t>
  </si>
  <si>
    <t>m_hasan_zahmatkesh</t>
  </si>
  <si>
    <t>دو فرضيه : ١-دولت توانايى كنترل بازار ارز را ندارد و و ان را به كلى رها كرده است . ٢-بانك مركزى سعى دارد با ايجاد نوسان شديد در قيمت ارز ، اين بازار را پر ريسك نشان داده و ان را از سرمايه گذار خالى كند . پ.ن: فرضيه اول محتمل تر است . #دلار۱۴۰۰۰تومانی #روحانى</t>
  </si>
  <si>
    <t>Manager at PPDC, Iran Chamber of Commerce, Mine, Industrial &amp; Agriculture. Assistant Professor of IAU</t>
  </si>
  <si>
    <t>آقاى روحانی هنوز رئیس جمهوره یا ولمون کرده رفته؟ اینجور که داریم سقوط می‌کنیم فکر کنم مخاطب در دسترس نيست. #روحاني #رئيس_جمهور #ايران #تورم #تدبير #اميد</t>
  </si>
  <si>
    <t>Ali Chagharvand</t>
  </si>
  <si>
    <t>لیلی بی عشق</t>
  </si>
  <si>
    <t>مهندس نرم افزار / برنامه نویس</t>
  </si>
  <si>
    <t>سامان</t>
  </si>
  <si>
    <t>دانشجوی هوش مصنوعی و برنامه نویس/ علاقمند به سیاست/ نه راست هستم نه چپ، بین این دو تا گیر افتادم.</t>
  </si>
  <si>
    <t>از این #مجلس فقط بوی گند خیانت استشمام می‌شود. #شفافیت_آراء_نمایندگان #شفافیت #شفافیت_آراء_مجلس</t>
  </si>
  <si>
    <t>EHSAN</t>
  </si>
  <si>
    <t>خب به سلامتی طرح تشدید مبارزه با #فساد_اقتصادی هم از دستور کار مجلس خارج شد! می‌گم اصلا #مجلس رو تعطیل کنیم یک مقدار مرغ و خروس بیاریم توش نگهداری کنیم! فایده‌اش بیشتره! حداقل در این اوضاع اقتصادی تخم می‌گذارند! از گوشتشون هم میشه استفاده کرد. عوائدش رو میدیم به #مستضعفین</t>
  </si>
  <si>
    <t>ور نه لطف شیخ و زاهد گاه هست و گاه نیست</t>
  </si>
  <si>
    <t>Neverland abad</t>
  </si>
  <si>
    <t>فکرشو بکن #مجلس به طرح مبارزه با مفاسد اقتصادی رای نداد 😂😂😂😂</t>
  </si>
  <si>
    <t>زاهد ظاهر پرست</t>
  </si>
  <si>
    <t>بجای #روحانی تیر دروازه میذاشتین،اوضاع اینقدر وخیم نبود. #وقت_ندارم</t>
  </si>
  <si>
    <t>‏‏‏‏‏‏‏‏ مژده ای دل که مسیحا نفسی می‌آید. که ز انفاس خوشش بوی کسی می‌آید. از غم هجر مکن ناله و فریاد که دوش. زده‌ام فالی و فریادرسی می‌آید.</t>
  </si>
  <si>
    <t>بیت رهبری</t>
  </si>
  <si>
    <t>https://pbs.twimg.com/media/DmUYOyRXgAAzUgC.jpg</t>
  </si>
  <si>
    <t>دکتر مهندس پروفوسور #روحانی درسته این براندازایه بیعشور کثافت خطرشون خیلی جدی ولی ما به عقب نمیگردیم بلکه از عقب میکنیمتون @Rouhani_ir #به_قبل_۵٧_برمیگردیم #رژیم_را_سرنگون_کنیم #به_قبل_۵٧_برگردیم #به_قبل_۵٧_برگردیم</t>
  </si>
  <si>
    <t>shayeste.iraniii👑💙</t>
  </si>
  <si>
    <t>pic.twitter.com/9HyHmATIcn</t>
  </si>
  <si>
    <t>فیلم/ #شیلا_خداداد: چرا مردم قبول نمی‌کنند که وضعیت امروز کشور ربطی به #روحانی ندارد/ به بهترین گزینه موجود رای دادیم</t>
  </si>
  <si>
    <t>#روحانی : همه چیز از اونجا شروع شد! #دلار۱۵۰۰۰تومانی</t>
  </si>
  <si>
    <t>تورک خَلقی</t>
  </si>
  <si>
    <t>دیدگاه شخصی من</t>
  </si>
  <si>
    <t xml:space="preserve">من کیم واقعا؟؟ </t>
  </si>
  <si>
    <t>https://pbs.twimg.com/media/DmUYbiqX4AEHKQo.jpg</t>
  </si>
  <si>
    <t>♦️رئیس قوه قضائیه: مشکلات اقتصادی فعلی کشور عمیق تر از آن است که با صرف برخورد با مفاسد اقتصادی حل شود اگه هر کی کار خودشو به نحو احسن انجام می‌داد وضع کشور این نبود، بجای این حرفا به وضیفت عمل کن. #فساد #اقتصاد #پوشک #جهرمی #روحانی</t>
  </si>
  <si>
    <t>یا استقدوس</t>
  </si>
  <si>
    <t>خموشی صبورانه ی رهبر و امت فقط فرصتیست به پایان این بی برنامگی ها و حماقتها وگرنه چیزی برای از دست دادن نیست و سزای خیانت مرگ است #روحاني</t>
  </si>
  <si>
    <t>‏‏‏او می‌داند که جنایتکاران خیلی خرافاتی‌اند، بنابراین باید با نمادی علیه آن‌ها بجنگد که ترس را به قلبشان وارد کند</t>
  </si>
  <si>
    <t>Gotham City</t>
  </si>
  <si>
    <t>pic.twitter.com/BZqdecxnGS</t>
  </si>
  <si>
    <t>https://twitter.com/DR_FRANKESHTEIN/status/1037229165974626304</t>
  </si>
  <si>
    <t>پدر و مادر های گرامی بدلیل استفاده از الفاظ رکیک، در حضور کودکان از پخش رادیو #مجلس خود داری فرمایید #طویله_شورای_اسلامی RT @DR_FRANKESHTEIN: درگیری لفظی در مجلس شورای عنتر: مطهری خطاب به کوچک‌زاده: خفه شو ، بتمرگ پفیوز در مجلس... قشنگ نشانه‌های سقوط یکی یکی داره ظهور پیدا میکنه... #به_قبل_۵٧_برمیگردیم</t>
  </si>
  <si>
    <t>بروس وین ©</t>
  </si>
  <si>
    <t>#یورو حبابه #دلار حبابه مرغ حبابه #پوشک_بچه حبابه مسکن حبابه #روحانی حبابه #خامنه‌ای حبابه .... به زودی خود ما هم حبابیم! #چالش_دعوت_به_تظاهرات</t>
  </si>
  <si>
    <t>http://sepisoad.com</t>
  </si>
  <si>
    <t>trying to hack a broken mind</t>
  </si>
  <si>
    <t>بنظرم صحبت های نمایندگان در #مجلس چیزی بیشتر از یک #فیلم نبود. به قول معروف حرف زدن که کنتور نمیندازه. هروقت تحول واقعی ایجاد کردن اونوقت میشه قابل قبول. در نظر بنده نمایندگان جمیعا فاسد و بدرد نخور هستن. همینطور باقی ارکان.</t>
  </si>
  <si>
    <t>Sepehr Aryani</t>
  </si>
  <si>
    <t>کاری که #روحانی با واژه «امید» کرد، هیتلر با یهودیا نکرد #دلار۱۵۰۰۰تومانی</t>
  </si>
  <si>
    <t>من عموما سعی میکنم از الفاظ رکیک استفاده نکنم اما؛ آقای #جمهوری_اسلامی، آقای #ولایت_فقیه، آقای #رئیس_جمهور، #مجلس_شورای_اسلامی، #قوه_قضائیه، #شورای_نگهبان، #سپاه، #مجلس_خبرگان، #ائمه_جمعه، #نهادهای_منصوب_رهبر! همتون باهم ریدید به مملکت،آبروی اسلام و شیعه و علی(ع) رو بردید! #دلار</t>
  </si>
  <si>
    <t>مازندران، ايران</t>
  </si>
  <si>
    <t>آقاي روحاني از من حقوق ميگيري پس براي من درست کار انجام بده. يک هشتاد ميليونم حقوقي که ميگيري از مالياتيه که من ميدهم، از نفتم از گازم از آب ، خاک معادن و و و پس يا فوري تغيير يا بگذاريد کاردانها بيايند شما ناکارآمديد #رییس_جمهور</t>
  </si>
  <si>
    <t>Kazem Miar</t>
  </si>
  <si>
    <t>با تمام وجود حس مي كنم در يك فضاي سوررئال هستيم انتظار دارم هر لحظه يكي بزند پشتم بگه پاشو پاشو داري خواب مي بيني با تعجب حيرت و ترس به اطراف نگاه مي كنم حتي نمي توانم تصور كنم آخرش چي مي شود #تحريم #روحاني #برجام #ايران</t>
  </si>
  <si>
    <t>از اول هفته روزی هزارتومان #دلار گرون شده. آخه مگه ممکنه.کابوس میبینیم. #حباب #روحانی #خامنه‌ای #جنتی اسمت هم که بیاد من از خود بیخود میشم و مغز جز کلمات فحش چیزی برا گفتن نداره. تُف به گور اون مادرت که معلوم نیست چه شیری دهن تو بی شرف گذاشت که حالا خون ۸۰ میلیون رو میخوری</t>
  </si>
  <si>
    <t>Irani</t>
  </si>
  <si>
    <t>‏تاریخ را چشمان من می سازد ؛ چنان عاصی ام که بر گُرده ام بگذار تمامی معاصی جهان را من بَرده آزادی ام ، من بَرده آزادی ام</t>
  </si>
  <si>
    <t>آقای #روحانی #پفیوز ما به قبل از سال ۵۷ که هیچ، داریم تمام تلاشمون و میکنیم که به ۱۴۰۰ سال قبل برگردیم #به_قبل_۵٧_برمیگردیم #آنتی_اسلام</t>
  </si>
  <si>
    <t>kaktuss</t>
  </si>
  <si>
    <t>اقای #روحانی چرا گورت رو گم نمیکنی؟</t>
  </si>
  <si>
    <t>عضو کمیسیون اقتصادی مجلس شورای اسلامی گفت: طبق روند موجود، #کمیسیون_اقتصادی مجلس در حوزه نظارت بر #بانک ها ضعیف عمل کرده و در مدتی که از زمان تشکیل #مجلس دهم گذشته اعضای کمیسیون حتی یک جلسه با مدیران بانک ها نداشتند تا بدانند مشکل از کجاست</t>
  </si>
  <si>
    <t>درود خدا بر ولایتمداران ؛ کلاس نذار فالو کن؛ منتظر ؛اهل ‏سیاست شوخ‌طبعی تحلیل‌گری حقیقت طلبی... به دنبال حکمت و حرف نو؛</t>
  </si>
  <si>
    <t>هرچه فریاد دارید بر #روحانی و #لاريجاني بکشید. عوضیا #مردم_گناه_دارن</t>
  </si>
  <si>
    <t>کیارش🇮🇷</t>
  </si>
  <si>
    <t>۱۰ روز دیگه یا تاریخو ورق میزنی اقای رییس جمهوری یا ورقت میزنن #روحانی</t>
  </si>
  <si>
    <t>https://telegram.me/iranAzadie</t>
  </si>
  <si>
    <t>همواره زمانی میرسد که بایدمیان تماشاگر بودن وعمل یکی رابرگزید.این معیار انسان شدن است! آلبر کامو / كانال تلگرام : https://telegram.me/iranAzadie</t>
  </si>
  <si>
    <t>https://pbs.twimg.com/media/DmUaT94X4AAj4Uk.jpg</t>
  </si>
  <si>
    <t>چاره درمانی #گرانی #پوشک از زبان #روحانی ! 😳😳😳 #IranRegimeChange #براندازم</t>
  </si>
  <si>
    <t>Tiger</t>
  </si>
  <si>
    <t>چون تيغ بدست آري مردم نتوان كشت # نزديك خداوند بدي نست فرامشت</t>
  </si>
  <si>
    <t>https://pbs.twimg.com/media/DmT5vgXXcAAgjOB.jpg</t>
  </si>
  <si>
    <t>https://twitter.com/MjHaghshenas/status/1037228441551216640</t>
  </si>
  <si>
    <t>اين اتفاق نشان داد كه خبرهاي جعلي با مقاصد گوناگون در حجم بالا در حال توليد است و متاسفانه به حدي تاثيرگذارند كه حتي معاون اول #رئيس_جمهور هم باور مي كند. يعني با يك خبر جعلي مي توان چند روزي كل مملكت و مسؤلين را مشغول كرد.  #شفافيتRT @MjHaghshenas: #شفافيت در پى دستور اقاى#جهانگيرى براى رسيدگى به ماجراى گوشبرى درمنطقه٣ شهردارى، موضوع با قيد فوريت در دستور كار قرار گرفت ، اين كودك كار (مهاجرافغان)، يافته شد، گوش او سالم بوده حتا بخيه اى هم نداشت ومشخصا يك سفارش #خبرسازى به قصد تشويش اذهان شهروندان و تخريب شورا و شهردارى بود!</t>
  </si>
  <si>
    <t>🇮🇷 Demos 🇮🇷</t>
  </si>
  <si>
    <t>#روحاني بجای دردست گرفتن کلید با قفل در دست میگرفت یعنی اگر #رئیس_جمهور مملکت را این چند سال قفل میکرد و بدون هیچ حرکتی می ایستاد شرایط خیلی بهتر از امروز بود. #روحانی_بسه #دلار۱۵۰۰۰تومانی</t>
  </si>
  <si>
    <t>آدم هايي را مَي بينم كه مَي گويند اگر به #روحاني راي نمي داديم وضع اين گونه نبود! نمي دانم نادانند يا خود را به ناداني زده اند! خانم/آقاي نسبتا محترم علت چيز ديگري است! التماس #تفكر! #پوشك #موشك #نواربهداشتي</t>
  </si>
  <si>
    <t>Arashdowlatshahi</t>
  </si>
  <si>
    <t>#دلار شد ۱۵۰۰۰ تومن #یورو ۱۷۰۰۰ تومن #پوند هم ۲۰۰۰۰ تومن تنها امیدمون به #مجلس به بود که مجلس هم خیلی واضح مشخص کرد طرف کیه! الان دیگه فقط خدارو داریم!! به یک #محمد_علی_شاه قاجار نیاز داریم تا همشونو به توپ ببنده!</t>
  </si>
  <si>
    <t>http://Instagram.com/maral.arhami</t>
  </si>
  <si>
    <t>Photographer | Graphic Designer | Theater Student</t>
  </si>
  <si>
    <t>#روحانی هنوز #رئیس_جمهوره یا ولمون کرده رفته؟ اینجور که داریم #سقوط می‌کنیم فکر کنم کسی پشت فرمون نیست</t>
  </si>
  <si>
    <t>Maral Arhami</t>
  </si>
  <si>
    <t>#روحانی الان تو وضعیتی هست که دوست داره زودتر برکنارش کنن. مثل چی تو گوه گیر کرده</t>
  </si>
  <si>
    <t>http://kazemAlireza.com</t>
  </si>
  <si>
    <t>‏‏‏هیچ اگر سایه پذیرد منم آن سایه هیچ</t>
  </si>
  <si>
    <t>شابدولزیم</t>
  </si>
  <si>
    <t>#احمدی_نژاد با همه تلاشش در به انحراف کشاندن انقلاب در طول 8 سال فقط توانست قیمت دلار را 2600 تومن افزایش دهد در صورتی که دولت سوپر انقلابی دکتر #روحانی با توان بی نظیر خود فقط طی #یک_روز توانست این رقم رو به دلار اضافه کند. ✊🏼✊🏼 [سیفون را میکشد]</t>
  </si>
  <si>
    <t>کاظم علیرضا</t>
  </si>
  <si>
    <t>‏در اقلیت بودن تنها بودن نیست چه بسا گروهی اندک که بر بسیاران غلبه کردند...!</t>
  </si>
  <si>
    <t>Khoozestan, Behbahan</t>
  </si>
  <si>
    <t>https://pbs.twimg.com/media/DmUbcHNW4AAYLlX.jpg</t>
  </si>
  <si>
    <t>207نفری که حامی #شفافیت_آراء_مجلس بودند. امروز این طرح 52 رای آورد!/یعنی155 #نماینده دروغگو داریم. چی میشه گفت؟ #لیست_امید</t>
  </si>
  <si>
    <t>احمدرضا جمالی</t>
  </si>
  <si>
    <t>Virtue of Chastity All has an Iranian Muslim Shia Girl</t>
  </si>
  <si>
    <t>pic.twitter.com/0EjwRxKn7E</t>
  </si>
  <si>
    <t>ای کاش #روحانی فقط به اندازه نصف این مرغ به فکر مردم بود ....</t>
  </si>
  <si>
    <t>Fatima</t>
  </si>
  <si>
    <t>Impossible is impossible</t>
  </si>
  <si>
    <t>Bluesky</t>
  </si>
  <si>
    <t>از نظر من #روحانی میبایست رنگ کمپین تبلیغاتی #دولت_تدبیر_و_امید و قهوه‌ای انتخاب می‌کرد نه بنفش. بد جوری ریدی #دلار #دلار۱۵۰۰۰تومانی #پوشک #گرانی #ایران #سکه #پول_ملی</t>
  </si>
  <si>
    <t>مرغ همسایه</t>
  </si>
  <si>
    <t>بعد یه عده میگن #روحانی میترسه و پخمه‌س و اینا. نه عزیزان ایشون مکاره. شما مقایسه کن با #پروانه_سلحشوری</t>
  </si>
  <si>
    <t>یه سوال #جدی هم از نمایندگان #مجلس دارم: یعنی اینقدر اوضاع صنعت نفت مملکت خراب شده که برادر و خواهر و فرزندان و سایر فک و فامیل محترم را به فلان وزارت فرو می‌کنید؟</t>
  </si>
  <si>
    <t>https://pbs.twimg.com/media/DmUc8ZoW4AUugXy.jpg</t>
  </si>
  <si>
    <t>خدا لعنتت کنه دکتر حسن #روحانی #فرجام_غربگرایی #پوشک #دلار۱۵۰۰۰تومانی</t>
  </si>
  <si>
    <t>http://www.soheilzarrinkelk.com</t>
  </si>
  <si>
    <t>Musician, IT guy, Guitar Tutor</t>
  </si>
  <si>
    <t>تنها راهکاری هم که بلدن امنیتی کردن فضای اطراف فردوسی و تهش بازداشت چهار تا دلال خرده پاست. واقعا خجالت نمیکشید از تکرار این بازی مسخره نخ نما؟ #دلار #روحانی #زوال #نابودی #ناامیدی</t>
  </si>
  <si>
    <t>Soheil Zarrinkelk</t>
  </si>
  <si>
    <t>https://pbs.twimg.com/media/DmUdM5LX4AICAQt.jpg</t>
  </si>
  <si>
    <t>میگن دولتِ #آمریکا میخواد جمهوری اسلامی رو به سمت #فروپاشی ببره ولی فکر کنم درستش اینه که #دولت و #آمریکا میخوان این کار رو بکنن #روحانی #برجام_پوشکی #گلابی #برجام #دلار #خودرو #احتکار</t>
  </si>
  <si>
    <t>pic.twitter.com/l1JE2BAdQo</t>
  </si>
  <si>
    <t>https://twitter.com/yekishavim/status/1037261817268060161</t>
  </si>
  <si>
    <t>از چهره ها معلومه که #روحانی جلوئه😂😂😂😂😂😂😂😂😂😂😂😂#خامنه_ای بجنب... RT @yekishavim: وقتی عکسها به حرکت در میایند تخته بازی کردن خامنه و فری بر سر قیمت دلار 😁</t>
  </si>
  <si>
    <t>‏‏‏چند صباحیست سرم میل پریدن دارد..... ‎@talangorkhas</t>
  </si>
  <si>
    <t>#مجلس سرمنشا تمام مشکلات کشور نمایندگانی که فوریت #شفافیت_آرا رو رد میکنن همون کسایی هستن که باعثو بانی تمام مشکلات مردم هستن خدایا #شورای_نگهبان #سازمان_بازرسی #دستگاه_قضایی که خوابن #حضرت_ازرائیل رو بفرست سراغ نماینده ها</t>
  </si>
  <si>
    <t>احمدرضا خلت آبادی</t>
  </si>
  <si>
    <t>https://pbs.twimg.com/media/DmUdovfU0AAi1Rw.jpg</t>
  </si>
  <si>
    <t>همزمان با سیل توهین و تحقیر و تهدید علیه #پروانه_سلحشوری توسط اصولگرا و انقلابی و ارزشی، یادی بکنیم از این جمله بینانگذار فقید نظام که برای #بعد_از_انقلاب هم توصیه کرد: «افرادی مانند شهید مدرّس را به #مجلس بفرستید.» @P_Salahshouri</t>
  </si>
  <si>
    <t>صحبت های آتی #روحانی در موردسونامی نابودی پول ملی؛ - ماهنوز دربحران نیستیم - این قیمت برای کوچه،پس کوچه است - ملت ما بایدبه آینده امیدوار بوده ومقاوم باشند - ما قطعا بر توطئه دشمنان پیروزخواهیم شد - این فشارهاکوتاه مدت بوده وپایه های اقتصادی مامتزلزل نخواهد شد و ماهیچ، ما نگاه!!!</t>
  </si>
  <si>
    <t>خدایا چنان کن سرانجام کار که ما خشنود باشیم و تو رستگار</t>
  </si>
  <si>
    <t>اگر در مورد نظریه مکتب آشوب یا اثر پروانه ای شک دارید همین بس که یک قلم خودکار در دستان دانلد ترامپ چند هزار کیلومتر آنطرف تر گندی زده به زندگی هشتاد میلیون گوشت قربانی در غرب آسیا که بیا و ببین #تحریم #روحانی #دلار #ایران #لعنتی‌چی‌بشه‌بلند‌میشی</t>
  </si>
  <si>
    <t>پیامبر بازنشسته</t>
  </si>
  <si>
    <t>".. و مومن در هیچ قالبی نمیگنجد.."</t>
  </si>
  <si>
    <t>بین این گزاره ها چه ارتباطی وجود دارد؟ افزایش روزانه قیمت #دلار صرافی(سه درصد از کل معاملات ارزی کشور)_ #سفر ناگهانی ظریف به دمشق آنهم زمانی که چند روز قبل وزیر دفاع در سوریه حضور داشت_اعلام ناگهانی حضور #ترامپ در جلسه شورای امنیت و دعوت تلویحی از #روحانی برای شرکت در آن</t>
  </si>
  <si>
    <t>حسین کمیل</t>
  </si>
  <si>
    <t>#لیاخوف و #محمدعلیشاه مجلس آزادیخواهان و عدالت طلبان را به توپ بستند #مجلس سید جمال اصفهانی و ملک المتکلمین و صور اسرافیل و طباطبایی و ... #جهت_یادآوری</t>
  </si>
  <si>
    <t>“دکتر جکیل و مستر هاید” درون خودتون رو بشناسید!</t>
  </si>
  <si>
    <t>اوضاع زندگی جوری شده که حس میکنم نیاز به #نواربهداشتی دارم! #روحاني تا حالا دیدی مردها هم پریود بشن!؟</t>
  </si>
  <si>
    <t>دانگوراش</t>
  </si>
  <si>
    <t>من از فیلادلفیا سفر کردم، شاید که روزی به آن باز گردم...</t>
  </si>
  <si>
    <t>آمستردام</t>
  </si>
  <si>
    <t>https://twitter.com/azar_mansoori/status/1037025795343110144</t>
  </si>
  <si>
    <t>امروز خواسته مردم این است که در انتخاب رئیس جمهور و نمایندگان مجلس، تجدید نظر صورت گیرد و دوباره انتخابات برگزار گردد. #استیضاح کمترین خواسته مردم و اعدام و برکناری بیشترین خواسته آنان است. #دموکراسی را اجرا کنیم؟ RT @azar_mansoori: #پروانه_سلحشوری: در حوزه سیاست خارجی، نحوه اداره صدا و سیما، نظارت استصوابی شورای نگهبان برای انتخابات مجلس شورای اسلامی و مجلس خبرگان که بُعد جمهوریت نظام را به شدت تضعیف کرده است نیاز به همه‌پُرسی و رای و نظر مردم در این موارد داریم.</t>
  </si>
  <si>
    <t>ماکسی میلیون</t>
  </si>
  <si>
    <t>Typing...</t>
  </si>
  <si>
    <t>واعظی ( رییس دفتر #روحانی)‌گفته: قبول داریم فشار روی مردم زیاد شده. از مردم می‌خواهیم در حد نیاز خرید کنند!! آقای واعظی شما اول بگو #فرزندت_کجاست بعد برای مردم نسخه بپیچ! آیا پسر شما به جرم رانت‌خواری دستگیر نشده؟ سهم خودت و خانواده‌ت تو بدبخت کردن مردم چقدره؟</t>
  </si>
  <si>
    <t>SILENT</t>
  </si>
  <si>
    <t>#مجلس شدیدا نیازمند یه لیاخوفه...</t>
  </si>
  <si>
    <t>‏دکترای اقتصاد، دانش آموخته علوم سیاسی، استاد فلسفه، دکترای ریاضات،حقوقدان، کارشناس فقه بالینی،کارشناس امور تربیتی و بی تربیتی،رکورددار حرکت یکضرب شطرنج با مانع</t>
  </si>
  <si>
    <t>کمپین نطق های پوپولیستی تو مجلس راه افتاده از نطق جانانه #پروانه_سلحشوری گرفته تا حیدری و بیگلری، اما پای عمل که میاد وسط میبینیم کل #مجلس رای مخالف به منافع مردم میدن، بعدم رای میدن که آراء باید مخفی بمونه و مردم نفهمن کیا ضد ملت رای میدن #نظارت_استصوابی</t>
  </si>
  <si>
    <t>Pouya Gonjeshke</t>
  </si>
  <si>
    <t>pic.twitter.com/HvwvwHAqqW</t>
  </si>
  <si>
    <t>واکنش #روحانی وقتی بهش میگن #دلار شد۱۵ تومن و #سکه شد ۵میلیون @Rouhani_ir</t>
  </si>
  <si>
    <t>https://pbs.twimg.com/media/DmUepDVWwAEbo9Q.jpg</t>
  </si>
  <si>
    <t>لطفا به بند اول سبابه ات بگو یه ذره صبر و حوصله اش بیشتر شود #به_قبل_۵٧_برمیگردیم #روحانی #روباه #محسن_چاوشی #جمهوری_اسلامی_انتخاب_من_نیست</t>
  </si>
  <si>
    <t>دور دوم #تعطیلات_تابستانه نمایندگان از امروز آغاز و مجلس تا ۱۷ روز آینده #تعطیل شد. یحتمل بهترین کاری بود که نمایندگان می‌توانستند در وضعیت فعلی #اقتصاد_افتضاح انجام دهند. #مجلس راهی را آغاز کرد که #دولت در آن قرار دارد! #جنگ_اقتصادی #تعطیلی_ممنوع</t>
  </si>
  <si>
    <t>آگنوستیک، دهه شصت، تاریخ، رمان، انیمه، راک، رئال مادرید!</t>
  </si>
  <si>
    <t>https://pbs.twimg.com/media/DmUezj0WsAAtdij.jpg</t>
  </si>
  <si>
    <t>اقتصاد مملکت داره می پاشیه بعد اینا نه تنها هیچ گهی نخوردن تو این شرایط دو هفته هم رفتن مرخصی :)) تنها حرکتشون ابراز نگرانی از تاثیر احتمالی مخالفان نظام روی وضعیت معده و روده آقا و بهم نخوردن صف تو خوردن بیضه های ایشونه! #مجلس</t>
  </si>
  <si>
    <t>هاگاکوره</t>
  </si>
  <si>
    <t>نمایندگان #مجلس به تعطیلات تابستانی رفتند! اونم ۲ هفته! کاش میشد همه سران نظام یه ۲ هفته برن مرخصی تو سوریه ایی، فلسطینی، لبنانی جایی ... دیگه هم برنگردن! #بری_دیگه_برنگردی</t>
  </si>
  <si>
    <t>آقا پدرو</t>
  </si>
  <si>
    <t>https://pbs.twimg.com/media/DmUfEsgW4AAGjfl.jpg</t>
  </si>
  <si>
    <t>#ايران پاسخ به انتقاد در مردم‌سالاری دینی به سبک #خامنه‌ای-#روحانی!!</t>
  </si>
  <si>
    <t>Iranian People 🇮🇷</t>
  </si>
  <si>
    <t>فکر کنم آقای رییس جمهور #روحانی هم استیضاح بشه باز هم جناب آقای دکتر #آخوندی #مسئول_مادرزاد کماکان #وزیر_راه_و_شهرسازی بمانند. چون ایشان #لابی قدرتمندی دارند. @Rouhani_ir</t>
  </si>
  <si>
    <t>DrAmirali</t>
  </si>
  <si>
    <t>https://pbs.twimg.com/media/DmUfzTXX4AEKfEX.jpg</t>
  </si>
  <si>
    <t>وقتی دیدم فقط ۵۹ نماینده به #شفافیت_آراء_مجلس رای دادن در حالیکه ۲۰۰ نفر این طرح امضا کردن، یاد نامه های کوفیان به #امام_حسین افتادم! غربزده بی مروت شرم حیا نداره #فرجام_غربگرایی #پوشک #دلار #تکرار #روحانی</t>
  </si>
  <si>
    <t>‏معتقد به ‎#اصلاح_طلب_اصولگرای خط ‎#ولایت ‏بیکار و منتقد وضعیت موجود که باید تغییر کند به نفع ‎‎‎‎#مردم</t>
  </si>
  <si>
    <t>لعنت به پدر و مادر کسی که آگاهانه گفت با #روحانی الی ۱۴۰۰ لعنت به پدر و مادر کسی که آگاهانه به تکرار #لیست_امید رای داد... دلار تا عصر ۱۶۰۰۰...</t>
  </si>
  <si>
    <t>منصور حیدری</t>
  </si>
  <si>
    <t>در زمان #احمدینژاد با با سه برابر شدن قیمت #دلار۱۵۰۰۰تومانی و فراوانی در جامعه حاکم بود و تورم بوجود آمده از قدرت خرید مردم بود ولی امروز شکر خدا مردم پولی ندارند که بخرند و کاسب جنسی ندارد که بفروشد ! در تاریخ ثبت خواهد شد دولت #روحانی در حد تامین #پوشک بچه ها هم عرضه نداشت</t>
  </si>
  <si>
    <t>اینام همش تقصیر #روحانی است زمان #احمدی_نژاد حضرتعالی در فِينت به سر ميبردى ؟؟؟ کاری که در چهل سال نشده رو #روحانی و وزراش باید یه جا جواب بدن. وجود داری بگو چرا بعد از چهل سال این تعداد از روستاها تلفن ندارن. نمیگی چون فقط چیزایی که بهت دستور میدن و میگی RT @rezarashidpour: بیش از نودو پنج درصد روستاهای #سيستان_و_بلوچستان تلفن ندارند. این توهم و یا سیاه‌نمایی نیست. آمار ارائه شده توسط جناب #آذری_جهرمی ست.</t>
  </si>
  <si>
    <t>یادمه روحانی و دار و دستش به اونایی که گفتن از رای بهش پشیمونن گفتن از پشت خنجر میزنن خب وقتی شما ها شمشیرِ بزرگی رو از رو بستین دیگه مردم مجبورن با یه نصفه خنجری که دارن از پشت بزنن دیگه #دولت #روحانی #ایران #مملکت #گرانی #ارز #دروغ</t>
  </si>
  <si>
    <t>#روحانی گفته به قبل 57 برنمیگردیم بنده خدا نمیتونی "حداقل پنجاه سال طول میکشه به اون دوران برسیم"</t>
  </si>
  <si>
    <t>mehrdadS</t>
  </si>
  <si>
    <t>‏‏‏‏‏نویسنده/دین‌پژوه/مدرّس نویسندگی خلاق/هنرجوی آواز و موسیقی اصیل ایرانی/ دنبال‌کننده‌ی طب اسلامی/ عاشق</t>
  </si>
  <si>
    <t>میدونید اگه #محمدعلی_شاه اینجا بود ازش چی میپرسیدم؟ «چگونه می‌توان مجلس را به توپ بست محمدعلی‌جان؟» دوستان توپ توی دست و بال‌تون نیست؟ یه روزه بر‌میگردونم. #مجلس #اف_بر_مجلس_ما</t>
  </si>
  <si>
    <t>وزیر بهداشت #احمدی_نژاد یکی #لنکرانی هلو و دیگری #دستجردی هر دو ممتاز ولی بدون بنگاه و رانت . وزیر بهداشت #روحانی و البته بقیه وزرایش همه وارد کننده ، فاسد و بنگاه دار. #قاضی‌زاده از دولت بنگاه دار عدالت بیرون نمی آید</t>
  </si>
  <si>
    <t>https://pbs.twimg.com/media/Dau2NhQXkAAIKE9.jpg</t>
  </si>
  <si>
    <t>https://twitter.com/javanane_irani/status/985081336959561729</t>
  </si>
  <si>
    <t>کی فکرشو میکرد یه روزی اینم سوژه بشه آغای #روحانی #وقت_ندارم RT @javanane_irani: باز هم حمایت یک براندازپلاستیکی.😂😂😂👇👇 اینایی که از حمله آمریکا به سوریه خوشحال شدن بهتون قول میدم از حمله آمریکا به ایران دو برابر خوشحال میشن.👇 #برانداز_پلاستیکی #اسرائیل_پر #حمله_پلاستیکی #حمله_به_سوریه #برانداز_داعشی</t>
  </si>
  <si>
    <t>️سخنان #جنتی درباره دیدار #ترامپ با #روحانی #بی‌اساس است 🔹واعظی : این سخنان برای من خیلی عجیب بود، چراکه ممکن است عده‌ای در کوچه و بازار از از این حرف‌ها بزنند اما جای تعجب داشت که رئیس محترم مجلس خبرگان این اظهارات را مطرح کرد. 🔹این سخنان هیچ پایه و اساسی هم ندارد./ایسنا</t>
  </si>
  <si>
    <t>مختص اندرونی</t>
  </si>
  <si>
    <t>امروز رفتم سرکار مدیرعامل گفت ، برین خونه هاتون ، گفت تا شنبه مرخصی بنویسین شنبه صبح اطلاعرسانی می کنیم که بیاین یا نه 40 نفر کارمند و کارگر و راننده .... این امروز ماست #دلار۱۵۰۰۰تومانی #ارز #مردم #ایران #ترامپ #روحانی #با_روحانی_تا_۱۴۰۰</t>
  </si>
  <si>
    <t>مرد مردانه</t>
  </si>
  <si>
    <t>یک شجاع و ایثارگر پیدا بشه برود #روحانی به جهنم بفرسته و ملتی را دلشاد کند! #دلار۱۵۰۰۰تومانی</t>
  </si>
  <si>
    <t>✌️همه برای ایران ازاد✌️</t>
  </si>
  <si>
    <t>pic.twitter.com/GWp0Tlqc3G</t>
  </si>
  <si>
    <t>🌹حیدری #نماینده تهران:اشغال #سفارت #آمریکا آغاز #تحریم و #جنگ شد،جنگ را پس از فتح خرمشهر ادامه دادیم تا جام زهررا نوشیدیم.فعالیت #هسته‌ای شروع کردیم و آن‌قدرهزینه دادیم که به #نرمش_قهرمانانه رسیدیم مگر ما قیم دنیاییم که می خواهیم بینی همه رابه خاک بمالیم #نه_به_جمهوري_اسلامي</t>
  </si>
  <si>
    <t>Hirad🏳️</t>
  </si>
  <si>
    <t>واعظی سخنان جنتی درباره احتمال ملاقات #روحانی و #ترامپ را رد کرد ممکن است عده‌ای در کوچه و بازار از از این حرف‌ها بزنند اما جای تعجب داشت که رئیس مجلس خبرگان این اظهارات را مطرح کرد. این سخنان پایه و اساس ندارد بزرگان کشور وقت سخنرانی دقت کنند تا مطالبشان برای مردم باورپذیر باشد</t>
  </si>
  <si>
    <t>پیشنهاد حذف #مهریه و تقسیم اموال زوجین بعد از ازدواج در مجلس/ مسئولان زن مخالف کردند نایب رییس کمیسیون اجتماعی #مجلس: متاسفانه روزی که این موضوع را درکمیسیون اجتماعی مطرح کردم چندنفر از زنان مسئول اگرچه تحصیلات عالی هم داشتند، اما با این موضوع مخالفت کردند جماران</t>
  </si>
  <si>
    <t>"آمره" یک واژه ی پهلوی هم ریشه با "امرداد" و "مرداد" و همچنین واژه های لاتین "amerentina" و انگلیسی "immortal" و به معنای "جاودان" در فارسی امروزی میباشد.</t>
  </si>
  <si>
    <t>الان وقتش نبود برید تعطیلات . . . بود؟ #مجلس</t>
  </si>
  <si>
    <t>amerentinaa</t>
  </si>
  <si>
    <t>Living in present</t>
  </si>
  <si>
    <t>جمهوری اسلامی ایران IR</t>
  </si>
  <si>
    <t>https://pbs.twimg.com/media/DmUig3OXsAMJZGT.jpg</t>
  </si>
  <si>
    <t>نمایندگان ملت امروز با یک عزم جدی به طرح #شفافیت_آرای_نمایندگان رای منفی دادند و بلافاصله طرح #تعطیلات_تابستانی را تصویب و به خوشگذرانی رفتن #مجلس</t>
  </si>
  <si>
    <t>mrym</t>
  </si>
  <si>
    <t>https://pbs.twimg.com/media/DmUizu6XsAA6tLD.jpg</t>
  </si>
  <si>
    <t>سایپا صبح تا الان حتی یک نفر ثبت نام نکرده از ساعت ده صبح تا الان بیشتر از ده بار به درگاه بانک رسیدم ولی رد شدنی تو کار نبوده و نیست... ملت سرکار گذاشتن خودشون نشستن هرهرکرکر به ملت میخندن... #سایپا #ایران-خودرو #خودروسازان #فساد #احتکار #مجلس #روحانی #ترامپ</t>
  </si>
  <si>
    <t>‏‏‏‏‏‏‏‏‏یک میانه روی افراطی Fck Jews!</t>
  </si>
  <si>
    <t>هر چه در آش بریزی به قاشقت خواهد آمد. #مثل‌ترکی #مجلس</t>
  </si>
  <si>
    <t>Yaser.H 🇮🇷</t>
  </si>
  <si>
    <t>‏‏‏‏‏‏‏ بنده خدا</t>
  </si>
  <si>
    <t>نمایندگان در بحرانی ترین زمان بعد از انقلاب به تعطیلات تابستانی رفتند! واقعا خسته نباشید #مجلس #دلار #گرانی #روحانی</t>
  </si>
  <si>
    <t>امیر</t>
  </si>
  <si>
    <t>If U donٰ t live 4 somthing Uٰ II die 4 nothing</t>
  </si>
  <si>
    <t>#روحاني هنوز #رئیس_جمهور ه یا ولمون کرده رفته؟ اینجور که داریم #سقوط می‌کنیم فکر کنم کسی پشت فرمون نیست !!! #ايران #Iran #آینده</t>
  </si>
  <si>
    <t>mehdi layani</t>
  </si>
  <si>
    <t>‏تحلیلگر مسائل خاور خیلی دور؛خیلی نزدیک...</t>
  </si>
  <si>
    <t>میدان سرخ مسکو</t>
  </si>
  <si>
    <t>جمله زجر آور بود و سهمگین: تا 1400 با #روحانی</t>
  </si>
  <si>
    <t>بیف استراگانوف</t>
  </si>
  <si>
    <t>https://pbs.twimg.com/media/DmUklilW0AABzwd.jpg</t>
  </si>
  <si>
    <t>درگاه بانک رد شدنی نیست درگاه سرکاری است... هی میگن از تولید داخلی حمایت کنید که خودروسازان وحشی بشن و حرومزادگیشون واسه مردم بدبخت نشون بدن وقتی رقیبی نباشه مشخصه اینا نونشون میزنن تو خون مردم میخورن #سایپا #ایران_خودرو #خودروسازان #فساد #احتکار #روحانی #مجلس #راهکار</t>
  </si>
  <si>
    <t>‏‏غلام همت آنم که زیر چرخ کبود/زهرچه رنگ تعلق پذیرد آزاد است شمارش معکوس روبه پایان است..‌.</t>
  </si>
  <si>
    <t>HIS EYEs</t>
  </si>
  <si>
    <t>وجود اینهمه خائن و وطن فروش در یک بازه زمانی در یک کشور در مناصب یک کشور در طول تاریخ بی سابقس... #زوال #مجلس</t>
  </si>
  <si>
    <t>Amin.G</t>
  </si>
  <si>
    <t>https://pbs.twimg.com/media/DmUkTOTXcAAPPV0.jpg</t>
  </si>
  <si>
    <t>مسخره بازی محض سایت سایپا برای خرید خودرو حتی قبل از ساعت 11 (ساعت 10:56 ) ، فروش مرحله چهارم یعنی ساعت 11 تمام شده بود. #سایپا #به_وقت_سایپا #خودرو #پراید #روحانی #دروغ #وزارت_صنعت #سرکاری #فریب</t>
  </si>
  <si>
    <t>‏مستقل تو مبارزه، راهم از مجاهدین جداست، مدافع حقوق زنانم، ضد حکومت فاشیستی دینی، و‏حامی ‎#ائتلاف_جمهوریخواهان_ایران</t>
  </si>
  <si>
    <t>hame iran saraye man ast</t>
  </si>
  <si>
    <t>pic.twitter.com/9A7RRkfWvn</t>
  </si>
  <si>
    <t>بازم شاهکار زود نیوز و فضای داخل #مجلس نمایندگان 😂😂😂</t>
  </si>
  <si>
    <t>مریم ، بانوی آریایی</t>
  </si>
  <si>
    <t>https://twitter.com/R_Rajabpour/status/1037034313328541696
https://twitter.com/P_Salahshouri/status/1036873560936079360</t>
  </si>
  <si>
    <t>خانوم #پروانه_سلحشور جوری نطق کردند که انگار جناب #روحانی و #لیست_امید در مجلس مسئول هیچکدوم از مشکلات کشور نیستن! اما ما فراموش نکردیم که آقای رئیس جمهور نتونست #مجلس رو قانع کنه حالا ما بهتره بجای ۵ سوال از جناب روحانی ۵۰ سوال بپرسیم. #۵۰سوال_از_رئیس_جمهور RT @R_Rajabpour: خانوم محترم مردم #رفع_حصر نمیخوان رفاه #اقتصادی میخوان! آسایش میخوان! جنابعالی از نیاز های #حزبیتون سخن گفتید که در اولویت مردم نبود به چه چیزی می نازید!؟ شما همان فردی هستید که میخواستید به بهانه #جام_جهانی کار در #مجلس را ترک کنید حالا کاسه داغ تر از آش شدین!؟ خجالت بکشید.</t>
  </si>
  <si>
    <t>خبرنگار آزاد،‏‏‏ فعال سیاسی و اجتماعی و فعال گردشگری. ما زنده به آنیم که یک لحظه بی یاد #خدا زنده نمانیم</t>
  </si>
  <si>
    <t>تو❤مردم</t>
  </si>
  <si>
    <t>موندم وقتی #تحریم میشیم و فشار اقتصادی زیاد میشه اوضاع خرابه همشون یک صدا میگن #مردم تحمل کنند ،با اتکا به #مردم از بحران عبور میکنیم خب تا اینجا درست ولی یکی بگه تا یه #نماینده میگه #همه‌پرسی ، #رفراندوم ، #مردم باید نظر بدن سریع #جیب‌واپسان صداشون در میاد که #مردم چی کاره هستن</t>
  </si>
  <si>
    <t>مسعود قاسمی🇮🇷</t>
  </si>
  <si>
    <t>برای موفقیت در جامعه باید باهم باشیم نه بر هم</t>
  </si>
  <si>
    <t>https://pbs.twimg.com/media/DmUlVVqXsAAUABX.jpg</t>
  </si>
  <si>
    <t>تا ۱۴۰۰ باید تحمل کنیم ؟؟ #روحانی #تا_۱۴۰۰ #اعتدال #برجام #اصلاحات #فریدون</t>
  </si>
  <si>
    <t>sahebkari</t>
  </si>
  <si>
    <t>کافی است که فقط نمایندگان مدعی طرح #شفافیت_آراء_مجلس از امروز به بعد،چه رایشان موافق بود چه مخالف،ابتدا آنرا رو به دوربین ها و #خبرنگار های حاضر در #مجلس نشان دهند و سپس آنرا در گلدان بیندازند.با این روش هم مخالفان طرح رسوا میشوند هم ادعای خودرا ثابت میکنند. #مبارزه_مدنی</t>
  </si>
  <si>
    <t>News Country</t>
  </si>
  <si>
    <t>https://pbs.twimg.com/media/DmUlsTgXsAE3Rws.jpg</t>
  </si>
  <si>
    <t>به کجا چنین شتابان؟ هیچکس جوابگو نیست ؟؟؟؟؟؟؟ #اقتصاد_مریض #رانت #اختلاس #روحانی #جهانگیری #همتی #لاريجاني</t>
  </si>
  <si>
    <t>h.raez</t>
  </si>
  <si>
    <t>#دلار حدود ۵۰۰-۶۰۰ تومن کاهش پیدا کرد! می‌دونید چرا؟ چون #مجلس به تعطیلات تابستانی رفت. برید که برنگردید. ان‌شا الله #دولت هم تعطیلات سالانه داشته باشه تا مردم یک نفسی بکشن</t>
  </si>
  <si>
    <t>آقای #روحانی ما عقب بر نمی گردیم عقب به ما برگشته ، همون روز که پداران ما نسل خودشون و هفت نسل بدشون رو به دست شما سپردن و به باد دادن ... #به_قبل_۵٧_برمیگردیم</t>
  </si>
  <si>
    <t>پتانسیل #خشونت جمعی تابعی از میزان و شدت نارضایتی های مشترک در میان اعضای جامعه است. پتانسیل #خشونت_سیاسی تابع آن است که نظام سیاسی و کارگزاران آن در ایجاد نارضایتی ها مقصر شناخته می شوند. آقای #روحانی آقای #حاکمیت به هوش باش...</t>
  </si>
  <si>
    <t>‏‏‏‏‏ ‏‏</t>
  </si>
  <si>
    <t>نمایندگان #مجلس بعد از دایورت مشکلات ملت به ذولنعوز و شرمگاهشون در بدترین شرایط مملکت به مدت دو هفته رفتن ددر #خودمان_انتخاب_کردیم</t>
  </si>
  <si>
    <t>لعنتی چشماش</t>
  </si>
  <si>
    <t>‏‏‏‏‏‏خبرنگار‌📰 دانشجوی کارشناسی ارشد ارتباطات</t>
  </si>
  <si>
    <t>هرچی می‌گذره بیشتر جای خالی بزرگواری که مجلس رو به توپ بست احساس می‌شه... ❗واقعیتی تلخ شبیه به طنز امروز نمایندگان مجلس با فوریت طرح شفافیت آرای نمایندگان، طرح تامین کالاهای اساسی و طرح تشدید مبارزه با مفاسد اقتصادی مخالفت کردند! همین قدر مسخره همین قدر غم انگیز #مجلس</t>
  </si>
  <si>
    <t>salmani</t>
  </si>
  <si>
    <t>مسئولان گرامی که دم از فلسطین میزنن خبر دارین با بی ارزش شدن ریال عراقی ها ریختن تو شهرهای مرزی هم کلی خرید میکنن و مغازه ها رو خالی هم زمین و ملک ها رو میخرن!؟بیدار شید تا دیر نشده #روحانی #ایران #تورم #گرانی #اختلاس #رهبر</t>
  </si>
  <si>
    <t>اندر حكايت يك حيرونِ وليونِ فوتبالپرست در آستانه ى ٣٠سالگى</t>
  </si>
  <si>
    <t>اين عرزشي ها كه از راي ما به #روحاني ايراد مي گيرن نظرشون راجع به راي خودشون به #احمدي_نژاد چيه كه همه دور و ورياش دزد و جاسوسن؟ :)))))) حالا اين #برانداز هاي زير پتو ايراد بگيرن يه چيزي</t>
  </si>
  <si>
    <t>حيرونِ فعلي هَپَروت سابق🇩🇪</t>
  </si>
  <si>
    <t>سوال : #روحاني دقيقا داره چه غلطي مي كنه؟ جواب: #تقريبا_هيچي</t>
  </si>
  <si>
    <t>‏‏‏‏دانشجومعلم فیزیک / ‏‏‏‏‌‌اگر زمانه با تو نسازد زمانه را بساز...</t>
  </si>
  <si>
    <t>#روحانی میدونست که #پوشک گرون میشه بخاطر همین #نوزاد_برجام رو زودتر به مرحله نوجوانی رسوند :)))</t>
  </si>
  <si>
    <t>باور</t>
  </si>
  <si>
    <t>https://pbs.twimg.com/media/DmUmvACXsAE_zyK.jpg</t>
  </si>
  <si>
    <t>http://www.isna.ir/photo/97061407235</t>
  </si>
  <si>
    <t>جلسه هیات دولت چهارشنبه ۱۴ شهریور ، به ریاست حسن روحانی و با حضور اعضای کابینه در ساختمان ریاست جمهوری برگزار شد.  #هیات_دولت #ایران #رییس_جمهور @sm_bathaei @ebtekarm_ir</t>
  </si>
  <si>
    <t>طرف پیام داده: چهارماه گوشت نخریدم،دخترم عاشق قرمه سبزیه،وقتی میگه مامان چرا برام قرمه سبزی درست نمیکنی نمیدونم چه جوابی بدم باید مُرد #روحانی</t>
  </si>
  <si>
    <t>#واعظی رئیس دفتر رئیس جمهور از مردم خواستند بیشتر از نیازشان خرید نکنند،حتی در تصورشان نمی گنجد که اکثریت جامعه به اندازه حداقل نیازش هم نمی تواند خرید کند و همین ندانستن ریشه بسیاری از مشکلات دولت #روحانی است که اقتصاد را به حال خود رها کرده</t>
  </si>
  <si>
    <t>به یک توپ نیاز داریم...برای بستن به مجلس... یکی بیاد بریم مجلسو به توپ ببندیم...160 نفر طرح شفافیت رو امضا کردن 59 نفر بهش رای دادن...این یعنی آخر تزویر،تقصیر کیه؟؟!! #دار_المنافقین #مجلس #شفافیت_آراء_مجلس</t>
  </si>
  <si>
    <t>Amirabbasnori</t>
  </si>
  <si>
    <t>در حالی که امروز #دلار از مرز 15000 تومان عبور کرد و کالای های اساسی هر روز رو به افزایش است #مجلس برای دو هفته #تعطیل شد!</t>
  </si>
  <si>
    <t>https://pbs.twimg.com/media/DmUn3wYW4AAmue3.jpg</t>
  </si>
  <si>
    <t>✖️سعید لیلاز (چهره اصلاح طلب) در مصاحبه با #یورونیوز : اختیاراتی که آقای خامنه ای به #روحانی و سران سه قوه داده، اگر به #چوب داده بود تا الان یک کاری کرده بودند!!👆</t>
  </si>
  <si>
    <t>بچه ها #روحاني هنوز رئیس جمهورِ یا ولمون کرده رفته!؟ عاخه لامصب یه بوقی یه نور بالایی یه چیزی بزن تا بدونیم هنوز پشت فرمونی!</t>
  </si>
  <si>
    <t>نماینده‌های مجلس با فوریت طرح شفافیت آرا مجلس مخالفت کردند... حساب اینا که با کرام‌الکاتبین! حالا اینا رو کی فرستاده توی مجلس؟ خودمون... ازماست که برماست #مجلس #شفافیت_آراء_نمایندگان</t>
  </si>
  <si>
    <t>Sajjad Tolou 🇮🇷</t>
  </si>
  <si>
    <t>https://twitter.com/mersadnews_ir/status/1037275717082472448</t>
  </si>
  <si>
    <t>#قالیباف غلط کرده اینم همون سر و ته #روحانی است. RT @mersadnews_ir: قالیباف: این شعار «پوشک،موشک» یک جنگ روانی است که بگویند مردم اینها پول برای موشک دیگران را دارند اما برای پوشک کودکان شما ندارند/در این چهل سال هم به تکلیف عمل کردیم و هم نتیجه محور بودیم، اما در مرحله دولت‌سازی درجا زده‌ایم، منظورم هر سه قوه است.</t>
  </si>
  <si>
    <t>نه گناهکاریم نه بی تقصیریم😌. من و تو بازیچه تقدیریم🙃</t>
  </si>
  <si>
    <t>سعید #لیلاز قائم مقام حزب کارگزاران سازندگی: اختیاراتی که امام #خامنه_ای به #روحانی و سران سه قوه داده اگر به چوب داده بود تا الان یک کاری کرده بودند. == پینوشت:ببینید وقتی با بخشی ازاختیارات #رهبر چوب میتونه تمام مشکلات رو حل کنه با تمام این اختیارات تو ۳۰ سال چیکار میشد کرد.</t>
  </si>
  <si>
    <t>‏‏‏وَيْلٌ لِكُلِّ هُمَزَةٍ لُمَزَةٍ</t>
  </si>
  <si>
    <t>با این وضع اقتصادی نمایندگان محترم #مجلس تشریف بردن به تعطیلات آخر تابستان!</t>
  </si>
  <si>
    <t>امیرخان</t>
  </si>
  <si>
    <t>#روحانی کاری کرده منی که بهش رای ندادم هم میگم گه خوردم وای بحال اونایی که بهش رای دادن</t>
  </si>
  <si>
    <t>#مجلس نه به #شفافیت_آراء_نمایندگان رای داد و نه به تشکیل سازمان مبارزه با مفاسد اقتصادی به چنین مجلسی و بوم و برش باید رید</t>
  </si>
  <si>
    <t>فکر میکنم #مجلس ما پونصد نماینده داره چون ۲۱۰ نفر پای طرح #شفافیت_آراء_نمایندگان را امضا کردند اما رای نیاورد! اون ۷۰-۸۰ نفری که امضا نکردن #شفاف تر بودن...</t>
  </si>
  <si>
    <t>https://pbs.twimg.com/media/DmUouEgXsAAKHlP.jpg</t>
  </si>
  <si>
    <t>http://tn.ai/1821005</t>
  </si>
  <si>
    <t>واکنش #واعظی به غیبت #روحانی در #مجلس_خبرگان؛ دعوت می‌کنیم، میزبانشان باشیم /روز گذشته برنامه افتتاح در #عسلویه داشتیم و این سفر از قبل پیش‌بینی شده بود/وقتی از خبرگان با من برای این مسئله تماس گرفتند اعلام کردم، این روز در تهران نیستیم و سفر داریم</t>
  </si>
  <si>
    <t>http://www.instagram.com/saeid.afsari</t>
  </si>
  <si>
    <t>‏‏‏‏‏‏‏‏‏‏‏‏‏‏‏ولی بناست بمیرم بـه حال مضطر خویش... [اقتصادخوان▪مرزنشین▪کوخ‌ نشینِ انقلابی▪بهشتیسم و ...] ‎‎‎‎‎‎‎‎#ما_را_چه_به_توییتر؟!</t>
  </si>
  <si>
    <t>باختران</t>
  </si>
  <si>
    <t>این روزا هر طرفدار #روحانی که اسم #احمدی_نژاد رو آورد؛ فقط محکم با پشت دست بزنید دهنش! هیچی نگید، فقط محکم بزنید دهنش رو:)</t>
  </si>
  <si>
    <t>سین_افسری|🇮🇷🇵🇸</t>
  </si>
  <si>
    <t>عشق تو از خاطرم برد که نحیفم وپیاده|we’re on ARSENAL side</t>
  </si>
  <si>
    <t>مشهد جان</t>
  </si>
  <si>
    <t>بشنوید از #مجلس که امروز طرح #شفافیت_آرا رو رد کرد، طرح دوفوریتی تامین کالای اساسی را رد کرد و طرح تشدید مبارزه با #مفاسد_اقتصادی را هم از دستور خارج کرد!!!</t>
  </si>
  <si>
    <t>ESMaeil ➕</t>
  </si>
  <si>
    <t>#دلار زمان آخرین قهرمانی #پرسپوليس تو لیگ چهار تومن بود الان چهارده تومن شاید فکر کنید ۱۰۰ سال گذشته از اخرین قهرمانی پرسپولیس ولی فقط ۴ ماه گذشته:)) #پراید #سایپا #روحانی</t>
  </si>
  <si>
    <t>در یکی از حساس ترین برهه های اقتصادی کشور نمایندگان مجلس به تعطیلات دوهفته ای آخر تابستان رفتنديادمان باشد كه ميخوانديم #دلار #خائن #مجلس_شورای_اسلامی #مجلس</t>
  </si>
  <si>
    <t>https://www.instagram.com/meysam.farahi67/</t>
  </si>
  <si>
    <t>‏‏‏‏‏‏‏‏‏‏از پی رد و قبول عامه،خود را خر مساز ز آنکه نبود کار عامی جز خری یا خرخری گاو را باور کنند اندر خدایی عامیان نوح را باور ندارند از پی پیغمبری 👇 این</t>
  </si>
  <si>
    <t>من که میگم روحانی اومده ما رو game over کنه⁦:-\⁩ . #دلار #فرجام_غربگرایی #روحانی #ريتويت</t>
  </si>
  <si>
    <t>ولادیمیر چکمه👢</t>
  </si>
  <si>
    <t>https://youtu.be/4kz9YYrSFhA</t>
  </si>
  <si>
    <t>صحبتهای بی سابقه #پروانه_سلحشوری از #نمایندگان_مجلس: مملکت را #بحران فراگرفته و ازکسی کاری ساخته نیست. پروانه سلحشوری #مجلس و #رییس_جمهور و #سپاه را به توپ بست و حسابی کولاک کرد!</t>
  </si>
  <si>
    <t>اين روزها خواهد گذشت و به قول قديمي ها در كوچه ما هم عروسي برگزار ميشود ولي روسياهي باقي خواهد ماند براي بي انصافان وطن فروش خائن #روحانی #وطن_فروش #خائن #نالایق #به_عقب_برنمیگردیم #خیانت_fatf</t>
  </si>
  <si>
    <t>این روزا تنها عامل سربلندیم اینه که هیچ دخالتی در اوضاع امروز مملکت نداشتم! با افتخار تمام نه ۹۲ و نه ۹۶ به #روحانی رای ندادم:)</t>
  </si>
  <si>
    <t>ما را از مرگ می ترسانند، انگار که ما زنده ایم...</t>
  </si>
  <si>
    <t>https://twitter.com/tahlilgaran/status/1037254079599325184</t>
  </si>
  <si>
    <t>علی برکت الله #روحانی RT @Tahlilgaran: دلار 15,000 یورو 17,000 پوند 19,000 دلار کانادا 11,000 اونس 1,193 گرم طلا 379 مثقال 1,641 سکه امامی 4,753 سکه امامی صرافی 4,820 نيم سكه صرافی 2,345</t>
  </si>
  <si>
    <t>B@md@d</t>
  </si>
  <si>
    <t>‏‏‏‏‏عکاس و خبرنگار... نه اصولگرا و نه اصلاح طلب، من انقلابی ام✌ 🇮🇷</t>
  </si>
  <si>
    <t>نماینده های مجلس یه جوری دارن به تعطیلات تابستانی میرن انگار تا الان تو تعطیلات به سر نمیبردن و خبرنداریم شام میگرفتنو #استیضاح نمیکردن!</t>
  </si>
  <si>
    <t>زینب سعیدی🇮🇷</t>
  </si>
  <si>
    <t>شما به این دقت کنید که اکثر کالاهای موجود در بازار فعلا بر اساس دلار 7000 تومانی قیمت گذاری شده اند و قدرت خرید نیست..‌ هنوز اثری از قیمت 15 نیست... وای به حال روزی که بر اساس دلار 15 قیمت گذاری بشوند #روحانی #خائن #نالایق #وقت_ندارم #به_عقب_برنمیگردیم</t>
  </si>
  <si>
    <t>http://www.amirbagherian.com</t>
  </si>
  <si>
    <t>وكيل دادگستري_دكتري حقوق خصوصي دانشگاه تهران</t>
  </si>
  <si>
    <t>#طرح #شفافيت #آراء #مجلس، درخواست عموم #ملت ايران است از #نمايندگان خود، آيا صحيح است كه خود نمايندگان در مورد آن رأي دهند؟!</t>
  </si>
  <si>
    <t>امير باقريان</t>
  </si>
  <si>
    <t>امروز مجلس فعالی را شاهد بودیم #نمایندگان به فوریت طرح #شفافیت_آراء_نمایندگان رای ندادند و سپس با توجه به انبوه مشکلات اقتصادی و چالش های پیش روی نظام، #مجلس را به سمت #عشق و حال ترک کردند. خدا قوت دلاور خدا قوت قهرمان</t>
  </si>
  <si>
    <t>دوستان #مجلس که کل سال تو تعطیلات هستن حالا این دو هفته #تعطیلات_تابستانی هم روش تو این وضع خراب مملکتو بستن به درخت رفتن عشق و حال خوش بگذره آقایون زحمتکش</t>
  </si>
  <si>
    <t>Iman</t>
  </si>
  <si>
    <t>مردم رو از دلار پنج تومانی بترسونی بعد رای بیاری بعد دلار رو بکنی ۱۵۰۰۰ تومان. این کار فقط از #روحانی ساخته بود</t>
  </si>
  <si>
    <t>حسن #روحاني و تیم اقتصادی اش کجایند؟ حداقل #دستمزد ماهانه #کارگران به ۷۷ و هفت دهم #دلار سقوط کرد. قدرت خرید بسیاری از مزدبگیران هم با رکوردشکنی دلار به شدت کاهش یافته است.</t>
  </si>
  <si>
    <t>یکی از راهکارهایی که برای کنترل #رییس_جمهور های انتخابی در #ایران وجود داره این هست که بیشتر از یک دوره انتخاب نشوند... چون در دوره اول کار می‌کنند ولی در دوره دوم گنی می زنند به تمام کنترل هایی که بر اقتصاد و سیاست داشتند</t>
  </si>
  <si>
    <t>B Zarasvand</t>
  </si>
  <si>
    <t>مگین شعر زیاد میگی ولی وقتی میرسن بهش میبنن که پشیمونی سودی نداره😁</t>
  </si>
  <si>
    <t>روحانی شنیده بودیم طرف کونده پرو هستش ،ندیده بودیم ! ولی وقتی تورو میبینم ،به این نتیجه میرسم که همیه جملهایی که وجود داره چه ادبی و چه زشت پس شخصیتهاش واقعا وجود داره.🤔 تو با اون رخبر خیلی کونده پورویید 🤣 #روحانی #رهبر</t>
  </si>
  <si>
    <t>Pooria.ghaderi.</t>
  </si>
  <si>
    <t>http://hosseini.info</t>
  </si>
  <si>
    <t>استاد دانشگاه تهران/ دبیر کل کانون دانشگاهیان ایران اسلامی/ وزیر فرهنگ و ارشاد اسلامی دولت دهم</t>
  </si>
  <si>
    <t>ناکارآمدی #دولت، لیست امیدِ #مجلس و شورای تهران که دست پختِ #اصلاح_طلبان و تَکرارهای رئیسشان است نه تنها موجب پوزش آنها نشده بلکه چند نماینده گستاخ را مدعی نظام اسلامی ساخته! زنهار که با این کارنامه سیاه، دوره سیاه بازی و فریبکاری به سر آمده است!</t>
  </si>
  <si>
    <t>سیدمحمد حسینی</t>
  </si>
  <si>
    <t>http://fandogh.cloud</t>
  </si>
  <si>
    <t>Scrum Master at http://fandogh.cloud . Software Engineer, ‎#INTP</t>
  </si>
  <si>
    <t>اينور تر</t>
  </si>
  <si>
    <t>تا کی به دوستام و دورو بریام بگم امید داشته باشین؟! خب خر که نیست طرف میبینه لمس میکنه میبینه عراق بیش از ۱۰ ساله تو جنگه اما اوضاعش از ما بهتره!! مردم ناراحتن آقای مثلا #رئیس_جمهور</t>
  </si>
  <si>
    <t>Sorena Sarabadani</t>
  </si>
  <si>
    <t>باتوجه به اینکه از ۱۹۰ نماینده امضا کننده طرح #شفافیت_آراء_مجلس و بسیاری اعلام رضاییت هایی علنی با این طرح و عدم رای آوردن این طرح شما این #مجلس شبیه کدام یک از گزینه هایی زیر میبینید ؟؟! #لطفا_ریتوییت</t>
  </si>
  <si>
    <t>سرباز سید علی / عاشق مبارزه با صهیونیسم / ‏استراحت بعد از شهادت ( انشاالله )</t>
  </si>
  <si>
    <t>جمهوری اسلامی ایران, مشهد</t>
  </si>
  <si>
    <t>https://pbs.twimg.com/media/DmUrHK0W4AAw3DI.jpg</t>
  </si>
  <si>
    <t>آقا یکی هست بدونه چرا بیشتر از یک سوم نماینده ها تو مجلس حضور ندارند ؟ 🤔🤔 #مجلس #شفافیت_آراء_مجلس #شفافیت_آراء_نمایندگان #دارالمنافقین</t>
  </si>
  <si>
    <t>بازرس قندی</t>
  </si>
  <si>
    <t>https://pbs.twimg.com/media/DmUrhPDV4AA4apP.jpg</t>
  </si>
  <si>
    <t>❌طویله #مجلس تعطیل شد ❗️در یکی از حساس ترین برهه های #اقتصادی کشور #نمایندگان مجلس به #تعطیلات دوهفته ای آخر تابستان رفتند!😳#دلار۱۵۰۰۰تومانی #فرقه_تبهکار #جمهوری_اسلامی_انتخاب_من_نیست #مسئولين_نالايق #نه_به_جمهوري_اسلامي</t>
  </si>
  <si>
    <t>با #دلار۱۵۰۰۰تومانی کسایی که هنوز دارن از #روحانی حمایت میکنن نه تنها به غایت بی‌شرف هستند بلکه بدون شک دارن بابت این کار پول میگیرن. هیچ گزینه دیگه‌ای هم وجود نداره</t>
  </si>
  <si>
    <t>https://pbs.twimg.com/media/DmUril3X4AEDz4X.jpg</t>
  </si>
  <si>
    <t>🔴در یکی از حساسترین برهه‌های #اقتصادی کشور نمایندگان #مجلس به تعطیلات دوهفته ای آخر تابستان رفتن ⭕️ یعنی بمیرن یه شرکت چسکی داریم بخاطر اینکه مشکل نخوریم یه روز تعطیل نداریم اینا #مملکت رو کلا به زانوی چپشون گرفتن براشون هیچی مهم نیست جز خودشون</t>
  </si>
  <si>
    <t>‏‏DONT PANIC and Wubba Lubba Dub Dub ..... nerazzurri</t>
  </si>
  <si>
    <t>Teheran, Iran</t>
  </si>
  <si>
    <t>هنوز یه کشاورز خوش ذوق زنجانی پیدا نشده بتونه خیار چمبرو با خربزه مشهدی پیوند بزنه، بده بکنیم حلق #روحاني تا خفه بشه؟؟؟؟؟</t>
  </si>
  <si>
    <t>پارانوید اندروید</t>
  </si>
  <si>
    <t>همانطور که #ریال داره سقوط میکنه قول میدم مسببین این وضع هم سقوط خواهند کرد. #روحانی #خاندان_لاریجانی #قوه_قضائیه #اصلاح‌طلبان #اصولگرایان</t>
  </si>
  <si>
    <t>http://etemaadonline.ir/content/230045</t>
  </si>
  <si>
    <t>محمدعلی پورمختار، عضو فراکسیون ولایی مجلس در گفت‌وگو با #اعتمادآنلاین مطرح کرد: احتمال طرح مجدد #سوال_از_رئیس‌جمهور وزرای ناکارآمد کنار بروند #فراکسیون_ولایی دنبال ایجاد تنش نیست</t>
  </si>
  <si>
    <t>#دلار اومد پایین خوشحال باشین ارزونی در راهه تا ۱۴۰۰ به قبل با #روحانی</t>
  </si>
  <si>
    <t>انقلابی هستم✌ ‏‏‏دانشجوی فرهنگ و ارتباطات</t>
  </si>
  <si>
    <t>یادش بخیر، مناظرات ۹۲ محسن رضایی یه هزاری در آورد و گفت این الان ۳۰۰تومن است. تقریبا تو اون جمع که #روحاني هم بود همه تایید کردند... الان با وضعیت #دلار اون هزاری چقدر ارزش داره؟! #روحانی_مچکریم</t>
  </si>
  <si>
    <t>پوریا خرازی</t>
  </si>
  <si>
    <t>نشود فاش کسی آنچه میان من و توست تا اشارات نظر نامه رسان من و توست گوش کن با لب خاموش سخن می گویم پاسخم گو به نگاهی که زبان من و توست ...</t>
  </si>
  <si>
    <t>🔴مصوبات امروز نمایندگان مجلس 🔸وکلای ملت در جلسه علنی امروز با یک‌فوریت بررسی طرح شفافیت آرای نمایندگان مخالفت کردند. ◀️خب دیگه نمیخوان پاسخگو باشن تمام! #وکیل_الدوله #مجلس #نماینده #نماینده_مردمی</t>
  </si>
  <si>
    <t>حِساٰنْ</t>
  </si>
  <si>
    <t>http://instagram.com/halememory</t>
  </si>
  <si>
    <t>‏‏‏‏‏‏‏‏‏‏‏‏‏‏‏‏‏‏‏‏‏‏‏‏‏‏‏‏بازگشت همه به سوی توییتر است ... بلند فکر میکنم جدی نگیر حقوق توییتامو به حساب پارسیانم بریزین مرسی اه</t>
  </si>
  <si>
    <t>تو قلبت</t>
  </si>
  <si>
    <t>مرده شور خودتونو تعطیلات تابستونیتونو ببرن #مجلس</t>
  </si>
  <si>
    <t>خانوم ِفلفل 🌶</t>
  </si>
  <si>
    <t>chiBegam</t>
  </si>
  <si>
    <t>ziba</t>
  </si>
  <si>
    <t>Business Man</t>
  </si>
  <si>
    <t>Sepehr</t>
  </si>
  <si>
    <t>منم آن شیخ سیه روز که در آخر عمر/ لای موهای تو گم کرد خداوندش را</t>
  </si>
  <si>
    <t>Ebi</t>
  </si>
  <si>
    <t>چو ایران نباشد / تن من مباد 🇮🇷</t>
  </si>
  <si>
    <t>پسر ایران🇮🇷</t>
  </si>
  <si>
    <t>https://twitter.com/A_Raefipour/status/1036613896327647234</t>
  </si>
  <si>
    <t>۲۰۷ نفر امضا کردن ولی یک فوریتش رای نیاورد احمق کسیه که دیگران رو احمق فرض کنه #مجلس RT @A_Raefipour: چندی پیش ضمن تمجید از ارائه طرح #شفافیت توییت زدم: پیگیرنماینده شهرتان باشید چرا فقط ٢٩امضا؟ یکی ازنمایندگان ضمن گلایه از بنده میگفت از بس مردم تماس گرفتند عاصی شدیم حامیان این طرح ٢٠٧نفر شده اند رای گیری ازاین طرح باید علنی باشد اگر تصویب نشود #دار_المنافقین است نه #خانه_ملت</t>
  </si>
  <si>
    <t>به این #مجلس امیدی برای اصلاح امور کشور نیست . این #مجلس در رأس امور نیست .</t>
  </si>
  <si>
    <t>جامعه کشور به قدری روی تحرکات #روحانی حساس که تا رفت عسلویه دلار شد ۱۵۰۰۰ حالا بماند که نوسانات ریز ارزی به #توالت رفتنش ربط داره. #روحانی</t>
  </si>
  <si>
    <t>یعنی یه مشت حرام لقمه ریختن تو #مجلس دارن تیشه به ریشه این نظام میزنن. منافقانی که به مردم قول رای به #شفافیت دادند ولی با قاطعیت مخالف شدند. اگه همین الان یه موشک به مجلس بزنن ، فساد در کشور ربع می شود. #مجلس_اسلامی #دارالمنافقین</t>
  </si>
  <si>
    <t>najafimr</t>
  </si>
  <si>
    <t>یک جستجوگر /ناشری که دوسال است برگزیده اش کردند/عاشق کلمات</t>
  </si>
  <si>
    <t>با یکی از رفقای طلبه م صحبت می کردم شبها مشغول رانندگی در اسنپه و روزها به کار مطالعه و درسهاش می رسه اونوقت یه عده اسم و رسم #روحانی دارند و مشغول حمام شیرند</t>
  </si>
  <si>
    <t>mohammad haghi</t>
  </si>
  <si>
    <t>‏‏‏‏‏‏هیچ ادابی و ترتیبی مجو هرچ میخواهد دل تنگت بگو پرسپولیسی</t>
  </si>
  <si>
    <t>شما بگو تعطیلات تابستانی #مجلس ما مینویسیم فروپاشیه اقتصادیه، انحلال مجلس، تغییرات بزرگ، کودتا،جاب جایی قدرت،خبر امد خبری درراه است.</t>
  </si>
  <si>
    <t>🇮🇷M🌏h@m@d🇮🇷</t>
  </si>
  <si>
    <t>در مقطعی من نارسایی کلیه داشتم،خانواده ، بچه محل ها، دوستان و همکاران هر کدام به نوعی پیگیر اموراتم و یا دعا کردن بودند. یعنی همه دست به دست دادند. الان کشور دچار بیماری حاد اقتصادی است و مردم دچار مشکلات شدید #معیشت اند #پرزیدنت فرمودند: #وقت_ندارم ، #مجلس دوهفته رفتند #تعطیلات</t>
  </si>
  <si>
    <t>محمد شیران</t>
  </si>
  <si>
    <t>http://www.netbarg.com</t>
  </si>
  <si>
    <t>مجلس طرح تشدید مبارزه با مفاصد اقتصادی را از. دستور کار خارج کرد. #مجلس #اقتصاد #مبارزه #مفاصد</t>
  </si>
  <si>
    <t>soheil</t>
  </si>
  <si>
    <t>‏به امید نابودی رژیم دیکتاتوری و ایرانی آزاد</t>
  </si>
  <si>
    <t>pic.twitter.com/xlCYVubMsm</t>
  </si>
  <si>
    <t>خطاب به #شیاد -بنفش - #روحانی ما میخواهیم که به قبل سال ۵۷ برگردیم ما #جمهوری_اسلامی_انتخاب_من_نیست #جاویدشاه</t>
  </si>
  <si>
    <t>فردوس ف</t>
  </si>
  <si>
    <t>رهبری: مبناى علوم انسانى غربى، مبناى غیرالهى است، مبناى مادّى است، مبناى غیر توحیدى است؛...روى این بایستى کار کرد، فکر کرد.</t>
  </si>
  <si>
    <t>با فوریت این طرح با 59 رای موافق، 108 رای مخالف و 5 رای ممتنع از مجموع 194 نماینده حاضر در جلسه مخالفت شد. معلوم شد که #مجلس #دارالمنافقین است. #شفافیت_آراء_نمایندگان #مجلس_منافقین RT @A_Raefipour: چندی پیش ضمن تمجید از ارائه طرح #شفافیت توییت زدم: پیگیرنماینده شهرتان باشید چرا فقط ٢٩امضا؟ یکی ازنمایندگان ضمن گلایه از بنده میگفت از بس مردم تماس گرفتند عاصی شدیم حامیان این طرح ٢٠٧نفر شده اند رای گیری ازاین طرح باید علنی باشد اگر تصویب نشود #دار_المنافقین است نه #خانه_ملت</t>
  </si>
  <si>
    <t>باقر امینی بیات</t>
  </si>
  <si>
    <t>🔴 *طرح شفافیت با ۲۰۷ امضا تقدیم هیات رئیسه شد با ۱۰۸ رای مخالف در صحن علنی رد شد!!* من کییَم اینجا کجاست... #مجلس #عصاره_فضایل #شفافیت #کشک</t>
  </si>
  <si>
    <t>https://twitter.com/mmghorbani/status/1037045117205585922</t>
  </si>
  <si>
    <t>می‌دونید #برانداز هم همین رو میگه. فقط نشانه را سمت #رهبری گرفته و شما هم سمت #روحانی و نمی‌دانید خودتان هم سوار همین کشتی هستید که با تبر به جانش افتاده‌اید! RT @mmghorbani: مردم عزیز از گرونی ها ناراحتید؟ دخل و خرجتون بهم ریخته؟ دلتون میخواد سر به تن مسئولین نباشه؟ انتخاب خودتون بود. حواستون باشه سه سال دیگه با نقش بازی کردن سلبریتی جماعت خام نشید.</t>
  </si>
  <si>
    <t>یه نفر مانده از این قوم که بر میگردد</t>
  </si>
  <si>
    <t>طرح #شفافیت_آرای_نمایندگان رای نیاورد اینجا است که میبینیم از یه طرح 200نفر حمایت کردن 60 نفرم رای ندادن نام خانه ملت را از #مجلس بردارید آنجا #دار_المنافقین است کسانی که از تحت نظارت مردم بودن می ترسند مفسدینی به نام نماینده مجلس @Majlis_ir</t>
  </si>
  <si>
    <t>شیدجو</t>
  </si>
  <si>
    <t>‏‏‏‏‏روزنامه نگار سیاسی @etemaddaily اینجا نظرات شخصیم رو مینویسم</t>
  </si>
  <si>
    <t>خبرکوتاه است. نمایندگان خانه ملت!! ((#مجلس)) در شرایط فعلی به مدت دو هفته به تعطیلات تابستانی رفتند.</t>
  </si>
  <si>
    <t>زُهِير موسوى🇮🇷</t>
  </si>
  <si>
    <t>https://pbs.twimg.com/media/DmUvtZmW0AAhBRE.jpg</t>
  </si>
  <si>
    <t>کاش تو همین یه مورد خاص، آرای هر نماینده #مجلس رو منتشر میکردین تا نمایندگان بی‌شرفِ بی‌وجودِ بی‌ناموسِ بی‌غیرتِ حرامزاده شناسایی شوند! به نظرم #شفافیت_آراء_نمایندگان نیاز به دستور رهبری داره...</t>
  </si>
  <si>
    <t>pic.twitter.com/rZkhPVL6ti</t>
  </si>
  <si>
    <t>https://twitter.com/AlinejadMasih/status/1037235849438605314</t>
  </si>
  <si>
    <t>دوستان #بنفش فقط از ثانیه 30 تا 40 این کلیپ گاه کنین تا ببین تا کجا تو این افتضاحی که بر سر این مملک اومده سهیمین و در همه خونهای ریخته شده از دی ماه 96 تا الان و آینده ... #تا۱۴۰۰۰باروحانی #روحانی RT @AlinejadMasih: Hijabi woman:law of the country tells you to wear hijab Unveiled woman:the law is wrong &amp; I want to change it This is how #Iranianwomen resist every day #MyCameraIsMyWeapon حجاب و ولایت فقیه را قبول نداری از کشور برو. #دوربین_ما_اسلحه_ما شده تا این گروگانگیران را به چالش بکشیم</t>
  </si>
  <si>
    <t>جمهوری اسلامی تنها کشوری است که سرانش قصد سرنگونی آن را دارند ، اما مردمانش نمی گذارند #دلار۱۵۰۰۰تومانی #روحانی</t>
  </si>
  <si>
    <t>‏‏‏‏‏‏‏ولی کلام آخر این شد / که جانِ من, فدای ایران💓 . . . 🔴 فالو بک میدم🔴</t>
  </si>
  <si>
    <t>https://twitter.com/Tahlilgaran/status/1037285686225891328</t>
  </si>
  <si>
    <t>در یکی از حساس ترین وضعیت کشور نمایندگان مجلس کار رو تعطیل کردن و رفتن تفریح😊😊 #مجلس RT @Tahlilgaran: نمایندگان مجلس به دو هفته تعطیلات تابستانی رفتند</t>
  </si>
  <si>
    <t>Sepand Parsi</t>
  </si>
  <si>
    <t>چرا #مجلس از طرح #شفافیت_آراء_نمایندگان میترسد درعجبم.</t>
  </si>
  <si>
    <t>https://www.chess.com/members/view/arfsh83</t>
  </si>
  <si>
    <t>اگر به نظر خودتون … مزخرف توییت می‌کنید، لطفا دکمه‌ی بلاک رو لمس کنید! ریتوییت و حضور در گفتگو بمعنای تائید محتوا نیست</t>
  </si>
  <si>
    <t>https://twitter.com/mehrodadm/status/1037262847724670976</t>
  </si>
  <si>
    <t>متأسفانه #روحانی ابتدای دوره دوم … مصلحت کشور رو به عافیت #حسین_فریدون فروخت … و حالا هم چشم به منصب #آن_دیگری دوخته … (کماکان به رأی ۹۶ افتخار میکنم. اما توقعم بسیار با چیزی که در حال رخ دادنه فاصله داره) RT @mehrodadm: من فکر میکنم یکی به حسن روحانی گفته مادام العمر رئیس جمهوری ایرانه. نه عزیزم در بهترین حالت ۲ سال دیگه مهمون این پُستی. حرفی، حرکتی، تکونی، نامه ای، مصاحبه ای، شکستن سکوتی. هیچی؟</t>
  </si>
  <si>
    <t>﮼عارف 🇮🇷</t>
  </si>
  <si>
    <t>‏‏‏‏‏‏‏‏هیأتی،اصل مهم عمل به دینم است، پیگیر مسائل سیاسی و فرهنگی، لیسانس علوم تربیتی، باشد که نه جلوتر و نه عقب تر از قافله عشق حرکت کنم. حجابم پلک هایم ...</t>
  </si>
  <si>
    <t>جمهوری اسلامی ایران/گیلان</t>
  </si>
  <si>
    <t>https://pbs.twimg.com/media/DmUxzfFVAAEX9gh.jpg</t>
  </si>
  <si>
    <t>اقدامات عجیب و غریب وزیر ارتباطات آدم را به واکنش وادار می‌کند.. حرکت غیر قانونی و غیر اخلاقی وزیر جوان با حضور در مجلس و دیدن دم نمایندگان جهت انصراف از استیضاح واعظی! #آذري_جهرمي #مجلس</t>
  </si>
  <si>
    <t>بابــــــــک 🇮🇷</t>
  </si>
  <si>
    <t>مقوی و خوشمزه</t>
  </si>
  <si>
    <t>توش</t>
  </si>
  <si>
    <t>بذارید اسپویل کنم چیزایی رو که حسن #روحانی میخواد از ۱۴۰۰ تا آخر عمرش براتون بگه: «توطئه کردند… نداشتند…»</t>
  </si>
  <si>
    <t>کیری</t>
  </si>
  <si>
    <t>🦋 پروانه وار بر در میخانه پر زدم / در بسته بود با دل دیوانه در زدم 🦋 ...🦋 دیدار یار گرچه میسر نمی شود/ من در هوای او به همه بام و بر زدم ... 🦋</t>
  </si>
  <si>
    <t>واقعا از این نمایندگان حاصل #تکرارمیکنم در #مجلس، انتظار داشتین طرح #شفافیت_آراء_نمایندگان رو نصیب کنن؟!!! #شفافیت_آراء_مجلس</t>
  </si>
  <si>
    <t>حاج برهان</t>
  </si>
  <si>
    <t>http://www.tvccando.com</t>
  </si>
  <si>
    <t>Director at TVC</t>
  </si>
  <si>
    <t>#مردم تحمل کنند، #مشکلات عادی می شود. #روحاني #اقتصاد</t>
  </si>
  <si>
    <t>Masoud Roozafzoun</t>
  </si>
  <si>
    <t>http://etehadonline.com/news/661580/</t>
  </si>
  <si>
    <t>آقای روحانی! تا فرصت دارید «خانه تکانی» کنید/ «خبرگان» از گرانی افسارگسیخته گله دارند  #روحانی #اجلاس_خبرگان #خبرگان #گرانی</t>
  </si>
  <si>
    <t>در یکی از حساس ترین برهه های اقتصادی کشور نمایندگان مجلس به تعطیلات دوهفته ای آخر تابستان رفتند!/جماران پ.ن: دیگه حرفی ندارم و امروزم با این خبرها به بی حسی میگذرونم #خرخودتی_تکرارمیکنم_خرخودتی #شفافیت_آراء_مجلس #مجلس #148_نماینده_خائن</t>
  </si>
  <si>
    <t>مدیر روابط عمومی</t>
  </si>
  <si>
    <t>من که میگم دیگه از #دولت و #ناکارآمدی مسوولان انتقاد نکنیم! #رگ #لجبازی آقایون بیشتر ورم میکنه! #خفقان #جهانگیری #روحانی #نوبخت #وزرا #یورو_۱۷_هزار_تومان!</t>
  </si>
  <si>
    <t>MOJTABA SARMADI</t>
  </si>
  <si>
    <t>بـــــــــــــله همونطور که فهمیدیم طرح #شفافیت_آراء_نمایندگان تصویب نشد جاداره همینجا یه سلامی بکنیم به اون دسته از #نماینده های آشغالی که گند زدن تو #مملکت سلام مایه دار سلام خائن سلام منافق سلام دزد عزیز ایشالا که حال توله سّگاتون خوبه؟ حال خود سگتون چی؟</t>
  </si>
  <si>
    <t>https://pbs.twimg.com/media/DmUzCy_W4AAF5U5.jpg</t>
  </si>
  <si>
    <t>#دلار رفت روی ۱۵ هزار تومان. #روحانی کجایی؟</t>
  </si>
  <si>
    <t>‏‏‏‏‏‏‏‏‏‏‏‏‏‏‏‏‏‏‏‏‏‏‏‏‏ اونی که روی شونه بعضیا بود واسه ما تاجِ سره. جواهرساز</t>
  </si>
  <si>
    <t>pic.twitter.com/zeRnMvXBQD</t>
  </si>
  <si>
    <t>دیگه کم کم دارم به این بنده خدا ایمان میارم. کشور ما با انتخاب #روحانی دچار عذاب الهی شده. #دلار۱۵۰۰۰تومانی</t>
  </si>
  <si>
    <t>#عرزشی🚷#مجاهد🚷#ری‌استاری🚷 ورود اکیدا ممنوع. خواهان تغییر رژیم و با #رضا‌پهلوی تا رفراندوم آزاد .متنفر از دین سیاسی و انسان مقدس</t>
  </si>
  <si>
    <t>https://twitter.com/nazanin_ban00/status/1037265199538024449</t>
  </si>
  <si>
    <t>سیرکی به نام #مجلس مردمی ایران، امروز واقعا شاهکار کردن رد لایحه مبارزه با فساد به خاطر بالا بودن هزینه واقعا ک جالبه چی ما رو فرض کردی آقای نماینده. RT @nazanin_ban00: سه اقدام عجیب نمایندگان مجلس در جلسه امروز 🔹نمایندگان با فوریت طرح «شفافیت آرای نمایندگان» مخالفت کردند. 🔹نمایندگان طرح دو فوریتی تامین کالاهای اساسی را نیز رد کردند. 🔹طرح تشدید مبارزه با مفاسد اقتصادی به موجب مغایرت با اصل ۷۵ نیز از دستور کار خارج شد. /جماران</t>
  </si>
  <si>
    <t>مرده متحرک</t>
  </si>
  <si>
    <t>http://t.me/AshQd</t>
  </si>
  <si>
    <t>#طرح_شفافیت_آراء نمایندگان با ۲۰۷ امضا تقدیم #مجلس میشه،زمان رای گیری ۵۹ تا رای میاره یاللعجب😐</t>
  </si>
  <si>
    <t>Ali 🇮🇷</t>
  </si>
  <si>
    <t>my love iran</t>
  </si>
  <si>
    <t>https://pbs.twimg.com/media/DmUzmKVX0AAqQTM.jpg</t>
  </si>
  <si>
    <t>امروز طرح یک فوریتی #مجلس شورای اسلامی رای نیاورد.۱۴۰ نفر رای مخالف و ۵۰ نفر موافق بودن.من و شما قرار نیست بدونیم که نماینده مون به چه چیزی رای میده. #دارلمنافقین</t>
  </si>
  <si>
    <t>Silentman313</t>
  </si>
  <si>
    <t>بزرگترین انتقام از زندگی شاد زیستن است*** پس بشاد در زندگی😎😎</t>
  </si>
  <si>
    <t>Pacific Ocean</t>
  </si>
  <si>
    <t>نمایندگان #مجلس با فوریت بررسی طرح "شفافیت رأی نمایندگان" مخالفت کردند . . . مجلس امید و اعتدال هم تمایلی به شفافیت نداشت</t>
  </si>
  <si>
    <t>همسا 🏳️</t>
  </si>
  <si>
    <t>نماینده‌ای که #شفاف باشد نماینده نیست! #شفافیت_آراء_نمایندگان #مجلس</t>
  </si>
  <si>
    <t>پیمان</t>
  </si>
  <si>
    <t>آدمی که آرمان نداره، یه آدم مُرده‌ست حتی اگر بیشتر از دیگران بگرده، بخوره، نفس بکشه...</t>
  </si>
  <si>
    <t>Sara</t>
  </si>
  <si>
    <t>مهران خان</t>
  </si>
  <si>
    <t>دل داده ام بر باد، بر هرچه باداباد</t>
  </si>
  <si>
    <t>سانی</t>
  </si>
  <si>
    <t>بذارید اسپویل کنم چیزایی رو که حسن #روحانی میخواد از ۱۴۰۰ تا آخر عمرش براتون بگه: «توطئه کردند… نگذاشتند…»</t>
  </si>
  <si>
    <t>قطعا متوجه هم هست که بعد از ریاست جمهوریش وضعیتی بهتر از هاشمی و خاتمی و محمود نخواهد داشت با اینحال چرا سکوت کرده الله اعلم. #روحاني RT @mehrodadm: من فکر میکنم یکی به حسن روحانی گفته مادام العمر رئیس جمهوری ایرانه. نه عزیزم در بهترین حالت ۲ سال دیگه مهمون این پُستی. حرفی، حرکتی، تکونی، نامه ای، مصاحبه ای، شکستن سکوتی. هیچی؟</t>
  </si>
  <si>
    <t>hezardastan1980‏‎‎🇮🇷</t>
  </si>
  <si>
    <t>١٦٠ #نماينده امضا كردن براى طرح #شفافیت_آراء_نمایندگان .طرح رفته مجلس، فوريتش راى نياورده؟! فقط ٥٩ نفر راى مثبت دادن. ٢٢ نفر هم اصلا راى ندادن. چرا ميترسى نماينده محترم؟ ما با كيا شديم #٨٠_ميليون؟ اينا كه انتخاب خودمونه! #نماينده #نماينده_دروغگو #شفافیت_آراء_مجلس #لیست_امید</t>
  </si>
  <si>
    <t>Ahmad Ansari</t>
  </si>
  <si>
    <t>#دلار ، #پراید ، #رانت ، #اختلاس ، #فساد و هیچ #درد دیگه‌ای درمان نمیشه مگر #مجلس_شورای_اسلامی تکون بخوره تا بتونه همه رو تکون بده. طرح یک فوریت #شفافیت_آراء_نمایندگان با 108 مخالف رای نیاورده! وای بر ما که این #نماینده ها رو فرستادیم #مجلس روح‌خدا گفته بود مجلس در راس امور است</t>
  </si>
  <si>
    <t>واقعا خسته نباشد و تعطیلات خوش بگذره نمایندگان #مجلس ،پس از مخالفت با فوریت طرح #شفافیت_آراء_نمایندگان و رد طرح دو فوریتی تامین #کالا های اساسی و از دستور کار خارج کردن طرح تشدید مبارزه با #مفاسد_اقتصادی ، در این شرایط ویژه #بحران_اقتصادی به #تعطیلات تابستانی رفتند.</t>
  </si>
  <si>
    <t>دوستم رفت مغازه سیگاربگیره.گفت:آقایه بسته وینستون بده مغازه دارگفت:لایت باشه؟ یهویکی ازپشت سرگفت:آره لایت باشه،بچم گلوش اذیت نشه! برگشت دیدباباش پشت سرشه😆 مراسم تشییع پیکرایشان فرداراس ساعت9ازمقابل تالاروحدت انجام میشود😑وقت داریدبیاییدیاشماهم مثل #روحانی وقت ندارید😂 #وقت_ندارم</t>
  </si>
  <si>
    <t>یعنی ممکنه نمایندگان مجلس به شفافیت آرا خودشان(که در اصل آرای ما مردم است) رای مثبت دهند؟به نظر من مردم خیر نمی دهند چون ازآن ببعد تمام کارهایشان رو میشود و روزی شان کم می شود اما نمی دانند روزی دست خداست وسلام #شفافیت_آراء_نمایندگان #شفافیت_آراء_مجلس #رائفی_پور #مجلس #رانت</t>
  </si>
  <si>
    <t>https://pbs.twimg.com/media/DmU1F0JWsAAPBMh.jpg</t>
  </si>
  <si>
    <t>رئیس دفتر #روحانی اظهارت احمد #جنتی را بی‌پایه و اساس دانست ▪️#واعظی: رئیس محترم مجلس خبرگان گفته‌اند که برخی می‌خواهند به نیویورک بروند تا با ترامپ ملاقات کنند؛ جای تعجب داشت که ایشان این اظهارات را مطرح کرد. این سخنان هیچ وقت مطرح نبوده و پایه و اساسی هم ندارد</t>
  </si>
  <si>
    <t>pic.twitter.com/rab8VUg8ru</t>
  </si>
  <si>
    <t>https://twitter.com/Chenarani_ir/status/1037086132872335362</t>
  </si>
  <si>
    <t>نماینده ی باغیرت #نماینده #غیرت RT @Chenarani_ir: مشروح نطق میان دستور امروز در مجلس (بخش دوم)</t>
  </si>
  <si>
    <t>‏باز این چه غفلتی است که در خلق عالم است ،مهدی غریب و سر به گریبان ماتم است ....</t>
  </si>
  <si>
    <t>قبل از رای گیری: تعداد کل نمایندگان : ۲۹۰ نفر تعداد امضاء کنندگان طرح شفافیت : ۲۰۷ نفر بعد از رای گیری: آرای مودفق: ۵۹ رای آرای مخالف : ۱۰۸ رای آرای ممتنع : ۵ رای #نفاق #مجلس</t>
  </si>
  <si>
    <t>سیده سروناز حسینی</t>
  </si>
  <si>
    <t>https://t.me/BChatBot?start=sc-163610352</t>
  </si>
  <si>
    <t>¤ گونه ای کاکتوس نایاب ¤ بیس پنج سالمه ¤ (((((; [ [ ای بر پدرت کفتر آهسته چه ها کردی ] ] فالو=بک</t>
  </si>
  <si>
    <t>سده¤خوی</t>
  </si>
  <si>
    <t>https://pbs.twimg.com/media/DmU1q1SUYAEfznM.jpg</t>
  </si>
  <si>
    <t>اونوقت #روحانی میگه نمیذارم ب چهل سال پیش بازگردیم #روحانی_خفه_شو</t>
  </si>
  <si>
    <t>اصغر کفتر باز</t>
  </si>
  <si>
    <t>"مجلس با طرح شفافیت آرای نمایندگان مخالفت کرد" بزرگواران، میخواید یک قانون هم تصویب کنید که مصوبات مجلس همگی مخفی باشند؟! کی گفته مردم حق دارند بدونند مجلس چی براشون تصویب میکنه؟! مردمی که شما ۱۰۸ نماینده مخالف رو تعیین کردند حقشون همینه #مجلس #شفافیت_آراء_مجلس</t>
  </si>
  <si>
    <t>I'm addicted to waisting my time</t>
  </si>
  <si>
    <t>آقاي #روحاني شما با تزريق اميد واهي معناي اميد رو براي من پوچ و بي ارزش كردين</t>
  </si>
  <si>
    <t>من حلش كردم</t>
  </si>
  <si>
    <t>امضاء طرح #شفافیت_آراء_نمایندگان علنی بود، ۲۰۷ نفر امضاء کردند. ولی چون رای گیری شفاف نبود فقط ۵۹ نفر رای موافق دادند. #نفاق #مجلس</t>
  </si>
  <si>
    <t>آیت‌الله جوادی آملی گفته بودن: اگر این #انقلاب زمین بخوره لعن همه گذشتگان و آیندگان نصیب ما میشه... الحق با این #نماینده هایی که ما فرستادیم #مجلس کاملا لیاقت این لعن رو داریم #شفافیت_آراء_نمایندگان #شفافیت_آراء_مجلس</t>
  </si>
  <si>
    <t>Medical Laboratory Student . Single . my wish is World without war .</t>
  </si>
  <si>
    <t>kerman, iran</t>
  </si>
  <si>
    <t>(۲۰۷نفراز #نمایندگان_مجلس موافقت خودشون رونسبت به طرح #شفافیت_آراء_نمایندگان اعلام کردند) واما امروز👇😨 نمایندگان مجلس بایک فوریت طرح ⁩#شفافیت مخالفت کردند!مجلس با۵۹رأی موافق،۱۰۸رأی مخالف و۵رأی ممتنع درجلسه امروز،با این طرح مخالفت کرد! (#مجلس، #دار_المنافقین هست نه #خانه_ملت) RT @A_Raefipour: چندی پیش ضمن تمجید از ارائه طرح #شفافیت توییت زدم: پیگیرنماینده شهرتان باشید چرا فقط ٢٩امضا؟ یکی ازنمایندگان ضمن گلایه از بنده میگفت از بس مردم تماس گرفتند عاصی شدیم حامیان این طرح ٢٠٧نفر شده اند رای گیری ازاین طرح باید علنی باشد اگر تصویب نشود #دار_المنافقین است نه #خانه_ملت</t>
  </si>
  <si>
    <t>Fatemeh Baniasadi</t>
  </si>
  <si>
    <t>دنبال شفافيت طرح دو و يك فوريت تو #مجلس ميگردين ؟ اين جاكشا رفتن #تعطيلات_تابستاني با #دلار ١٥ هزار توماني #مطهری #نمایندگان_خاموش_لیست_امید</t>
  </si>
  <si>
    <t>یه دانشجوی شریفی خسته</t>
  </si>
  <si>
    <t>با وضع امروز #مجلس آدم یادشعرمیرزاده عشقی میوفته که میفرماید: بعد از این بر وطن و بوم و برش باید رید به چنین مجلس و بر کر و فرش باید رید به حقیقت در عدل ار در این بام و بر است به چنین عدل و به دیوار و درش باید رید آن‌که بگرفته از او تا کمر ایران گه به مکافات الا تا کمرش باید رید</t>
  </si>
  <si>
    <t>کریم پور ازغدی</t>
  </si>
  <si>
    <t>https://pbs.twimg.com/media/DmU2_sGX4AAqM3v.jpg</t>
  </si>
  <si>
    <t>فکر میکنم همیشه برای برگشتن از یک راه اشتباه، باید وقتش برسه. به نظرتون هنوز وقتش نرسیده که یه انتخاب اشتباه رو جبران کنیم؟ #استعفا #استیضاح</t>
  </si>
  <si>
    <t>pic.twitter.com/UGeLxz74K7</t>
  </si>
  <si>
    <t>#جعفرپناهی با نشر این ویدئو در صفحه اینستاگرام خود نوشته: "بوهایی به مشام #مجلس نشینان رسیده که از مرگ و خفگی می‌گویند" #غلامرضا_حیدری #سلحشوری #جمهوری_اسلامی #دلار</t>
  </si>
  <si>
    <t>انصافا #روحانی داره با شعار علی برکه الله کشور رو به امن یجیب المضطر میرسونه...</t>
  </si>
  <si>
    <t>‏امید بذر هویت ماست. چنین گفت پیر دُردی کِشِ ما</t>
  </si>
  <si>
    <t>#روحانی نه شهامت صحبت در مورد منشا اصلی بسیاری از تصمیمها رو داره، نه جرات مقابله با دولت پنهان، نه صلاحیت وانگیزه مدیریت مطلوب کشور درحد همین اختیاراتش تنها که چیزی تصمیم/مطالبه استعفاش رو به تعویق می‌ندازه فشار خارجی است. خاتمی هم گفت بارها استعفا دادم اما خطر جنگ وجود داشت</t>
  </si>
  <si>
    <t>Saeed🇮🇷</t>
  </si>
  <si>
    <t>https://roozportal.com/?p=17555</t>
  </si>
  <si>
    <t>کولاک سلحشوری در #مجلس در سکوت مردهای فربه و بی مسئولیت</t>
  </si>
  <si>
    <t>Monarchist, HIM RezaPahlavi supporter</t>
  </si>
  <si>
    <t>https://twitter.com/SGhasseminejad/status/1037284138162651136</t>
  </si>
  <si>
    <t>در هیچ زمانی از تاریخ #ایران از زمان #انقلاب_مشروطه تا به امروز مفهوم #مجلس تا بدین حد به لجن کشیده نشده است. بیگمان مجلس رژیم اشغالگر اسلامی ننگ کل تاریخ ایران است. #ایران_را_پس_میگیریم RT @SGhasseminejad: گاوهای مقیم طویله شورای اسلامی دیروز دو تصمیم مهم گرفتند. اول اینکه با بررسی طرح مبارزه با مفاسد اقتصادی مخالفت کردند. دوم اینکه با بررسی فوری طرح شفاف شدن آرای نمایندگان مخالفت کردند. #فردای_براندازی میشه اموال همه گاوهای ادوار طویله شورای اسلامی و گوساله‌هاشون رو مصادره کرد؟</t>
  </si>
  <si>
    <t>Faranak Azad 👑💙</t>
  </si>
  <si>
    <t>https://twitter.com/Plusboy7916/status/1036335947837853696</t>
  </si>
  <si>
    <t>توی #مجلس امروز، نهایتا 40 یا 50 نماینده واقعی مردم داریم، حدود 220 یا 230 نفر هم #کسبه_بهارستان هستن! و حدود 20 تا ممتنع هم داریم که با یه کیسه #گونی سیب زمینی هیچ فرقی ندارن! #شفافیت_آراء_نمایندگان #شفافیت_آراء_مجلسRT @Plusboy7916: حقیقتا انتظار #شفافیت_آراء_نمایندگان از بعضی نماینده های مجلس مثل #مطهری و صادقی و #فراکسیون_امید ی ها منطقی نیست! اینا یه ذره شرافت و استقلال موقع رای دادن به خرج بدن کافیه! شفافیت پیشکش! از جناب #لاریجانی هم که کلا هٍچ ! انتظاری ندارم! #شفافیت_آراء_مجلس</t>
  </si>
  <si>
    <t>هیچ</t>
  </si>
  <si>
    <t>مجلسیا رفتن دوهفته تعطیل تابستونی الان قشنگ میتونید حس کنید که بود و نبودشون تاثیری توی شرایط نداره یه طویله گوسفند پر کاربرد تر از #مجلس ماست.</t>
  </si>
  <si>
    <t>قاف بزرگ</t>
  </si>
  <si>
    <t>https://niknam.org</t>
  </si>
  <si>
    <t>‏‏‏‏‏‏‏‏طنز انداز بر روی رخت خواب وب و پدر میم ایران در خاورمیانه ‎‎#دلبر ام ‎‎‎@aidahosseinifar</t>
  </si>
  <si>
    <t>Iran / Tehan</t>
  </si>
  <si>
    <t>#واقعی #مجلس ایران طرح #شفافیت_آراء_نمایندگان را رد کرد. همین مجلس اگر میخواست به ملی شدن نفت هم رای بدن، رای نمی‌آورد. خاک بر سر ما با این نمایندگان مون.</t>
  </si>
  <si>
    <t>دریکی ازحساسترین برهه های #اقتصادی #کشور وپس ازتاکیدات رهبری مبنی برتلاش شبانه روزی وبی وقفه برای بهبودوضع موجود،نمایندگان #مجلس به تعطیلات دوهفته ای آخر تابستان رفتند!</t>
  </si>
  <si>
    <t>Mahdi Bayadi</t>
  </si>
  <si>
    <t>فقط حیدر امیرالمومنین است❤️</t>
  </si>
  <si>
    <t>https://pbs.twimg.com/media/DmU5C5lX4AAGWMc.jpg</t>
  </si>
  <si>
    <t>تفاوت این دو تا عکس چیه؟؟ خوب سیب زمینی میخوای چیکار کنی بگو شاید ما بتونیم کمکت کنیم #دلار #دلار۱۵۰۰۰تومانی #روحانی</t>
  </si>
  <si>
    <t>Mr.morteza</t>
  </si>
  <si>
    <t>اونقدری که من از #مجلس نا امید شدم از #روحانی نا امید نشدم هنوز #دارالمنافقین #شفافیت_آراء_نمایندگان</t>
  </si>
  <si>
    <t>سرم بالاست که مسلمان نیستم 💪</t>
  </si>
  <si>
    <t>میشه مجلس کلا از تعطیلات تابستانی برنگرده #مجلس #تعطیلات_تابستانی</t>
  </si>
  <si>
    <t>Mehditiger</t>
  </si>
  <si>
    <t>همیشه علاقه مند به یادگیری</t>
  </si>
  <si>
    <t>اگه تو این دو هفته تعطیلی نماینده های #مجلس ، اعضای مجلس دانش آموزی رو بیارن بهارستان ، چند تا گره از کار مملکت باز میشه !</t>
  </si>
  <si>
    <t>Mohammad Esmaeili 🎗</t>
  </si>
  <si>
    <t>‏‏Journalist شاید خبر خوب تو‌سکانس بعدی...</t>
  </si>
  <si>
    <t>به نظرم مملکت فقط درداخل توئیترخراب، ملتی که صف میکشن برای خرید #ارز ،ثبت نام میکنندبرای خریدلگن های #سایپا و #ایران_خودرو پس حتما مشکلی وجودنداره ، عزیزان خدوم #مجلس هم که دوهفته رفتند هالیدی... شرکت سایپا: ازمردم تقاضا می‌کنیم برای ثبت نام صبر داشته و به سایت #هجوم نیاورند."</t>
  </si>
  <si>
    <t>Majid Nemati</t>
  </si>
  <si>
    <t>#مجلس امروز طرح #شفافیت_آرا رو رد کرد، طرح دوفوریتی تامین کالای اساسی را رد کرد و طرح تشدید مبارزه با #مفاسد_اقتصادی را هم از دستور خارج کرد.بعدشم که طبیعیه با این حجم کار نیاز به استراحت دو هفته ای دارن!!!الان که فکر میکنم #ظریف خیلی ظریفانه گفت که #ما_خودمان_انتخاب_کردیم</t>
  </si>
  <si>
    <t>میگم حالا که روابط با روسها حسنه است ازشون استعلام بگیرید ببینید از نوادگان لیاخوف کسی دم دست هست بیاید این خانه ی نفاق را به توپ ببنده #شفافیت_آراء_نمایندگان #مجلس</t>
  </si>
  <si>
    <t>http://houshyaree.com</t>
  </si>
  <si>
    <t>بسم الله الرحمن الرحیم از منتظران مولانا صاحب العصر والزمان(ع)</t>
  </si>
  <si>
    <t>pic.twitter.com/brN3k0pOEM</t>
  </si>
  <si>
    <t>مخالفت مجلسی ها با طرح #شفافیت_آراء_نمایندگان نشان داد که مطالبه عمومی مردم براشون اهیتی نداره و جالب اینکه این طرح 59 رای از 194 رای ممکن رو کسب کرد در صورتی که با 160 امضا تقدیم #مجلس شده بود یعنی 101 منافق لابه لای امضا کنندگان وجود داشت... #منافقین_درمجلس</t>
  </si>
  <si>
    <t>sorosh alinezhad</t>
  </si>
  <si>
    <t>دلم از این میسوزه که این #دار_المنافقین در راس همه امور است😔 #مجلس #شفافیت #شفافیت_آراء_نمایندگان #شفافیت_آراء_مجلس</t>
  </si>
  <si>
    <t>نمایندگان #مجلس در روزی که ارز از طول قیمت‌ها بالا می‌رود، به تعطیلات تابستانی رفتند. این خبر واقعی است.</t>
  </si>
  <si>
    <t>تا حالا آب تو هاون کوبیدید؟دیدید که هیچ فایده‌ای نداره؟این دقیقا همون حالتیه که به مردم بفهمونی عامل این مشکلات خودشونن. آیا مرحوم نلسون ماندلا به #روحانی رأی داد؟ آیا برادران گراهام‌بل نمایندگان فاسد رو فرستادن به مجلس؟ مردم دارن چوب بی‌سوادی و انتخاب غلط خودشونو میخورن.والسلام</t>
  </si>
  <si>
    <t>‏یا بهم اعتماد کن و با من بیا، یا بهم لطف کن و متقاعدم کن، یا به خودت لطف کن و از سر راهم برو کنار!</t>
  </si>
  <si>
    <t>شیطونه میگه بریم #مجلس هم شانتاژ کنیم...</t>
  </si>
  <si>
    <t>emad bagheri</t>
  </si>
  <si>
    <t>‏‏‏‏گر نظر پاک کنی کعبه و بتخانه یکیست | دانشجوی صنایع شریف</t>
  </si>
  <si>
    <t>روزی هزار بار خدا رو شکر میکنم که فلانی #رئیس_جمهور نشد وگرنه همین #دلار 10 هزار تومنی، الان 20هزار تومن بود ... [ دلار 20 هزار تومن میشود ] #سیاسی_بازی</t>
  </si>
  <si>
    <t>مدیر ارشد مملکته. خیر سرش نماینده #مجلس هم بوده. کلی از وضع موجود شاکیه و می‌گه اگه بتونم ۵۰ تا ماشین تو سایت #سایپا ثبت نام می‌کنم. خب خود تو عامل همین وضعیتی مردک!</t>
  </si>
  <si>
    <t>‏‏‏از عناوین جهان، نوکریت ما را بس...</t>
  </si>
  <si>
    <t>islamic republic of IRAN</t>
  </si>
  <si>
    <t>شوخی نیستا! سه تا طرح کلان و مهم رو تو یه روز رد کنی آخرشم تو این وضعیت اقتصادی دو هفته بری تعطیلات! خسته نباشی دلاور خداقوت پهلوان #مجلس #شفافیت_آراء_مجلس</t>
  </si>
  <si>
    <t>انقلاب ادامه دارد..🇮🇷</t>
  </si>
  <si>
    <t>#بچه که بودیم چیزی میخواستیم و مهیا نمیشد تا سه میشمردیم آخرش می‌گفتیم 2.5 و 2.75 و میزدیم زیر گریه این وضعیت #دولت ماست و #اتحادیه_اروپا.بعد از خروج #آمریکا از #برجام اول گفتیم #اروپا دو هفته فرصت داره بعد شد 20 روز الان هم میگن تا #آبان #دلار #روحانی #عراقچی #ظریف #سیاست_خارجی</t>
  </si>
  <si>
    <t>همه از فاکیم و به فاک میرویم</t>
  </si>
  <si>
    <t>#روحانی گفت به قبل #انقلاب برنمی‌گردیم امروز صبح که قیمت #دلار رو دیدم فهمیدم به یه جایی رفتیم که خیلی جدیده اسمشم هست بگاآباد #به_قبل_57_برمیگردیم</t>
  </si>
  <si>
    <t>Elia sam</t>
  </si>
  <si>
    <t>Ahmad saburi</t>
  </si>
  <si>
    <t>https://pbs.twimg.com/media/DmU7JbkWwAIACuc.jpg</t>
  </si>
  <si>
    <t>از۲۹۰ نماینده ۲۰۷ نفر طرح #شفافیت را امضا کردند ولی فقط ۵۹ نفر رای دادن! نفاق و دورویی معنی دیگری هم داره!؟ #مجلس #دار_المنافقین #شفافیت_آرا_نمایندگان</t>
  </si>
  <si>
    <t>🇮🇷شهاب🇮🇷</t>
  </si>
  <si>
    <t>https://pbs.twimg.com/media/DmU7eIGWwAALniT.jpg</t>
  </si>
  <si>
    <t>با مشاهده این عکس که جناب @hesamodin1 با استتار قسمت پایینی بنر منتشرکرد به وضوح معنای #مخالفت با #سانسور را در دولت جناب @Rouhani_ir فهمیدم. شاید من جای آقای #روحاني بودم در پاسخهایم به مجلس این شعر را هم میخواندم: من از اونوریها هرگز ننالم که بامن هر چه کرد آن #آشنا کرد</t>
  </si>
  <si>
    <t>علی امام من است و منم غلام علی</t>
  </si>
  <si>
    <t>چه جایی بهتر از جمهوری اسلامی</t>
  </si>
  <si>
    <t>سید علی موسوی گرمارودی می گفت از حضور تو کابینه بنی صدر خیلی عذاب می کشیدم و ناراحت بودم خدمت امام رسیدم و استعفا مطرح کردم ، امام گفتن مردم دارن تو جبهه خون میدن ، شما آبرو بدید ! القصه اینکه تو همین کابینه هم شاید باشن آدمایی مثل گرمارودی ... #استیضاح</t>
  </si>
  <si>
    <t>آقا جلیل</t>
  </si>
  <si>
    <t>سبک زندگی اسلامی</t>
  </si>
  <si>
    <t>نمایندگان #مجلس به دو هفته تعطیلات تابستانی رفتند!!</t>
  </si>
  <si>
    <t>syla</t>
  </si>
  <si>
    <t>‏‏‏‏‏‏‏‏‏‏‏جهان هرکس به اندازه ی وسعت فکر اوست</t>
  </si>
  <si>
    <t>برج بلند دموکراسی</t>
  </si>
  <si>
    <t>https://pbs.twimg.com/media/DmU7qotX0AQpJ8D.jpg</t>
  </si>
  <si>
    <t>امروز نمایندگان #مجلس در اخرین اقدام قبل از رفتن به تعطیلات دوهفته ای تابستانی طرح "تشدید مبارزه با مفاسد اقتصادی" را از دستور کار مجلس خارج کردند و همچنین با فوریت بررسی طرح "شفافیت رأی نمایندگان" هم مخالفت کردند. قشنگ مملکت به تخمشونه #IslamicRegimeMustGo #دلار۱۵۰۰۰تومانی</t>
  </si>
  <si>
    <t>به نظر شما اگر یک روز به نقطه ای برسیم که طرح عدم کفایت رئیس جمهور را بررسی کنیم به این #مجلس میتوان امیدوار بود. #شفافیت_آراء_نمایندگان #شفافیت_آراء_مجلس</t>
  </si>
  <si>
    <t>https://t.me/Eslahatnews</t>
  </si>
  <si>
    <t>Journalist ،Chief ، سردبیر سابق #اصلاحات_نیوز ، معتقدم: خرم آن نغمه که #مردم بسپارند بیاد. پدر یک دختر</t>
  </si>
  <si>
    <t>برخلاف دوستان معترض تعطیلی 2 هفته ای #مجلس آن هم در این شرایط اقتصادی بنده به شدت استقبال میکنم و شاید بهترین تصمیم برای کشور میدانم. کدام طرح یا تصمیم این آقایان دردی از مشکلات اقتصادی مردم حل کرده که نگران 2 هفته نبودنشان باشیم؟ *هزینه هر دقیقه مجلس 300 میلیون بی زبانه</t>
  </si>
  <si>
    <t>علی احمدنیا 🇮🇷</t>
  </si>
  <si>
    <t>مرا روز ازل کاری به جز رندی نفرمودند...</t>
  </si>
  <si>
    <t>کاش می شد امروز را روز #مجلس نام گذاری کنند ‌. #شفافیت_آراء_نمایندگان</t>
  </si>
  <si>
    <t>mohamadreza</t>
  </si>
  <si>
    <t>رأی #نمایندگان به طرح #شفافیت_آراء_نمایندگان نشان داد که #مجلس #خانه_ملت نیست، #دارالمنافقین است. #شفافیت_آراء_مجلس #شفافیت #دار_المنافقین</t>
  </si>
  <si>
    <t>علاقه‌مند سینما و نویسندگی ، سفر و باغبانی وبمستری و کارآفرینی و خلاقیت - cryptocurrency 🇧🇷برزیل و رئال #تالکین #علیمحمدافغانی #جلال‌آل‌احمد #صمدبهرنگی #ارول</t>
  </si>
  <si>
    <t>Rivendell - Imladris</t>
  </si>
  <si>
    <t>ملت دلخوش و امیدوار ما جمع شدند #شفافیت_آراء_نمایندگان رو خواستار شدند و میگن 204 نفر امضا کرده اند ولی فوریت طرح 55 نفر فکر کنم موافق داشت چی باید بر سر این ملت بیاد تا بهمند که این #مجلس تجمعی هستش از افراد ریاکار و بی مصرف که با رانت و ادم فروشی به اون مقام رسیدند</t>
  </si>
  <si>
    <t>javad th</t>
  </si>
  <si>
    <t>سامتایمز میبی گوود، سامتایمز میبی شت! (موستلی شت آف کورس)</t>
  </si>
  <si>
    <t>ظاهرا #روحانی در سفر به نیویورک قراره جوری جلوی #ترامپ نرمش قهرمانانه بکنه که مدال های ژیمناستیک المپیک بعدی رو یه‌جا به ایران بدن.</t>
  </si>
  <si>
    <t>Miad 🏳</t>
  </si>
  <si>
    <t>افکار</t>
  </si>
  <si>
    <t>Nord, Nord-Pas-de-Calais</t>
  </si>
  <si>
    <t>نمایندگان مجلس با طرح شفافیت آرای نمایندگان مخالفت کردند در حالی که ۲۰۷ نفر از نمایندگان با امضا حمایت خود را از این طرح اعلام کرده بودند در رای گیری مجلس این طرح فقط ۵۹ رای موافق کسب کرد و طرح رد شد اینجا خانه ملت نیست دارالمنافقین است #دارالمنافقین #مجلس #شفافیت</t>
  </si>
  <si>
    <t>H_abbaszade</t>
  </si>
  <si>
    <t>https://pbs.twimg.com/media/DmU9keTXcAEYYT2.jpg</t>
  </si>
  <si>
    <t>تا ۱۴۰۰ با روحانی #روحانی #روحانی_مچکریم #دلار</t>
  </si>
  <si>
    <t>این جمله را روی سر در محافلتان بنویسید: می خواهم با کت و شلوار از خودم دفاع کنم. #مشایی #احمدی_نژاد #نابغه #روحانی #لاریجانی #کودن</t>
  </si>
  <si>
    <t>روزنامه‌نگار...</t>
  </si>
  <si>
    <t>اما در لابه لای اخبار قیمت دلار و...نباید این خبرو که نیکی هیلی گفته #ترامپ قصد داره نشست سران عضو شورای امنیت برگزار کنه تا ازاین طریق با #روحانی دیدار کنه،نادیده بگیرید.این یه فرصت بسیار خوب برای ایران و آمریکاست که هر دوطرف بهش نیازدارن.منظورم مذاکره نیست،فعلا یه دیدار کافیه..</t>
  </si>
  <si>
    <t>فرهاد کیانفرید</t>
  </si>
  <si>
    <t>علت بروز وضعیت امروز #فساد_فراگیر است که نه تنها مانع #تعامل_سازنده با جهان می‌شود بر آتش #دشمنی و #بحران_آفرینی هم میدمد تا #غارت کند. ریشه فساد هم #قدرت فارغ از #نظارت و #پاسخگویی است که نهایتا تبدیل به #مافیا شده و به طور علنی #رئیس_جمهور را تهدید به #قتل می‌کند.</t>
  </si>
  <si>
    <t>یه اصطلاح عامیانه در باب کنایه زدن هستش که میگه: نرینی آب قطعه! حالا همینو با یه ادیت از وسط جمله باید به نوزادان گفت. نرینی #پوشک شده 20 هزار!! #دلار #روحانی #تورم #گرانی</t>
  </si>
  <si>
    <t>✡️ ژاکوب ✡️</t>
  </si>
  <si>
    <t>https://pbs.twimg.com/media/DmU-8mDXcAAQN8n.jpg</t>
  </si>
  <si>
    <t>خوب آقای #روحانی یه کلید گاوصندق دارم تو باسن مبارکت !!! #دلار #به_قبل_۵٧_برمیگردیم #ريتوييت_لطفا #اقتصادی</t>
  </si>
  <si>
    <t>‏‏‏‏‏‏توییت‌های‏‏‏‏‏‏‏‏ ادبی، طنزی و غیره‌ای 🍃</t>
  </si>
  <si>
    <t>از رای شما بوی ریا می‌آید #شفافیت_آراء_مجلس #شفافیت_آراء_نمایندگان #نمایندگان_مجلس #مجلس</t>
  </si>
  <si>
    <t>آقای‌شین</t>
  </si>
  <si>
    <t>https://pbs.twimg.com/media/DmU_RR0W0AAzlom.jpg</t>
  </si>
  <si>
    <t>تا 1400باروحانی به روایت تصویر 😕😕😕😕😤😤😤 #روحانی</t>
  </si>
  <si>
    <t>mahsa69</t>
  </si>
  <si>
    <t>#جدی تمام #دولت ها بعد انقلاب که هر کدام 8سال ریاست جمهوری را به عهده داشته،در پایان دوران خود نرخ #دلار را سه به توان سه یا حداقل سه برابر تحویل دولت بعدی داده اند! #روحانی 3600تومان$ حالا حساب کنید در خوشبینانه ترین حالت قیمت دلار از قبل از فروپاشی چقدر میشود؟</t>
  </si>
  <si>
    <t>https://pbs.twimg.com/media/DmU_-qLW0AESN6W.jpg</t>
  </si>
  <si>
    <t>در میانه #جنگ_اقتصادی و حرکت پرشتاب نرخ #تورم و همچنین خلاء موجود در #وزارت_اقتصاد و استیضاح #وزیر_کار و برنامه های فوق العاده معطل مانده زنگ خاتمه جلسات علنی #مجلس تا اول مهر به صدا آمد.</t>
  </si>
  <si>
    <t>کارشناسی علوم سیاسی،عاشق انقلاب اسلامی و متنفر از مصلحت های دروغین... ‏سیاست پدر و مادر دارد،منتها دست بی پدر و مادرها افتاده،مقصر آن هم فقط شورای نگهبان است.</t>
  </si>
  <si>
    <t>https://twitter.com/sp_hos/status/1037300530400387074</t>
  </si>
  <si>
    <t>اعضای #‌شورای_نگهبان به بهشت نمی روند. #بیشرفها_به_بهشت_نمیروند #احمدي_نژاد #مشایی #احراز_صلاحیت_علنی #انگلیس #روحانی #مجلس_دهم #عدالت RT @sp_hos: از اباطیل و اراجیف نطق غلامرضا حیدری نماینده اصلاح‌طلب و لیست امیدی تهران در مجلس تعجب می‌کنید؟! از پدر کاریکاتوریستی که توهین به شهدا رزومه ثابتش بوده، غیر این اراجیف گفتن توقع دارید؟! #بیشرفها_به_بهشت_نمیروند</t>
  </si>
  <si>
    <t>jahad</t>
  </si>
  <si>
    <t>http://www.fanousnews.com</t>
  </si>
  <si>
    <t>‏‏خبرگزاری تخصصی حوزه اجتماعی</t>
  </si>
  <si>
    <t>https://pbs.twimg.com/media/DmVAXLUX0AA4nMF.jpg</t>
  </si>
  <si>
    <t>#نمایندگان به تعطیلات تابستانی رفتند 🔹️ در یکی از حساس‌ترین برهه‌های اقتصادی کشور نمایندگان مجلس به تعطیلات دوهفته‌ای آخر تابستان رفتند! #مجلس 🆔 @fanousnews</t>
  </si>
  <si>
    <t>fanousnews | خبرگزاری فانوس</t>
  </si>
  <si>
    <t>اندکی نقاش،</t>
  </si>
  <si>
    <t>ی ولادمیر لیاخوف لازمه این #مجلس رو به توپ ببنده که شده #دارالمنافقین و پر از دروغ گو #منافق که بینشون ۱۴۸نفر دروغگو هست #شفافیت_آراء #دارالمنافقین_مجلس #مجلس</t>
  </si>
  <si>
    <t>mehdi_rsmt1</t>
  </si>
  <si>
    <t>‏‏‏‏‏یک وطن پرست واقعی</t>
  </si>
  <si>
    <t>وطن❤</t>
  </si>
  <si>
    <t>#مجلس و باید به آتیش کشید #ریتوییت #ريتوييت_لطفا</t>
  </si>
  <si>
    <t>★Star★</t>
  </si>
  <si>
    <t>در شرایط کنونی کشور نمایندگان مجلس به راحتی به ۲ هفته تکرار می‌کنم ۲ هفته تعطیلات رفتند #مجلس</t>
  </si>
  <si>
    <t>Always passionate about discovering new things in the field of software engineering, photography, human-computer interactions and other related goodies...</t>
  </si>
  <si>
    <t>اوضاع جوری شده که #روحانی هفته اول مهر میره نیویورک پناهنده نشه صلوات...</t>
  </si>
  <si>
    <t>Pourya Sharifi</t>
  </si>
  <si>
    <t>واقعا انتظارداشتید طرح‌های مبارزه با #فساد و #شفافیت آرا در این #مجلس تصویب‌شود؟! شما دیگه چقدر ساده‌اید!</t>
  </si>
  <si>
    <t>https://pbs.twimg.com/media/DmVBbbSX4AYd1SW.jpg</t>
  </si>
  <si>
    <t>حسن‌نژاد: #دولت با ۶۰۰۰ هزار میلیارد تومان دارایی اراده کند نرخ #ارز کنترل می‌شود/عضو کمیسیون اقتصادی #مجلس:هیچ توجیه اقتصادی برای #نوسانات_ارزی اخیر وجود ندارد/دولت با این فشارها به‌دنبال پذیرش و تصویب «اف.ای.تی.اف.» در مجلس است وگرنه برای کنترل این نوسانات هیچ دلیلی وجود ندارد</t>
  </si>
  <si>
    <t>http://instagram.com/gharibi137784</t>
  </si>
  <si>
    <t>اللهم الجعلنا من المتمسکین بولایه علی ابن ابیطالب(ع)</t>
  </si>
  <si>
    <t>سرزمین عاشقان بی نشان</t>
  </si>
  <si>
    <t>#داستان جلسه شورای امنیت سازمان ملل به ریاست #ترامپ و با حضور #روحانی موضوع جلسه: #ایران نتیجه احتمالی جلسه:صدور قطعنامه یا بیانیه علیه ایران هدف آمریکا از این جلسه کشاندن ایران به میز مذاکره ولی با ترفند دعوت رسمی در شورای امنیت و اجماع علیه ایران</t>
  </si>
  <si>
    <t>محمدحسین غریبی</t>
  </si>
  <si>
    <t>‏‏‏‏‏گوه نخور خیلیم انتقاد پذیرم .</t>
  </si>
  <si>
    <t>اینکه #مجلس با #شفافیت کنار نمیاد همون سگ تو جایی که غذا میخوره نمی شاشه خودمونه .</t>
  </si>
  <si>
    <t>آ.میرزا</t>
  </si>
  <si>
    <t>دختر آفتاب</t>
  </si>
  <si>
    <t>Keyvan</t>
  </si>
  <si>
    <t>تنها باش چون واست مفیده / مثه من یکی که سایش سفیده...</t>
  </si>
  <si>
    <t>بهناز شریفی</t>
  </si>
  <si>
    <t>حقوق ميخوانم در مقطع فوق ⚖️ | انظر الي ماقال و لاتنظر الي من قال_مولا علي عليه السلام_| وكيل دادگستري⚖️</t>
  </si>
  <si>
    <t>چندماه ديگه هركسي كه به پاتون افتاد واسه راي و دم از شفافيت و خدمت رساني و اينا زد با پشت دست بكوبين تو دهنش ، چون تا پاش به بهارستان ميرسه عوض ميشه،حداقل فرداروز دلت خوشه كه يكي زديش #مجلس #نمایندگان #اصلاح_طلب #اصولگرا</t>
  </si>
  <si>
    <t>ما مظلومیم امّا قوی هستیم؛ مثل مولایمان امیرالمؤمنین . امیرالمؤمنین مظلوم‌ترین بود امّا قوی‌ترین بود .</t>
  </si>
  <si>
    <t>طرف میاد پشت تریبون مجلس میگه تنها راه نجات کشور ورود مستقیم رهبریه. این چه حرف مزخرفیه؟ اون وقتی که برای رای آوردن #روحانی شهر به شهر، و سالن به سالن قطار میشدین و نعره میزدین باید فکر اینجاشو هم میکردین حالا از رهبری مایه میزارید؟ کلا چه کاری بلدین انجام بدین جز زر مفت زدن؟</t>
  </si>
  <si>
    <t>رایحه</t>
  </si>
  <si>
    <t>طرح "تشدید مبارزه با مفاسد اقتصادی"، امروز با رای نمایندگان، از دستور کار مجلس خارج شد. نمایندگان #مجلس با فوریت بررسی طرح "شفافیت رأی نمایندگان" هم مخالفت کردند!!! #فساد_سيستماتيك #دلار۱۴۰۰۰تومانی</t>
  </si>
  <si>
    <t>Elnaz</t>
  </si>
  <si>
    <t>https://t.me/ammarmaleki</t>
  </si>
  <si>
    <t>Assistant Professor of Comparative Politics at Tilburg University; Analyst of Iranian Politics, twittering in Persian &amp; English سکولار و تحولخواه</t>
  </si>
  <si>
    <t>The Hague, The Netherlands</t>
  </si>
  <si>
    <t>#روحانی تبدیل به احمدی‌نژاد اصلاح‌طلبان شده است؛ زمانی اصولگرایان و رهبرفرزانه‌ تمام قد از احمدی‌نژاد حمایت کردند و بعدها دردسرشان شد؛ حالا همین وضعیت را اصلاحطلبان نسبت به روحانی دارند! #استمرارطلبان همواره احمدی‌نژاد را بر سر رقیب زدند وحالا نمیدانند با احمدی‌نژاد خود چه کنند!</t>
  </si>
  <si>
    <t>Ammar Maleki-عمار ملکی</t>
  </si>
  <si>
    <t>دار المنافقین است مجلس ما #فرجام_غربگرایی #مجلس #شفافیت_آراء_مجلس #شفافیت</t>
  </si>
  <si>
    <t>یه بی تربیت که تو همه چی نظر میده</t>
  </si>
  <si>
    <t>شنیدم دیروز جناب #رئیس_جمهور فرمودن بع قبل از ۵۷ برنمیگردیم . ولله که من اگر میدونستم منظورت از به عقب برنمیگردیم ،۵۷ بوده !!! هرچند ما الان آرزومونه به اون زمان برگردیم ، قطعا شما نمیتونید این کارو کنید @Rouhani_ir</t>
  </si>
  <si>
    <t>حنا</t>
  </si>
  <si>
    <t>چطور میشه که طرح رو امضا کنی اما به فوریتش رای ندی؟! #نمایندگان_دروغ_گفتند یا چی؟ #شفافیت #مجلس</t>
  </si>
  <si>
    <t>‏‏‏‏‏‏‏‏‏‏‏‏‏‏‏‏‏‏‏‏‏‏‏‏‏‏‏‏🙋‍♀️یه آدم معمولی ... یه بیو معمولی که گیر دادن نداره...داره؟؟؟</t>
  </si>
  <si>
    <t>اگه سرمو نمیزنید به دروازه انقلاب بازم دلم میخواد نطق شیوای #پروانه_سلحشوری شیرزن بیشه ی حماقت رو ببینم...😐 #مجلس</t>
  </si>
  <si>
    <t>https://favstar.fm/users/bohluol</t>
  </si>
  <si>
    <t>‏‏آراسته به آرایه‌های بی ادبی</t>
  </si>
  <si>
    <t>آقای #روحانی کیلم تو کلیدت</t>
  </si>
  <si>
    <t>بهلول</t>
  </si>
  <si>
    <t>https://pbs.twimg.com/media/DmVEN7pWwAEgnbQ.jpg</t>
  </si>
  <si>
    <t>یه هول دیگه کم داره که اینا یکی بشن ،ای #روحانی با درایت ببینم چه میکنی #سقوط_ریال #سقوط_ارزش_ریال #دلار۱۵۰۰۰تومانی #دلار</t>
  </si>
  <si>
    <t>در دلهای آنان یک نوع بیماری است؛ خداوند بر بیماری آنان افزوده؛ و به خاطر دروغهایی که میگفتند، عذاب دردناکی در انتظار آنهاست.{10/بقره} سرنوشت کسانی که طرح #شفافیت_آراء_نمایندگان را امضا کردند ولی به فوریت آن رای ندادند. #مجلس #شفافیت</t>
  </si>
  <si>
    <t>‏‏‏‏‏‏‏‏‏‏‏‏‏‏‏‏‏‏‏آن مرحومه مغفوره . بی اعصاب علیها الرحمه . فاتحه مع الصلوات</t>
  </si>
  <si>
    <t>گورستون ِ آغام شـِـیدَر</t>
  </si>
  <si>
    <t>اینا نرفتن تعطیلات. اینا فرار کردن نمیخوان به ما بگن. #مجلس</t>
  </si>
  <si>
    <t>نوه آخری میتی کُمان</t>
  </si>
  <si>
    <t>طرح #تشدید_مبارزه_با_مفاسد_اقتصادی از دستور کار #مجلس خارج شد و #شفافیت_آراء_مجلس هم رای نیاورد واقعا توقع بیش از این از مجلس داشتین؟ اگه جوابتون آره هست شما یک احمقین</t>
  </si>
  <si>
    <t>من با افتخار مسلمان نیستم نیستم نیستم</t>
  </si>
  <si>
    <t>Mehdi Nazparvar</t>
  </si>
  <si>
    <t>https://pbs.twimg.com/media/DmVF3R-XsAEs6n7.jpg</t>
  </si>
  <si>
    <t>""هفتمین فرمانده روسی بریگاد قزاق ایران بود که #مجلس شورای ملی را به توپ بست"" __ولادیمیر لیاخوف___ میشه ی همچین ادمی پیدا بشه???دوباره???</t>
  </si>
  <si>
    <t>https://pbs.twimg.com/media/DmUYwLNXgAAzRUK.jpg</t>
  </si>
  <si>
    <t>https://twitter.com/isna_farsi/status/1037262509592461312
http://www.isna.ir/news/97061407168</t>
  </si>
  <si>
    <t>#ایران #تهران #فوری #قم #روحانی #مصباح_یزدی :لاکن با عنایات #ظریف بی بی شام #سوریه جهاد سربازان گمنام #دولت #اختلاس مدافعان حرم #فساد اهل بیت ال عبا #رهبر_انقلاب وشرکا لذا اکثریت دنیا #دشمن و به خون ما و #رهبرفرزانه تشنه هستند RT @isna_farsi: آیت‌الله مصباح یزدی: *به تعداد انگشتان یک دست، دوست در دنیا نداریم *اکثریتشان به خون ما تشنه هستند. در بهترین حالت نسبت به ما بی‌تفاوت هستند *ممکن است به زبان نرم با ما صحبت کنند اما تجربه نشان داده که با ما دشمن هستند</t>
  </si>
  <si>
    <t>‏‏‏‏‏‏مهندس افزارهای نرم و دانش آموخته ی علم و صنعتی/ مدرس دانشگاه / متخصص شبکه/ وابسته ی با جیره مواجب نظام</t>
  </si>
  <si>
    <t>#احمدي_نژاد اشتباه میکرد #روحانی خیانت! «الضَّالِّينَ» و «المَغضُوبِ عَلَيهِمْ»</t>
  </si>
  <si>
    <t>سجاد انصاری(عمو تُم)</t>
  </si>
  <si>
    <t>sport journalist IRAN</t>
  </si>
  <si>
    <t>نگران #روحانی ام واقعا، توی این اوضاع #دلار 15 هزار تومنی بنده خدا چجوری میخواد بره #نیویورک.. خیلی سخته. کاش میشد بانک مرکزی ارز دولتی بده بهش تا فشار نیاد!!</t>
  </si>
  <si>
    <t>sajad babaei</t>
  </si>
  <si>
    <t>https://pbs.twimg.com/media/DmVGnCtWsAELz5u.jpg</t>
  </si>
  <si>
    <t>سعید لیلاز:« اختیاراتی که آقای خامنه‌ای به روحانی و سران قوا داده اگر به چوب داده بود تا الان یک کاری کرده بودند. من مسئولیت را اساسا متوجه #روحانی می‌دانم چون ما از ۸ ،۹ ماه قبل به او هشدار داده بودیم که دلار را بحران خواهد گرفت» #چوب_خشک</t>
  </si>
  <si>
    <t>https://pbs.twimg.com/media/DmVD21sW4AAH51O.jpg</t>
  </si>
  <si>
    <t>خدا غصب نکنه ماتومملکتی زندگی میکنیم که 207 نفر از #نمایندگان #مجلس ش از طرح #شفافیت_آراء_نمایندگان اعلام حمایت می کنن و پای اون طرح امضا میکنند اما موقع رای گیری فقظ57نفر رای مثبت می دن که همچین روزهایی در #تاریخ ثبت خواهد شد اینجا #دارالمنافقین نه #خانه_ملت. #استاد_رائفی_پور</t>
  </si>
  <si>
    <t>فعلا زنده هستم</t>
  </si>
  <si>
    <t>جوری که #روحانی و دولتش #اقتصاد مملکت را رها کردن غضنفر آروقشو رها نکرد #دلار۱۵۰۰۰تومانی</t>
  </si>
  <si>
    <t>علیرضا</t>
  </si>
  <si>
    <t>EE tbz uni,Afag TURK,TABRIZ</t>
  </si>
  <si>
    <t>اونجا دیگه #مجلس نیست مجمع #غارتگران و مفسدانه....دیگه فکر کنم درصد شرکت تو #انتخابات ساله بعد مجلس منفی بشه....... #طرح_شفافیت_آرا #شفافیت_آراء_نمایندگان #شفافیت_آراء_مجلس #لیاخوف_روحت_شاد #نمایندگان_بی_شرف</t>
  </si>
  <si>
    <t>Ali hosseinoghli</t>
  </si>
  <si>
    <t>‏‏‏گریه در نهان نکن ، کسی به فکرِ تو نیست.</t>
  </si>
  <si>
    <t>https://pbs.twimg.com/media/DmVHRrrXoAAUm96.jpg</t>
  </si>
  <si>
    <t>#نمایندگان به تعطیلات تابستانی رفتند! در یکی از حساس ترین برهه های #اقتصادی کشور نمایندگان #مجلس به تعطیلات دوهفته ای آخر تابستان رفتند!</t>
  </si>
  <si>
    <t>O F S G !</t>
  </si>
  <si>
    <t>‏‏‏‏‏‏‏‏رهبر معظم انقلاب: حوزه فضای مجازی به اندازه ی انقلاب اسلامی اهمیت دارد. 🎓Ch.E@sut</t>
  </si>
  <si>
    <t>اون موقعی که حمله شده بود به مجلس،آخه چقدر بی عقلی کردن،چرا جلوشونو گرفتن،والا الان راحت میشدیم😣😣فک کنم به این فکر میکردن که به این #دشمنهای_داخلی بعد میخواهن بگن شهید... ولی خیلی اشتباه کردین نذاشتین برن سربه نیست شون کنن،بعد یکاریش میکردیم از شهید بودن درشون میاوردیم.. #مجلس</t>
  </si>
  <si>
    <t>yasnaa_navaii</t>
  </si>
  <si>
    <t>‏‏‏‏‏‏‏‏من حتی به خودمم اعتراض دارم. به اون چیزی که هست و نباید باشه،اعتراض دارم‎‎‎</t>
  </si>
  <si>
    <t>است آزاد عموم برای ورود</t>
  </si>
  <si>
    <t>رفتن رئیس جمهور به توچال و دایورت کردن مشکلات مردم، به تعطیلات رفتن گاوداری #مجلس در این برهه ی حساس کنونی،کمک های خامنه ای به برادرانش و نادیده گرفتن مردم،همه و همه تقصیر ماست،چون مردمی بی تفاوت وبی بخاربودیم،مطالبه گر نیستیم، خداهم رأس کار بیاد،بااین مردم همینه... #بی_تعارف</t>
  </si>
  <si>
    <t>🌟Ş໐ภ ໐f ¢นrนŞ🌟</t>
  </si>
  <si>
    <t>اینو از من یادگاری داشته باشید #روحانی بره هرکی دیگه بیاد شرایط #اقتصادی چندان فرقی نمیکنه</t>
  </si>
  <si>
    <t>سوال شماره1 آخرین باری که مجلس به توپ بسته شد توسط چه کسی بود؟ (ده نمره) سوال شماره2 آیا کسی پیدا میشه که مجلس دهم شورای اسلامی رو به توپ ببنده؟(ده نمره) #نماینده #مجلس</t>
  </si>
  <si>
    <t>http://khabarfoori.com/detail/570831</t>
  </si>
  <si>
    <t>🔹هیچ مدرسه ای نمی تواند دانش آموزی را اخراج کند 🔻خانواده ها اگر موردی را مشاهده کردند گزارش دهند گفتگوی خبرفوری با سخنگوی کمیسیون آموزش #مجلس را اینجا بخوانید👇</t>
  </si>
  <si>
    <t>‏‏‏‏دانشجوی ارشد مهندسی برق مخابرات زندگی میکنم جوری که وجدانم از خودم راضی باشه *حرف حق رو بزن شاید فردا نباشی*</t>
  </si>
  <si>
    <t>قرار بود دست وزیر روی دکمه فیلترینگ نره قرار بود دانشجوی ستاره دار نداشته باشیم قرار بود سفره های مردم بزرگتر بشه قرار بود به عقب برنگردیم قرار بود بعد از اون ۸ سال ذلت بار که جوونیای خیلی ها رو گرفت امید به زندگی ها برگرده قرار بود و قرار بود ... #روحانی #دولت #دلار #درد</t>
  </si>
  <si>
    <t>Meysam Mehri</t>
  </si>
  <si>
    <t>آقایان خیلی دوست دارند که هی مذاکره کنند،به هم ریختگی اقتصاد قبل از شروع تحریم ها هم به همین دلیل است. #روحاني #مذاکرات_شخصی #تکرار_نمیکنیم</t>
  </si>
  <si>
    <t>الان از تک تک اون 210 #نماینده بپرسی به یک فوریت #شفافیت_آراء_نمایندگان رای دادی؟ میگه آره.</t>
  </si>
  <si>
    <t>از عناوین جهان، نوکری ات ما را بس ... یا مهدی</t>
  </si>
  <si>
    <t>سید سعید</t>
  </si>
  <si>
    <t>محسن</t>
  </si>
  <si>
    <t>http://t.me/rezavahidzadeh</t>
  </si>
  <si>
    <t>‏‏‏‏‏و کسی گفت چنین گفت سفر سنگین است</t>
  </si>
  <si>
    <t>وضعیت جوری شده اگه تا آخر تابستون 80 م جمعیت ایران همگی از گرسنگی بمیرن، باز یه عده بی‌شرم می‌آن می‌گن اگه #رئیسی رئیس‌جمهور شده بود، مردم تا آخر تابستون غیر گرسنگی، به خاطر آپاندیس و برق‌گرفتگی و سقوط از ارتفاع هم می‌مردن، همون بهتر #روحانی رئیس‌جمهور شد؛ وا بدید آقا! وا بدید...</t>
  </si>
  <si>
    <t>محمدرضا وحیدزاده</t>
  </si>
  <si>
    <t>pic.twitter.com/2eZx9XzVFe</t>
  </si>
  <si>
    <t>نمایی از امروز #مجلس با وجور مسکلات فراوان مردم مجلسی ها دو هفته به مرخصی رفتن #تعطیلات_مجلس #تعطیلی_مجلس</t>
  </si>
  <si>
    <t>الدنگ بیا بیرون</t>
  </si>
  <si>
    <t>تاریخ خواهد نوشت که #تکرار_خاتمی مارا به #تکرار تاریخ کشاند... #شفافیت_آراء_مجلس #لیست_امید #روحانی #شورای_شهر</t>
  </si>
  <si>
    <t>pic.twitter.com/D0t9EOxabJ</t>
  </si>
  <si>
    <t>https://twitter.com/Tasnimnews_Fa/status/1036894359394942976</t>
  </si>
  <si>
    <t>ما میگیم خودی ها رو دریابید!خارجی ها نخودین!! نفوذی حرف های خوب خوب میزنه و دم میزنه از حمایت و تولید ایرانی اما...!!) نفوذی دیگه! #روحانی RT @Tasnimnews_Fa: میزبان تولیدکننده #پوشک_بچه در گفتگو با تسنیم: 24 روز است که مواد اولیه ما در #گمرک مانده و هیچ کس هم پاسخگو نیست/ امروز تولیدکنندگان از تحریم‌های داخلی بیش از تحریم‌های خارجی رنج می برند/ بانکها عملاً هیچ تسهیلاتی در اختیار تولیدکننده قرار نمی دهند/ هیچ کمبودی در تولید نداریم</t>
  </si>
  <si>
    <t>قشنگ تر از پریا</t>
  </si>
  <si>
    <t>پرنسس باباش</t>
  </si>
  <si>
    <t>الیویا</t>
  </si>
  <si>
    <t>https://t.me/Nashenastel_bot?start=u43958207</t>
  </si>
  <si>
    <t>A true Madao (MAssugu ikite mo DAinashi na jinsei na Ojiisan: Old man who lives the way he wants but accomplishes nothing) یه پیرمرد الکی خوش</t>
  </si>
  <si>
    <t>درِ این #مجلس که توش حتی #شفاف‌سازی_رای هم تصویب نمیشه رو باید گل گرفت.</t>
  </si>
  <si>
    <t>پسر عموی تناردیه 🏳</t>
  </si>
  <si>
    <t>Helia mahini</t>
  </si>
  <si>
    <t xml:space="preserve"> +4747739287 my phone number. whatsApp.viber.telegram.imo...</t>
  </si>
  <si>
    <t>https://pbs.twimg.com/media/DmVMNcLXcAE2TzD.jpg</t>
  </si>
  <si>
    <t>پول ایران ارز بین المللی شد هر صد تومان معادل ۱۵ دلار ... #به_قبل_۵٧_برمیگردیم #ایران_را_پس_میگیریم #فرقه_تبهکار #براندازم #اعتصابات_سراسری #خامنه‌ای #روحاني #ظریف #روحانی_خفه_شو #ایران_را_پس_میگیریم #قیام</t>
  </si>
  <si>
    <t>👑Matthew Alipour Esfahani👑</t>
  </si>
  <si>
    <t>https://telegram.me/harfbemanbot?start=NDMxNDM5MDI1</t>
  </si>
  <si>
    <t>‏(‏‏‏سایه وخاک) از هر دری سخنی</t>
  </si>
  <si>
    <t>Braavos</t>
  </si>
  <si>
    <t>توجیه دوستان برای شرکت در انتخابات #1400 این دوره از لج #استمرارطلبان و #روحانی به اصولگراها رای میدیم تا بفهمن دیگه بازی نمیخورم :-)</t>
  </si>
  <si>
    <t>tunnel rat</t>
  </si>
  <si>
    <t>https://telegram.me/HarfBeManBot?start=NjQyMjQ5MzY3</t>
  </si>
  <si>
    <t>‏‏‏‏‏‏‏‏‏‏‏‏‏‏‏‏‏‏‏خدا برایم کافیست/ فقط نوشتن ارومم میکنه/‎اتش به اختیار و انقلابی / در این ظلمت شب تو نور باش و بتاب/گه گاهی با نگاهت ‎‎‎‎‎#شعر میبافم</t>
  </si>
  <si>
    <t>در مسیر عشق(خدا)</t>
  </si>
  <si>
    <t>نمیدونم کی #مجلس رو به این اراذل و اوباش کرایه داده🤔</t>
  </si>
  <si>
    <t>https://pbs.twimg.com/media/DmVMxnTWwAAYP78.jpg</t>
  </si>
  <si>
    <t>#شفافیت_آراء_مجلس #دارالمنافقین #مجلس نماینده هایی که نه حاضرند به شفافیت رای بدن نه حاضرند برای تامین کالای اساسی قشر ضعیف قدم بردارند نه میخواهند که با فساد شدیدتر مبارزه شود رو باید به توپ بست اینا نماینده مردم نیستند یه عده مفتخورند مملکت رو به باد میدن</t>
  </si>
  <si>
    <t>‏‏‏‏‏‏‏‏‏‏‏‏‏‏‏‏‏‏‏‏‏‏علایق وتفکرات یک شیمیست کاسب/دانشجو/ اهل زمینومسافر زمان/ عاشق خدا/ آبی دلو💙یونتوسی/ عشق تکواندو/ورودهمه به صفحه من مجازه/مشتی باش/ یاعلی</t>
  </si>
  <si>
    <t>بالاخره دکتررر مطبشم زد😂 #وقت_ندارم #روحانی</t>
  </si>
  <si>
    <t>کیمیاگر ایرانی💙</t>
  </si>
  <si>
    <t>اصلا چه معنی داره مردم بدونن تو #مجلس چی میگذره ؟ مگه سوئیسه ... این طرحای استکباری چیه میاورید مجلس حکومت اسلامی ... زیاد دانستن رعیت به مصلحت نیست . #دارالمنافقین #سیرک_شفافیت #شفافیت_آراء_نمایندگان #شفافیت_آراء_مجلس #ایران</t>
  </si>
  <si>
    <t>http://MazaheriSeyf.ir</t>
  </si>
  <si>
    <t>مدرس حوزه علمیه قم پژوهشگر عرفان و ادیان</t>
  </si>
  <si>
    <t>#مجلس تمام قد در مقابل مفسدان درهم شکست.</t>
  </si>
  <si>
    <t>حمید رضا مظاهری سیف</t>
  </si>
  <si>
    <t>http://instagram.com/l0ckedinsynd</t>
  </si>
  <si>
    <t>شهر یاران بود و خاک مهربانان این دیار/ مهربانی کی سر آمد شهریاران را چه شد</t>
  </si>
  <si>
    <t>https://twitter.com/P_Salahshouri/status/1036873560936079360?s=19</t>
  </si>
  <si>
    <t>وقتی صحبت های #پروانه_سلحشوری را می شنوید، به او نگاه نکنید. به کلیت #مجلس بنگرید. به محیطی که در آن فراکسیون به اصلاح امید، قرار است نقش اکثریت را بازی کند. در عمل اما کنار می نشیند که همین هشت دقیقه هم با آرامش سپری نشود. RT @P_Salahshouri: #نطق امروز من به مذاق تعدادی از #نمایندگان خوش نیامد و باادبیاتی تند برخورد کردند. امروز با اتکا به خداوند و براساس مسئولیتی که بر دوشم است، واقعیت‌های جامعه را بیان نمودم. راه برون رفت از وضعیت فعلی را “برگزاری #همه‌پرسی” دانسته و عنوان نمودم. نطق کامل در کانال تلگرام است</t>
  </si>
  <si>
    <t>Mohsen Zare</t>
  </si>
  <si>
    <t>https://pbs.twimg.com/media/DmVN2fTX0AE_MqQ.jpg</t>
  </si>
  <si>
    <t>رئیس دفتر رئیس‌جمهوری از سفر حسن #روحانی به نیویورک برای شرکت در مجمع عمومی سازمان ملل متحد در هفته اول مهرماه خبر داد.</t>
  </si>
  <si>
    <t>دانش جو ...</t>
  </si>
  <si>
    <t>یه طوری #مجلس مجلس میکنن انگار مردم اینارو گذاشتن اونجا تایید شده های #شورای_نگهبان و پیروان هشتگ #آقا_خوشش_بیاید ن دیگه</t>
  </si>
  <si>
    <t>Ho3ein.Z</t>
  </si>
  <si>
    <t>‏‏‏‏‏‏‏‏‏‏🌷‏‏‏‏‏‏‏آن زمان كه بنهادم سر به پای آزادی⚘ 🌷‏دست خود ز جان شستم از برای آزادی⚘✌ 🚫ورود ممنوع نیست اما رعایت ادب الزامیست🚫 آنفالویاب_ فالوبک</t>
  </si>
  <si>
    <t>California, USA🌹</t>
  </si>
  <si>
    <t>https://pbs.twimg.com/media/DmVOtkTW4AYRVz8.jpg</t>
  </si>
  <si>
    <t>🔴دو هفته تعطیلات تابستانی برای مجلسی که ۳۰ میلیون تومان در دقیقه برای ملت هزینه دارد..! در شرایط حساس کشور و فشارهای شدید اقتصادی و اجتماعی به مردم به خاطر «کله‌شقی»های علی خامنه‌ای و سپاه، #مجلس به اصطلاح #شورا به مدت دو هفته برای #تعطیلات_تابستانی تعطیل شد!</t>
  </si>
  <si>
    <t>ناصرخان</t>
  </si>
  <si>
    <t>یک موجود جوان که بدون هیچ تقصیری در دنیایی عوضی رشد کرده است.</t>
  </si>
  <si>
    <t>یعنی نه تنها #شفافیت و تصویب نکردن بلکه دو هفتم رفتن تعطیلات تو این وضعیت برگاااااام پاشیم بریم بابا 🚶🏻‍♂️🚶🏻‍♂️🏃🏻‍♂️🏃🏻‍♂️ #مجلس</t>
  </si>
  <si>
    <t>آرمانگرای ردّی</t>
  </si>
  <si>
    <t>Journalist...FarsNewsAgency خبرگزاري فارس، دبیر سرویس امنیتی و دفاعی</t>
  </si>
  <si>
    <t>https://pbs.twimg.com/media/DmVO-bnXgAEvmPm.jpg</t>
  </si>
  <si>
    <t>🔴کُد اطلاعاتی #رهبری از #کاخ_سفید: «آن روزی که #اوباما موفّق شد تلفنی با آقای دکتر #روحانی صحبت بکند، اینها آنجا جشن گرفتند که خبرش بعداً رسید به ما از طُرُقی!» [دیدار با هیات دولت 97/6/7]</t>
  </si>
  <si>
    <t>Mahdi Bakhtiari</t>
  </si>
  <si>
    <t>‏‏‏اسلامی که به عدالت نرسد،کفری است که لباس توحید بر تن کرده است(سلمان کدیور)</t>
  </si>
  <si>
    <t>KASHAN</t>
  </si>
  <si>
    <t>#روحانی چقدر زود دیر شد! #روحانی_مچکریم 😭</t>
  </si>
  <si>
    <t>عباس ضیغم</t>
  </si>
  <si>
    <t>يه جمله معروف هست كه ميگه اگر حتي گاو هم باشي و تو جاي درستي باشي، ميپرستنت؛ جريان #ايران_خودرو و #سايپا هم دقيقا همينه #روحانی #روحانی_مچکریم #به_عقب_برنمیگردیم #دزد #نالایق</t>
  </si>
  <si>
    <t>دانشجوی دکترای اقتصاد بین الملل. مدرس اقتصاد، آمار، ریاضی و اقتصادسنجی دانشگاه قم علاقمند به تاریخ، شعر، رمان، فلسفه علم و کلام. با قابلیت توصیه های مطالعاتی</t>
  </si>
  <si>
    <t>اگه بخام با ادبیات میشل فوکو حالمو بیان کنم باید بگم: نمیدانم که را میخاهم اما میدانم #روحانی و #جهانگیری را نمیخواهم...</t>
  </si>
  <si>
    <t>دیگر چه اتفاقی باید بیافتد که فرد نالایق را استیضاح کنید؟! مگر راه‌کار #استیضاح برای زمان‌های بحرانی مثل امروز طراحی نشده؟! چرا به مردم طوری القاء می‌کنید که گویی در #بن‌بست گرفتار شده‌اند؟! ای مردم! درد امروز مملکت رعایت نشدن #قانون است.</t>
  </si>
  <si>
    <t>https://t.me/rasuyab</t>
  </si>
  <si>
    <t>دست به دست هم تا قله پیروزی....</t>
  </si>
  <si>
    <t>قلب شما</t>
  </si>
  <si>
    <t>https://pbs.twimg.com/media/DmVPZJXXsAA9XCP.jpg</t>
  </si>
  <si>
    <t>چهره پریشان،دمغ،افسرده،مستأصل،بی حال و... #روحانی امروز در جلسه هیأت دولت من رو یاد فلاکت کل نظام انداخت... وضعیت خیلی گویاست. تمامیت #جمهوری_اسلامی در بن بست است و هیچ سدی در برابر #براندازی نیست. ما سوگند خوردیم،ایران رو نجات می دیم. #تظاهرات_سراسرى</t>
  </si>
  <si>
    <t>راسویاب</t>
  </si>
  <si>
    <t>http://www.rezayousefi.com</t>
  </si>
  <si>
    <t>Photographer &amp; Documentary ................ دانش آموخته ى روزگار</t>
  </si>
  <si>
    <t>مملکت دست کیه؟ #رهبری گلایه داره، #رئیس‌مجلس‌خبرگان انتقاد داره، #رئیس‌مجلس محکوم میکنه، #رئیس‌قوه‌قضائیه خواهان پیگیری هستند، #رئیس‌جمهور اعلان میکنند که لیست میدهند که چه کسانی اختلال گرند؛ لامصبا از قدیم میگفتند مملکت رو #امام‌زمان داره اداره میکنه ما باور نمیکردیم #پروردگار</t>
  </si>
  <si>
    <t>Reza Yousefi</t>
  </si>
  <si>
    <t>((Daylit=Daylight)) Eating dark chocolate🍫 Master of Management. A lover of Islam, nature &amp; photography. On time⌚</t>
  </si>
  <si>
    <t>دلار 14 هزاری... 4 درصدی ها که هیچی. قشر متوسط هم فعلا خرید نمی کنه. ولی خدا به داد اون قشر ضعیفی برسه که... از مردم #نجیب ایران خجالت بکشید. #دولت #مجلس #احتکارگر #رانت_خور #دلال_ارز</t>
  </si>
  <si>
    <t>🏵️🐝Daylit_</t>
  </si>
  <si>
    <t>‏‏آقازاده نیستم، کوچک زاده‌ام | سرباز کوچک ِ سید علی</t>
  </si>
  <si>
    <t>https://pbs.twimg.com/media/DmVQ-5sW0AE7S0Z.jpg</t>
  </si>
  <si>
    <t>مخالفت رهبر معظم انقلاب با #استعفاء دولت، کمترین دلیلش جلوگیری از فرار دکتر از پاسخگویی به مردم و مظلوم نمایی رسانه ای، ذیل افکار عمومی است! #استیضاح ، عزل و ورود قوه قضائیه اما مسئله دیگری است ...! #فرجام_غربگرایی</t>
  </si>
  <si>
    <t>عبدالرضا یعقوبی</t>
  </si>
  <si>
    <t>https://pbs.twimg.com/media/DmUmvfcX4AEurCZ.jpg</t>
  </si>
  <si>
    <t>https://twitter.com/Tasnimnews_Fa/status/1037277895150981121</t>
  </si>
  <si>
    <t>#قالیباف وارد می‌شود. آیا تندروها قصد دارند قالیباف را معاون اول کنند؟ آیا سرنگونی دولت حسن #روحانی نزدیک است؟ RT @Tasnimnews_Fa: #قالیباف:#مشکلات_کشور راه‌حل‌های سه ماهه دارد نه سه ساله/این شعار «پوشک،موشک» یک #جنگ_روانی است که بگویند مردم اینها پول برای #موشک دیگران را دارند اما برای #پوشک کودکان شما ندارند/هر چالشی که امروز در کشور داریم در حوزه کارکردهاست و ربطی به #آرمان‌های_انقلاب ندارد</t>
  </si>
  <si>
    <t>https://www.instagram.com/r.u.islamic_com/</t>
  </si>
  <si>
    <t>‏‏سرباز جنگ نرم</t>
  </si>
  <si>
    <t>#مجلس به طرح #شفافیت_آراء_نمایندگان رأی نداد، بنابراین مجلس شورای اسلامی از #خانه_ملت به #دار_المنافقین تغییر نام داد.</t>
  </si>
  <si>
    <t>یادتان هست که #احمدي_نژاد می گفت #مجلس در راس امور نیست! حالا بخورید! اصلا دکتر عزیز چی را اشتباه گفت؟ عزیزان باصطلاح حزب اللهی و مخالف دکتر،بیدار شوید و سحر ساحران را باطل کنید! 👈خبر: مجلس با یک فوریت طرح «شفافیت آرای نمایندگان» و طرح تشدید مبارزه با مفاسد اقتصادی مخالفت کردن!</t>
  </si>
  <si>
    <t>https://pbs.twimg.com/media/DmVR-bOW4AEkLj0.jpg</t>
  </si>
  <si>
    <t>در یکی از حساس ترین برهه های اقتصادی کشور نمایندگان مجلس به تعطیلات دوهفته ای آخر تابستان رفتند. فقط خواهشا از امروز به بعد دیگه حرف از دغدغه مشکلات مردم نزنین #مجلس #تعطیلات #دغدغه #مردم #نیست</t>
  </si>
  <si>
    <t>#روحانی تبدیل به احمدی‌نژادِ اصلاح‌طلبان شده یه زمانی #اصولگرایان و رهبرفرزانه‌‌شان تمام قد از #احمدی‌نژاد حمایت کردن و بعدها دردسرشان شد؛ حالا همین وضعیتو اصلاح‌طلبا نسبت به روحانی دارن! جالبه! اونایی که احمدی‌نژادرو توی سر رقیب میزدن،حالا نمیدونن با احمدی‌نژاد خودشون چکار کنن!</t>
  </si>
  <si>
    <t>https://twitter.com/rezarashidpour/status/1037060149544972288</t>
  </si>
  <si>
    <t>چرا دلیلش اینه #تکرار کردید این جمله را #روحانی دوست داریم روحانی دوست داریم بود😐 RT @rezarashidpour: در شگفتم من نمی‌پاشد زهم دنیا چرا</t>
  </si>
  <si>
    <t>‏‏‏‏‏‏‏‏‏‏‏‏‏‏آنچه باور است محبت است و انچه نیست ظروف تهی ست</t>
  </si>
  <si>
    <t>خر #روحانی از پل انتخاب دور دوم گذشت دیگه کاری با #ملت نداره این شتریست که در مرحله دوم در خونه #ملت_ایران میخوابه!!!</t>
  </si>
  <si>
    <t>عرق سرد..</t>
  </si>
  <si>
    <t>‏حقوق خوانده</t>
  </si>
  <si>
    <t>به چهره های مردم که نگاه میکنم یه جماعت مسخ شده ایی رو میبینم که انگار محکومند به زندگی نه شور و نشاطی برای ادامه ی زندگی نه امیدی برای روزای بهتر این حال امروز مردم نتیجه ی سوء مدیریت شما و امثال شماست آقای #روحانی</t>
  </si>
  <si>
    <t>23 میلیون ایرانی عزیز به آقای #روحانی رای دادند از ترس اینکه دلار 5 تومن نشه شد 15 تومن😬 خداقوت میگم به همشون. خیلی مخلصیم</t>
  </si>
  <si>
    <t>http://www.victoriaazad.com</t>
  </si>
  <si>
    <t>Adjunct Faculty Member to the GU University, Institute for leadership and organisation</t>
  </si>
  <si>
    <t>https://www.facebook.com/victoria.azad/videos/10217086864193435/</t>
  </si>
  <si>
    <t>#Repost from @roshangar_azad. #روحانی گفته: آرزوی بازگشت به قبل از ۵۷ را به گور میبرند. ۱-روحانی میدونه مردم آرزوشونه به قبل از ۵۷ برگردن ۲-روحانی میدونه دیگه شانسی برای بقا ندارن ۳-روحانی میدونه قبل از ۵۷...</t>
  </si>
  <si>
    <t>Victoria Azad</t>
  </si>
  <si>
    <t>رنگ #بنفش نماد انتخاباتی دکتر #روحانی چند صباحیست که #قهوه‌ای شده...</t>
  </si>
  <si>
    <t>امام خمینی چی تو ما دید که امیدش به ما دبستانی ها بود؟ سیب زمینی از ما بیشتر رگ داره #دلار #روحانی #مجلس</t>
  </si>
  <si>
    <t>‏‏ حقوق</t>
  </si>
  <si>
    <t>https://pbs.twimg.com/media/DmVT1LCXsAA1-pr.jpg</t>
  </si>
  <si>
    <t>۱۶۰&lt;59 مجلس با ۵۹ رأی #موافق، ۱۰۸ رأی #مخالف و ۵ رأی #ممتنع در جلسه امروز، با طرح #شفافیت_آرای_نمایندگان مخالفت کرد . ۱۶۰ #نماینده حمایت خود از این طرح را اعلام کرده بودند مخالفت با طرح #شفاف_سازی ، خود سند فساد در مجلس است . آیا چنین مجلسی نباید #منحل شده به #توپ ‌بسته شود ؟!</t>
  </si>
  <si>
    <t>https://twitter.com/amire_tanha/status/1037283172076204032</t>
  </si>
  <si>
    <t>تعطیلی یا فعالیت #مجلس خیلی فرقی هم نمیکنه. بلکه کمی صرفه جویی بشه! RT @amire_tanha: 🔴در یکی از حساسترین برهه‌های #اقتصادی کشور نمایندگان #مجلس به تعطیلات دوهفته ای آخر تابستان رفتن ⭕️ یعنی بمیرن یه شرکت چسکی داریم بخاطر اینکه مشکل نخوریم یه روز تعطیل نداریم اینا #مملکت رو کلا به زانوی چپشون گرفتن براشون هیچی مهم نیست جز خودشون</t>
  </si>
  <si>
    <t>فک کنم اونایی که ایام انتخابات فرت فرت پستای تبلیغاتی #امیر_مهدی_ژوله برای #روحانی رو لایک میکردن الان گرمن حالیشون نیست همون ژوله چه ها بارشون کرده! اگه شما میشناسیدشون در انجام فیزیوتراپی روحی کمکشون کنید!</t>
  </si>
  <si>
    <t>pic.twitter.com/Yi0wiB9Sva</t>
  </si>
  <si>
    <t>🔴 رئیس دفتر #روحانی حرف های فسیل نظام را بی پایه و اساس خواند 👈واعظی سخنان دیروز #جنتی را که گفته بود عده ای برای مذاکره با #ترامپ به #نیویورک می روند، رد کرده و آن را بی پایه و اساس خواند. #چالش_دعوت_به_تظاهرات_سراسری</t>
  </si>
  <si>
    <t>بی پروا باش زندگی با توست!</t>
  </si>
  <si>
    <t>یعنی دولت و حکومت هیچ کاری نمی خوان انجام بدهند واسه این نابسامانی ارز و طلا؟!#ارز #طلا #دلار #تورم #روحانی #حکومت</t>
  </si>
  <si>
    <t>Peym@N</t>
  </si>
  <si>
    <t>یکی میگفت اگر دستگاه قضایی یک کشور درست باشه هیچوقت #فساد به وجود نمیاد. ولی من معتقدم اگر #مجلس کشور ما در طی این سالها کارآمد بود هیچوقت #فساد وجود نداشت #مجلس_ناکارآمد #تعطیلات_خوش_بگذره</t>
  </si>
  <si>
    <t>کنجکاو، نرم افزار تهران</t>
  </si>
  <si>
    <t>برای این #مجلس شیاخوفی لازم است. باید ترس را بر نمایندگان تحمیل کرد. حداقل ترس از رای دوره بعد را باید داشته باشن. اینقدر از هفت دولت آزاد. اینقدر ترسو. این مشت نمونه‌ی «خر وارِ»؟ #شفافیت_آراء_نمایندگان #شفافیت_آراء_مجلس RT @IRNA_1313: در حالی که دقایقی پیش نمایندگان مجلس با یک فوریت طرح «#شفافیت_آرای_نمایندگان» مخالفت کردند این طرح از موضوعات مورد پیگیری کاربران در شبکه‌های اجتماعی بود مجلس با ۵۹ رأی موافق، ۱۰۸ رأی مخالف و ۵ رأی ممتنع از مجموع ۱۹۴ نماینده حاضر در جلسه با این طرح مخالفت کرد #ایرناداده</t>
  </si>
  <si>
    <t>Reza Shekarchian</t>
  </si>
  <si>
    <t>‏‏‏‏‏شیعه و کرد و ایرانیّم و گویم فاش تا بدانی که به چندین هنر آراسته ام//// قابل توجه نهادهاو...: هرکس اینجا هرچی بنویسه من هیچ مسولیتی ندارم به خودش مربوطه</t>
  </si>
  <si>
    <t>یکی از اونایی که به #روحانی رای داده و #باروحانی_تا_۱۴۰۰ گفته لطفا بگه چه اتفاقی نیفتاده که اگر #رییسی یا #قالیباف رییس جمهور میشدن اتفاق می افتاد؟</t>
  </si>
  <si>
    <t>محمدِ حسن</t>
  </si>
  <si>
    <t>I am only a nameless soul, Heading into a pure, black void</t>
  </si>
  <si>
    <t>بین خواب و بیداری</t>
  </si>
  <si>
    <t>میخواستیم وضع بد تر نشه بد ترین شد #دلار #دلار۱۵۰۰۰تومانی #روحانی</t>
  </si>
  <si>
    <t>دانی دارکو</t>
  </si>
  <si>
    <t>https://pbs.twimg.com/media/DmVWadUV4AAs6N1.jpg</t>
  </si>
  <si>
    <t>https://www.ilna.ir/fa/tiny/news-665370</t>
  </si>
  <si>
    <t>گزارش ایلنا از پشت پرده سخنرانی رئیس‌جمهور در بهارستان؛ شب پیش از سخنرانی #روحانی در #مجلس چه پیامی بین رهبری و #رئیس‌جمهور ردوبدل شد/ عبور ولایتمداران از ولایت</t>
  </si>
  <si>
    <t>🤔🤔🤔</t>
  </si>
  <si>
    <t>#مجلس طرح تشدید مبارزه با مفاسد اقتصادی' را از دستور خارج کرد.#نمایندگان مجلس طرح تشدید مبارزه با #مفاسد_اقتصادی را امروز با رای خود، از دستور کار مجلس خارج کردند.گزارش شده که نمایندگان با فوریت بررسی طرح "شفافیت رأی نمایندگان" هم مخالفت کردند. ما خيلي خوبيم</t>
  </si>
  <si>
    <t>sina</t>
  </si>
  <si>
    <t>http://www.iribnews.ir/fa/news/2220969</t>
  </si>
  <si>
    <t>#ایران #تهران #فوری #بازار #دلار #روحانی :لاکن درراستای تحقق مطالبات #دولت #اختلاس #فساد اهل بیت ال عبا #رهبر_انقلاب وشرکالذا با عنایات ضامن اهو کرامات #مشهد این #رهبرفرزانه در 5ماه در مجموع 17 هزار و 996 پرونده تخلف #ارزی رسیدگی و مختومه شده است</t>
  </si>
  <si>
    <t>Economist . Architect interior designer.</t>
  </si>
  <si>
    <t>Iran.</t>
  </si>
  <si>
    <t>https://pbs.twimg.com/media/DmVXh4sXoAEptFr.jpg</t>
  </si>
  <si>
    <t>شرایط قراره کی عوض بشه تا کی استرس و ناامیدی و سختی؟ چرا مسئولان دلشون واسه مردم و مملکت نمی سوزه؟ باید واسه کمک به کشور و مردم چه کرد؟! #روحانی #ایران #دلار #دولت</t>
  </si>
  <si>
    <t>Tannaz Mahmoudi</t>
  </si>
  <si>
    <t>کار درست رو نماینده‌های #مجلس کردن که رفتند تعطیلات! تو زندگیتون اینجوری باشید، در حساسترین مقاطع شغلیتون هم دست از خوش گذرونی و تفریحتون بر ندارید آدم مگه چند سال زنده است که به فکر استراحتش نباشه؟</t>
  </si>
  <si>
    <t>یادتونه که #روحانی یه زمانی گفت «به والله سالهای ۸۴ تا ۹۲ تکرار نخواهد شد»؟ خب امروز هم گفت به قبل ۵۷ برنمیگردیم - من دیگه حرفی ندارم:)</t>
  </si>
  <si>
    <t>نمایندگان #مجلس به مدت ۱۷ روز به #تعطیلات_تابستانی رفتند.(تا اول مهر) دولت محترم هم ۳۵ روز است که #سخنگو ندارد. انگار نه انگار که وسط #جنگ_اقتصادی با دشمن هستیم. چند روز پیش رهبر انقلاب فرمودند: #مسئولان_شب_و_روز_نشناسند.</t>
  </si>
  <si>
    <t>mechanical engineering Graduated from Mahdism</t>
  </si>
  <si>
    <t>https://pbs.twimg.com/media/DmVX58BXsAA5si4.jpg</t>
  </si>
  <si>
    <t>((طرح "تشدید مبارزه با مفاسد اقتصادی"، امروز با رای نمایندگان، از دستور کار مجلس خارج شد. نمایندگان #مجلس با فوریت بررسی طرح "شفافیت رأی نمایندگان" هم مخالفت کردند.)) بسمه تعالی بنویسید #خانه_ملت بخوانید #دارالمنافقین #شفافیت_آراء_مجلس #شفافیت_آراء_نمایندگان</t>
  </si>
  <si>
    <t>محسن غفوری</t>
  </si>
  <si>
    <t>روی کاندید شدن احتمالی #جان_کری درانتخابات آینده آمریکا،خیلی مانور داده میشود.ازهمه طرف. نکنه این خوشحالی ظریفیست برای اینکه ما قرارست اگر مثلامذاکره ای باشد،امروز را کِش بدهیم تا اوی مدافع #برجام،رییس جمهور شود؟نکندحضرات؟نکند آقای #روحانی؟مملکت با این وضعیت فعلی،تاب نمی آوردها!</t>
  </si>
  <si>
    <t>https://pbs.twimg.com/media/DmVZSLuW4AEeAv1.jpg</t>
  </si>
  <si>
    <t>#پراید #سایپا #ایران_خودرو #ماشین #خودرو #دلار #ارز #دولت #رئیس_جمهور #حسن_روحانی #مجلس #ملت #مردم خیلی دوست دارم فحش بدم اما شعورم اجازه نمیده</t>
  </si>
  <si>
    <t>Sonqor</t>
  </si>
  <si>
    <t>#شفافیت به یک نفر #لیاخوف جهت به توپ بستن #دارالمنافقین نیازمندیم مگر در #مجلس کاری جز امور مردم انجام میشود که نماینده ها از شفافیت میترسن</t>
  </si>
  <si>
    <t>Rafiee.rahman</t>
  </si>
  <si>
    <t>https://pbs.twimg.com/media/DmVaFvDXcAAKCQA.jpg</t>
  </si>
  <si>
    <t>آقای #روحانی وقتی در جهش‌های ارزی، حرفی نمی‌زنید و کاری نمی‌کنید، مردم احساس می کنند رهاشده اند، به همین دلیل است که به بازار هجوم می‌برند اگرکاری از دستتان بر نمی آید، چرا استعفا نمی‌دهید؟ مانده‌اید تا زجرکش شدن مردم را تماشاکنید؟!</t>
  </si>
  <si>
    <t>ترامپ میگه الله و بالله با #روحانی باید حرف بزنم، بگید بیاد شورای امنیت. روحانی میخواد بره سازمان ملل، فکر کنم #ترامپ دم در سازمان خفتش کنه!!! جدی میگم.</t>
  </si>
  <si>
    <t>‏عبدالمطهر محمدخانی؛ ‏دوست دارم: خبرنگار، انقلابی، عدالت‌خواه و مردم‌گرا باشم. امروز خبرگزاری فارس، فردا را نمی‌دانم</t>
  </si>
  <si>
    <t>رکورد تاریخی #مجلس_دهم در ۳ روز: ⁩۱.ارسال #سوال_از_رییس‌جمهور به قوه‌قضا: منتفی ‌ ⁦⁩۲.طرح ممنوعیت انتصاب #مدیران_دو_تابعیتی: مخالفت ‌ ⁦⁩۳. طرح تشدید مبارزه با #مفاسد_اقتصادی: از دستور کار خارج ‌ ۴‌. فوریت طرح #شفافیت_آراء: مخالفت ‌ ۵. دوفوریت طرح #توزیع_کالاهای_اساسی: مردود</t>
  </si>
  <si>
    <t>مطهر</t>
  </si>
  <si>
    <t>رای نیاوردن طرح #شفافیت_آراء_مجلس در #دارالمنافقین غم انگیزتراز انتخاب #روحانی بود</t>
  </si>
  <si>
    <t>https://pbs.twimg.com/media/DmVa7nDWsAEZE3f.jpg</t>
  </si>
  <si>
    <t>#مجلس شورای اسلامی کجاست؟ جایی که۸۸ نماینده اون یک شبِ به این نتیجه میرسند (یا میرسوننشون) که شاید شفافیت رای خیلی هم خوب نباشه!</t>
  </si>
  <si>
    <t>https://www.ilna.ir/fa/tiny/news-665316</t>
  </si>
  <si>
    <t>#ایران #تهران #مهم #فوری #پوشک_بچه #روحانی درروایات #عسگراولادی از #بازار اهل بیت ال عبا #رهبر_انقلاب وشرکا امده است انبارهای #احتکار کشف شده متعلق به #دولت #اختلاس شرکت‌های #فساد این #رهبرفرزانه نیست #کذب است</t>
  </si>
  <si>
    <t>بات شماره 5255717 هستم!</t>
  </si>
  <si>
    <t>بعد از شعار "#دلار 10 تومنی نمیخوایم نمیخوایم"، #روحانی دلار را 15 تومن کرد! الان دیگه کسی اعتراض نداره! #دلار۱۵۰۰۰تومانی</t>
  </si>
  <si>
    <t>واقعا لذت بردم از جلسه امروز #مجلس چقدر نمایندگان خوبی داریم همه چیز شون شفافه خدا شما رو بیشتر کنه مجلس آباد بشه #شفافیت_آراء_مجلس #دیبی</t>
  </si>
  <si>
    <t>An-Cap ⬛️🔶 Every decent man is ashamed of the government he lives under. H.L.Mencken</t>
  </si>
  <si>
    <t>&gt;نمیذارن روحانی کاری کنه، وگرنه خودش میخواد. تا "اون" بالایی اجازه نده نمیشه... &amp;gt;رای بدید تا وضعمون بدتر نشه #روحانی نمیذاره وضع بدتر شه. برهان سبز مایل به بنفش</t>
  </si>
  <si>
    <t>سیکتوریا وکرت</t>
  </si>
  <si>
    <t>https://twitter.com/ariya_love777/status/1037084484506505216</t>
  </si>
  <si>
    <t>به اینا حرجی نیست! این توله‌ها و آبائشون الان دارن پول رو پول میزارن و گند میزنن به اقتصاد کشور! باید به اون #قشر_خاکستری فهموند که با تحریک شکم و زیرشکم و جیبش وترس از دلار ۱۰۰۰۰ تومنی توسط این رقاصه‌ها به #روحانی رای داد! RT @ariya_love777: ببینید چطوری تبلیغ #روحانی رو میکردن، مریان و متینا رادپور دختران #مهدی_رادپور مالک هلدینگ نفت و گاز یکی ازمدیران رانت خوار دولت روحانی... روحانی آینده این سرزمین را روشن کن__روحانی فکری به حال روز ایران من کن😭😭</t>
  </si>
  <si>
    <t>خیلی خوبه نماینده ها دارن میرن تعطیلات چون این مدت پوشک نداریم بذار برن خونه هاشون اینقد به ملت و خانه ملت نرینن #مجلس #تعطیلات_تابستانی</t>
  </si>
  <si>
    <t>لطفا🙏🏼⛔️ عرزشی ⛔️مجاهد/ اعتراض دارم هم به اینا هم به اونا</t>
  </si>
  <si>
    <t>یه وری</t>
  </si>
  <si>
    <t>وقتش رسیده وعده های جناب بنفش رو مرور کنیم یا زوده هنوز؟ یا استبداد سبز و بنفش هنوز جا داره واسه فشار روی ملت؟ #دلار #دلار١٥٠٠٠تومانى #روحانی</t>
  </si>
  <si>
    <t>سرســرالــملوک 🏳️</t>
  </si>
  <si>
    <t>خبری خوش در راه هست</t>
  </si>
  <si>
    <t>https://pbs.twimg.com/media/DmVdMgqXcAEI_48.jpg</t>
  </si>
  <si>
    <t>#رهبری یکسری #حکم_حکومتی بدن، ساختار اجرایی کشور به حالت #نخست_وزیری برگرده و وزارت خانه های #دولت توسط #مجلس قانون گذار اداره بشن. #سپاه و #ارتش ادغام شن در یک #نظام. #خبرگان وکلا و قضاتی باشن که عدالت خانه #قضاییه را بگردانند. #شورای_نگهبان ترکیب دولت و خبرگان و نظام. نظر #شما</t>
  </si>
  <si>
    <t>خبردان</t>
  </si>
  <si>
    <t>https://pbs.twimg.com/media/DmVdq7DW4AE4yKs.jpg</t>
  </si>
  <si>
    <t>و سرانجام پس از عدم رأی مثبت به طرح #شفافیت_آراء_نمایندگان و پرواز زیبا وحیرت آور دلار به بیش از ۱۴۰۰۰تومن و در این برهه حساس اقتصادی نمایندگان شریف #مجلس! در اقدامی سنجیده و عاقلانه! از امروز به مدت ۲هفته به «تعطیلات تابستانی»رفتند!! جانم به این نماینده ها کف وسوت وجیغ وهورااا</t>
  </si>
  <si>
    <t>http://www.hosseindanai.com/</t>
  </si>
  <si>
    <t>مهندس مکانیک. آلوده‌ی سیاست. دوست هنر و ادبیات. Arts &amp; Culture Technology &amp; Science News Music. http://t.me/Hossein_Danai</t>
  </si>
  <si>
    <t>Norge</t>
  </si>
  <si>
    <t>🔻محمود واعظی رئیس دفتر #رئیس_جمهور : "از مردم انتظار داریم که در حد نیاز خود خرید کنند، از طرف دیگر از همه تجار و کسبه نیز انتظار داریم که انصاف را در قیمت ها رعایت کنند البته تغزیرات نیز وظیفه دارد با متخلفان برخورد کند". 🔻از #اقتصادی_مقاومتی رسیده‌اند به #اقتصاد_انتظاراتی❗️</t>
  </si>
  <si>
    <t>حسین دانائی H Danai</t>
  </si>
  <si>
    <t>https://www.ilna.ir/fa/tiny/news-665145</t>
  </si>
  <si>
    <t>#ایران #تهران #مهم #فوری #روحانی درروایات از اهل بیت ال عبا #رهبر_انقلاب وشرکا امده است 5 عضو از سربازان گمنام #دولت #اختلاس #فساد شورای شهر این #رهبرفرزانه در #بابل #مازندران به دلیل تخلفات اقتصادی بازداشت شده اند</t>
  </si>
  <si>
    <t>رفتم دکه ی روزنامه فروشی ... اومدم توییتر و تلگرامو اینستا ... تلویزیونو رادیو رو روشن کردم ...هیشکی از من چیزی نمیگفت , خدارو شکر کردم.</t>
  </si>
  <si>
    <t>مجلسی ها دارن میرن تعطیلاتِ تابستانی. بیاید همه پول بذاریم #استخرِ_فرح رو رزرو کنیم براشون برن یه کم آبتنی کنن ... شاید بعدش یه کم دلِ ما هم خنک شد ... #مجلس</t>
  </si>
  <si>
    <t>اَعلا پَس رَفت</t>
  </si>
  <si>
    <t>وقت برای برداشتن روسری #دختران_انقلاب از حصر بسته تراول 50 هزار تومانی ارسال میشود حتما جهت فریاد #رفع_حصر برای دختران #مجلس یک بسته هزار #دلاری ارسال شده و الا گلو به آن گشادی دراین اوضاع وخیم مردم ! حتما قیمت خودش را دارد #خانم_وقیح #سلحشوری #مردم #گرانی</t>
  </si>
  <si>
    <t>Concerned About Human Rights, Politics and World Affairs, Social Media Enthusiast</t>
  </si>
  <si>
    <t>خوبیش اینه وقتی #روحانی میگه نگران دلار نباشیم میتونیم قبول کنیم و واقعا نگران نباشیم -پوریا استرکی</t>
  </si>
  <si>
    <t>A Guy Has No Name</t>
  </si>
  <si>
    <t>https://pbs.twimg.com/media/DmVeUizXoAIUIG5.jpg</t>
  </si>
  <si>
    <t>#خاتمی : #تکرار_میکنم عمو جون #روحانی آدم خوبیه ببین #ژوله داره ازش حمایت میکنه ، سلبریتی ها دوس دارنش بچه : خر خودتی عموجون #خرخودتی_تکرارمیکنم_خرخودتی</t>
  </si>
  <si>
    <t>‏‏‏‏‏‏‏‏خداقبول کنه انقلابی،کمی تا قسمتی شاعر،سیاسی ام اما سیاست زده نیستم!</t>
  </si>
  <si>
    <t>پایتخت کلمپه و قوتو جهان</t>
  </si>
  <si>
    <t>کاش رئیس جمهور اونایی که به #روحانی رای دادن روحانی،و اونایی که به رئیسی رای دادن رئیسی بود! ولی حیف، چوب نفهمیشون رو ما باید بخوریم!</t>
  </si>
  <si>
    <t>م.مهدی بوستان</t>
  </si>
  <si>
    <t>‏‏‏🎓📚 دانشجوی مدیریت دولتی علامه طباطبائی / کمی هم:✒️🎬</t>
  </si>
  <si>
    <t>حالا درسته #روحانی رئیس جمهوره ولی عوضش #جلیلی گفتمان داره! :)))</t>
  </si>
  <si>
    <t>مهدی_جی اچ</t>
  </si>
  <si>
    <t>جای آخوند تو همون قُمه !!! نه مدیریت کشور !!! یه روضه خون تا مسئولیت کشور رو به عهده داشته باشه وضع هیچ تغییری نمیکنه ! #روحانی #رهبر #اقتصادی #برانداز #ری_استارت #به_قبل_۵٧_برمیگردیم #ريتوييت_لطفا</t>
  </si>
  <si>
    <t>https://pbs.twimg.com/media/DmVfKrZXcAI8jcx.jpg</t>
  </si>
  <si>
    <t>نمایندگان مجلس با ۵۹ رأی موافق، ۱۰۸ رأی مخالف و ۵ رأی ممتنع با طرح "شفافیت آرای نمایندگان" مخالفت کردند!! #مجلس یا #دارالمنافقین</t>
  </si>
  <si>
    <t>قبل از رای گیری 200 #نماینده موافق طرح #شفافیت_آراء_مجلس بودن. امروز که رای گیری شد 108 مخالف 59 تا موافق 5 رای ممتنع و 22 نفرم که اصلا شرکت نکردن... به یه مشت #دروغگو رای دادیم. چرا از #شفافیت میترسید؟ جالبه این طرح یک فوریتی بود یعنی حالا حالا ها رفت قاطی باقالیا...</t>
  </si>
  <si>
    <t>سه اقدام عجیب مجلس امروز: ۱/با فوریت طرح《شفافیت آرا》مخالفت کردنددرحالی که ۱۶۰نماینده پیش تر باامضای این طرح در رسانه ها موافق کرده بودند! ۲/تصمیم بعدی؛رد دوفوریتی تامین کالای اساسی بود‌! ۳/طرح تشدید مبارزه با مفاسداقتصادی بموجب مغایرت با اصل ۷۵ ازدستورکار خارج شد! #مجلس</t>
  </si>
  <si>
    <t>‏‏‏‏‏پسر،همسر،برادر،دوست</t>
  </si>
  <si>
    <t>یعنی الان فانتزی ترین آرزوم اینکه صب از خواب بیدار بشم یا خبر فوری بیاد روی گوشیم، بیینم که #خامنه ای بگه گه خوردم... دیگه توی چیزی دخالت نمیکنم. #رییس_جمهور نفر اول مملکت. دیگه کسی از #قانون بالاتر نیست. #چه_بهشتی_شود_ایران خدایا آرزو به دل نذارمون...</t>
  </si>
  <si>
    <t>ثمره یِ شبِ چلّه🇮🇷</t>
  </si>
  <si>
    <t>طرح #تامین_کالاهای_اساسی در #مجلس رد شد. جزو نمایندگانی که #حقوق ماهانه ۲۵ میلیونی و امکاناتی در اختیار دارند ، نیستیم ، تا فشارها بر ما کاری نشود. بین مردمی هستیم که نگران تامین کالاهای اساسی وضروری زندگیند. @shariatmadari_m @Rouhani_ir @Eshaq_jahangiri @MahmoudVaezi @MB_Nobakht</t>
  </si>
  <si>
    <t>‏‏‏‏‏‏‏</t>
  </si>
  <si>
    <t>#احمدی_نژاد در ۶ مهر ۹۱ در روزی که قیمت دلار رکورد زد و به ۳۸۰۰ تومان رسید در کنفرانس خبری آزاد با همه رسانه‌ها شرکت کرد و پاسخگو بود پشت پرده‌‌ها را افشا کرد و قیمت #دلار از آن روز تا روز تحویل دولت در ۱۲ مرداد ۹۲ سیر نزولی گرفت. شیخ حسن کجایی؟ دقیقا کجایی؟ #روحانی</t>
  </si>
  <si>
    <t>عدالت</t>
  </si>
  <si>
    <t>http://www.irna.ir/fa/News/83023862</t>
  </si>
  <si>
    <t>🔴#ایران #تهران #قم #مهم درادامه #اعتراضات #مردم #روحانی لاکن #اخباریه #دولت #فساد #اختلاس اهل بیت ال عبا #رهبر_انقلاب وشرکا با عنایات صاحب ⌚️#واردات کالاهای #چینی با سهم 78%سربازان گمنام #رهبرفرزانه شاگرد اول واردات #غیراستاندارد است</t>
  </si>
  <si>
    <t>یکی لطفا وظایف #خبرگان را ساده توضیح دهد که بفهمیم! درباره مشکلات کشور از سران قوا سوال میکنند؟ قاعدتا خبرگان باید از #رهبری سوال بفرمایند.#روحانی #لاریجانی #آملی_لاریجانی #جنتی</t>
  </si>
  <si>
    <t>https://pbs.twimg.com/media/DmVg9PGXgAEc33N.jpg</t>
  </si>
  <si>
    <t>رهبر معظم انقلاب: "در حل مشکلات اقتصادی مسئولان نباید شب و روز بشناسند". پ ن: در حساس ترین شرایط اقتصادی کشور, نمایندگان #مجلس 2 هفته به تعطیلات رفتند! #دلار۱۵۰۰۰تومانی</t>
  </si>
  <si>
    <t>‏‏دست کسی نیست که نوکرش شدیم خیلی حسین زحمت مارا کشیده است</t>
  </si>
  <si>
    <t>دیگه چی می خواید #شفافیت از این بالاتر وقتی #شفافیت_آراء_مجلس رد میشه تو مجلس یعنی نمایندگان دارن میگن با #شفافیت تمام که ماها ریگی تو کفشمونه و #منافقانه عمل میکنیم #شفافیت_آراء_مجلس #مجلس</t>
  </si>
  <si>
    <t>آقای #روحانی بزرگترین گناه شما،گره زدن اقتصاد کشور به عوامل خارج از اراده شما و دیگر مسوولان کشور بود. حتی اگر هیلاری هم رای میاورد بازهم به همین سرنوشت دچار میشدید...</t>
  </si>
  <si>
    <t>«از حرف بی‌اساس جنتی درباره دیدار #روحانی و ترامپ تعجب کردم» رئیس‌ دفتررئیس‌جمهوری: آقای #جنتی گفته برخی می‌روند نیویورک که با ترامپ ملاقات کنند؛ اینکه رئیس مجلس خبرگان حرفی بزند که هیچ اساسی ندارد،جای تعجب است.مسئولین وقت سخنرانی،بررسی کنند تا مردم مطالبی که می‌گویند را باور کند</t>
  </si>
  <si>
    <t>https://twitter.com/smmirsalim/status/1037333478055002112</t>
  </si>
  <si>
    <t>وقتی #مجلس را از گوسفند پر کرده ایم دولت وضعیت مردم به چیزش هم نیست. آنوقت #واعظی الدنگ موعظه میکند RT @Smmirsalim: #دولت تا كى مى خواهد نظاره گر #كاهش #ارزش #پول كشور و نابودى #اقتصاد و اساس #نظام باشد؟</t>
  </si>
  <si>
    <t>https://pbs.twimg.com/media/DmUlKmIXoAAkq8Q.jpg</t>
  </si>
  <si>
    <t>https://twitter.com/Chenarani_ir/status/1037276173615677441</t>
  </si>
  <si>
    <t>خانم @Chenarani_ir نماینده مردم عزیز نیشابور, میشه بفرمایید چرا در زمانی که کشور دچار بحران اقتصادی بی سابقه ای شده مجلسی ها به تعطیلات رفتن؟ #شفافیت_مجلس #شفافیت #مجلس_شورای_اسلامی #مجلس #نمایندگان_مجلس RT @Chenarani_ir: در مورد طرح #شفافیت_آراء_مجلس از بنده سوال میکنند و با استناد به یک تصویر نامشخص گفته شده که من امضا نکرده‌ام؛ قبل‌تر در صفحات رسمی‌ام اعلام کرده بودم و اینجا هم صراحتا حمایت خود را از طرح شفافیت آراء نمایندگان اعلام میدارم</t>
  </si>
  <si>
    <t>https://t.me/theaterasbevahshi</t>
  </si>
  <si>
    <t>‏‏‏theater actor داستان نویس. بازیگر و کارگردان تئاتر فعال محیط زیست. عکاس</t>
  </si>
  <si>
    <t>Ahvaz</t>
  </si>
  <si>
    <t>جناب #رییس_جمهور میدانید سالانه چند میلیارد هزینه باغ وحش ها و #دلفیناریوم ها میشود؟ تعطیل کنید. #اقتصاد_مقاومتی ما در حال مقاومت هستیم</t>
  </si>
  <si>
    <t>Vahid Faghihi</t>
  </si>
  <si>
    <t>یادمون نره #اصولگراها و انقلابیون هم در انتخابات #مجلس لیست تهیه کردن و اتفاقا لیستشون هم کم رای نیورد !! حداقل فراموش نکنیم افراد قبولی لیست ما حداقل بیشتر از پنجاه نفر فعلی بودن که به رای #شفاییت جواب منفی دادن. حزب تو ایران فرقی با یه طویله نداره و هر گاوی میتونه توش بره</t>
  </si>
  <si>
    <t>بر زمستان صبر باید طالب نوروز را</t>
  </si>
  <si>
    <t>#روحانی در کتاب «امنیت ملی و دیپلماسی هسته ای» نوشته است قبل از توافق پاریس وزیرخارجه ی چین به من توصیه کرد:اگر در ایران مسئولیتی داشتم،میگفتم دوره ای برای پیشرفت اقتصاد خود مشخص کنید،بعد جلوی دنیا بایستید.</t>
  </si>
  <si>
    <t>zora</t>
  </si>
  <si>
    <t>https://pbs.twimg.com/media/DmVjcPWXcAAC2dK.jpg</t>
  </si>
  <si>
    <t>خبر فوری مطالبه عمومی #شفافیت_آراء_نمایندگان جواب دادونمایندگان #مجلس طی اقدامی جهادی،تصمیم به #شفافیت مجلس گرفتند. تصاویرقبل وبعدازشفافیت</t>
  </si>
  <si>
    <t>مهدي خليلي</t>
  </si>
  <si>
    <t>الان میفهمم که لیاخوف ، یه کار درست رو تو زمان اشتباه انجام داد این #مجلس را به توپ باید بست #شفافیت_آراء_نمایندگان #لیاخوب</t>
  </si>
  <si>
    <t>hossein_hanife</t>
  </si>
  <si>
    <t>با روحانی تا #دلار۱۴۰۰ حالا چجور #آب_و_صابون بیاریم روتونو بشوریم؟! #روحانی #اعتدال #با_روحانی_تا_۱۴۰۰</t>
  </si>
  <si>
    <t>ای #روحانی چی ها... اگه #رئیسی رای می آورد ... چه اتفاقی می تونست بیفته که تا حالا نیفتاده ... ؟ بیاید و اعتراف کنید که چرت می گفتید</t>
  </si>
  <si>
    <t>مسلمان شیعه انقلابی، حزبم حزب علی (ع) رهبرم سیدعلی</t>
  </si>
  <si>
    <t>قیمت #دلار و #سکه نجومی شده و در بالاترین سطح خودشه، نمایندگان مجلس با فوریت طرح تامین کالاهای اساسی و طرح #شفافیت_آراء_نمایندگان مخالفت کردند، اما با دو هفته تعطیلات مجلس موافقت کردند و رفتند استراحت. #مجلس</t>
  </si>
  <si>
    <t>مسلمان فارسی</t>
  </si>
  <si>
    <t>زندگي همچون بادكنكى است در دستان كودكان ... كه هميشه ترس از تركيدنِ آن لذت داشتن آن را از بين می برد.☘️🌸🌗🎈🎈</t>
  </si>
  <si>
    <t>mazandaran</t>
  </si>
  <si>
    <t>نظرتون چیه مجلس و دولت رو با هم به توپ ببندیم؟؟؟ 💣💂🏻‍♂️💣💂🏻‍♂️🔥🔥🔥 #مجلس #دولت_بی_تدبیر #نماینده_غیر_مردمی</t>
  </si>
  <si>
    <t>Saeed Falahati</t>
  </si>
  <si>
    <t>جناب #روحانی شما مگه به مادر گرامیتون قول نداده بودین مشکل گرانی را برطرف کنین؟؟؟ مردم که هیچ ولی قولی که به مادر دادین را عمل کنین #مادرانه</t>
  </si>
  <si>
    <t>philosophy student of university Tehran</t>
  </si>
  <si>
    <t>https://twitter.com/ishizaki01/status/1037289551105073153</t>
  </si>
  <si>
    <t>از ماست که بر ماست #مجلس RT @ishizaki01: واسه رأی آوردن طرح #شفافیت_آراء_مجلس به مجلسی چشم دوختیم که نماینده هایی توش هستن که به "بیت المقدس پایتخت فلسطین" رأی ندادن نامه تشکر از سردار سلیمانی رو امضا نکردن طرح اعاده اموال نامشروع مسئولین رو از دستور کار خارج کردن آخوندی رو برکنار نکردند گویا ما خودمونو مسخره کردیم!</t>
  </si>
  <si>
    <t>Alisoleymani</t>
  </si>
  <si>
    <t>‏‏‏‏جوان کوشا، اهل مطالعه و فعال، کمی عکاسی، گاهی فوتسال</t>
  </si>
  <si>
    <t>طبیعت بکر دست نخورده از ایران</t>
  </si>
  <si>
    <t>آقای #رئیسی من جای شما بودم روزی ۷ بار دور مرقد حضرت عشق میچرخیدم و شکر میکردم که رئیس‌جمهور ایران نشدم چون آقای #روحانی الان منفورترین فرد در ایران است</t>
  </si>
  <si>
    <t>فعال دانشجویی</t>
  </si>
  <si>
    <t>#مجلس داریم چه مجلسی ۱۹۰ #نماینده طرحی را #امضا میکنند تحویل هیات ریئسه میدهند حدود ۲۰۰ نفر از نمایندگان از طرح #حمایت میکنن در #صحن مجلس ۶۰ #رای میاره خودتون بگید این یعنی چی؟!؟! #شفافیت_آراء_نمایندگان #شفافیت</t>
  </si>
  <si>
    <t>عباس اوتادی</t>
  </si>
  <si>
    <t>http://www.safa.persianblog.ir</t>
  </si>
  <si>
    <t>در خودم گم شدم و، درتو هویدا گشتم.../عارفی خسته که با عشق تو شیدا گشتم..</t>
  </si>
  <si>
    <t>BND,hormozgan,iran</t>
  </si>
  <si>
    <t>خدایا یه فکری به حال #روحانی و ایران من کن... RT @ariya_love777: ببینید چطوری تبلیغ #روحانی رو میکردن، مریان و متینا رادپور دختران #مهدی_رادپور مالک هلدینگ نفت و گاز یکی ازمدیران رانت خوار دولت روحانی... روحانی آینده این سرزمین را روشن کن__روحانی فکری به حال روز ایران من کن😭😭</t>
  </si>
  <si>
    <t>زندانی زمین</t>
  </si>
  <si>
    <t>https://pbs.twimg.com/media/DmVnXXwXsAISt09.jpg</t>
  </si>
  <si>
    <t>بعد از گره خوردن منافع #ایران به #برجام عقب نشینی امریکا بسیار محتمل بود و راه گریزی از تله #ترامپ وجود نداشت آقایان روزی هزاربار شکر کنید که #رئیسی یا #قالیباف #رئیس_جمهور نشدند والا با وقایع الان تفکر #انقلابی شکست خورده بود و نسخه #جمهوری_اسلامی کاملا پیچیده شده بود</t>
  </si>
  <si>
    <t>the vow</t>
  </si>
  <si>
    <t>debrecen hungary</t>
  </si>
  <si>
    <t>#روحاني تواخرين مصاحبه اش گفت براي اقلام ضروري خيالتون راحت،به شوخي ميگفتم يعني با همينا دهنمون سرويس شه ولي باور كنيد نميدونستم تا اين حد.</t>
  </si>
  <si>
    <t>zeynab jam</t>
  </si>
  <si>
    <t>با این وضعیت #کشور، #مجلس 2 هفته رفتن #تعطیلات تابستانی، ای کاش می شد که دیگه بر نگردند بود و نبودنشون فرقی نداره</t>
  </si>
  <si>
    <t>Fred29</t>
  </si>
  <si>
    <t>‏‏تلخی روزگار از اونجا شروع میشه که خیلی چیزارو میشه خواست ، اما نمیشه داشت....</t>
  </si>
  <si>
    <t>https://pbs.twimg.com/media/DmVoeYlUwAArAvV.jpg</t>
  </si>
  <si>
    <t>نمایندگان به تعطیلات تابستانی رفتند! در یکی از حساس ترین برهه های اقتصادی کشور نمایندگان مجلس به تعطیلات دوهفته ای آخر تابستان رفتند! ناگفته نمونه که قبلشم تعطیلات بودن البته #مجلس #ایران #دلار</t>
  </si>
  <si>
    <t>نهنگ گوژپشت</t>
  </si>
  <si>
    <t>طراح و گرافيستي كه توهم داره شايد گوش شنوايي پيدا شه :))</t>
  </si>
  <si>
    <t>همين دور و اطراف</t>
  </si>
  <si>
    <t>هنوز باورم نمیشه توی این اوضاع #مجلس دو هفته تعطیل کرده =)))))))))))))))</t>
  </si>
  <si>
    <t>🎗️ آسياب_به_نوبت  ‏</t>
  </si>
  <si>
    <t>‏‏‏‏‏‏‏‏‏adventurer. I write if it'd be the mood . اندراحوالات مغز مانیک یک دانشجوی پزشکی چپدست که دغدغه ی همیشگی سفر و سواد و سلامتی و آگاهی دارد!</t>
  </si>
  <si>
    <t>IR .IN.BY</t>
  </si>
  <si>
    <t>آقای #ظريف آقای #روحانی بفرمایید تکلیف دانشجوهای خارج از کشور چیست؟! ارز دانشجویی قطع شده. انتقالی به داخل توسط آقای وزیر بهداشت ممنوع خواهد شد، استعلام ریزنمرات دو الی سه هفته طول خواهد کشید.خسارت مالی تا به الان فدای سرمان، چه کسی پاسخگوی عمر از دست رفته و آینده نامعلوم ماست؟</t>
  </si>
  <si>
    <t>rojajafari</t>
  </si>
  <si>
    <t>Marketing PR @nissaniran</t>
  </si>
  <si>
    <t>ریش‌های #روحانی آبی-خاکستری شده انگار :)))</t>
  </si>
  <si>
    <t>Bahar</t>
  </si>
  <si>
    <t>https://pbs.twimg.com/media/DmVpkeeX0AAEr4_.jpg</t>
  </si>
  <si>
    <t>Hejab Bartar</t>
  </si>
  <si>
    <t>آقا من یک سوال دارم... کسی هست که هنوز فکر می‌کنه #دولت و بخصوص شخص آقای #روحانی خائن نیست؟</t>
  </si>
  <si>
    <t>Profile Image</t>
  </si>
  <si>
    <t>Timezone</t>
  </si>
  <si>
    <t>Website</t>
  </si>
  <si>
    <t>Bio</t>
  </si>
  <si>
    <t>Location</t>
  </si>
  <si>
    <t>User Since</t>
  </si>
  <si>
    <t>Verfied</t>
  </si>
  <si>
    <t>Listed</t>
  </si>
  <si>
    <t>Follows</t>
  </si>
  <si>
    <t>Followers</t>
  </si>
  <si>
    <t>App</t>
  </si>
  <si>
    <t>Media</t>
  </si>
  <si>
    <t>Link(s)</t>
  </si>
  <si>
    <t>Tweet ID</t>
  </si>
  <si>
    <t>Tweet Text</t>
  </si>
  <si>
    <t>Full Name</t>
  </si>
  <si>
    <t>Screen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</si>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</sst>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4">
    <font>
      <sz val="10"/>
      <color rgb="FF000000"/>
      <name val="Arial"/>
    </font>
    <font>
      <sz val="8"/>
      <name val="Droid Sans"/>
    </font>
    <font>
      <u/>
      <sz val="8"/>
      <color rgb="FF0000FF"/>
      <name val="Droid Sans"/>
    </font>
    <font>
      <sz val="8"/>
      <color rgb="FFFFFFFF"/>
      <name val="Droid Sans"/>
    </font>
  </fonts>
  <fills count="3">
    <fill>
      <patternFill patternType="none"/>
    </fill>
    <fill>
      <patternFill patternType="gray125"/>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vertical="center"/>
    </xf>
    <xf numFmtId="164" fontId="1" fillId="0" borderId="0" xfId="0" applyNumberFormat="1" applyFont="1" applyAlignment="1">
      <alignment horizontal="center" vertical="center"/>
    </xf>
    <xf numFmtId="14" fontId="1"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 fillId="0" borderId="0" xfId="0" quotePrefix="1" applyFont="1" applyAlignment="1">
      <alignment vertical="center" wrapText="1"/>
    </xf>
    <xf numFmtId="18" fontId="1" fillId="0" borderId="0" xfId="0" applyNumberFormat="1" applyFont="1" applyAlignment="1">
      <alignment vertical="center"/>
    </xf>
    <xf numFmtId="0" fontId="2" fillId="0" borderId="0" xfId="0" applyFont="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filter_shod_n.bar.com/" TargetMode="External"/><Relationship Id="rId3182" Type="http://schemas.openxmlformats.org/officeDocument/2006/relationships/hyperlink" Target="https://pbs.twimg.com/media/DlswiHRX4AEFTq6.jpg" TargetMode="External"/><Relationship Id="rId3042" Type="http://schemas.openxmlformats.org/officeDocument/2006/relationships/hyperlink" Target="http://instagram.com/mahdinazari_ir" TargetMode="External"/><Relationship Id="rId170" Type="http://schemas.openxmlformats.org/officeDocument/2006/relationships/hyperlink" Target="http://www.isna.ir/photo/97061407235" TargetMode="External"/><Relationship Id="rId987" Type="http://schemas.openxmlformats.org/officeDocument/2006/relationships/hyperlink" Target="http://cyberwarzone.com/" TargetMode="External"/><Relationship Id="rId2668" Type="http://schemas.openxmlformats.org/officeDocument/2006/relationships/hyperlink" Target="https://twitter.com/sbiabanaki47/status/1034690356778958848" TargetMode="External"/><Relationship Id="rId2875" Type="http://schemas.openxmlformats.org/officeDocument/2006/relationships/hyperlink" Target="http://mmoeeni14.blogspot.com/" TargetMode="External"/><Relationship Id="rId847" Type="http://schemas.openxmlformats.org/officeDocument/2006/relationships/hyperlink" Target="https://pbs.twimg.com/media/DmO12zBW4AE1_pN.jpg" TargetMode="External"/><Relationship Id="rId1477" Type="http://schemas.openxmlformats.org/officeDocument/2006/relationships/hyperlink" Target="https://pbs.twimg.com/media/DmFAHnIX4AAPFHx.jpg" TargetMode="External"/><Relationship Id="rId1684" Type="http://schemas.openxmlformats.org/officeDocument/2006/relationships/hyperlink" Target="https://twitter.com/shirankhorasani/status/1027482400564150273" TargetMode="External"/><Relationship Id="rId1891" Type="http://schemas.openxmlformats.org/officeDocument/2006/relationships/hyperlink" Target="http://www.acs.ir/" TargetMode="External"/><Relationship Id="rId2528" Type="http://schemas.openxmlformats.org/officeDocument/2006/relationships/hyperlink" Target="https://pbs.twimg.com/media/DlwzSl5XcAAXG6n.jpg" TargetMode="External"/><Relationship Id="rId2735" Type="http://schemas.openxmlformats.org/officeDocument/2006/relationships/hyperlink" Target="http://sobhe-no.ir/" TargetMode="External"/><Relationship Id="rId2942" Type="http://schemas.openxmlformats.org/officeDocument/2006/relationships/hyperlink" Target="https://twitter.com/farsinews3" TargetMode="External"/><Relationship Id="rId707" Type="http://schemas.openxmlformats.org/officeDocument/2006/relationships/hyperlink" Target="http://pic.twitter.com/0wuAm3vcPr" TargetMode="External"/><Relationship Id="rId914" Type="http://schemas.openxmlformats.org/officeDocument/2006/relationships/hyperlink" Target="https://pbs.twimg.com/media/DmLR6FOWsAAX13M.jpg" TargetMode="External"/><Relationship Id="rId1337" Type="http://schemas.openxmlformats.org/officeDocument/2006/relationships/hyperlink" Target="http://www.trt.net.tr/persian/wrzsh/2018/09/02/pygm-tbrykh-ry-ys-jmhwr-trkhyh-bh-mly-pwsh-trkh-1041634" TargetMode="External"/><Relationship Id="rId1544" Type="http://schemas.openxmlformats.org/officeDocument/2006/relationships/hyperlink" Target="http://www.rouydad24.ir/" TargetMode="External"/><Relationship Id="rId1751" Type="http://schemas.openxmlformats.org/officeDocument/2006/relationships/hyperlink" Target="https://t.me/drmdehghan" TargetMode="External"/><Relationship Id="rId2802" Type="http://schemas.openxmlformats.org/officeDocument/2006/relationships/hyperlink" Target="http://www.ibena.ir/news/90555/" TargetMode="External"/><Relationship Id="rId43" Type="http://schemas.openxmlformats.org/officeDocument/2006/relationships/hyperlink" Target="http://pic.twitter.com/Yi0wiB9Sva" TargetMode="External"/><Relationship Id="rId1404" Type="http://schemas.openxmlformats.org/officeDocument/2006/relationships/hyperlink" Target="http://www.etehadonline.com/" TargetMode="External"/><Relationship Id="rId1611" Type="http://schemas.openxmlformats.org/officeDocument/2006/relationships/hyperlink" Target="https://pbs.twimg.com/media/DmBsqk9W4AA2pVa.jpg" TargetMode="External"/><Relationship Id="rId3369" Type="http://schemas.openxmlformats.org/officeDocument/2006/relationships/hyperlink" Target="https://pbs.twimg.com/media/Dlr7mLnWwAA7W0S.jpg" TargetMode="External"/><Relationship Id="rId3576" Type="http://schemas.openxmlformats.org/officeDocument/2006/relationships/hyperlink" Target="http://www.ostadekamel.blog.ir/" TargetMode="External"/><Relationship Id="rId497" Type="http://schemas.openxmlformats.org/officeDocument/2006/relationships/hyperlink" Target="https://twitter.com/p_salahshouri/status/1036873560936079360" TargetMode="External"/><Relationship Id="rId2178" Type="http://schemas.openxmlformats.org/officeDocument/2006/relationships/hyperlink" Target="https://twitter.com/ir_aref/status/1034688703581642753" TargetMode="External"/><Relationship Id="rId2385" Type="http://schemas.openxmlformats.org/officeDocument/2006/relationships/hyperlink" Target="http://etemadnewspaper.ir/" TargetMode="External"/><Relationship Id="rId3229" Type="http://schemas.openxmlformats.org/officeDocument/2006/relationships/hyperlink" Target="http://pic.twitter.com/ToVHGW2YOa" TargetMode="External"/><Relationship Id="rId357" Type="http://schemas.openxmlformats.org/officeDocument/2006/relationships/hyperlink" Target="http://daarvh.blogfa.com/" TargetMode="External"/><Relationship Id="rId1194" Type="http://schemas.openxmlformats.org/officeDocument/2006/relationships/hyperlink" Target="https://pbs.twimg.com/media/DmJZ2b1XgAEC5tr.jpg" TargetMode="External"/><Relationship Id="rId2038" Type="http://schemas.openxmlformats.org/officeDocument/2006/relationships/hyperlink" Target="https://pbs.twimg.com/media/Dl33_3hXgAARKBk.jpg" TargetMode="External"/><Relationship Id="rId2592" Type="http://schemas.openxmlformats.org/officeDocument/2006/relationships/hyperlink" Target="https://pbs.twimg.com/media/DlwYwDGWsAEHvRj.jpg" TargetMode="External"/><Relationship Id="rId3436" Type="http://schemas.openxmlformats.org/officeDocument/2006/relationships/hyperlink" Target="http://trendmusic.ir/" TargetMode="External"/><Relationship Id="rId3643" Type="http://schemas.openxmlformats.org/officeDocument/2006/relationships/hyperlink" Target="https://pbs.twimg.com/media/Dlqt8-5XsAAwCd-.jpg" TargetMode="External"/><Relationship Id="rId217" Type="http://schemas.openxmlformats.org/officeDocument/2006/relationships/hyperlink" Target="https://pbs.twimg.com/media/DmUYOyRXgAAzUgC.jpg" TargetMode="External"/><Relationship Id="rId564" Type="http://schemas.openxmlformats.org/officeDocument/2006/relationships/hyperlink" Target="http://ipresta.ir/" TargetMode="External"/><Relationship Id="rId771" Type="http://schemas.openxmlformats.org/officeDocument/2006/relationships/hyperlink" Target="http://www.iranntv.com/" TargetMode="External"/><Relationship Id="rId2245" Type="http://schemas.openxmlformats.org/officeDocument/2006/relationships/hyperlink" Target="http://instagram.com/kunkor98_ir" TargetMode="External"/><Relationship Id="rId2452" Type="http://schemas.openxmlformats.org/officeDocument/2006/relationships/hyperlink" Target="https://pbs.twimg.com/media/DlwboMjX4AA2l9i.jpg" TargetMode="External"/><Relationship Id="rId3503" Type="http://schemas.openxmlformats.org/officeDocument/2006/relationships/hyperlink" Target="http://www.nikru.ir/16955-/4.html" TargetMode="External"/><Relationship Id="rId424" Type="http://schemas.openxmlformats.org/officeDocument/2006/relationships/hyperlink" Target="http://pic.twitter.com/SiqsIcD8mE" TargetMode="External"/><Relationship Id="rId631" Type="http://schemas.openxmlformats.org/officeDocument/2006/relationships/hyperlink" Target="https://pbs.twimg.com/media/DmQPzuDXcAEU-3H.jpg" TargetMode="External"/><Relationship Id="rId1054" Type="http://schemas.openxmlformats.org/officeDocument/2006/relationships/hyperlink" Target="https://pbs.twimg.com/media/DmLKlm9W0AE5mXj.jpg" TargetMode="External"/><Relationship Id="rId1261" Type="http://schemas.openxmlformats.org/officeDocument/2006/relationships/hyperlink" Target="https://pbs.twimg.com/media/DmHUilJVsAEXhEu.jpg" TargetMode="External"/><Relationship Id="rId2105" Type="http://schemas.openxmlformats.org/officeDocument/2006/relationships/hyperlink" Target="https://pbs.twimg.com/media/Dlw3T8jW4AMw1os.jpg" TargetMode="External"/><Relationship Id="rId2312" Type="http://schemas.openxmlformats.org/officeDocument/2006/relationships/hyperlink" Target="http://pic.twitter.com/fdpZbDQSGu" TargetMode="External"/><Relationship Id="rId1121" Type="http://schemas.openxmlformats.org/officeDocument/2006/relationships/hyperlink" Target="http://t.me/knaf_shoresh" TargetMode="External"/><Relationship Id="rId3086" Type="http://schemas.openxmlformats.org/officeDocument/2006/relationships/hyperlink" Target="http://t.me/Pvshahinbot" TargetMode="External"/><Relationship Id="rId3293" Type="http://schemas.openxmlformats.org/officeDocument/2006/relationships/hyperlink" Target="http://t.me/tribune_hezboollah" TargetMode="External"/><Relationship Id="rId1938" Type="http://schemas.openxmlformats.org/officeDocument/2006/relationships/hyperlink" Target="http://www.tasnimnews.com/" TargetMode="External"/><Relationship Id="rId3153" Type="http://schemas.openxmlformats.org/officeDocument/2006/relationships/hyperlink" Target="http://abishiraz.blogspot.com/2018/08/blog-post_28.html?spref=tw" TargetMode="External"/><Relationship Id="rId3360" Type="http://schemas.openxmlformats.org/officeDocument/2006/relationships/hyperlink" Target="https://t.me/joinchat/AAAAAD2yDejHtwReHo8mcg" TargetMode="External"/><Relationship Id="rId281" Type="http://schemas.openxmlformats.org/officeDocument/2006/relationships/hyperlink" Target="https://pbs.twimg.com/media/DmUDVoPWwAEhfKu.jpg" TargetMode="External"/><Relationship Id="rId3013" Type="http://schemas.openxmlformats.org/officeDocument/2006/relationships/hyperlink" Target="https://pbs.twimg.com/media/DltaVwUW0AAwGVq.jpg" TargetMode="External"/><Relationship Id="rId141" Type="http://schemas.openxmlformats.org/officeDocument/2006/relationships/hyperlink" Target="https://pbs.twimg.com/media/DmUvtZmW0AAhBRE.jpg" TargetMode="External"/><Relationship Id="rId3220" Type="http://schemas.openxmlformats.org/officeDocument/2006/relationships/hyperlink" Target="http://khabarfoori.com/detail/555353" TargetMode="External"/><Relationship Id="rId7" Type="http://schemas.openxmlformats.org/officeDocument/2006/relationships/hyperlink" Target="https://twitter.com/ishizaki01/status/1037289551105073153" TargetMode="External"/><Relationship Id="rId2779" Type="http://schemas.openxmlformats.org/officeDocument/2006/relationships/hyperlink" Target="https://article.mojahedin.org/id/d46bf535-8e1f-4edb-b5e8-ab23a265dedf" TargetMode="External"/><Relationship Id="rId2986" Type="http://schemas.openxmlformats.org/officeDocument/2006/relationships/hyperlink" Target="http://t.me/Behnoud95" TargetMode="External"/><Relationship Id="rId958" Type="http://schemas.openxmlformats.org/officeDocument/2006/relationships/hyperlink" Target="https://pbs.twimg.com/media/DmMKrMmXoAEO9bs.jpg" TargetMode="External"/><Relationship Id="rId1588" Type="http://schemas.openxmlformats.org/officeDocument/2006/relationships/hyperlink" Target="https://www.instagram.com/mostafa.goldsmith" TargetMode="External"/><Relationship Id="rId1795" Type="http://schemas.openxmlformats.org/officeDocument/2006/relationships/hyperlink" Target="http://chmd.blogfa.com/" TargetMode="External"/><Relationship Id="rId2639" Type="http://schemas.openxmlformats.org/officeDocument/2006/relationships/hyperlink" Target="https://pbs.twimg.com/media/DlwRGUtX4AABTXF.jpg" TargetMode="External"/><Relationship Id="rId2846" Type="http://schemas.openxmlformats.org/officeDocument/2006/relationships/hyperlink" Target="https://twitter.com/Far_naz64/status/1034666425967890433" TargetMode="External"/><Relationship Id="rId87" Type="http://schemas.openxmlformats.org/officeDocument/2006/relationships/hyperlink" Target="http://cyberwarzone.com/" TargetMode="External"/><Relationship Id="rId818" Type="http://schemas.openxmlformats.org/officeDocument/2006/relationships/hyperlink" Target="https://t.me/amitanha" TargetMode="External"/><Relationship Id="rId1448" Type="http://schemas.openxmlformats.org/officeDocument/2006/relationships/hyperlink" Target="http://www.leader.ir/fa/book/1" TargetMode="External"/><Relationship Id="rId1655" Type="http://schemas.openxmlformats.org/officeDocument/2006/relationships/hyperlink" Target="https://pbs.twimg.com/media/DmAusx0XsAYIx4M.jpg" TargetMode="External"/><Relationship Id="rId2706" Type="http://schemas.openxmlformats.org/officeDocument/2006/relationships/hyperlink" Target="https://pbs.twimg.com/media/Dlv-wTGXsAEODVN.jpg" TargetMode="External"/><Relationship Id="rId1308" Type="http://schemas.openxmlformats.org/officeDocument/2006/relationships/hyperlink" Target="http://www.hashtagbime.com/" TargetMode="External"/><Relationship Id="rId1862" Type="http://schemas.openxmlformats.org/officeDocument/2006/relationships/hyperlink" Target="https://pbs.twimg.com/media/Dl8jCqrXcAAFD2z.jpg" TargetMode="External"/><Relationship Id="rId2913" Type="http://schemas.openxmlformats.org/officeDocument/2006/relationships/hyperlink" Target="https://twitter.com/arezoo_farshid/status/1034485620314464256" TargetMode="External"/><Relationship Id="rId1515" Type="http://schemas.openxmlformats.org/officeDocument/2006/relationships/hyperlink" Target="https://pbs.twimg.com/media/DmEsAnIWsAALitL.jpg" TargetMode="External"/><Relationship Id="rId1722" Type="http://schemas.openxmlformats.org/officeDocument/2006/relationships/hyperlink" Target="http://fa.persiadigest.com/" TargetMode="External"/><Relationship Id="rId14" Type="http://schemas.openxmlformats.org/officeDocument/2006/relationships/hyperlink" Target="https://pbs.twimg.com/media/DmVg9PGXgAEc33N.jpg" TargetMode="External"/><Relationship Id="rId2289" Type="http://schemas.openxmlformats.org/officeDocument/2006/relationships/hyperlink" Target="https://t.me/nabztabriz" TargetMode="External"/><Relationship Id="rId2496" Type="http://schemas.openxmlformats.org/officeDocument/2006/relationships/hyperlink" Target="https://pbs.twimg.com/media/Dlw-bcfX4AI8di4.jpg" TargetMode="External"/><Relationship Id="rId3547" Type="http://schemas.openxmlformats.org/officeDocument/2006/relationships/hyperlink" Target="https://ift.tt/2BTW3sU" TargetMode="External"/><Relationship Id="rId468" Type="http://schemas.openxmlformats.org/officeDocument/2006/relationships/hyperlink" Target="https://twitter.com/sobhe_pirozy/status/1036898906775404545" TargetMode="External"/><Relationship Id="rId675" Type="http://schemas.openxmlformats.org/officeDocument/2006/relationships/hyperlink" Target="http://pic.twitter.com/TdLlX80NJE" TargetMode="External"/><Relationship Id="rId882" Type="http://schemas.openxmlformats.org/officeDocument/2006/relationships/hyperlink" Target="https://pbs.twimg.com/media/DmOclqgWwAAs1Q8.jpg" TargetMode="External"/><Relationship Id="rId1098" Type="http://schemas.openxmlformats.org/officeDocument/2006/relationships/hyperlink" Target="https://twitter.com/Eranico_com/status/1035500676581928960" TargetMode="External"/><Relationship Id="rId2149" Type="http://schemas.openxmlformats.org/officeDocument/2006/relationships/hyperlink" Target="https://pbs.twimg.com/media/Dl2DawSX0AIL9lu.jpg" TargetMode="External"/><Relationship Id="rId2356" Type="http://schemas.openxmlformats.org/officeDocument/2006/relationships/hyperlink" Target="http://mirzamohammadi.blogfa.com/" TargetMode="External"/><Relationship Id="rId2563" Type="http://schemas.openxmlformats.org/officeDocument/2006/relationships/hyperlink" Target="http://kafaeealireza.wordpress.com/" TargetMode="External"/><Relationship Id="rId2770" Type="http://schemas.openxmlformats.org/officeDocument/2006/relationships/hyperlink" Target="http://tn.ai/1815138" TargetMode="External"/><Relationship Id="rId3407" Type="http://schemas.openxmlformats.org/officeDocument/2006/relationships/hyperlink" Target="https://pbs.twimg.com/media/DlrvgpPXgAEAoe8.jpg" TargetMode="External"/><Relationship Id="rId3614" Type="http://schemas.openxmlformats.org/officeDocument/2006/relationships/hyperlink" Target="https://t.me/Soleymanzadehadmin" TargetMode="External"/><Relationship Id="rId328" Type="http://schemas.openxmlformats.org/officeDocument/2006/relationships/hyperlink" Target="https://pbs.twimg.com/media/DmT1YvwX0AAzjjM.jpg" TargetMode="External"/><Relationship Id="rId535" Type="http://schemas.openxmlformats.org/officeDocument/2006/relationships/hyperlink" Target="http://instagram.com/h_hamidi313" TargetMode="External"/><Relationship Id="rId742" Type="http://schemas.openxmlformats.org/officeDocument/2006/relationships/hyperlink" Target="http://pic.twitter.com/DoQq7mSPU9" TargetMode="External"/><Relationship Id="rId1165" Type="http://schemas.openxmlformats.org/officeDocument/2006/relationships/hyperlink" Target="http://instagram.com/mowbiin_" TargetMode="External"/><Relationship Id="rId1372" Type="http://schemas.openxmlformats.org/officeDocument/2006/relationships/hyperlink" Target="https://twitter.com/asoupar/status/1035941755915526145" TargetMode="External"/><Relationship Id="rId2009" Type="http://schemas.openxmlformats.org/officeDocument/2006/relationships/hyperlink" Target="https://telegram.me/HarfBeManBot?start=NDQwOTQ2OTg1" TargetMode="External"/><Relationship Id="rId2216" Type="http://schemas.openxmlformats.org/officeDocument/2006/relationships/hyperlink" Target="https://pbs.twimg.com/media/Dl0xFB-W0AEFN6w.jpg" TargetMode="External"/><Relationship Id="rId2423" Type="http://schemas.openxmlformats.org/officeDocument/2006/relationships/hyperlink" Target="https://t.me/solidarity_ir" TargetMode="External"/><Relationship Id="rId2630" Type="http://schemas.openxmlformats.org/officeDocument/2006/relationships/hyperlink" Target="http://instagram.com/m.amin_313" TargetMode="External"/><Relationship Id="rId602" Type="http://schemas.openxmlformats.org/officeDocument/2006/relationships/hyperlink" Target="http://vazhe.blog.ir/" TargetMode="External"/><Relationship Id="rId1025" Type="http://schemas.openxmlformats.org/officeDocument/2006/relationships/hyperlink" Target="http://www.irvds.net/" TargetMode="External"/><Relationship Id="rId1232" Type="http://schemas.openxmlformats.org/officeDocument/2006/relationships/hyperlink" Target="https://pbs.twimg.com/media/DmJClvjWwAAbwgp.jpg" TargetMode="External"/><Relationship Id="rId3197" Type="http://schemas.openxmlformats.org/officeDocument/2006/relationships/hyperlink" Target="https://www.instagram.com/zahra_zarfchi/" TargetMode="External"/><Relationship Id="rId3057" Type="http://schemas.openxmlformats.org/officeDocument/2006/relationships/hyperlink" Target="https://www.tir.ir/" TargetMode="External"/><Relationship Id="rId185" Type="http://schemas.openxmlformats.org/officeDocument/2006/relationships/hyperlink" Target="https://twitter.com/rezarashidpour/status/1037023567186206720" TargetMode="External"/><Relationship Id="rId1909" Type="http://schemas.openxmlformats.org/officeDocument/2006/relationships/hyperlink" Target="https://pbs.twimg.com/media/Dl7nX3hU8AA7kEM.jpg" TargetMode="External"/><Relationship Id="rId3264" Type="http://schemas.openxmlformats.org/officeDocument/2006/relationships/hyperlink" Target="http://pic.twitter.com/bOiyBwxs6x" TargetMode="External"/><Relationship Id="rId3471" Type="http://schemas.openxmlformats.org/officeDocument/2006/relationships/hyperlink" Target="http://www.hajfathi.ir/" TargetMode="External"/><Relationship Id="rId392" Type="http://schemas.openxmlformats.org/officeDocument/2006/relationships/hyperlink" Target="http://shatr.blog.ir/" TargetMode="External"/><Relationship Id="rId2073" Type="http://schemas.openxmlformats.org/officeDocument/2006/relationships/hyperlink" Target="https://twitter.com/jafariysaeid/status/1035220065292087298" TargetMode="External"/><Relationship Id="rId2280" Type="http://schemas.openxmlformats.org/officeDocument/2006/relationships/hyperlink" Target="https://pbs.twimg.com/media/Dly01N8X4AAkcXW.jpg" TargetMode="External"/><Relationship Id="rId3124" Type="http://schemas.openxmlformats.org/officeDocument/2006/relationships/hyperlink" Target="http://fal.cn/Vx9u" TargetMode="External"/><Relationship Id="rId3331" Type="http://schemas.openxmlformats.org/officeDocument/2006/relationships/hyperlink" Target="https://www.iranwtc.org/" TargetMode="External"/><Relationship Id="rId252" Type="http://schemas.openxmlformats.org/officeDocument/2006/relationships/hyperlink" Target="http://shatr.blog.ir/" TargetMode="External"/><Relationship Id="rId2140" Type="http://schemas.openxmlformats.org/officeDocument/2006/relationships/hyperlink" Target="https://pbs.twimg.com/media/Dl2MmZwX4AAH-3R.jpg" TargetMode="External"/><Relationship Id="rId112" Type="http://schemas.openxmlformats.org/officeDocument/2006/relationships/hyperlink" Target="https://twitter.com/SGhasseminejad/status/1037284138162651136" TargetMode="External"/><Relationship Id="rId1699" Type="http://schemas.openxmlformats.org/officeDocument/2006/relationships/hyperlink" Target="https://pbs.twimg.com/media/DmAFoAaX0AA8L2j.jpg" TargetMode="External"/><Relationship Id="rId2000" Type="http://schemas.openxmlformats.org/officeDocument/2006/relationships/hyperlink" Target="http://pic.twitter.com/rEXYrazz8i" TargetMode="External"/><Relationship Id="rId2957" Type="http://schemas.openxmlformats.org/officeDocument/2006/relationships/hyperlink" Target="https://t.me/Musenote" TargetMode="External"/><Relationship Id="rId929" Type="http://schemas.openxmlformats.org/officeDocument/2006/relationships/hyperlink" Target="https://twitter.com/ZiaNabavi1/status/1036594222202318849" TargetMode="External"/><Relationship Id="rId1559" Type="http://schemas.openxmlformats.org/officeDocument/2006/relationships/hyperlink" Target="https://pbs.twimg.com/media/DmD-8vzWsAA2zYM.jpg" TargetMode="External"/><Relationship Id="rId1766" Type="http://schemas.openxmlformats.org/officeDocument/2006/relationships/hyperlink" Target="http://khabarfarsi.com/u/58852053?utm_source=khabarfarsi_channel&amp;utm_medium=twitter&amp;utm_campaign=hodhod" TargetMode="External"/><Relationship Id="rId1973" Type="http://schemas.openxmlformats.org/officeDocument/2006/relationships/hyperlink" Target="https://pbs.twimg.com/media/Dl6aPgvXcAA5szG.jpg" TargetMode="External"/><Relationship Id="rId2817" Type="http://schemas.openxmlformats.org/officeDocument/2006/relationships/hyperlink" Target="https://pbs.twimg.com/media/DlvslDEXoAEotuo.jpg" TargetMode="External"/><Relationship Id="rId58" Type="http://schemas.openxmlformats.org/officeDocument/2006/relationships/hyperlink" Target="http://www.rezayousefi.com/" TargetMode="External"/><Relationship Id="rId1419" Type="http://schemas.openxmlformats.org/officeDocument/2006/relationships/hyperlink" Target="https://kokchapress.com/" TargetMode="External"/><Relationship Id="rId1626" Type="http://schemas.openxmlformats.org/officeDocument/2006/relationships/hyperlink" Target="https://twitter.com/s_fatemehoseini/status/1035471582305632256" TargetMode="External"/><Relationship Id="rId1833" Type="http://schemas.openxmlformats.org/officeDocument/2006/relationships/hyperlink" Target="https://twitter.com/sinavaliollah/status/1035206016001028096" TargetMode="External"/><Relationship Id="rId1900" Type="http://schemas.openxmlformats.org/officeDocument/2006/relationships/hyperlink" Target="https://pbs.twimg.com/media/Dl7y3MKUwAIYHhc.jpg" TargetMode="External"/><Relationship Id="rId579" Type="http://schemas.openxmlformats.org/officeDocument/2006/relationships/hyperlink" Target="https://twitter.com/Roozarooznews/status/1036961634592415744" TargetMode="External"/><Relationship Id="rId786" Type="http://schemas.openxmlformats.org/officeDocument/2006/relationships/hyperlink" Target="http://www.isna.ir/photo/97061306603" TargetMode="External"/><Relationship Id="rId993" Type="http://schemas.openxmlformats.org/officeDocument/2006/relationships/hyperlink" Target="https://twitter.com/tahlilgaran/status/1036614123403059200" TargetMode="External"/><Relationship Id="rId2467" Type="http://schemas.openxmlformats.org/officeDocument/2006/relationships/hyperlink" Target="http://boursenews.ir/" TargetMode="External"/><Relationship Id="rId2674" Type="http://schemas.openxmlformats.org/officeDocument/2006/relationships/hyperlink" Target="https://pbs.twimg.com/media/DlwImVfXsAA7W30.jpg" TargetMode="External"/><Relationship Id="rId3518" Type="http://schemas.openxmlformats.org/officeDocument/2006/relationships/hyperlink" Target="http://nimaakbarkhani.blogspot.com/" TargetMode="External"/><Relationship Id="rId439" Type="http://schemas.openxmlformats.org/officeDocument/2006/relationships/hyperlink" Target="https://pbs.twimg.com/media/DmRx3F5W4AE62FR.jpg" TargetMode="External"/><Relationship Id="rId646" Type="http://schemas.openxmlformats.org/officeDocument/2006/relationships/hyperlink" Target="http://www.yekta-shahmoradi.com/" TargetMode="External"/><Relationship Id="rId1069" Type="http://schemas.openxmlformats.org/officeDocument/2006/relationships/hyperlink" Target="https://pbs.twimg.com/media/DmLGMCPWwAAPx2E.jpg" TargetMode="External"/><Relationship Id="rId1276" Type="http://schemas.openxmlformats.org/officeDocument/2006/relationships/hyperlink" Target="http://www.farzadshalforoosh.blogfa.com/" TargetMode="External"/><Relationship Id="rId1483" Type="http://schemas.openxmlformats.org/officeDocument/2006/relationships/hyperlink" Target="http://aa.com.tr/fa" TargetMode="External"/><Relationship Id="rId2327" Type="http://schemas.openxmlformats.org/officeDocument/2006/relationships/hyperlink" Target="https://www.linkedin.com/in/hossein-aghaie-60552757/" TargetMode="External"/><Relationship Id="rId2881" Type="http://schemas.openxmlformats.org/officeDocument/2006/relationships/hyperlink" Target="https://pbs.twimg.com/media/DlvQM3TWsAAZSwC.jpg" TargetMode="External"/><Relationship Id="rId506" Type="http://schemas.openxmlformats.org/officeDocument/2006/relationships/hyperlink" Target="https://hra-news.org/" TargetMode="External"/><Relationship Id="rId853" Type="http://schemas.openxmlformats.org/officeDocument/2006/relationships/hyperlink" Target="http://pic.twitter.com/AovYtiZw3m" TargetMode="External"/><Relationship Id="rId1136" Type="http://schemas.openxmlformats.org/officeDocument/2006/relationships/hyperlink" Target="http://sobhe-no.ir/" TargetMode="External"/><Relationship Id="rId1690" Type="http://schemas.openxmlformats.org/officeDocument/2006/relationships/hyperlink" Target="http://cyberwarzone.com/" TargetMode="External"/><Relationship Id="rId2534" Type="http://schemas.openxmlformats.org/officeDocument/2006/relationships/hyperlink" Target="http://www.iribnews.ir/fa/news/2215047" TargetMode="External"/><Relationship Id="rId2741" Type="http://schemas.openxmlformats.org/officeDocument/2006/relationships/hyperlink" Target="https://pbs.twimg.com/media/Dlv5YTXXsAIQXsV.jpg" TargetMode="External"/><Relationship Id="rId713" Type="http://schemas.openxmlformats.org/officeDocument/2006/relationships/hyperlink" Target="https://twitter.com/jebreili_m/status/1036922196499857408" TargetMode="External"/><Relationship Id="rId920" Type="http://schemas.openxmlformats.org/officeDocument/2006/relationships/hyperlink" Target="https://instagram.com/ebrahimeskafi" TargetMode="External"/><Relationship Id="rId1343" Type="http://schemas.openxmlformats.org/officeDocument/2006/relationships/hyperlink" Target="http://pic.twitter.com/wFB8NHA6p9" TargetMode="External"/><Relationship Id="rId1550" Type="http://schemas.openxmlformats.org/officeDocument/2006/relationships/hyperlink" Target="http://tasnimnews.com/Home/Category/1/" TargetMode="External"/><Relationship Id="rId2601" Type="http://schemas.openxmlformats.org/officeDocument/2006/relationships/hyperlink" Target="https://t.me/simorgh31" TargetMode="External"/><Relationship Id="rId1203" Type="http://schemas.openxmlformats.org/officeDocument/2006/relationships/hyperlink" Target="http://www.ilna.ir/" TargetMode="External"/><Relationship Id="rId1410" Type="http://schemas.openxmlformats.org/officeDocument/2006/relationships/hyperlink" Target="http://peyghamesoroosh.parsiblog.com/" TargetMode="External"/><Relationship Id="rId3168" Type="http://schemas.openxmlformats.org/officeDocument/2006/relationships/hyperlink" Target="https://pbs.twimg.com/media/Dls1fknW0AAwBMH.jpg" TargetMode="External"/><Relationship Id="rId3375" Type="http://schemas.openxmlformats.org/officeDocument/2006/relationships/hyperlink" Target="http://payamnoor1391.blogfa.com/" TargetMode="External"/><Relationship Id="rId3582" Type="http://schemas.openxmlformats.org/officeDocument/2006/relationships/hyperlink" Target="https://pbs.twimg.com/media/Dlq8QQDU8AAFK4c.jpg" TargetMode="External"/><Relationship Id="rId296" Type="http://schemas.openxmlformats.org/officeDocument/2006/relationships/hyperlink" Target="https://pbs.twimg.com/media/DmT-AGmXoAEujdt.jpg" TargetMode="External"/><Relationship Id="rId2184" Type="http://schemas.openxmlformats.org/officeDocument/2006/relationships/hyperlink" Target="https://pbs.twimg.com/media/Dl1PC5AU8AEVTek.jpg" TargetMode="External"/><Relationship Id="rId2391" Type="http://schemas.openxmlformats.org/officeDocument/2006/relationships/hyperlink" Target="http://www.voisfarsi.com/" TargetMode="External"/><Relationship Id="rId3028" Type="http://schemas.openxmlformats.org/officeDocument/2006/relationships/hyperlink" Target="https://pbs.twimg.com/media/DltcjplW0AEAtqs.jpg" TargetMode="External"/><Relationship Id="rId3235" Type="http://schemas.openxmlformats.org/officeDocument/2006/relationships/hyperlink" Target="http://mcaf.ee/o8ulm0?avinaar21" TargetMode="External"/><Relationship Id="rId3442" Type="http://schemas.openxmlformats.org/officeDocument/2006/relationships/hyperlink" Target="https://twitter.com/ebtekarm_ir/status/1034385003671633921" TargetMode="External"/><Relationship Id="rId156" Type="http://schemas.openxmlformats.org/officeDocument/2006/relationships/hyperlink" Target="http://hosseini.info/" TargetMode="External"/><Relationship Id="rId363" Type="http://schemas.openxmlformats.org/officeDocument/2006/relationships/hyperlink" Target="http://www.irvds.net/" TargetMode="External"/><Relationship Id="rId570" Type="http://schemas.openxmlformats.org/officeDocument/2006/relationships/hyperlink" Target="https://pbs.twimg.com/media/DmQf0YQWsAEAGxE.png" TargetMode="External"/><Relationship Id="rId2044" Type="http://schemas.openxmlformats.org/officeDocument/2006/relationships/hyperlink" Target="https://pbs.twimg.com/media/Dl3yhVfXoAAae9w.jpg" TargetMode="External"/><Relationship Id="rId2251" Type="http://schemas.openxmlformats.org/officeDocument/2006/relationships/hyperlink" Target="https://www.instagram.com/vakilulroaya" TargetMode="External"/><Relationship Id="rId3302" Type="http://schemas.openxmlformats.org/officeDocument/2006/relationships/hyperlink" Target="http://instagram.com/masoud.kheirkhah" TargetMode="External"/><Relationship Id="rId223" Type="http://schemas.openxmlformats.org/officeDocument/2006/relationships/hyperlink" Target="http://entekhab.ir/" TargetMode="External"/><Relationship Id="rId430" Type="http://schemas.openxmlformats.org/officeDocument/2006/relationships/hyperlink" Target="https://pbs.twimg.com/media/DmR58JPX0AAi2eD.jpg" TargetMode="External"/><Relationship Id="rId1060" Type="http://schemas.openxmlformats.org/officeDocument/2006/relationships/hyperlink" Target="https://pbs.twimg.com/media/DmLHChaXoAAtd1a.jpg" TargetMode="External"/><Relationship Id="rId2111" Type="http://schemas.openxmlformats.org/officeDocument/2006/relationships/hyperlink" Target="https://twitter.com/031esf/status/1035147180783362050" TargetMode="External"/><Relationship Id="rId1877" Type="http://schemas.openxmlformats.org/officeDocument/2006/relationships/hyperlink" Target="https://twitter.com/padash_mr/status/1035477176903188480" TargetMode="External"/><Relationship Id="rId2928" Type="http://schemas.openxmlformats.org/officeDocument/2006/relationships/hyperlink" Target="https://www.isna.ir/news/97060703289/" TargetMode="External"/><Relationship Id="rId1737" Type="http://schemas.openxmlformats.org/officeDocument/2006/relationships/hyperlink" Target="http://instagram.com/thisisalirostami" TargetMode="External"/><Relationship Id="rId1944" Type="http://schemas.openxmlformats.org/officeDocument/2006/relationships/hyperlink" Target="https://pbs.twimg.com/media/Dl69z9QW4AAZiG1.jpg" TargetMode="External"/><Relationship Id="rId3092" Type="http://schemas.openxmlformats.org/officeDocument/2006/relationships/hyperlink" Target="https://pbs.twimg.com/media/DltPCjmXgAE0mEp.jpg" TargetMode="External"/><Relationship Id="rId29" Type="http://schemas.openxmlformats.org/officeDocument/2006/relationships/hyperlink" Target="http://cyberwarzone.com/" TargetMode="External"/><Relationship Id="rId1804" Type="http://schemas.openxmlformats.org/officeDocument/2006/relationships/hyperlink" Target="https://pbs.twimg.com/media/Dl-qREDXsAUSf1F.jpg" TargetMode="External"/><Relationship Id="rId897" Type="http://schemas.openxmlformats.org/officeDocument/2006/relationships/hyperlink" Target="https://pbs.twimg.com/media/DmOS_GnWsAAH3DU.jpg" TargetMode="External"/><Relationship Id="rId2578" Type="http://schemas.openxmlformats.org/officeDocument/2006/relationships/hyperlink" Target="https://pbs.twimg.com/media/DlwdZ82W4AAOAx3.jpg" TargetMode="External"/><Relationship Id="rId2785" Type="http://schemas.openxmlformats.org/officeDocument/2006/relationships/hyperlink" Target="http://www.didehbansistan.ir/" TargetMode="External"/><Relationship Id="rId2992" Type="http://schemas.openxmlformats.org/officeDocument/2006/relationships/hyperlink" Target="https://pbs.twimg.com/media/DltpvVvW4A0TkPF.jpg" TargetMode="External"/><Relationship Id="rId3629" Type="http://schemas.openxmlformats.org/officeDocument/2006/relationships/hyperlink" Target="https://pbs.twimg.com/media/DlqucpoX4AALZAE.jpg" TargetMode="External"/><Relationship Id="rId757" Type="http://schemas.openxmlformats.org/officeDocument/2006/relationships/hyperlink" Target="http://pic.twitter.com/w2SoCSBiiZ" TargetMode="External"/><Relationship Id="rId964" Type="http://schemas.openxmlformats.org/officeDocument/2006/relationships/hyperlink" Target="https://twitter.com/Rouhani_ir/status/483931418603827200" TargetMode="External"/><Relationship Id="rId1387" Type="http://schemas.openxmlformats.org/officeDocument/2006/relationships/hyperlink" Target="https://pbs.twimg.com/media/DmFxg-2XoAE2Pk3.jpg" TargetMode="External"/><Relationship Id="rId1594" Type="http://schemas.openxmlformats.org/officeDocument/2006/relationships/hyperlink" Target="http://yon.ir/EITAS" TargetMode="External"/><Relationship Id="rId2438" Type="http://schemas.openxmlformats.org/officeDocument/2006/relationships/hyperlink" Target="https://twitter.com/Khamenei_fa/status/1034765384325496832" TargetMode="External"/><Relationship Id="rId2645" Type="http://schemas.openxmlformats.org/officeDocument/2006/relationships/hyperlink" Target="https://pbs.twimg.com/media/DlwQfgIXcAAHmy-.jpg" TargetMode="External"/><Relationship Id="rId2852" Type="http://schemas.openxmlformats.org/officeDocument/2006/relationships/hyperlink" Target="https://twitter.com/saeidpar/status/1034503794275434496" TargetMode="External"/><Relationship Id="rId93" Type="http://schemas.openxmlformats.org/officeDocument/2006/relationships/hyperlink" Target="http://instagram.com/gharibi137784" TargetMode="External"/><Relationship Id="rId617" Type="http://schemas.openxmlformats.org/officeDocument/2006/relationships/hyperlink" Target="http://pic.twitter.com/J57AkbdgFw" TargetMode="External"/><Relationship Id="rId824" Type="http://schemas.openxmlformats.org/officeDocument/2006/relationships/hyperlink" Target="https://twitter.com/Sarzaminesabz9/status/1022348954422243328" TargetMode="External"/><Relationship Id="rId1247" Type="http://schemas.openxmlformats.org/officeDocument/2006/relationships/hyperlink" Target="http://pic.twitter.com/oJ0NLwGnTa" TargetMode="External"/><Relationship Id="rId1454" Type="http://schemas.openxmlformats.org/officeDocument/2006/relationships/hyperlink" Target="https://www.instagram.com/hachal.haft/" TargetMode="External"/><Relationship Id="rId1661" Type="http://schemas.openxmlformats.org/officeDocument/2006/relationships/hyperlink" Target="https://twitter.com/Remisa77/status/1035841811187736576" TargetMode="External"/><Relationship Id="rId2505" Type="http://schemas.openxmlformats.org/officeDocument/2006/relationships/hyperlink" Target="https://twitter.com/Spinooza/status/1034514512341127168" TargetMode="External"/><Relationship Id="rId2712" Type="http://schemas.openxmlformats.org/officeDocument/2006/relationships/hyperlink" Target="https://pbs.twimg.com/media/Dlv9n-3W0AEGZ8X.jpg" TargetMode="External"/><Relationship Id="rId1107" Type="http://schemas.openxmlformats.org/officeDocument/2006/relationships/hyperlink" Target="https://pbs.twimg.com/media/DmKwjE8VsAE_2zP.jpg" TargetMode="External"/><Relationship Id="rId1314" Type="http://schemas.openxmlformats.org/officeDocument/2006/relationships/hyperlink" Target="https://www.instagram.com/hachal.haft/" TargetMode="External"/><Relationship Id="rId1521" Type="http://schemas.openxmlformats.org/officeDocument/2006/relationships/hyperlink" Target="https://pbs.twimg.com/media/DmEdfMRX4AAqI-j.jpg" TargetMode="External"/><Relationship Id="rId3279" Type="http://schemas.openxmlformats.org/officeDocument/2006/relationships/hyperlink" Target="https://pbs.twimg.com/media/DlsO_lvX0AAqLAf.jpg" TargetMode="External"/><Relationship Id="rId3486" Type="http://schemas.openxmlformats.org/officeDocument/2006/relationships/hyperlink" Target="http://www.translateworld.ir/" TargetMode="External"/><Relationship Id="rId20" Type="http://schemas.openxmlformats.org/officeDocument/2006/relationships/hyperlink" Target="https://telegram.me/HarfBeManBot?start=MzUyMjY5Mzk4" TargetMode="External"/><Relationship Id="rId2088" Type="http://schemas.openxmlformats.org/officeDocument/2006/relationships/hyperlink" Target="https://twitter.com/IRNA_1313/status/1034799517332332546" TargetMode="External"/><Relationship Id="rId2295" Type="http://schemas.openxmlformats.org/officeDocument/2006/relationships/hyperlink" Target="https://pbs.twimg.com/media/DlyqkK-UcAA8isw.jpg" TargetMode="External"/><Relationship Id="rId3139" Type="http://schemas.openxmlformats.org/officeDocument/2006/relationships/hyperlink" Target="https://twitter.com/hesamodin1/status/1034368948496740352" TargetMode="External"/><Relationship Id="rId3346" Type="http://schemas.openxmlformats.org/officeDocument/2006/relationships/hyperlink" Target="http://fal.cn/Vxu1" TargetMode="External"/><Relationship Id="rId267" Type="http://schemas.openxmlformats.org/officeDocument/2006/relationships/hyperlink" Target="https://t.me/amitanha" TargetMode="External"/><Relationship Id="rId474" Type="http://schemas.openxmlformats.org/officeDocument/2006/relationships/hyperlink" Target="http://pic.twitter.com/jGeDazmylU" TargetMode="External"/><Relationship Id="rId2155" Type="http://schemas.openxmlformats.org/officeDocument/2006/relationships/hyperlink" Target="http://pic.twitter.com/DbyKZWbFhX" TargetMode="External"/><Relationship Id="rId3553" Type="http://schemas.openxmlformats.org/officeDocument/2006/relationships/hyperlink" Target="https://telegram.me/harfbemanbot?start=MzIzNjAxMzAw" TargetMode="External"/><Relationship Id="rId127" Type="http://schemas.openxmlformats.org/officeDocument/2006/relationships/hyperlink" Target="http://t.me/AshQd" TargetMode="External"/><Relationship Id="rId681" Type="http://schemas.openxmlformats.org/officeDocument/2006/relationships/hyperlink" Target="https://pbs.twimg.com/media/DmQARXyU0AEaW_p.jpg" TargetMode="External"/><Relationship Id="rId2362" Type="http://schemas.openxmlformats.org/officeDocument/2006/relationships/hyperlink" Target="http://pic.twitter.com/REut4WRi3y" TargetMode="External"/><Relationship Id="rId3206" Type="http://schemas.openxmlformats.org/officeDocument/2006/relationships/hyperlink" Target="http://www.iranthisway.com/" TargetMode="External"/><Relationship Id="rId3413" Type="http://schemas.openxmlformats.org/officeDocument/2006/relationships/hyperlink" Target="http://boursenews.ir/" TargetMode="External"/><Relationship Id="rId3620" Type="http://schemas.openxmlformats.org/officeDocument/2006/relationships/hyperlink" Target="http://instagram.com/m.lavasani" TargetMode="External"/><Relationship Id="rId334" Type="http://schemas.openxmlformats.org/officeDocument/2006/relationships/hyperlink" Target="http://pic.twitter.com/H6e8aRcpTK" TargetMode="External"/><Relationship Id="rId541" Type="http://schemas.openxmlformats.org/officeDocument/2006/relationships/hyperlink" Target="https://www.tir.ir/" TargetMode="External"/><Relationship Id="rId1171" Type="http://schemas.openxmlformats.org/officeDocument/2006/relationships/hyperlink" Target="https://asre-eghtesad.com/" TargetMode="External"/><Relationship Id="rId2015" Type="http://schemas.openxmlformats.org/officeDocument/2006/relationships/hyperlink" Target="https://www.iranntv.com/2018/08/30/%da%af%d8%b2%d8%a7%d8%b1%d8%b4-%d8%ae%d8%a8%d8%b1%db%8c-%d8%b4%d8%b9%d9%84%d9%87%e2%80%8c%e2%80%8c%d9%87%d8%a7%db%8c-%d8%b3%d8%b1%da%a9%d8%b4-%d8%a8%d8%ad%d8%b1%d8%a7%d9%86-%d8%af%d8%b1%d9%88%d9%86/" TargetMode="External"/><Relationship Id="rId2222" Type="http://schemas.openxmlformats.org/officeDocument/2006/relationships/hyperlink" Target="http://instagram.com/aliakbar_moslehi" TargetMode="External"/><Relationship Id="rId401" Type="http://schemas.openxmlformats.org/officeDocument/2006/relationships/hyperlink" Target="https://t.me/Taghadom" TargetMode="External"/><Relationship Id="rId1031" Type="http://schemas.openxmlformats.org/officeDocument/2006/relationships/hyperlink" Target="http://v.aa.com.tr/1245419" TargetMode="External"/><Relationship Id="rId1988" Type="http://schemas.openxmlformats.org/officeDocument/2006/relationships/hyperlink" Target="https://pbs.twimg.com/media/Dl6F_jPX4AA3qRd.jpg" TargetMode="External"/><Relationship Id="rId1848" Type="http://schemas.openxmlformats.org/officeDocument/2006/relationships/hyperlink" Target="https://twitter.com/hamidrasaee/status/1035500776213372928" TargetMode="External"/><Relationship Id="rId3063" Type="http://schemas.openxmlformats.org/officeDocument/2006/relationships/hyperlink" Target="https://pbs.twimg.com/media/DltSnOkXoAYjlb5.jpg" TargetMode="External"/><Relationship Id="rId3270" Type="http://schemas.openxmlformats.org/officeDocument/2006/relationships/hyperlink" Target="https://pbs.twimg.com/media/DlsV2C2XoAE_R10.jpg" TargetMode="External"/><Relationship Id="rId191" Type="http://schemas.openxmlformats.org/officeDocument/2006/relationships/hyperlink" Target="http://pic.twitter.com/HvwvwHAqqW" TargetMode="External"/><Relationship Id="rId1708" Type="http://schemas.openxmlformats.org/officeDocument/2006/relationships/hyperlink" Target="https://pbs.twimg.com/media/Dl_5Hr3V4AEz13l.jpg" TargetMode="External"/><Relationship Id="rId1915" Type="http://schemas.openxmlformats.org/officeDocument/2006/relationships/hyperlink" Target="http://www.masoudborbor.com/" TargetMode="External"/><Relationship Id="rId3130" Type="http://schemas.openxmlformats.org/officeDocument/2006/relationships/hyperlink" Target="http://jahaneghtesad.com/" TargetMode="External"/><Relationship Id="rId2689" Type="http://schemas.openxmlformats.org/officeDocument/2006/relationships/hyperlink" Target="https://www.farsnews.com/news/13970607000128/%d8%b3%d9%88%d8%a7%d9%84-%d8%a7%d8%b2-%d8%b1%d8%a6%db%8c%d8%b3%e2%80%8c%d8%ac%d9%85%d9%87%d9%88%d8%b1-%d9%82%d8%a7%d8%a8%d9%84-%d8%a7%d8%b1%d8%ac%d8%a7%d8%b9-%d8%a8%d9%87-%d9%82%d9%88%d9%87-%d9%82%d8%b6%d8%a7%db%8c%db%8c%d9%87-%d9%86%db%8c%d8%b3%d8%aa" TargetMode="External"/><Relationship Id="rId2896" Type="http://schemas.openxmlformats.org/officeDocument/2006/relationships/hyperlink" Target="http://eitaa.com/mahdi_move_313" TargetMode="External"/><Relationship Id="rId868" Type="http://schemas.openxmlformats.org/officeDocument/2006/relationships/hyperlink" Target="http://entekhab.ir/" TargetMode="External"/><Relationship Id="rId1498" Type="http://schemas.openxmlformats.org/officeDocument/2006/relationships/hyperlink" Target="https://pbs.twimg.com/media/Dll400PW4AAlfR8.jpg" TargetMode="External"/><Relationship Id="rId2549" Type="http://schemas.openxmlformats.org/officeDocument/2006/relationships/hyperlink" Target="https://pbs.twimg.com/media/DlwmmTKXcAAF5zZ.jpg" TargetMode="External"/><Relationship Id="rId2756" Type="http://schemas.openxmlformats.org/officeDocument/2006/relationships/hyperlink" Target="http://entekhab.ir/" TargetMode="External"/><Relationship Id="rId2963" Type="http://schemas.openxmlformats.org/officeDocument/2006/relationships/hyperlink" Target="https://twitter.com/SaeedBarabadi/status/1034401027162759168" TargetMode="External"/><Relationship Id="rId728" Type="http://schemas.openxmlformats.org/officeDocument/2006/relationships/hyperlink" Target="https://pbs.twimg.com/media/DmPpA0QW0AAEOhw.jpg" TargetMode="External"/><Relationship Id="rId935" Type="http://schemas.openxmlformats.org/officeDocument/2006/relationships/hyperlink" Target="http://www.vatanemrooz.ir/" TargetMode="External"/><Relationship Id="rId1358" Type="http://schemas.openxmlformats.org/officeDocument/2006/relationships/hyperlink" Target="http://www.iranntv.com/" TargetMode="External"/><Relationship Id="rId1565" Type="http://schemas.openxmlformats.org/officeDocument/2006/relationships/hyperlink" Target="http://ensafnews.com/" TargetMode="External"/><Relationship Id="rId1772" Type="http://schemas.openxmlformats.org/officeDocument/2006/relationships/hyperlink" Target="https://pbs.twimg.com/media/Dl_DAvmXoAEeBAJ.jpg" TargetMode="External"/><Relationship Id="rId2409" Type="http://schemas.openxmlformats.org/officeDocument/2006/relationships/hyperlink" Target="https://pbs.twimg.com/media/DlxnPGlWsAYf3Nm.jpg" TargetMode="External"/><Relationship Id="rId2616" Type="http://schemas.openxmlformats.org/officeDocument/2006/relationships/hyperlink" Target="https://www.yjc.ir/00RtrY" TargetMode="External"/><Relationship Id="rId64" Type="http://schemas.openxmlformats.org/officeDocument/2006/relationships/hyperlink" Target="https://pbs.twimg.com/media/DmVN2fTX0AE_MqQ.jpg" TargetMode="External"/><Relationship Id="rId1218" Type="http://schemas.openxmlformats.org/officeDocument/2006/relationships/hyperlink" Target="http://khabarfoori.com/detail/564429" TargetMode="External"/><Relationship Id="rId1425" Type="http://schemas.openxmlformats.org/officeDocument/2006/relationships/hyperlink" Target="https://pbs.twimg.com/media/Dl_YetnWwAA33S8.jpg" TargetMode="External"/><Relationship Id="rId2823" Type="http://schemas.openxmlformats.org/officeDocument/2006/relationships/hyperlink" Target="https://pbs.twimg.com/media/DlvrsEOXcAE37vd.jpg" TargetMode="External"/><Relationship Id="rId1632" Type="http://schemas.openxmlformats.org/officeDocument/2006/relationships/hyperlink" Target="http://akharinkhabar.ir/" TargetMode="External"/><Relationship Id="rId2199" Type="http://schemas.openxmlformats.org/officeDocument/2006/relationships/hyperlink" Target="http://pic.twitter.com/prpoJ2BJSd" TargetMode="External"/><Relationship Id="rId3597" Type="http://schemas.openxmlformats.org/officeDocument/2006/relationships/hyperlink" Target="https://pbs.twimg.com/media/Dlq7lN-XgAE2Hpq.jpg" TargetMode="External"/><Relationship Id="rId3457" Type="http://schemas.openxmlformats.org/officeDocument/2006/relationships/hyperlink" Target="https://pbs.twimg.com/media/DlrjCHSWwAAnlDu.jpg" TargetMode="External"/><Relationship Id="rId378" Type="http://schemas.openxmlformats.org/officeDocument/2006/relationships/hyperlink" Target="https://pbs.twimg.com/media/DmPrXTdW0AAyFC6.jpg" TargetMode="External"/><Relationship Id="rId585" Type="http://schemas.openxmlformats.org/officeDocument/2006/relationships/hyperlink" Target="http://tasnimnews.com/" TargetMode="External"/><Relationship Id="rId792" Type="http://schemas.openxmlformats.org/officeDocument/2006/relationships/hyperlink" Target="https://pbs.twimg.com/media/DmPTJLLUwAEIpyA.jpg" TargetMode="External"/><Relationship Id="rId2059" Type="http://schemas.openxmlformats.org/officeDocument/2006/relationships/hyperlink" Target="https://pbs.twimg.com/media/Dl3f6j_WwAAb2QD.jpg" TargetMode="External"/><Relationship Id="rId2266" Type="http://schemas.openxmlformats.org/officeDocument/2006/relationships/hyperlink" Target="https://pbs.twimg.com/media/Dly-pKQUcAUVA3x.jpg" TargetMode="External"/><Relationship Id="rId2473" Type="http://schemas.openxmlformats.org/officeDocument/2006/relationships/hyperlink" Target="https://pbs.twimg.com/media/DlxGzvzUcAE6ro3.jpg" TargetMode="External"/><Relationship Id="rId2680" Type="http://schemas.openxmlformats.org/officeDocument/2006/relationships/hyperlink" Target="http://mirzamohammadi.blogfa.com/" TargetMode="External"/><Relationship Id="rId3317" Type="http://schemas.openxmlformats.org/officeDocument/2006/relationships/hyperlink" Target="http://www.mehrnews.com/" TargetMode="External"/><Relationship Id="rId3524" Type="http://schemas.openxmlformats.org/officeDocument/2006/relationships/hyperlink" Target="http://pic.twitter.com/LYUWQ1h85W" TargetMode="External"/><Relationship Id="rId238" Type="http://schemas.openxmlformats.org/officeDocument/2006/relationships/hyperlink" Target="https://twitter.com/mtrrad2/status/1037252905353601024" TargetMode="External"/><Relationship Id="rId445" Type="http://schemas.openxmlformats.org/officeDocument/2006/relationships/hyperlink" Target="http://www.eftekhari42.com/" TargetMode="External"/><Relationship Id="rId652" Type="http://schemas.openxmlformats.org/officeDocument/2006/relationships/hyperlink" Target="https://pbs.twimg.com/media/DmQJYcuWwAIDmA-.jpg" TargetMode="External"/><Relationship Id="rId1075" Type="http://schemas.openxmlformats.org/officeDocument/2006/relationships/hyperlink" Target="http://pic.twitter.com/QGAzeEvpIG" TargetMode="External"/><Relationship Id="rId1282" Type="http://schemas.openxmlformats.org/officeDocument/2006/relationships/hyperlink" Target="https://pbs.twimg.com/media/DmHHLPBWsAAu59O.jpg" TargetMode="External"/><Relationship Id="rId2126" Type="http://schemas.openxmlformats.org/officeDocument/2006/relationships/hyperlink" Target="http://pic.twitter.com/UbjFrupCBt" TargetMode="External"/><Relationship Id="rId2333" Type="http://schemas.openxmlformats.org/officeDocument/2006/relationships/hyperlink" Target="https://article.mojahedin.org/id/a17f5ac9-22ae-4ec4-badf-1fd4e0b1c742" TargetMode="External"/><Relationship Id="rId2540" Type="http://schemas.openxmlformats.org/officeDocument/2006/relationships/hyperlink" Target="https://pbs.twimg.com/media/DlwqZzOXcAAixne.jpg" TargetMode="External"/><Relationship Id="rId305" Type="http://schemas.openxmlformats.org/officeDocument/2006/relationships/hyperlink" Target="http://qalampress.ir/" TargetMode="External"/><Relationship Id="rId512" Type="http://schemas.openxmlformats.org/officeDocument/2006/relationships/hyperlink" Target="http://instagram.me/Mahtab.kardouni74" TargetMode="External"/><Relationship Id="rId1142" Type="http://schemas.openxmlformats.org/officeDocument/2006/relationships/hyperlink" Target="https://t.me/saeedabbasian12" TargetMode="External"/><Relationship Id="rId2400" Type="http://schemas.openxmlformats.org/officeDocument/2006/relationships/hyperlink" Target="https://factnameh.com/fact-checks/2018-08-29-rouhani-jobs.html" TargetMode="External"/><Relationship Id="rId1002" Type="http://schemas.openxmlformats.org/officeDocument/2006/relationships/hyperlink" Target="http://jahaneghtesad.com/" TargetMode="External"/><Relationship Id="rId1959" Type="http://schemas.openxmlformats.org/officeDocument/2006/relationships/hyperlink" Target="https://t.me/saeedabbasian12" TargetMode="External"/><Relationship Id="rId3174" Type="http://schemas.openxmlformats.org/officeDocument/2006/relationships/hyperlink" Target="https://pbs.twimg.com/media/DlszKU1XsAAFjeC.jpg" TargetMode="External"/><Relationship Id="rId1819" Type="http://schemas.openxmlformats.org/officeDocument/2006/relationships/hyperlink" Target="https://twitter.com/afsharmahnaz/status/1035663899608133633" TargetMode="External"/><Relationship Id="rId3381" Type="http://schemas.openxmlformats.org/officeDocument/2006/relationships/hyperlink" Target="https://pbs.twimg.com/media/DlrzBQ6WwAID8D8.jpg" TargetMode="External"/><Relationship Id="rId2190" Type="http://schemas.openxmlformats.org/officeDocument/2006/relationships/hyperlink" Target="https://facebook.com/officialaliashini" TargetMode="External"/><Relationship Id="rId3034" Type="http://schemas.openxmlformats.org/officeDocument/2006/relationships/hyperlink" Target="https://twitter.com/DrAboutalebi/status/1034518429397594112" TargetMode="External"/><Relationship Id="rId3241" Type="http://schemas.openxmlformats.org/officeDocument/2006/relationships/hyperlink" Target="http://www.khamenei.ir/" TargetMode="External"/><Relationship Id="rId162" Type="http://schemas.openxmlformats.org/officeDocument/2006/relationships/hyperlink" Target="http://instagram.com/amirsajaadian" TargetMode="External"/><Relationship Id="rId2050" Type="http://schemas.openxmlformats.org/officeDocument/2006/relationships/hyperlink" Target="http://instagram.com/omidsalek/" TargetMode="External"/><Relationship Id="rId3101" Type="http://schemas.openxmlformats.org/officeDocument/2006/relationships/hyperlink" Target="http://instagram.com/mrezaa1211" TargetMode="External"/><Relationship Id="rId979" Type="http://schemas.openxmlformats.org/officeDocument/2006/relationships/hyperlink" Target="http://www.telegram.me/tanzistansialism" TargetMode="External"/><Relationship Id="rId839" Type="http://schemas.openxmlformats.org/officeDocument/2006/relationships/hyperlink" Target="https://pbs.twimg.com/media/DmO7idoXsAA9Jit.jpg" TargetMode="External"/><Relationship Id="rId1469" Type="http://schemas.openxmlformats.org/officeDocument/2006/relationships/hyperlink" Target="http://www.irna.ir/fa/video/3645394" TargetMode="External"/><Relationship Id="rId2867" Type="http://schemas.openxmlformats.org/officeDocument/2006/relationships/hyperlink" Target="https://pbs.twimg.com/media/Dlvba6rW0AE_8jg.jpg" TargetMode="External"/><Relationship Id="rId1676" Type="http://schemas.openxmlformats.org/officeDocument/2006/relationships/hyperlink" Target="http://etehadonline.com/news/636875/" TargetMode="External"/><Relationship Id="rId1883" Type="http://schemas.openxmlformats.org/officeDocument/2006/relationships/hyperlink" Target="http://trtpersian.com/" TargetMode="External"/><Relationship Id="rId2727" Type="http://schemas.openxmlformats.org/officeDocument/2006/relationships/hyperlink" Target="https://twitter.com/Hadi_167/status/1034686180699324416" TargetMode="External"/><Relationship Id="rId2934" Type="http://schemas.openxmlformats.org/officeDocument/2006/relationships/hyperlink" Target="https://pbs.twimg.com/media/DluCnYSXoAATmEu.jpg" TargetMode="External"/><Relationship Id="rId906" Type="http://schemas.openxmlformats.org/officeDocument/2006/relationships/hyperlink" Target="http://www.mehrnews.com/" TargetMode="External"/><Relationship Id="rId1329" Type="http://schemas.openxmlformats.org/officeDocument/2006/relationships/hyperlink" Target="https://pbs.twimg.com/media/DmGlnFAW0AAFC0N.jpg" TargetMode="External"/><Relationship Id="rId1536" Type="http://schemas.openxmlformats.org/officeDocument/2006/relationships/hyperlink" Target="https://www.instagram.com/roshangarii" TargetMode="External"/><Relationship Id="rId1743" Type="http://schemas.openxmlformats.org/officeDocument/2006/relationships/hyperlink" Target="http://www.khoorna.com/" TargetMode="External"/><Relationship Id="rId1950" Type="http://schemas.openxmlformats.org/officeDocument/2006/relationships/hyperlink" Target="https://pbs.twimg.com/media/Dl613fFU0AAD8wo.jpg" TargetMode="External"/><Relationship Id="rId35" Type="http://schemas.openxmlformats.org/officeDocument/2006/relationships/hyperlink" Target="https://pbs.twimg.com/media/DmVXh4sXoAEptFr.jpg" TargetMode="External"/><Relationship Id="rId1603" Type="http://schemas.openxmlformats.org/officeDocument/2006/relationships/hyperlink" Target="https://twitter.com/FarsNews_Agency/status/1035947302052093953" TargetMode="External"/><Relationship Id="rId1810" Type="http://schemas.openxmlformats.org/officeDocument/2006/relationships/hyperlink" Target="http://etehadonline.com/news/636170/" TargetMode="External"/><Relationship Id="rId3568" Type="http://schemas.openxmlformats.org/officeDocument/2006/relationships/hyperlink" Target="https://t.me/ghaaraar" TargetMode="External"/><Relationship Id="rId489" Type="http://schemas.openxmlformats.org/officeDocument/2006/relationships/hyperlink" Target="https://pbs.twimg.com/media/DmQ45R9U4AEVFxE.jpg" TargetMode="External"/><Relationship Id="rId696" Type="http://schemas.openxmlformats.org/officeDocument/2006/relationships/hyperlink" Target="https://twitter.com/Mrym_4627/status/1036705531971465216" TargetMode="External"/><Relationship Id="rId2377" Type="http://schemas.openxmlformats.org/officeDocument/2006/relationships/hyperlink" Target="https://pbs.twimg.com/media/Dlx7xfnXcAAw9LV.jpg" TargetMode="External"/><Relationship Id="rId2584" Type="http://schemas.openxmlformats.org/officeDocument/2006/relationships/hyperlink" Target="https://www.sazinco.ir/" TargetMode="External"/><Relationship Id="rId2791" Type="http://schemas.openxmlformats.org/officeDocument/2006/relationships/hyperlink" Target="https://pbs.twimg.com/media/DlvwwvEX4AAXHyM.jpg" TargetMode="External"/><Relationship Id="rId3428" Type="http://schemas.openxmlformats.org/officeDocument/2006/relationships/hyperlink" Target="https://pbs.twimg.com/media/DlrllkhXcAAHkOd.jpg" TargetMode="External"/><Relationship Id="rId3635" Type="http://schemas.openxmlformats.org/officeDocument/2006/relationships/hyperlink" Target="https://pbs.twimg.com/media/DlquOaNX4AA5l1W.jpg" TargetMode="External"/><Relationship Id="rId349" Type="http://schemas.openxmlformats.org/officeDocument/2006/relationships/hyperlink" Target="http://nikprint.ir/" TargetMode="External"/><Relationship Id="rId556" Type="http://schemas.openxmlformats.org/officeDocument/2006/relationships/hyperlink" Target="http://t.me/iRezaFeizi" TargetMode="External"/><Relationship Id="rId763" Type="http://schemas.openxmlformats.org/officeDocument/2006/relationships/hyperlink" Target="http://www.iranntv.com/" TargetMode="External"/><Relationship Id="rId1186" Type="http://schemas.openxmlformats.org/officeDocument/2006/relationships/hyperlink" Target="https://pbs.twimg.com/media/DmJ-s6SX4AA7nVi.jpg" TargetMode="External"/><Relationship Id="rId1393" Type="http://schemas.openxmlformats.org/officeDocument/2006/relationships/hyperlink" Target="https://pbs.twimg.com/media/DmFr2NXWsAAWLyy.jpg" TargetMode="External"/><Relationship Id="rId2237" Type="http://schemas.openxmlformats.org/officeDocument/2006/relationships/hyperlink" Target="https://www.isna.ir/archive?jr=56223294" TargetMode="External"/><Relationship Id="rId2444" Type="http://schemas.openxmlformats.org/officeDocument/2006/relationships/hyperlink" Target="http://pic.twitter.com/4ATpFssrvz" TargetMode="External"/><Relationship Id="rId209" Type="http://schemas.openxmlformats.org/officeDocument/2006/relationships/hyperlink" Target="http://www.jamejamonline.ir/" TargetMode="External"/><Relationship Id="rId416" Type="http://schemas.openxmlformats.org/officeDocument/2006/relationships/hyperlink" Target="https://pbs.twimg.com/media/DmR8g0mWwAAlFfs.jpg" TargetMode="External"/><Relationship Id="rId970" Type="http://schemas.openxmlformats.org/officeDocument/2006/relationships/hyperlink" Target="https://pbs.twimg.com/media/DmMDmYLXcAAoUcF.jpg" TargetMode="External"/><Relationship Id="rId1046" Type="http://schemas.openxmlformats.org/officeDocument/2006/relationships/hyperlink" Target="http://cyberwarzone.com/" TargetMode="External"/><Relationship Id="rId1253" Type="http://schemas.openxmlformats.org/officeDocument/2006/relationships/hyperlink" Target="https://t.me/PastoNews" TargetMode="External"/><Relationship Id="rId2651" Type="http://schemas.openxmlformats.org/officeDocument/2006/relationships/hyperlink" Target="https://www.radiozamaneh.com/409788" TargetMode="External"/><Relationship Id="rId623" Type="http://schemas.openxmlformats.org/officeDocument/2006/relationships/hyperlink" Target="http://pic.twitter.com/J57AkbdgFw" TargetMode="External"/><Relationship Id="rId830" Type="http://schemas.openxmlformats.org/officeDocument/2006/relationships/hyperlink" Target="http://sobhe-no.ir/" TargetMode="External"/><Relationship Id="rId1460" Type="http://schemas.openxmlformats.org/officeDocument/2006/relationships/hyperlink" Target="https://pbs.twimg.com/media/DmFH2RdX0AAITq8.jpg" TargetMode="External"/><Relationship Id="rId2304" Type="http://schemas.openxmlformats.org/officeDocument/2006/relationships/hyperlink" Target="https://bit.ly/2PLZox4" TargetMode="External"/><Relationship Id="rId2511" Type="http://schemas.openxmlformats.org/officeDocument/2006/relationships/hyperlink" Target="https://pbs.twimg.com/media/Dlw3T8jW4AMw1os.jpg" TargetMode="External"/><Relationship Id="rId1113" Type="http://schemas.openxmlformats.org/officeDocument/2006/relationships/hyperlink" Target="https://pbs.twimg.com/media/DmKvd7zXcAAtaoi.jpg" TargetMode="External"/><Relationship Id="rId1320" Type="http://schemas.openxmlformats.org/officeDocument/2006/relationships/hyperlink" Target="http://akharinkhabar.ir/politics/4559571" TargetMode="External"/><Relationship Id="rId3078" Type="http://schemas.openxmlformats.org/officeDocument/2006/relationships/hyperlink" Target="https://pbs.twimg.com/media/DltQQ-6WsAIsGlq.jpg" TargetMode="External"/><Relationship Id="rId3285" Type="http://schemas.openxmlformats.org/officeDocument/2006/relationships/hyperlink" Target="https://news.mojahedin.org/id/a0f520e8-2c27-4138-aba4-726672ffd237" TargetMode="External"/><Relationship Id="rId3492" Type="http://schemas.openxmlformats.org/officeDocument/2006/relationships/hyperlink" Target="https://pbs.twimg.com/media/DlrW-ldW4AAuC63.jpg" TargetMode="External"/><Relationship Id="rId2094" Type="http://schemas.openxmlformats.org/officeDocument/2006/relationships/hyperlink" Target="https://twitter.com/yekiroboti/status/1034327022636605441" TargetMode="External"/><Relationship Id="rId3145" Type="http://schemas.openxmlformats.org/officeDocument/2006/relationships/hyperlink" Target="http://instagram.com/hamzeh_akbaripoor" TargetMode="External"/><Relationship Id="rId3352" Type="http://schemas.openxmlformats.org/officeDocument/2006/relationships/hyperlink" Target="https://pbs.twimg.com/media/Dlr_ZP8VAAA3lB6.jpg" TargetMode="External"/><Relationship Id="rId273" Type="http://schemas.openxmlformats.org/officeDocument/2006/relationships/hyperlink" Target="http://pic.twitter.com/mPjQ17NB8C" TargetMode="External"/><Relationship Id="rId480" Type="http://schemas.openxmlformats.org/officeDocument/2006/relationships/hyperlink" Target="https://twitter.com/ayparaci_sadat/status/1036990153385025536" TargetMode="External"/><Relationship Id="rId2161" Type="http://schemas.openxmlformats.org/officeDocument/2006/relationships/hyperlink" Target="http://pic.twitter.com/aEd131prY6" TargetMode="External"/><Relationship Id="rId3005" Type="http://schemas.openxmlformats.org/officeDocument/2006/relationships/hyperlink" Target="https://pbs.twimg.com/media/DltlNx5XgAIA72E.jpg" TargetMode="External"/><Relationship Id="rId3212" Type="http://schemas.openxmlformats.org/officeDocument/2006/relationships/hyperlink" Target="http://www.dn53.ir/" TargetMode="External"/><Relationship Id="rId133" Type="http://schemas.openxmlformats.org/officeDocument/2006/relationships/hyperlink" Target="http://www.tvccando.com/" TargetMode="External"/><Relationship Id="rId340" Type="http://schemas.openxmlformats.org/officeDocument/2006/relationships/hyperlink" Target="https://pbs.twimg.com/media/DmTxM2tXcAA3aya.jpg" TargetMode="External"/><Relationship Id="rId2021" Type="http://schemas.openxmlformats.org/officeDocument/2006/relationships/hyperlink" Target="http://snn.ir/002xbk" TargetMode="External"/><Relationship Id="rId200" Type="http://schemas.openxmlformats.org/officeDocument/2006/relationships/hyperlink" Target="https://pbs.twimg.com/media/DmUc8ZoW4AUugXy.jpg" TargetMode="External"/><Relationship Id="rId2978" Type="http://schemas.openxmlformats.org/officeDocument/2006/relationships/hyperlink" Target="http://instagram.com/mehrdad_najafpour" TargetMode="External"/><Relationship Id="rId1787" Type="http://schemas.openxmlformats.org/officeDocument/2006/relationships/hyperlink" Target="http://tinyurl.com/y8vj9hvo" TargetMode="External"/><Relationship Id="rId1994" Type="http://schemas.openxmlformats.org/officeDocument/2006/relationships/hyperlink" Target="http://radiozamaneh.com/" TargetMode="External"/><Relationship Id="rId2838" Type="http://schemas.openxmlformats.org/officeDocument/2006/relationships/hyperlink" Target="https://pbs.twimg.com/media/DlvpFdVXgAEQ5T7.jpg" TargetMode="External"/><Relationship Id="rId79" Type="http://schemas.openxmlformats.org/officeDocument/2006/relationships/hyperlink" Target="http://khabarfoori.com/detail/570831" TargetMode="External"/><Relationship Id="rId1647" Type="http://schemas.openxmlformats.org/officeDocument/2006/relationships/hyperlink" Target="http://www.mmzahedi.ir/" TargetMode="External"/><Relationship Id="rId1854" Type="http://schemas.openxmlformats.org/officeDocument/2006/relationships/hyperlink" Target="https://pbs.twimg.com/media/Dl8zOubXsAED734.jpg" TargetMode="External"/><Relationship Id="rId2905" Type="http://schemas.openxmlformats.org/officeDocument/2006/relationships/hyperlink" Target="http://www.almahdyoon.org/" TargetMode="External"/><Relationship Id="rId1507" Type="http://schemas.openxmlformats.org/officeDocument/2006/relationships/hyperlink" Target="http://saeednevesht.blog.ir/" TargetMode="External"/><Relationship Id="rId1714" Type="http://schemas.openxmlformats.org/officeDocument/2006/relationships/hyperlink" Target="https://pbs.twimg.com/media/Dl_zLtHXsAEeJ72.jpg" TargetMode="External"/><Relationship Id="rId1921" Type="http://schemas.openxmlformats.org/officeDocument/2006/relationships/hyperlink" Target="https://pbs.twimg.com/media/Dl7bv6TVsAAd-MT.jpg" TargetMode="External"/><Relationship Id="rId2488" Type="http://schemas.openxmlformats.org/officeDocument/2006/relationships/hyperlink" Target="http://pic.twitter.com/DSm1UA5Npl" TargetMode="External"/><Relationship Id="rId1297" Type="http://schemas.openxmlformats.org/officeDocument/2006/relationships/hyperlink" Target="http://www.iranntv.com/" TargetMode="External"/><Relationship Id="rId2695" Type="http://schemas.openxmlformats.org/officeDocument/2006/relationships/hyperlink" Target="http://entekhab.ir/" TargetMode="External"/><Relationship Id="rId3539" Type="http://schemas.openxmlformats.org/officeDocument/2006/relationships/hyperlink" Target="https://telegram.me/HarfBeManBot?start=MTA5MDk4MTMy" TargetMode="External"/><Relationship Id="rId667" Type="http://schemas.openxmlformats.org/officeDocument/2006/relationships/hyperlink" Target="https://pbs.twimg.com/media/DmQDrl9W4AEnM27.jpg" TargetMode="External"/><Relationship Id="rId874" Type="http://schemas.openxmlformats.org/officeDocument/2006/relationships/hyperlink" Target="https://pbs.twimg.com/media/DmOjvX6W4AIJRrv.jpg" TargetMode="External"/><Relationship Id="rId2348" Type="http://schemas.openxmlformats.org/officeDocument/2006/relationships/hyperlink" Target="https://pbs.twimg.com/media/DlyRN0sXsAEFvvM.jpg" TargetMode="External"/><Relationship Id="rId2555" Type="http://schemas.openxmlformats.org/officeDocument/2006/relationships/hyperlink" Target="http://pic.twitter.com/an7prmJz7L" TargetMode="External"/><Relationship Id="rId2762" Type="http://schemas.openxmlformats.org/officeDocument/2006/relationships/hyperlink" Target="https://sapp.ir/khamenei_ir" TargetMode="External"/><Relationship Id="rId3606" Type="http://schemas.openxmlformats.org/officeDocument/2006/relationships/hyperlink" Target="https://t.me/xHarfBot?start=106426054" TargetMode="External"/><Relationship Id="rId527" Type="http://schemas.openxmlformats.org/officeDocument/2006/relationships/hyperlink" Target="https://pbs.twimg.com/media/DmRGOh0V4AAM9Qw.jpg" TargetMode="External"/><Relationship Id="rId734" Type="http://schemas.openxmlformats.org/officeDocument/2006/relationships/hyperlink" Target="http://pic.twitter.com/UL563n74bX" TargetMode="External"/><Relationship Id="rId941" Type="http://schemas.openxmlformats.org/officeDocument/2006/relationships/hyperlink" Target="https://pbs.twimg.com/media/DmMXtylVsAA6HQu.jpg" TargetMode="External"/><Relationship Id="rId1157" Type="http://schemas.openxmlformats.org/officeDocument/2006/relationships/hyperlink" Target="http://gholeh.blogfa.com/" TargetMode="External"/><Relationship Id="rId1364" Type="http://schemas.openxmlformats.org/officeDocument/2006/relationships/hyperlink" Target="http://bit.ly/2Q3zOnw" TargetMode="External"/><Relationship Id="rId1571" Type="http://schemas.openxmlformats.org/officeDocument/2006/relationships/hyperlink" Target="https://twitter.com/A_Raefipour/status/1035997806459277312" TargetMode="External"/><Relationship Id="rId2208" Type="http://schemas.openxmlformats.org/officeDocument/2006/relationships/hyperlink" Target="https://pbs.twimg.com/media/Dl016dvWwAAayoU.jpg" TargetMode="External"/><Relationship Id="rId2415" Type="http://schemas.openxmlformats.org/officeDocument/2006/relationships/hyperlink" Target="http://entekhab.ir/" TargetMode="External"/><Relationship Id="rId2622" Type="http://schemas.openxmlformats.org/officeDocument/2006/relationships/hyperlink" Target="https://twitter.com/KarimiGhodousi/status/1034351136709468160" TargetMode="External"/><Relationship Id="rId70" Type="http://schemas.openxmlformats.org/officeDocument/2006/relationships/hyperlink" Target="https://pbs.twimg.com/media/DmVMxnTWwAAYP78.jpg" TargetMode="External"/><Relationship Id="rId801" Type="http://schemas.openxmlformats.org/officeDocument/2006/relationships/hyperlink" Target="https://pbs.twimg.com/media/DmPLljMWsAAjkre.jpg" TargetMode="External"/><Relationship Id="rId1017" Type="http://schemas.openxmlformats.org/officeDocument/2006/relationships/hyperlink" Target="https://telegram.me/harfbzanbot?start=j0dZd8q" TargetMode="External"/><Relationship Id="rId1224" Type="http://schemas.openxmlformats.org/officeDocument/2006/relationships/hyperlink" Target="http://instagram.com/hamid__vakili" TargetMode="External"/><Relationship Id="rId1431" Type="http://schemas.openxmlformats.org/officeDocument/2006/relationships/hyperlink" Target="https://www.ilna.ir/fa/tiny/news-663738" TargetMode="External"/><Relationship Id="rId3189" Type="http://schemas.openxmlformats.org/officeDocument/2006/relationships/hyperlink" Target="http://nazokbin.ir/" TargetMode="External"/><Relationship Id="rId3396" Type="http://schemas.openxmlformats.org/officeDocument/2006/relationships/hyperlink" Target="https://t.me/iNashenas_Bot?start=39028947" TargetMode="External"/><Relationship Id="rId3049" Type="http://schemas.openxmlformats.org/officeDocument/2006/relationships/hyperlink" Target="https://pbs.twimg.com/media/DltZYi5W4AADUJO.jpg" TargetMode="External"/><Relationship Id="rId3256" Type="http://schemas.openxmlformats.org/officeDocument/2006/relationships/hyperlink" Target="https://pbs.twimg.com/media/DlsZ-9iXsAA4iTd.jpg" TargetMode="External"/><Relationship Id="rId3463" Type="http://schemas.openxmlformats.org/officeDocument/2006/relationships/hyperlink" Target="https://www.facebook.com/amirrkalhor" TargetMode="External"/><Relationship Id="rId177" Type="http://schemas.openxmlformats.org/officeDocument/2006/relationships/hyperlink" Target="https://pbs.twimg.com/media/DmUklilW0AABzwd.jpg" TargetMode="External"/><Relationship Id="rId384" Type="http://schemas.openxmlformats.org/officeDocument/2006/relationships/hyperlink" Target="http://www.yjc.ir/" TargetMode="External"/><Relationship Id="rId591" Type="http://schemas.openxmlformats.org/officeDocument/2006/relationships/hyperlink" Target="http://jahaneghtesad.com/%da%a9%d8%a7%d8%b1%d9%88%d8%a7%d9%86-%d8%b3%d8%a7%d8%b2%d9%86%d8%af%da%af%db%8c-%d8%a7%db%8c%d8%b1%d8%a7%d9%86-%d9%85%d8%aa%d9%88%d9%82%d9%81-%d9%86%d9%85%db%8c-%d8%b4%d9%88%d8%af/" TargetMode="External"/><Relationship Id="rId2065" Type="http://schemas.openxmlformats.org/officeDocument/2006/relationships/hyperlink" Target="https://pbs.twimg.com/media/Dl3dqJEXsAELayU.jpg" TargetMode="External"/><Relationship Id="rId2272" Type="http://schemas.openxmlformats.org/officeDocument/2006/relationships/hyperlink" Target="http://instagram.com/zohdi_maryam" TargetMode="External"/><Relationship Id="rId3116" Type="http://schemas.openxmlformats.org/officeDocument/2006/relationships/hyperlink" Target="https://pbs.twimg.com/media/DltFudUXcAAu6xI.jpg" TargetMode="External"/><Relationship Id="rId244" Type="http://schemas.openxmlformats.org/officeDocument/2006/relationships/hyperlink" Target="http://nazokbin.ir/" TargetMode="External"/><Relationship Id="rId1081" Type="http://schemas.openxmlformats.org/officeDocument/2006/relationships/hyperlink" Target="https://www.isna.ir/news/97060804082/" TargetMode="External"/><Relationship Id="rId3323" Type="http://schemas.openxmlformats.org/officeDocument/2006/relationships/hyperlink" Target="https://pbs.twimg.com/media/DlsJfgSXoAAX1ek.jpg" TargetMode="External"/><Relationship Id="rId3530" Type="http://schemas.openxmlformats.org/officeDocument/2006/relationships/hyperlink" Target="https://pbs.twimg.com/media/DlrJfd_WwAE5zdK.jpg" TargetMode="External"/><Relationship Id="rId451" Type="http://schemas.openxmlformats.org/officeDocument/2006/relationships/hyperlink" Target="https://pbs.twimg.com/media/DmRr-hoXoAIQfss.jpg" TargetMode="External"/><Relationship Id="rId2132" Type="http://schemas.openxmlformats.org/officeDocument/2006/relationships/hyperlink" Target="http://pic.twitter.com/Hp2voxbAyq" TargetMode="External"/><Relationship Id="rId104" Type="http://schemas.openxmlformats.org/officeDocument/2006/relationships/hyperlink" Target="https://pbs.twimg.com/media/DmU7qotX0AQpJ8D.jpg" TargetMode="External"/><Relationship Id="rId311" Type="http://schemas.openxmlformats.org/officeDocument/2006/relationships/hyperlink" Target="https://pbs.twimg.com/media/DmT6rN2XoAEw4E8.jpg" TargetMode="External"/><Relationship Id="rId1898" Type="http://schemas.openxmlformats.org/officeDocument/2006/relationships/hyperlink" Target="https://pbs.twimg.com/media/Dl70mPlWwAEBDeE.jpg" TargetMode="External"/><Relationship Id="rId2949" Type="http://schemas.openxmlformats.org/officeDocument/2006/relationships/hyperlink" Target="https://www.instagram.com/p/BnCa_ddlIaG/?utm_source=ig_twitter_share&amp;igshid=zqy5w7yl1v3f" TargetMode="External"/><Relationship Id="rId1758" Type="http://schemas.openxmlformats.org/officeDocument/2006/relationships/hyperlink" Target="https://www.instagram.com/mostafa.goldsmith" TargetMode="External"/><Relationship Id="rId2809" Type="http://schemas.openxmlformats.org/officeDocument/2006/relationships/hyperlink" Target="http://roshangari.ir/" TargetMode="External"/><Relationship Id="rId1965" Type="http://schemas.openxmlformats.org/officeDocument/2006/relationships/hyperlink" Target="https://pbs.twimg.com/media/Dl6hFuDU8AAQGx7.jpg" TargetMode="External"/><Relationship Id="rId3180" Type="http://schemas.openxmlformats.org/officeDocument/2006/relationships/hyperlink" Target="https://pbs.twimg.com/media/DlsxLo4U4AAE9q8.jpg" TargetMode="External"/><Relationship Id="rId1618" Type="http://schemas.openxmlformats.org/officeDocument/2006/relationships/hyperlink" Target="https://pbs.twimg.com/media/DmA7AIgXsAA1dXA.jpg" TargetMode="External"/><Relationship Id="rId1825" Type="http://schemas.openxmlformats.org/officeDocument/2006/relationships/hyperlink" Target="https://pbs.twimg.com/media/Dl9Zv1rXgAEInWS.jpg" TargetMode="External"/><Relationship Id="rId3040" Type="http://schemas.openxmlformats.org/officeDocument/2006/relationships/hyperlink" Target="http://pic.twitter.com/b93HWMfiPV" TargetMode="External"/><Relationship Id="rId2599" Type="http://schemas.openxmlformats.org/officeDocument/2006/relationships/hyperlink" Target="https://pbs.twimg.com/media/DlwYGaZWwAEQjXd.jpg" TargetMode="External"/><Relationship Id="rId778" Type="http://schemas.openxmlformats.org/officeDocument/2006/relationships/hyperlink" Target="https://pbs.twimg.com/media/DmPXeQZWwAAB9UR.jpg" TargetMode="External"/><Relationship Id="rId985" Type="http://schemas.openxmlformats.org/officeDocument/2006/relationships/hyperlink" Target="https://pbs.twimg.com/media/DmL8v0wXgAEc60T.jpg" TargetMode="External"/><Relationship Id="rId2459" Type="http://schemas.openxmlformats.org/officeDocument/2006/relationships/hyperlink" Target="http://khabarfarsi.com/u/58781271?utm_source=khabarfarsi_channel&amp;utm_medium=twitter&amp;utm_campaign=hodhod" TargetMode="External"/><Relationship Id="rId2666" Type="http://schemas.openxmlformats.org/officeDocument/2006/relationships/hyperlink" Target="http://khamenei.ir/" TargetMode="External"/><Relationship Id="rId2873" Type="http://schemas.openxmlformats.org/officeDocument/2006/relationships/hyperlink" Target="https://t.me/xHarfBot?start=100993959" TargetMode="External"/><Relationship Id="rId638" Type="http://schemas.openxmlformats.org/officeDocument/2006/relationships/hyperlink" Target="https://twitter.com/ZiaNabavi1/status/1036951739642073089" TargetMode="External"/><Relationship Id="rId845" Type="http://schemas.openxmlformats.org/officeDocument/2006/relationships/hyperlink" Target="https://twitter.com/sadeghnikoo/status/1036870885951660033" TargetMode="External"/><Relationship Id="rId1268" Type="http://schemas.openxmlformats.org/officeDocument/2006/relationships/hyperlink" Target="http://www.tasnimnews.com/" TargetMode="External"/><Relationship Id="rId1475" Type="http://schemas.openxmlformats.org/officeDocument/2006/relationships/hyperlink" Target="http://persian.euronews.com/" TargetMode="External"/><Relationship Id="rId1682" Type="http://schemas.openxmlformats.org/officeDocument/2006/relationships/hyperlink" Target="http://sarmashghnews.com/" TargetMode="External"/><Relationship Id="rId2319" Type="http://schemas.openxmlformats.org/officeDocument/2006/relationships/hyperlink" Target="https://pbs.twimg.com/media/Dlyc-zgX0AA3l_l.jpg" TargetMode="External"/><Relationship Id="rId2526" Type="http://schemas.openxmlformats.org/officeDocument/2006/relationships/hyperlink" Target="https://twitter.com/mah_sadeghi/status/1034502042897842177" TargetMode="External"/><Relationship Id="rId2733" Type="http://schemas.openxmlformats.org/officeDocument/2006/relationships/hyperlink" Target="http://emtedad.net/" TargetMode="External"/><Relationship Id="rId705" Type="http://schemas.openxmlformats.org/officeDocument/2006/relationships/hyperlink" Target="http://instagram.com/m.khojasteh75" TargetMode="External"/><Relationship Id="rId1128" Type="http://schemas.openxmlformats.org/officeDocument/2006/relationships/hyperlink" Target="https://pbs.twimg.com/media/DmKjdtxUwAAAomM.jpg" TargetMode="External"/><Relationship Id="rId1335" Type="http://schemas.openxmlformats.org/officeDocument/2006/relationships/hyperlink" Target="https://pbs.twimg.com/media/DmGf2QOWsAIgreg.jpg" TargetMode="External"/><Relationship Id="rId1542" Type="http://schemas.openxmlformats.org/officeDocument/2006/relationships/hyperlink" Target="https://t.me/harfbemanbot?start=MzAwNjU2Njg" TargetMode="External"/><Relationship Id="rId2940" Type="http://schemas.openxmlformats.org/officeDocument/2006/relationships/hyperlink" Target="http://dlvr.it/QhN6yc" TargetMode="External"/><Relationship Id="rId912" Type="http://schemas.openxmlformats.org/officeDocument/2006/relationships/hyperlink" Target="http://instagram.com/hoda.seyfii" TargetMode="External"/><Relationship Id="rId2800" Type="http://schemas.openxmlformats.org/officeDocument/2006/relationships/hyperlink" Target="https://pbs.twimg.com/media/DlvukhPW0AAXzE7.jpg" TargetMode="External"/><Relationship Id="rId41" Type="http://schemas.openxmlformats.org/officeDocument/2006/relationships/hyperlink" Target="https://twitter.com/IRNA_1313/status/1037239467101315072" TargetMode="External"/><Relationship Id="rId1402" Type="http://schemas.openxmlformats.org/officeDocument/2006/relationships/hyperlink" Target="http://pic.twitter.com/JeuGjRoCVe" TargetMode="External"/><Relationship Id="rId288" Type="http://schemas.openxmlformats.org/officeDocument/2006/relationships/hyperlink" Target="http://rookhsat.blogfa.com/" TargetMode="External"/><Relationship Id="rId3367" Type="http://schemas.openxmlformats.org/officeDocument/2006/relationships/hyperlink" Target="https://twitter.com/KarimiGhodousi/status/1034160503877185541" TargetMode="External"/><Relationship Id="rId3574" Type="http://schemas.openxmlformats.org/officeDocument/2006/relationships/hyperlink" Target="https://pbs.twimg.com/media/Dlq9AUKWwAEWQ7-.jpg" TargetMode="External"/><Relationship Id="rId495" Type="http://schemas.openxmlformats.org/officeDocument/2006/relationships/hyperlink" Target="https://twitter.com/EhsanBodaghi/status/1036973843104051201" TargetMode="External"/><Relationship Id="rId2176" Type="http://schemas.openxmlformats.org/officeDocument/2006/relationships/hyperlink" Target="https://pbs.twimg.com/media/Dl1ZZFIU8AE-s85.jpg" TargetMode="External"/><Relationship Id="rId2383" Type="http://schemas.openxmlformats.org/officeDocument/2006/relationships/hyperlink" Target="https://twitter.com/KianpourAlireza/status/1008750354320814080" TargetMode="External"/><Relationship Id="rId2590" Type="http://schemas.openxmlformats.org/officeDocument/2006/relationships/hyperlink" Target="http://instagram.com/alii_abbasi" TargetMode="External"/><Relationship Id="rId3227" Type="http://schemas.openxmlformats.org/officeDocument/2006/relationships/hyperlink" Target="https://pbs.twimg.com/media/DlshoEqW4AAD3Fz.jpg" TargetMode="External"/><Relationship Id="rId3434" Type="http://schemas.openxmlformats.org/officeDocument/2006/relationships/hyperlink" Target="https://pbs.twimg.com/media/DlriFzpX0AA8qFZ.jpg" TargetMode="External"/><Relationship Id="rId3641" Type="http://schemas.openxmlformats.org/officeDocument/2006/relationships/hyperlink" Target="https://roozportal.com/?p=17419" TargetMode="External"/><Relationship Id="rId148" Type="http://schemas.openxmlformats.org/officeDocument/2006/relationships/hyperlink" Target="http://instagram.com/halememory" TargetMode="External"/><Relationship Id="rId355" Type="http://schemas.openxmlformats.org/officeDocument/2006/relationships/hyperlink" Target="https://ift.tt/2ClncVR" TargetMode="External"/><Relationship Id="rId562" Type="http://schemas.openxmlformats.org/officeDocument/2006/relationships/hyperlink" Target="https://pbs.twimg.com/media/DmQuPiHXsAAxzLH.jpg" TargetMode="External"/><Relationship Id="rId1192" Type="http://schemas.openxmlformats.org/officeDocument/2006/relationships/hyperlink" Target="http://iranfreedom.org/fa/" TargetMode="External"/><Relationship Id="rId2036" Type="http://schemas.openxmlformats.org/officeDocument/2006/relationships/hyperlink" Target="http://cyberwarzone.com/" TargetMode="External"/><Relationship Id="rId2243" Type="http://schemas.openxmlformats.org/officeDocument/2006/relationships/hyperlink" Target="http://instagram.com/kunkor98_ir" TargetMode="External"/><Relationship Id="rId2450" Type="http://schemas.openxmlformats.org/officeDocument/2006/relationships/hyperlink" Target="https://pbs.twimg.com/media/DlxPBc5XsAAc0Ud.jpg" TargetMode="External"/><Relationship Id="rId3501" Type="http://schemas.openxmlformats.org/officeDocument/2006/relationships/hyperlink" Target="http://pic.twitter.com/C6EOBiFycF" TargetMode="External"/><Relationship Id="rId215" Type="http://schemas.openxmlformats.org/officeDocument/2006/relationships/hyperlink" Target="http://pic.twitter.com/9HyHmATIcn" TargetMode="External"/><Relationship Id="rId422" Type="http://schemas.openxmlformats.org/officeDocument/2006/relationships/hyperlink" Target="https://pbs.twimg.com/media/DmR-XxLU0AEMz1c.jpg" TargetMode="External"/><Relationship Id="rId1052" Type="http://schemas.openxmlformats.org/officeDocument/2006/relationships/hyperlink" Target="http://cyberwarzone.com/" TargetMode="External"/><Relationship Id="rId2103" Type="http://schemas.openxmlformats.org/officeDocument/2006/relationships/hyperlink" Target="http://pic.twitter.com/ZyON9Gdol6" TargetMode="External"/><Relationship Id="rId2310" Type="http://schemas.openxmlformats.org/officeDocument/2006/relationships/hyperlink" Target="http://yon.ir/28cGm" TargetMode="External"/><Relationship Id="rId1869" Type="http://schemas.openxmlformats.org/officeDocument/2006/relationships/hyperlink" Target="https://twitter.com/3rendpt/status/865836498440126464" TargetMode="External"/><Relationship Id="rId3084" Type="http://schemas.openxmlformats.org/officeDocument/2006/relationships/hyperlink" Target="https://twitter.com/hamidrasaee/status/1034420046402076672" TargetMode="External"/><Relationship Id="rId3291" Type="http://schemas.openxmlformats.org/officeDocument/2006/relationships/hyperlink" Target="http://pic.twitter.com/FIpBrwZVtv" TargetMode="External"/><Relationship Id="rId1729" Type="http://schemas.openxmlformats.org/officeDocument/2006/relationships/hyperlink" Target="https://pbs.twimg.com/media/Dl_j_9ZW4AAF33H.jpg" TargetMode="External"/><Relationship Id="rId1936" Type="http://schemas.openxmlformats.org/officeDocument/2006/relationships/hyperlink" Target="http://tn.ai/1816685" TargetMode="External"/><Relationship Id="rId3151" Type="http://schemas.openxmlformats.org/officeDocument/2006/relationships/hyperlink" Target="http://www.ahmadbatebi.com/" TargetMode="External"/><Relationship Id="rId3011" Type="http://schemas.openxmlformats.org/officeDocument/2006/relationships/hyperlink" Target="https://pbs.twimg.com/media/Dlr_htvW4AE3pwv.jpg" TargetMode="External"/><Relationship Id="rId5" Type="http://schemas.openxmlformats.org/officeDocument/2006/relationships/hyperlink" Target="http://pic.twitter.com/vuAf56aztT" TargetMode="External"/><Relationship Id="rId889" Type="http://schemas.openxmlformats.org/officeDocument/2006/relationships/hyperlink" Target="https://pbs.twimg.com/media/DmOZV7UU8AAfoDO.jpg" TargetMode="External"/><Relationship Id="rId2777" Type="http://schemas.openxmlformats.org/officeDocument/2006/relationships/hyperlink" Target="https://bit.ly/2Ms0gIf" TargetMode="External"/><Relationship Id="rId749" Type="http://schemas.openxmlformats.org/officeDocument/2006/relationships/hyperlink" Target="http://pic.twitter.com/mLj6mhHrV2" TargetMode="External"/><Relationship Id="rId1379" Type="http://schemas.openxmlformats.org/officeDocument/2006/relationships/hyperlink" Target="https://pbs.twimg.com/media/DmF6G6KX4AA2Ofy.jpg" TargetMode="External"/><Relationship Id="rId1586" Type="http://schemas.openxmlformats.org/officeDocument/2006/relationships/hyperlink" Target="https://www.instagram.com/mostafa.goldsmith" TargetMode="External"/><Relationship Id="rId2984" Type="http://schemas.openxmlformats.org/officeDocument/2006/relationships/hyperlink" Target="https://pbs.twimg.com/media/DlttfzEW4AA_GXJ.jpg" TargetMode="External"/><Relationship Id="rId609" Type="http://schemas.openxmlformats.org/officeDocument/2006/relationships/hyperlink" Target="https://sharghdaily.ir/" TargetMode="External"/><Relationship Id="rId956" Type="http://schemas.openxmlformats.org/officeDocument/2006/relationships/hyperlink" Target="https://pbs.twimg.com/media/DmMKs0HWwAEhfxb.jpg" TargetMode="External"/><Relationship Id="rId1239" Type="http://schemas.openxmlformats.org/officeDocument/2006/relationships/hyperlink" Target="http://www.sadeghimoghadam.ir/" TargetMode="External"/><Relationship Id="rId1793" Type="http://schemas.openxmlformats.org/officeDocument/2006/relationships/hyperlink" Target="http://www.ibena.ir/" TargetMode="External"/><Relationship Id="rId2637" Type="http://schemas.openxmlformats.org/officeDocument/2006/relationships/hyperlink" Target="https://pbs.twimg.com/media/DlwRa_uXcAA6cgM.jpg" TargetMode="External"/><Relationship Id="rId2844" Type="http://schemas.openxmlformats.org/officeDocument/2006/relationships/hyperlink" Target="http://jjo.ir/hvekrqdz" TargetMode="External"/><Relationship Id="rId85" Type="http://schemas.openxmlformats.org/officeDocument/2006/relationships/hyperlink" Target="https://pbs.twimg.com/media/DmVGnCtWsAELz5u.jpg" TargetMode="External"/><Relationship Id="rId816" Type="http://schemas.openxmlformats.org/officeDocument/2006/relationships/hyperlink" Target="http://iccima.ir/" TargetMode="External"/><Relationship Id="rId1446" Type="http://schemas.openxmlformats.org/officeDocument/2006/relationships/hyperlink" Target="https://goo.gl/nPPCsE" TargetMode="External"/><Relationship Id="rId1653" Type="http://schemas.openxmlformats.org/officeDocument/2006/relationships/hyperlink" Target="https://pbs.twimg.com/media/DmAvVgEWsAAzOJa.jpg" TargetMode="External"/><Relationship Id="rId1860" Type="http://schemas.openxmlformats.org/officeDocument/2006/relationships/hyperlink" Target="http://vakavic.com/" TargetMode="External"/><Relationship Id="rId2704" Type="http://schemas.openxmlformats.org/officeDocument/2006/relationships/hyperlink" Target="https://pbs.twimg.com/media/DlwAdiQXsAEciba.jpg" TargetMode="External"/><Relationship Id="rId2911" Type="http://schemas.openxmlformats.org/officeDocument/2006/relationships/hyperlink" Target="https://pbs.twimg.com/media/DluU4mqW0AAjub-.jpg" TargetMode="External"/><Relationship Id="rId1306" Type="http://schemas.openxmlformats.org/officeDocument/2006/relationships/hyperlink" Target="http://instagram.com/javad_izadi" TargetMode="External"/><Relationship Id="rId1513" Type="http://schemas.openxmlformats.org/officeDocument/2006/relationships/hyperlink" Target="https://pbs.twimg.com/media/DmEuaNWXgAYLR1f.jpg" TargetMode="External"/><Relationship Id="rId1720" Type="http://schemas.openxmlformats.org/officeDocument/2006/relationships/hyperlink" Target="http://www.tasnimnews.com/" TargetMode="External"/><Relationship Id="rId12" Type="http://schemas.openxmlformats.org/officeDocument/2006/relationships/hyperlink" Target="https://twitter.com/smmirsalim/status/1037333478055002112" TargetMode="External"/><Relationship Id="rId3478" Type="http://schemas.openxmlformats.org/officeDocument/2006/relationships/hyperlink" Target="https://pbs.twimg.com/media/DlrXyLWXgAAj4Nk.jpg" TargetMode="External"/><Relationship Id="rId399" Type="http://schemas.openxmlformats.org/officeDocument/2006/relationships/hyperlink" Target="https://pbs.twimg.com/media/DmSmEhCX0AAp4aJ.jpg" TargetMode="External"/><Relationship Id="rId2287" Type="http://schemas.openxmlformats.org/officeDocument/2006/relationships/hyperlink" Target="https://pbs.twimg.com/media/DlyvdZeXcAE3tjI.jpg" TargetMode="External"/><Relationship Id="rId2494" Type="http://schemas.openxmlformats.org/officeDocument/2006/relationships/hyperlink" Target="http://pic.twitter.com/FlT9RjGEUk" TargetMode="External"/><Relationship Id="rId3338" Type="http://schemas.openxmlformats.org/officeDocument/2006/relationships/hyperlink" Target="http://www.didbaniran.ir/" TargetMode="External"/><Relationship Id="rId3545" Type="http://schemas.openxmlformats.org/officeDocument/2006/relationships/hyperlink" Target="http://www.telewebion.com/episode/1879272" TargetMode="External"/><Relationship Id="rId259" Type="http://schemas.openxmlformats.org/officeDocument/2006/relationships/hyperlink" Target="https://pbs.twimg.com/media/DmULQFXXgAAwGHF.jpg" TargetMode="External"/><Relationship Id="rId466" Type="http://schemas.openxmlformats.org/officeDocument/2006/relationships/hyperlink" Target="https://twitter.com/jafariysaeid/status/1036932648768360454" TargetMode="External"/><Relationship Id="rId673" Type="http://schemas.openxmlformats.org/officeDocument/2006/relationships/hyperlink" Target="http://fa.euronews.com/2018/09/03/journalist-and-economic-expert-saeed-leilaz-talks-iran-economy-in-exclusive-interview" TargetMode="External"/><Relationship Id="rId880" Type="http://schemas.openxmlformats.org/officeDocument/2006/relationships/hyperlink" Target="https://pbs.twimg.com/media/DmOc4-UX0AA3IXf.jpg" TargetMode="External"/><Relationship Id="rId1096" Type="http://schemas.openxmlformats.org/officeDocument/2006/relationships/hyperlink" Target="http://cyberwarzone.com/" TargetMode="External"/><Relationship Id="rId2147" Type="http://schemas.openxmlformats.org/officeDocument/2006/relationships/hyperlink" Target="http://meraatnews.com/" TargetMode="External"/><Relationship Id="rId2354" Type="http://schemas.openxmlformats.org/officeDocument/2006/relationships/hyperlink" Target="https://pbs.twimg.com/media/DlyONCcWwAAEuMh.jpg" TargetMode="External"/><Relationship Id="rId2561" Type="http://schemas.openxmlformats.org/officeDocument/2006/relationships/hyperlink" Target="https://pbs.twimg.com/media/Dlwhi3zWwAA4dJH.jpg" TargetMode="External"/><Relationship Id="rId3405" Type="http://schemas.openxmlformats.org/officeDocument/2006/relationships/hyperlink" Target="https://pbs.twimg.com/media/DlrvsiEX4AEQ4c2.jpg" TargetMode="External"/><Relationship Id="rId119" Type="http://schemas.openxmlformats.org/officeDocument/2006/relationships/hyperlink" Target="https://pbs.twimg.com/media/DmU1q1SUYAEfznM.jpg" TargetMode="External"/><Relationship Id="rId326" Type="http://schemas.openxmlformats.org/officeDocument/2006/relationships/hyperlink" Target="https://pbs.twimg.com/media/DmT1W-pXcAIMVxR.jpg" TargetMode="External"/><Relationship Id="rId533" Type="http://schemas.openxmlformats.org/officeDocument/2006/relationships/hyperlink" Target="https://pbs.twimg.com/media/DmREpShUwAAlBWh.jpg" TargetMode="External"/><Relationship Id="rId1163" Type="http://schemas.openxmlformats.org/officeDocument/2006/relationships/hyperlink" Target="http://yon.ir/EITAS" TargetMode="External"/><Relationship Id="rId1370" Type="http://schemas.openxmlformats.org/officeDocument/2006/relationships/hyperlink" Target="https://twitter.com/shaghayegh_313/status/1036129931435102208" TargetMode="External"/><Relationship Id="rId2007" Type="http://schemas.openxmlformats.org/officeDocument/2006/relationships/hyperlink" Target="https://www.instagram.com/vakilulroaya" TargetMode="External"/><Relationship Id="rId2214" Type="http://schemas.openxmlformats.org/officeDocument/2006/relationships/hyperlink" Target="http://yaali12.blog.ir/" TargetMode="External"/><Relationship Id="rId3612" Type="http://schemas.openxmlformats.org/officeDocument/2006/relationships/hyperlink" Target="https://pbs.twimg.com/media/Dlq6y0RUcAEjMYE.jpg" TargetMode="External"/><Relationship Id="rId740" Type="http://schemas.openxmlformats.org/officeDocument/2006/relationships/hyperlink" Target="https://twitter.com/ManotoNews/status/1036921636732190721" TargetMode="External"/><Relationship Id="rId1023" Type="http://schemas.openxmlformats.org/officeDocument/2006/relationships/hyperlink" Target="http://newspaper.hamshahri.org/" TargetMode="External"/><Relationship Id="rId2421" Type="http://schemas.openxmlformats.org/officeDocument/2006/relationships/hyperlink" Target="https://www.roozportal.com/" TargetMode="External"/><Relationship Id="rId600" Type="http://schemas.openxmlformats.org/officeDocument/2006/relationships/hyperlink" Target="https://pbs.twimg.com/media/DmQbyJRXgAI6dXF.jpg" TargetMode="External"/><Relationship Id="rId1230" Type="http://schemas.openxmlformats.org/officeDocument/2006/relationships/hyperlink" Target="https://pbs.twimg.com/media/DmCMdhfX0AE9K6F.jpg" TargetMode="External"/><Relationship Id="rId3195" Type="http://schemas.openxmlformats.org/officeDocument/2006/relationships/hyperlink" Target="http://instagram.com/textgraphy2018" TargetMode="External"/><Relationship Id="rId3055" Type="http://schemas.openxmlformats.org/officeDocument/2006/relationships/hyperlink" Target="https://pbs.twimg.com/media/DltXFfrW0AEiYvE.jpg" TargetMode="External"/><Relationship Id="rId3262" Type="http://schemas.openxmlformats.org/officeDocument/2006/relationships/hyperlink" Target="http://www.rajanews.com/" TargetMode="External"/><Relationship Id="rId183" Type="http://schemas.openxmlformats.org/officeDocument/2006/relationships/hyperlink" Target="https://twitter.com/javanane_irani/status/985081336959561729" TargetMode="External"/><Relationship Id="rId390" Type="http://schemas.openxmlformats.org/officeDocument/2006/relationships/hyperlink" Target="http://www.borazjani.com/" TargetMode="External"/><Relationship Id="rId1907" Type="http://schemas.openxmlformats.org/officeDocument/2006/relationships/hyperlink" Target="https://pbs.twimg.com/media/Dl7pOamWsAErLrM.jpg" TargetMode="External"/><Relationship Id="rId2071" Type="http://schemas.openxmlformats.org/officeDocument/2006/relationships/hyperlink" Target="https://t.me/Humanity_OneBigFamily" TargetMode="External"/><Relationship Id="rId3122" Type="http://schemas.openxmlformats.org/officeDocument/2006/relationships/hyperlink" Target="http://mirzamohammadi.blogfa.com/" TargetMode="External"/><Relationship Id="rId250" Type="http://schemas.openxmlformats.org/officeDocument/2006/relationships/hyperlink" Target="http://pic.twitter.com/ueav1Sw83D" TargetMode="External"/><Relationship Id="rId110" Type="http://schemas.openxmlformats.org/officeDocument/2006/relationships/hyperlink" Target="https://niknam.org/" TargetMode="External"/><Relationship Id="rId2888" Type="http://schemas.openxmlformats.org/officeDocument/2006/relationships/hyperlink" Target="http://telegram.me/appliedpsychoanalysis" TargetMode="External"/><Relationship Id="rId1697" Type="http://schemas.openxmlformats.org/officeDocument/2006/relationships/hyperlink" Target="https://pbs.twimg.com/media/DmAGAUPXsAArN0P.jpg" TargetMode="External"/><Relationship Id="rId2748" Type="http://schemas.openxmlformats.org/officeDocument/2006/relationships/hyperlink" Target="http://www.tasnimnews.com/" TargetMode="External"/><Relationship Id="rId2955" Type="http://schemas.openxmlformats.org/officeDocument/2006/relationships/hyperlink" Target="https://pbs.twimg.com/media/Dlt2prxWsAEC7hJ.jpg" TargetMode="External"/><Relationship Id="rId927" Type="http://schemas.openxmlformats.org/officeDocument/2006/relationships/hyperlink" Target="http://eitaa.com/abuali_313" TargetMode="External"/><Relationship Id="rId1557" Type="http://schemas.openxmlformats.org/officeDocument/2006/relationships/hyperlink" Target="https://pbs.twimg.com/media/DmD_wOsUUAA6RbF.jpg" TargetMode="External"/><Relationship Id="rId1764" Type="http://schemas.openxmlformats.org/officeDocument/2006/relationships/hyperlink" Target="https://www.instagram.com/mostafa.goldsmith" TargetMode="External"/><Relationship Id="rId1971" Type="http://schemas.openxmlformats.org/officeDocument/2006/relationships/hyperlink" Target="https://t.me/xHarfBot?start=91065558" TargetMode="External"/><Relationship Id="rId2608" Type="http://schemas.openxmlformats.org/officeDocument/2006/relationships/hyperlink" Target="https://pbs.twimg.com/media/DlwW6i_W0AAY_2s.jpg" TargetMode="External"/><Relationship Id="rId2815" Type="http://schemas.openxmlformats.org/officeDocument/2006/relationships/hyperlink" Target="https://coiniran.com/" TargetMode="External"/><Relationship Id="rId56" Type="http://schemas.openxmlformats.org/officeDocument/2006/relationships/hyperlink" Target="http://instagram.com/mrezaa1211" TargetMode="External"/><Relationship Id="rId1417" Type="http://schemas.openxmlformats.org/officeDocument/2006/relationships/hyperlink" Target="https://kokchapress.com/%d8%ac%d8%b0%d8%a8-%d8%b9%d8%a7%d9%84%d9%85%d8%a7%d9%86-%d8%af%db%8c%d9%86-%d8%a8%d8%b1%d8%a7%db%8c-%d8%aa%d8%af%d8%b1%db%8c%d8%b3-%d8%af%d8%b1-%d9%85%da%a9%d8%aa%d8%a8%e2%80%8c%d9%87%d8%a7/" TargetMode="External"/><Relationship Id="rId1624" Type="http://schemas.openxmlformats.org/officeDocument/2006/relationships/hyperlink" Target="https://pbs.twimg.com/media/DmBXq4NW0AA51Zt.jpg" TargetMode="External"/><Relationship Id="rId1831" Type="http://schemas.openxmlformats.org/officeDocument/2006/relationships/hyperlink" Target="http://pic.twitter.com/kKzQYZZCAt" TargetMode="External"/><Relationship Id="rId3589" Type="http://schemas.openxmlformats.org/officeDocument/2006/relationships/hyperlink" Target="http://ibena.ir/" TargetMode="External"/><Relationship Id="rId2398" Type="http://schemas.openxmlformats.org/officeDocument/2006/relationships/hyperlink" Target="http://www.rouberou.ir/" TargetMode="External"/><Relationship Id="rId3449" Type="http://schemas.openxmlformats.org/officeDocument/2006/relationships/hyperlink" Target="https://pbs.twimg.com/media/DlrjsM7WsAENcYw.jpg" TargetMode="External"/><Relationship Id="rId577" Type="http://schemas.openxmlformats.org/officeDocument/2006/relationships/hyperlink" Target="https://pbs.twimg.com/media/DmQltbKUcAALEZB.jpg" TargetMode="External"/><Relationship Id="rId2258" Type="http://schemas.openxmlformats.org/officeDocument/2006/relationships/hyperlink" Target="https://twitter.com/yaghma_fashkham/status/1034777875617120257" TargetMode="External"/><Relationship Id="rId784" Type="http://schemas.openxmlformats.org/officeDocument/2006/relationships/hyperlink" Target="https://twitter.com/hadpiri/status/1027465400563318784?s=19" TargetMode="External"/><Relationship Id="rId991" Type="http://schemas.openxmlformats.org/officeDocument/2006/relationships/hyperlink" Target="https://pbs.twimg.com/media/DmL3pdYXcAAvPgZ.jpg" TargetMode="External"/><Relationship Id="rId1067" Type="http://schemas.openxmlformats.org/officeDocument/2006/relationships/hyperlink" Target="https://pbs.twimg.com/media/DmLICGJWwAEmImw.jpg" TargetMode="External"/><Relationship Id="rId2465" Type="http://schemas.openxmlformats.org/officeDocument/2006/relationships/hyperlink" Target="http://t.me/knaf_shoresh" TargetMode="External"/><Relationship Id="rId2672" Type="http://schemas.openxmlformats.org/officeDocument/2006/relationships/hyperlink" Target="https://twitter.com/MFamilian/status/1034426959458185216" TargetMode="External"/><Relationship Id="rId3309" Type="http://schemas.openxmlformats.org/officeDocument/2006/relationships/hyperlink" Target="https://pbs.twimg.com/media/DlsLbZHXcAA82nw.jpg" TargetMode="External"/><Relationship Id="rId3516" Type="http://schemas.openxmlformats.org/officeDocument/2006/relationships/hyperlink" Target="https://pbs.twimg.com/media/DlrKiLZW0AEbniC.jpg" TargetMode="External"/><Relationship Id="rId437" Type="http://schemas.openxmlformats.org/officeDocument/2006/relationships/hyperlink" Target="https://t.me/AliRezaQorbani" TargetMode="External"/><Relationship Id="rId644" Type="http://schemas.openxmlformats.org/officeDocument/2006/relationships/hyperlink" Target="https://twitter.com/p_salahshouri/status/1036873560936079360" TargetMode="External"/><Relationship Id="rId851" Type="http://schemas.openxmlformats.org/officeDocument/2006/relationships/hyperlink" Target="https://pbs.twimg.com/media/DmO0yiZWsAAJ185.jpg" TargetMode="External"/><Relationship Id="rId1274" Type="http://schemas.openxmlformats.org/officeDocument/2006/relationships/hyperlink" Target="http://garargah.blog.ir/" TargetMode="External"/><Relationship Id="rId1481" Type="http://schemas.openxmlformats.org/officeDocument/2006/relationships/hyperlink" Target="http://v.aa.com.tr/1244450" TargetMode="External"/><Relationship Id="rId2118" Type="http://schemas.openxmlformats.org/officeDocument/2006/relationships/hyperlink" Target="https://www.radiozamaneh.com/410000" TargetMode="External"/><Relationship Id="rId2325" Type="http://schemas.openxmlformats.org/officeDocument/2006/relationships/hyperlink" Target="https://pbs.twimg.com/media/DlyZFMGWsAEuPEv.jpg" TargetMode="External"/><Relationship Id="rId2532" Type="http://schemas.openxmlformats.org/officeDocument/2006/relationships/hyperlink" Target="https://pbs.twimg.com/media/DlwwDqpUUAAH-IP.jpg" TargetMode="External"/><Relationship Id="rId504" Type="http://schemas.openxmlformats.org/officeDocument/2006/relationships/hyperlink" Target="https://pbs.twimg.com/media/DmRPkDxW4AEwaGK.jpg" TargetMode="External"/><Relationship Id="rId711" Type="http://schemas.openxmlformats.org/officeDocument/2006/relationships/hyperlink" Target="https://pbs.twimg.com/media/DmPsgYkW4AAU6Cf.jpg" TargetMode="External"/><Relationship Id="rId1134" Type="http://schemas.openxmlformats.org/officeDocument/2006/relationships/hyperlink" Target="http://sepanta.co/" TargetMode="External"/><Relationship Id="rId1341" Type="http://schemas.openxmlformats.org/officeDocument/2006/relationships/hyperlink" Target="https://hra-news.org/" TargetMode="External"/><Relationship Id="rId1201" Type="http://schemas.openxmlformats.org/officeDocument/2006/relationships/hyperlink" Target="https://www.ilna.ir/fa/tiny/news-662524" TargetMode="External"/><Relationship Id="rId3099" Type="http://schemas.openxmlformats.org/officeDocument/2006/relationships/hyperlink" Target="https://pbs.twimg.com/media/DltOYcBX0AExtXW.jpg" TargetMode="External"/><Relationship Id="rId3166" Type="http://schemas.openxmlformats.org/officeDocument/2006/relationships/hyperlink" Target="http://t.me/majid_makki" TargetMode="External"/><Relationship Id="rId3373" Type="http://schemas.openxmlformats.org/officeDocument/2006/relationships/hyperlink" Target="https://t.me/biosarchive" TargetMode="External"/><Relationship Id="rId3580" Type="http://schemas.openxmlformats.org/officeDocument/2006/relationships/hyperlink" Target="https://pbs.twimg.com/media/Dlq8VCfU0AAJf9r.jpg" TargetMode="External"/><Relationship Id="rId294" Type="http://schemas.openxmlformats.org/officeDocument/2006/relationships/hyperlink" Target="http://www.iranntv.com/" TargetMode="External"/><Relationship Id="rId2182" Type="http://schemas.openxmlformats.org/officeDocument/2006/relationships/hyperlink" Target="https://t.me/simorgh31" TargetMode="External"/><Relationship Id="rId3026" Type="http://schemas.openxmlformats.org/officeDocument/2006/relationships/hyperlink" Target="https://twitter.com/IranNewspaper/status/1034522581917949952" TargetMode="External"/><Relationship Id="rId3233" Type="http://schemas.openxmlformats.org/officeDocument/2006/relationships/hyperlink" Target="https://pbs.twimg.com/media/Dlscuj3XsAAYvsd.jpg" TargetMode="External"/><Relationship Id="rId154" Type="http://schemas.openxmlformats.org/officeDocument/2006/relationships/hyperlink" Target="https://pbs.twimg.com/media/DmUrHK0W4AAw3DI.jpg" TargetMode="External"/><Relationship Id="rId361" Type="http://schemas.openxmlformats.org/officeDocument/2006/relationships/hyperlink" Target="http://pic.twitter.com/1g65bfmql1" TargetMode="External"/><Relationship Id="rId2042" Type="http://schemas.openxmlformats.org/officeDocument/2006/relationships/hyperlink" Target="http://pic.twitter.com/tl8wYA3xMV" TargetMode="External"/><Relationship Id="rId3440" Type="http://schemas.openxmlformats.org/officeDocument/2006/relationships/hyperlink" Target="https://pbs.twimg.com/media/Dlrj2YQXoAAJ9dJ.jpg" TargetMode="External"/><Relationship Id="rId2999" Type="http://schemas.openxmlformats.org/officeDocument/2006/relationships/hyperlink" Target="https://pbs.twimg.com/media/Dltm52jW4AAsb_-.jpg" TargetMode="External"/><Relationship Id="rId3300" Type="http://schemas.openxmlformats.org/officeDocument/2006/relationships/hyperlink" Target="http://t.me/knaf_shoresh" TargetMode="External"/><Relationship Id="rId221" Type="http://schemas.openxmlformats.org/officeDocument/2006/relationships/hyperlink" Target="https://pbs.twimg.com/media/C9owfnQXYAEM1ZD.jpg" TargetMode="External"/><Relationship Id="rId2859" Type="http://schemas.openxmlformats.org/officeDocument/2006/relationships/hyperlink" Target="https://www.yjc.ir/00RtiS" TargetMode="External"/><Relationship Id="rId1668" Type="http://schemas.openxmlformats.org/officeDocument/2006/relationships/hyperlink" Target="https://pbs.twimg.com/media/DmAhUCqXgAA4v-2.jpg" TargetMode="External"/><Relationship Id="rId1875" Type="http://schemas.openxmlformats.org/officeDocument/2006/relationships/hyperlink" Target="https://www.instagram.com/p/BnJpMgWh4xz/?utm_source=ig_twitter_share&amp;igshid=ksm8n2g5o61s" TargetMode="External"/><Relationship Id="rId2719" Type="http://schemas.openxmlformats.org/officeDocument/2006/relationships/hyperlink" Target="http://www.eghtesadonline.com/" TargetMode="External"/><Relationship Id="rId1528" Type="http://schemas.openxmlformats.org/officeDocument/2006/relationships/hyperlink" Target="http://trtpersian.com/" TargetMode="External"/><Relationship Id="rId2926" Type="http://schemas.openxmlformats.org/officeDocument/2006/relationships/hyperlink" Target="http://pic.twitter.com/zvW0nkrkeT" TargetMode="External"/><Relationship Id="rId3090" Type="http://schemas.openxmlformats.org/officeDocument/2006/relationships/hyperlink" Target="http://www.imps.ac.ir/" TargetMode="External"/><Relationship Id="rId1735" Type="http://schemas.openxmlformats.org/officeDocument/2006/relationships/hyperlink" Target="https://pbs.twimg.com/media/Dl_iOrGXgAAkTuz.jpg" TargetMode="External"/><Relationship Id="rId1942" Type="http://schemas.openxmlformats.org/officeDocument/2006/relationships/hyperlink" Target="https://www.instagram.com/mostafa.goldsmith" TargetMode="External"/><Relationship Id="rId27" Type="http://schemas.openxmlformats.org/officeDocument/2006/relationships/hyperlink" Target="http://pic.twitter.com/vuAf56aztT" TargetMode="External"/><Relationship Id="rId1802" Type="http://schemas.openxmlformats.org/officeDocument/2006/relationships/hyperlink" Target="https://twitter.com/JENE_KHOB/status/1035733151799226368" TargetMode="External"/><Relationship Id="rId688" Type="http://schemas.openxmlformats.org/officeDocument/2006/relationships/hyperlink" Target="https://pbs.twimg.com/media/DmP7oPkXgAEBAo2.jpg" TargetMode="External"/><Relationship Id="rId895" Type="http://schemas.openxmlformats.org/officeDocument/2006/relationships/hyperlink" Target="https://pbs.twimg.com/media/DmOTwPzXoAEmYbo.jpg" TargetMode="External"/><Relationship Id="rId2369" Type="http://schemas.openxmlformats.org/officeDocument/2006/relationships/hyperlink" Target="https://twitter.com/ir_aref/status/1034688984306405376" TargetMode="External"/><Relationship Id="rId2576" Type="http://schemas.openxmlformats.org/officeDocument/2006/relationships/hyperlink" Target="https://twitter.com/hsnhasankhani/status/1034728527785066496" TargetMode="External"/><Relationship Id="rId2783" Type="http://schemas.openxmlformats.org/officeDocument/2006/relationships/hyperlink" Target="https://twitter.com/mrmorteza4/status/1034676283345698817" TargetMode="External"/><Relationship Id="rId2990" Type="http://schemas.openxmlformats.org/officeDocument/2006/relationships/hyperlink" Target="https://pbs.twimg.com/media/DltqqVCXoAEcbau.jpg" TargetMode="External"/><Relationship Id="rId3627" Type="http://schemas.openxmlformats.org/officeDocument/2006/relationships/hyperlink" Target="http://neveshtehaa.blog.ir/" TargetMode="External"/><Relationship Id="rId548" Type="http://schemas.openxmlformats.org/officeDocument/2006/relationships/hyperlink" Target="https://pbs.twimg.com/media/DmQ7b8MW4AEJa3g.jpg" TargetMode="External"/><Relationship Id="rId755" Type="http://schemas.openxmlformats.org/officeDocument/2006/relationships/hyperlink" Target="https://twitter.com/P_Salahshouri/status/1036873560936079360" TargetMode="External"/><Relationship Id="rId962" Type="http://schemas.openxmlformats.org/officeDocument/2006/relationships/hyperlink" Target="https://pbs.twimg.com/media/DmMKLCxX4AIe5EX.jpg" TargetMode="External"/><Relationship Id="rId1178" Type="http://schemas.openxmlformats.org/officeDocument/2006/relationships/hyperlink" Target="https://pbs.twimg.com/media/DmKFNolXcAAWzHT.jpg" TargetMode="External"/><Relationship Id="rId1385" Type="http://schemas.openxmlformats.org/officeDocument/2006/relationships/hyperlink" Target="https://pbs.twimg.com/media/DmFxlAxVAAAsSdz.jpg" TargetMode="External"/><Relationship Id="rId1592" Type="http://schemas.openxmlformats.org/officeDocument/2006/relationships/hyperlink" Target="https://pbs.twimg.com/media/DmCBxXqX0AApnL9.jpg" TargetMode="External"/><Relationship Id="rId2229" Type="http://schemas.openxmlformats.org/officeDocument/2006/relationships/hyperlink" Target="https://pbs.twimg.com/media/Dl0Jr97XoAI8FPX.jpg" TargetMode="External"/><Relationship Id="rId2436" Type="http://schemas.openxmlformats.org/officeDocument/2006/relationships/hyperlink" Target="https://twitter.com/MohsenH84/status/1034766058165596160" TargetMode="External"/><Relationship Id="rId2643" Type="http://schemas.openxmlformats.org/officeDocument/2006/relationships/hyperlink" Target="https://pbs.twimg.com/media/DlwQpGAXsAEklHC.jpg" TargetMode="External"/><Relationship Id="rId2850" Type="http://schemas.openxmlformats.org/officeDocument/2006/relationships/hyperlink" Target="https://pbs.twimg.com/media/DlvjYeaV4AAA_ms.jpg" TargetMode="External"/><Relationship Id="rId91" Type="http://schemas.openxmlformats.org/officeDocument/2006/relationships/hyperlink" Target="https://favstar.fm/users/bohluol" TargetMode="External"/><Relationship Id="rId408" Type="http://schemas.openxmlformats.org/officeDocument/2006/relationships/hyperlink" Target="https://twitter.com/P_Salahshouri/status/1036873560936079360" TargetMode="External"/><Relationship Id="rId615" Type="http://schemas.openxmlformats.org/officeDocument/2006/relationships/hyperlink" Target="https://pbs.twimg.com/media/DmQUndRX0AI1fAl.jpg" TargetMode="External"/><Relationship Id="rId822" Type="http://schemas.openxmlformats.org/officeDocument/2006/relationships/hyperlink" Target="https://pbs.twimg.com/media/DmPFUlvXsAEL82L.jpg" TargetMode="External"/><Relationship Id="rId1038" Type="http://schemas.openxmlformats.org/officeDocument/2006/relationships/hyperlink" Target="http://cyberwarzone.com/" TargetMode="External"/><Relationship Id="rId1245" Type="http://schemas.openxmlformats.org/officeDocument/2006/relationships/hyperlink" Target="http://www.iranntv.com/" TargetMode="External"/><Relationship Id="rId1452" Type="http://schemas.openxmlformats.org/officeDocument/2006/relationships/hyperlink" Target="http://pooriast.wordpress.com/" TargetMode="External"/><Relationship Id="rId2503" Type="http://schemas.openxmlformats.org/officeDocument/2006/relationships/hyperlink" Target="http://www.nabaapress.ir/" TargetMode="External"/><Relationship Id="rId1105" Type="http://schemas.openxmlformats.org/officeDocument/2006/relationships/hyperlink" Target="http://cyberwarzone.com/" TargetMode="External"/><Relationship Id="rId1312" Type="http://schemas.openxmlformats.org/officeDocument/2006/relationships/hyperlink" Target="http://cm-netnameh.blog.ir/" TargetMode="External"/><Relationship Id="rId2710" Type="http://schemas.openxmlformats.org/officeDocument/2006/relationships/hyperlink" Target="https://pbs.twimg.com/media/Dlv9_I1UwAAAYpP.jpg" TargetMode="External"/><Relationship Id="rId3277" Type="http://schemas.openxmlformats.org/officeDocument/2006/relationships/hyperlink" Target="http://sogol.pn/" TargetMode="External"/><Relationship Id="rId198" Type="http://schemas.openxmlformats.org/officeDocument/2006/relationships/hyperlink" Target="https://pbs.twimg.com/media/DmUdM5LX4AICAQt.jpg" TargetMode="External"/><Relationship Id="rId2086" Type="http://schemas.openxmlformats.org/officeDocument/2006/relationships/hyperlink" Target="http://t.me/@pourhashemi_ali" TargetMode="External"/><Relationship Id="rId3484" Type="http://schemas.openxmlformats.org/officeDocument/2006/relationships/hyperlink" Target="https://pbs.twimg.com/media/DlrXlFuU0AEBZe5.jpg" TargetMode="External"/><Relationship Id="rId2293" Type="http://schemas.openxmlformats.org/officeDocument/2006/relationships/hyperlink" Target="https://youtu.be/p3rFVMbaiBE" TargetMode="External"/><Relationship Id="rId3137" Type="http://schemas.openxmlformats.org/officeDocument/2006/relationships/hyperlink" Target="http://t.me/softwar_soldiers_supportdivision" TargetMode="External"/><Relationship Id="rId3344" Type="http://schemas.openxmlformats.org/officeDocument/2006/relationships/hyperlink" Target="https://twitter.com/SecPompeo/status/1034205204520955905" TargetMode="External"/><Relationship Id="rId3551" Type="http://schemas.openxmlformats.org/officeDocument/2006/relationships/hyperlink" Target="https://pbs.twimg.com/media/DlrISHPW0AAyIev.jpg" TargetMode="External"/><Relationship Id="rId265" Type="http://schemas.openxmlformats.org/officeDocument/2006/relationships/hyperlink" Target="http://www.farsnews.com/farsplus-magazine" TargetMode="External"/><Relationship Id="rId472" Type="http://schemas.openxmlformats.org/officeDocument/2006/relationships/hyperlink" Target="http://www.manototv.com/" TargetMode="External"/><Relationship Id="rId2153" Type="http://schemas.openxmlformats.org/officeDocument/2006/relationships/hyperlink" Target="http://pic.twitter.com/2OOJ39Omiq" TargetMode="External"/><Relationship Id="rId2360" Type="http://schemas.openxmlformats.org/officeDocument/2006/relationships/hyperlink" Target="http://pic.twitter.com/E6SxIIWrm7" TargetMode="External"/><Relationship Id="rId3204" Type="http://schemas.openxmlformats.org/officeDocument/2006/relationships/hyperlink" Target="http://pic.twitter.com/VO3kQCA692" TargetMode="External"/><Relationship Id="rId3411" Type="http://schemas.openxmlformats.org/officeDocument/2006/relationships/hyperlink" Target="https://www.facebook.com/iraneazadi" TargetMode="External"/><Relationship Id="rId125" Type="http://schemas.openxmlformats.org/officeDocument/2006/relationships/hyperlink" Target="https://twitter.com/mehrodadm/status/1037262847724670976" TargetMode="External"/><Relationship Id="rId332" Type="http://schemas.openxmlformats.org/officeDocument/2006/relationships/hyperlink" Target="https://pbs.twimg.com/media/DmT0JJIXcAEGjTZ.jpg" TargetMode="External"/><Relationship Id="rId2013" Type="http://schemas.openxmlformats.org/officeDocument/2006/relationships/hyperlink" Target="https://youtu.be/-1WQH-SO1k0" TargetMode="External"/><Relationship Id="rId2220" Type="http://schemas.openxmlformats.org/officeDocument/2006/relationships/hyperlink" Target="https://pbs.twimg.com/media/DlwPWUeUYAA41Nj.jpg" TargetMode="External"/><Relationship Id="rId1779" Type="http://schemas.openxmlformats.org/officeDocument/2006/relationships/hyperlink" Target="http://tinyurl.com/y8epbjjb" TargetMode="External"/><Relationship Id="rId1986" Type="http://schemas.openxmlformats.org/officeDocument/2006/relationships/hyperlink" Target="http://www.tasnimnews.com/" TargetMode="External"/><Relationship Id="rId1639" Type="http://schemas.openxmlformats.org/officeDocument/2006/relationships/hyperlink" Target="http://iranrenter.com/" TargetMode="External"/><Relationship Id="rId1846" Type="http://schemas.openxmlformats.org/officeDocument/2006/relationships/hyperlink" Target="https://t.me/biosarchive" TargetMode="External"/><Relationship Id="rId3061" Type="http://schemas.openxmlformats.org/officeDocument/2006/relationships/hyperlink" Target="http://t.me/pastonews" TargetMode="External"/><Relationship Id="rId1706" Type="http://schemas.openxmlformats.org/officeDocument/2006/relationships/hyperlink" Target="http://www.jaaar.com/" TargetMode="External"/><Relationship Id="rId1913" Type="http://schemas.openxmlformats.org/officeDocument/2006/relationships/hyperlink" Target="http://www.mahlooji.ir/" TargetMode="External"/><Relationship Id="rId799" Type="http://schemas.openxmlformats.org/officeDocument/2006/relationships/hyperlink" Target="http://tehrannews.ir/" TargetMode="External"/><Relationship Id="rId2687" Type="http://schemas.openxmlformats.org/officeDocument/2006/relationships/hyperlink" Target="http://instagram.com/mohammadqomi" TargetMode="External"/><Relationship Id="rId2894" Type="http://schemas.openxmlformats.org/officeDocument/2006/relationships/hyperlink" Target="https://pbs.twimg.com/media/Dlu8EopXcAAwYh_.jpg" TargetMode="External"/><Relationship Id="rId659" Type="http://schemas.openxmlformats.org/officeDocument/2006/relationships/hyperlink" Target="http://etemadnewspaper.ir/" TargetMode="External"/><Relationship Id="rId866" Type="http://schemas.openxmlformats.org/officeDocument/2006/relationships/hyperlink" Target="http://ghalameparsi.persianblog.com/" TargetMode="External"/><Relationship Id="rId1289" Type="http://schemas.openxmlformats.org/officeDocument/2006/relationships/hyperlink" Target="https://pbs.twimg.com/media/DmHDmdqWsAQhfGd.jpg" TargetMode="External"/><Relationship Id="rId1496" Type="http://schemas.openxmlformats.org/officeDocument/2006/relationships/hyperlink" Target="http://www.ilna.ir/" TargetMode="External"/><Relationship Id="rId2547" Type="http://schemas.openxmlformats.org/officeDocument/2006/relationships/hyperlink" Target="https://bit.ly/2wwqEGT" TargetMode="External"/><Relationship Id="rId519" Type="http://schemas.openxmlformats.org/officeDocument/2006/relationships/hyperlink" Target="https://twitter.com/farsnews_agency/status/1036895904161247232" TargetMode="External"/><Relationship Id="rId1149" Type="http://schemas.openxmlformats.org/officeDocument/2006/relationships/hyperlink" Target="http://www.eghtesadonline.com/" TargetMode="External"/><Relationship Id="rId1356" Type="http://schemas.openxmlformats.org/officeDocument/2006/relationships/hyperlink" Target="http://www.voisfarsi.com/" TargetMode="External"/><Relationship Id="rId2754" Type="http://schemas.openxmlformats.org/officeDocument/2006/relationships/hyperlink" Target="https://pbs.twimg.com/media/Dlv3wYCWsAAQIxF.jpg" TargetMode="External"/><Relationship Id="rId2961" Type="http://schemas.openxmlformats.org/officeDocument/2006/relationships/hyperlink" Target="http://instagram.com/h_hamidi313" TargetMode="External"/><Relationship Id="rId726" Type="http://schemas.openxmlformats.org/officeDocument/2006/relationships/hyperlink" Target="https://pbs.twimg.com/media/DmPq5bKX0AAxFZI.jpg" TargetMode="External"/><Relationship Id="rId933" Type="http://schemas.openxmlformats.org/officeDocument/2006/relationships/hyperlink" Target="http://www.vatanemrooz.ir/" TargetMode="External"/><Relationship Id="rId1009" Type="http://schemas.openxmlformats.org/officeDocument/2006/relationships/hyperlink" Target="http://www.maqami.blog.ir/" TargetMode="External"/><Relationship Id="rId1563" Type="http://schemas.openxmlformats.org/officeDocument/2006/relationships/hyperlink" Target="http://ensafnews.com/131785" TargetMode="External"/><Relationship Id="rId1770" Type="http://schemas.openxmlformats.org/officeDocument/2006/relationships/hyperlink" Target="http://entekhab.ir/" TargetMode="External"/><Relationship Id="rId2407" Type="http://schemas.openxmlformats.org/officeDocument/2006/relationships/hyperlink" Target="http://t.me/pastonews" TargetMode="External"/><Relationship Id="rId2614" Type="http://schemas.openxmlformats.org/officeDocument/2006/relationships/hyperlink" Target="http://jjo.ir/bsgeasyn" TargetMode="External"/><Relationship Id="rId2821" Type="http://schemas.openxmlformats.org/officeDocument/2006/relationships/hyperlink" Target="https://pbs.twimg.com/media/Dlvr6PCWsAEkoBd.jpg" TargetMode="External"/><Relationship Id="rId62" Type="http://schemas.openxmlformats.org/officeDocument/2006/relationships/hyperlink" Target="http://farsnews.com/politics/defense" TargetMode="External"/><Relationship Id="rId1216" Type="http://schemas.openxmlformats.org/officeDocument/2006/relationships/hyperlink" Target="https://t.me/HarfBeManBot?start=MzUxMzcwODA5" TargetMode="External"/><Relationship Id="rId1423" Type="http://schemas.openxmlformats.org/officeDocument/2006/relationships/hyperlink" Target="http://forsan.news/" TargetMode="External"/><Relationship Id="rId1630" Type="http://schemas.openxmlformats.org/officeDocument/2006/relationships/hyperlink" Target="http://www.khabarfoori.com/" TargetMode="External"/><Relationship Id="rId3388" Type="http://schemas.openxmlformats.org/officeDocument/2006/relationships/hyperlink" Target="http://www.mehdighadamyari.com/" TargetMode="External"/><Relationship Id="rId3595" Type="http://schemas.openxmlformats.org/officeDocument/2006/relationships/hyperlink" Target="http://instagram.com/saeed.naimi" TargetMode="External"/><Relationship Id="rId2197" Type="http://schemas.openxmlformats.org/officeDocument/2006/relationships/hyperlink" Target="https://twitter.com/sabaazarpeik/status/1035048385768771589" TargetMode="External"/><Relationship Id="rId3248" Type="http://schemas.openxmlformats.org/officeDocument/2006/relationships/hyperlink" Target="http://bit.ly/2PIPmwF" TargetMode="External"/><Relationship Id="rId3455" Type="http://schemas.openxmlformats.org/officeDocument/2006/relationships/hyperlink" Target="https://twitter.com/Entekhab_News/status/1034388108647784448" TargetMode="External"/><Relationship Id="rId169" Type="http://schemas.openxmlformats.org/officeDocument/2006/relationships/hyperlink" Target="https://pbs.twimg.com/media/DmUn3wYW4AAmue3.jpg" TargetMode="External"/><Relationship Id="rId376" Type="http://schemas.openxmlformats.org/officeDocument/2006/relationships/hyperlink" Target="http://www.jamejamonline.ir/" TargetMode="External"/><Relationship Id="rId583" Type="http://schemas.openxmlformats.org/officeDocument/2006/relationships/hyperlink" Target="https://instagram.com/alimoosavi786" TargetMode="External"/><Relationship Id="rId790" Type="http://schemas.openxmlformats.org/officeDocument/2006/relationships/hyperlink" Target="http://shatr.blog.ir/" TargetMode="External"/><Relationship Id="rId2057" Type="http://schemas.openxmlformats.org/officeDocument/2006/relationships/hyperlink" Target="https://pbs.twimg.com/media/Dl3g4wcW4AAtK5z.jpg" TargetMode="External"/><Relationship Id="rId2264" Type="http://schemas.openxmlformats.org/officeDocument/2006/relationships/hyperlink" Target="https://youtu.be/7e6aRQoPn5c" TargetMode="External"/><Relationship Id="rId2471" Type="http://schemas.openxmlformats.org/officeDocument/2006/relationships/hyperlink" Target="https://pbs.twimg.com/media/DlxIp3GW0AY7Gwz.jpg" TargetMode="External"/><Relationship Id="rId3108" Type="http://schemas.openxmlformats.org/officeDocument/2006/relationships/hyperlink" Target="https://pbs.twimg.com/media/DltM-qRWwAAvKO3.jpg" TargetMode="External"/><Relationship Id="rId3315" Type="http://schemas.openxmlformats.org/officeDocument/2006/relationships/hyperlink" Target="https://pbs.twimg.com/media/DlsKkYZXcAASOpw.jpg" TargetMode="External"/><Relationship Id="rId3522" Type="http://schemas.openxmlformats.org/officeDocument/2006/relationships/hyperlink" Target="https://pbs.twimg.com/media/DlrKQ1wW4AEOYty.jpg" TargetMode="External"/><Relationship Id="rId236" Type="http://schemas.openxmlformats.org/officeDocument/2006/relationships/hyperlink" Target="https://facebook.com/officialaliashini" TargetMode="External"/><Relationship Id="rId443" Type="http://schemas.openxmlformats.org/officeDocument/2006/relationships/hyperlink" Target="https://about.me/saberbostaniasl" TargetMode="External"/><Relationship Id="rId650" Type="http://schemas.openxmlformats.org/officeDocument/2006/relationships/hyperlink" Target="https://twitter.com/steve_hanke/status/1036637142947188738" TargetMode="External"/><Relationship Id="rId1073" Type="http://schemas.openxmlformats.org/officeDocument/2006/relationships/hyperlink" Target="http://pic.twitter.com/lgCvOceO52" TargetMode="External"/><Relationship Id="rId1280" Type="http://schemas.openxmlformats.org/officeDocument/2006/relationships/hyperlink" Target="https://twitter.com/khoshbakht_a/status/1035956997764444165" TargetMode="External"/><Relationship Id="rId2124" Type="http://schemas.openxmlformats.org/officeDocument/2006/relationships/hyperlink" Target="http://najvahayenajibane.blogspot.com/2013/05/farsani-khamenei.html?m=1" TargetMode="External"/><Relationship Id="rId2331" Type="http://schemas.openxmlformats.org/officeDocument/2006/relationships/hyperlink" Target="https://pbs.twimg.com/media/DlyXES6X4AApBSk.jpg" TargetMode="External"/><Relationship Id="rId303" Type="http://schemas.openxmlformats.org/officeDocument/2006/relationships/hyperlink" Target="https://sapp.ir/hamidbazmshahi" TargetMode="External"/><Relationship Id="rId1140" Type="http://schemas.openxmlformats.org/officeDocument/2006/relationships/hyperlink" Target="http://www.kayhan.london/" TargetMode="External"/><Relationship Id="rId510" Type="http://schemas.openxmlformats.org/officeDocument/2006/relationships/hyperlink" Target="https://pbs.twimg.com/media/DmRNbtCWwAAQdXB.jpg" TargetMode="External"/><Relationship Id="rId1000" Type="http://schemas.openxmlformats.org/officeDocument/2006/relationships/hyperlink" Target="https://twitter.com/ZiaNabavi1/status/1036651974912040960" TargetMode="External"/><Relationship Id="rId1957" Type="http://schemas.openxmlformats.org/officeDocument/2006/relationships/hyperlink" Target="https://pbs.twimg.com/media/Dl6m3R4UcAAx6TQ.jpg" TargetMode="External"/><Relationship Id="rId1817" Type="http://schemas.openxmlformats.org/officeDocument/2006/relationships/hyperlink" Target="https://pbs.twimg.com/media/Dl6t-flXsAA-hTQ.jpg" TargetMode="External"/><Relationship Id="rId3172" Type="http://schemas.openxmlformats.org/officeDocument/2006/relationships/hyperlink" Target="https://www.instagram.com/rahman_hosseini/" TargetMode="External"/><Relationship Id="rId3032" Type="http://schemas.openxmlformats.org/officeDocument/2006/relationships/hyperlink" Target="https://t.me/simorgh31" TargetMode="External"/><Relationship Id="rId160" Type="http://schemas.openxmlformats.org/officeDocument/2006/relationships/hyperlink" Target="https://youtu.be/4kz9YYrSFhA" TargetMode="External"/><Relationship Id="rId2798" Type="http://schemas.openxmlformats.org/officeDocument/2006/relationships/hyperlink" Target="https://pbs.twimg.com/media/DlvuAjiW0AAl9GL.jpg" TargetMode="External"/><Relationship Id="rId977" Type="http://schemas.openxmlformats.org/officeDocument/2006/relationships/hyperlink" Target="https://pbs.twimg.com/media/DmMBgs-XcAE4N1_.jpg" TargetMode="External"/><Relationship Id="rId2658" Type="http://schemas.openxmlformats.org/officeDocument/2006/relationships/hyperlink" Target="https://pbs.twimg.com/media/DlwNrImW4AAB_kR.jpg" TargetMode="External"/><Relationship Id="rId2865" Type="http://schemas.openxmlformats.org/officeDocument/2006/relationships/hyperlink" Target="http://www.globalcity.blogfa.com/" TargetMode="External"/><Relationship Id="rId837" Type="http://schemas.openxmlformats.org/officeDocument/2006/relationships/hyperlink" Target="https://t.me/joinchat/AAAAAFKKCru-rek_32DvWQ" TargetMode="External"/><Relationship Id="rId1467" Type="http://schemas.openxmlformats.org/officeDocument/2006/relationships/hyperlink" Target="https://pbs.twimg.com/media/DmFDqNAXgAA0kTr.jpg" TargetMode="External"/><Relationship Id="rId1674" Type="http://schemas.openxmlformats.org/officeDocument/2006/relationships/hyperlink" Target="https://pbs.twimg.com/media/DmAa0R2X0AAUfyX.jpg" TargetMode="External"/><Relationship Id="rId1881" Type="http://schemas.openxmlformats.org/officeDocument/2006/relationships/hyperlink" Target="http://radiozamaneh.com/" TargetMode="External"/><Relationship Id="rId2518" Type="http://schemas.openxmlformats.org/officeDocument/2006/relationships/hyperlink" Target="https://pbs.twimg.com/media/Dlw3iiJWsAA_y7g.jpg" TargetMode="External"/><Relationship Id="rId2725" Type="http://schemas.openxmlformats.org/officeDocument/2006/relationships/hyperlink" Target="http://radiozamaneh.com/" TargetMode="External"/><Relationship Id="rId2932" Type="http://schemas.openxmlformats.org/officeDocument/2006/relationships/hyperlink" Target="http://cyberwarzone.com/" TargetMode="External"/><Relationship Id="rId904" Type="http://schemas.openxmlformats.org/officeDocument/2006/relationships/hyperlink" Target="https://pbs.twimg.com/media/DmOKSZ9UcAAhp8C.jpg" TargetMode="External"/><Relationship Id="rId1327" Type="http://schemas.openxmlformats.org/officeDocument/2006/relationships/hyperlink" Target="https://pbs.twimg.com/media/DmGnoa0XoAAvRod.jpg" TargetMode="External"/><Relationship Id="rId1534" Type="http://schemas.openxmlformats.org/officeDocument/2006/relationships/hyperlink" Target="http://ibena.ir/" TargetMode="External"/><Relationship Id="rId1741" Type="http://schemas.openxmlformats.org/officeDocument/2006/relationships/hyperlink" Target="http://www.tasnimnews.com/" TargetMode="External"/><Relationship Id="rId33" Type="http://schemas.openxmlformats.org/officeDocument/2006/relationships/hyperlink" Target="https://pbs.twimg.com/media/DmVZSLuW4AEeAv1.jpg" TargetMode="External"/><Relationship Id="rId1601" Type="http://schemas.openxmlformats.org/officeDocument/2006/relationships/hyperlink" Target="http://www.tasnimnews.com/" TargetMode="External"/><Relationship Id="rId3499" Type="http://schemas.openxmlformats.org/officeDocument/2006/relationships/hyperlink" Target="https://pbs.twimg.com/media/DlrWMm8XsAEe4wa.jpg" TargetMode="External"/><Relationship Id="rId3359" Type="http://schemas.openxmlformats.org/officeDocument/2006/relationships/hyperlink" Target="http://pic.twitter.com/q1gab7fsx6" TargetMode="External"/><Relationship Id="rId3566" Type="http://schemas.openxmlformats.org/officeDocument/2006/relationships/hyperlink" Target="https://pbs.twimg.com/media/DlrHp6EW0AAowTS.jpg" TargetMode="External"/><Relationship Id="rId487" Type="http://schemas.openxmlformats.org/officeDocument/2006/relationships/hyperlink" Target="http://alsefi.blogfa.com/" TargetMode="External"/><Relationship Id="rId694" Type="http://schemas.openxmlformats.org/officeDocument/2006/relationships/hyperlink" Target="https://pbs.twimg.com/media/DmP6IYJXgAE1Ew_.jpg" TargetMode="External"/><Relationship Id="rId2168" Type="http://schemas.openxmlformats.org/officeDocument/2006/relationships/hyperlink" Target="https://pbs.twimg.com/media/Dl1moYzX4AAIyJG.jpg" TargetMode="External"/><Relationship Id="rId2375" Type="http://schemas.openxmlformats.org/officeDocument/2006/relationships/hyperlink" Target="https://pbs.twimg.com/media/Dlw3T8jW4AMw1os.jpg" TargetMode="External"/><Relationship Id="rId3219" Type="http://schemas.openxmlformats.org/officeDocument/2006/relationships/hyperlink" Target="http://mirzamohammadi.blogfa.com/" TargetMode="External"/><Relationship Id="rId347" Type="http://schemas.openxmlformats.org/officeDocument/2006/relationships/hyperlink" Target="http://www.tasnimnews.com/" TargetMode="External"/><Relationship Id="rId1184" Type="http://schemas.openxmlformats.org/officeDocument/2006/relationships/hyperlink" Target="https://t.me/PastoNews" TargetMode="External"/><Relationship Id="rId2028" Type="http://schemas.openxmlformats.org/officeDocument/2006/relationships/hyperlink" Target="https://pbs.twimg.com/media/Dl3SmuPX0AApyCb.jpg" TargetMode="External"/><Relationship Id="rId2582" Type="http://schemas.openxmlformats.org/officeDocument/2006/relationships/hyperlink" Target="https://pbs.twimg.com/media/DlwaKOnWwAA6e6O.jpg" TargetMode="External"/><Relationship Id="rId3426" Type="http://schemas.openxmlformats.org/officeDocument/2006/relationships/hyperlink" Target="http://qalampress.ir/" TargetMode="External"/><Relationship Id="rId3633" Type="http://schemas.openxmlformats.org/officeDocument/2006/relationships/hyperlink" Target="https://pbs.twimg.com/media/DlquPo0W4AEvJJI.jpg" TargetMode="External"/><Relationship Id="rId554" Type="http://schemas.openxmlformats.org/officeDocument/2006/relationships/hyperlink" Target="https://pbs.twimg.com/media/DmQ2kCEXoAIjxGp.jpg" TargetMode="External"/><Relationship Id="rId761" Type="http://schemas.openxmlformats.org/officeDocument/2006/relationships/hyperlink" Target="http://payamema.ir/" TargetMode="External"/><Relationship Id="rId1391" Type="http://schemas.openxmlformats.org/officeDocument/2006/relationships/hyperlink" Target="https://www.tir.ir/" TargetMode="External"/><Relationship Id="rId2235" Type="http://schemas.openxmlformats.org/officeDocument/2006/relationships/hyperlink" Target="http://pic.twitter.com/AERN9ZEwoQ" TargetMode="External"/><Relationship Id="rId2442" Type="http://schemas.openxmlformats.org/officeDocument/2006/relationships/hyperlink" Target="http://instagram.com/yasser.babaei.m" TargetMode="External"/><Relationship Id="rId207" Type="http://schemas.openxmlformats.org/officeDocument/2006/relationships/hyperlink" Target="https://pbs.twimg.com/media/DmUaT94X4AAj4Uk.jpg" TargetMode="External"/><Relationship Id="rId414" Type="http://schemas.openxmlformats.org/officeDocument/2006/relationships/hyperlink" Target="http://instagram.com/leila100ri" TargetMode="External"/><Relationship Id="rId621" Type="http://schemas.openxmlformats.org/officeDocument/2006/relationships/hyperlink" Target="https://pbs.twimg.com/media/DmQT5jXXoAEqWkZ.jpg" TargetMode="External"/><Relationship Id="rId1044" Type="http://schemas.openxmlformats.org/officeDocument/2006/relationships/hyperlink" Target="http://t.me/knaf_shoresh" TargetMode="External"/><Relationship Id="rId1251" Type="http://schemas.openxmlformats.org/officeDocument/2006/relationships/hyperlink" Target="https://pbs.twimg.com/media/DmHfHnNXcAAH1dt.jpg" TargetMode="External"/><Relationship Id="rId2302" Type="http://schemas.openxmlformats.org/officeDocument/2006/relationships/hyperlink" Target="https://pbs.twimg.com/media/DlyoKssXoAIHNVH.jpg" TargetMode="External"/><Relationship Id="rId1111" Type="http://schemas.openxmlformats.org/officeDocument/2006/relationships/hyperlink" Target="http://bit.ly/2wEDG5t" TargetMode="External"/><Relationship Id="rId3076" Type="http://schemas.openxmlformats.org/officeDocument/2006/relationships/hyperlink" Target="https://twitter.com/padash_mr/status/1034322973958856704" TargetMode="External"/><Relationship Id="rId3283" Type="http://schemas.openxmlformats.org/officeDocument/2006/relationships/hyperlink" Target="http://filter_shod_n.bar.com/" TargetMode="External"/><Relationship Id="rId3490" Type="http://schemas.openxmlformats.org/officeDocument/2006/relationships/hyperlink" Target="https://telegram.me/harfbemanbot?start=NzE0MzUxMTA" TargetMode="External"/><Relationship Id="rId1928" Type="http://schemas.openxmlformats.org/officeDocument/2006/relationships/hyperlink" Target="http://pic.twitter.com/2XJCV46RDv" TargetMode="External"/><Relationship Id="rId2092" Type="http://schemas.openxmlformats.org/officeDocument/2006/relationships/hyperlink" Target="http://mehrnews.com/news/4384501" TargetMode="External"/><Relationship Id="rId3143" Type="http://schemas.openxmlformats.org/officeDocument/2006/relationships/hyperlink" Target="https://t.me/nabztabriz" TargetMode="External"/><Relationship Id="rId3350" Type="http://schemas.openxmlformats.org/officeDocument/2006/relationships/hyperlink" Target="http://www.iranntv.com/" TargetMode="External"/><Relationship Id="rId271" Type="http://schemas.openxmlformats.org/officeDocument/2006/relationships/hyperlink" Target="https://twitter.com/fatememohebbi/status/1036900071177170944" TargetMode="External"/><Relationship Id="rId3003" Type="http://schemas.openxmlformats.org/officeDocument/2006/relationships/hyperlink" Target="https://pbs.twimg.com/media/Dlssfo-WsAAc1pR.jpg" TargetMode="External"/><Relationship Id="rId131" Type="http://schemas.openxmlformats.org/officeDocument/2006/relationships/hyperlink" Target="http://etehadonline.com/news/661580/" TargetMode="External"/><Relationship Id="rId3210" Type="http://schemas.openxmlformats.org/officeDocument/2006/relationships/hyperlink" Target="https://pbs.twimg.com/media/DlsllaiVsAAhBSZ.jpg" TargetMode="External"/><Relationship Id="rId2769" Type="http://schemas.openxmlformats.org/officeDocument/2006/relationships/hyperlink" Target="https://www.instagram.com/hosseiining/" TargetMode="External"/><Relationship Id="rId2976" Type="http://schemas.openxmlformats.org/officeDocument/2006/relationships/hyperlink" Target="https://pbs.twimg.com/media/Dltv2bbWsAUwZ0h.jpg" TargetMode="External"/><Relationship Id="rId948" Type="http://schemas.openxmlformats.org/officeDocument/2006/relationships/hyperlink" Target="http://soheil.fa/" TargetMode="External"/><Relationship Id="rId1578" Type="http://schemas.openxmlformats.org/officeDocument/2006/relationships/hyperlink" Target="http://t.me/semohos1/2583" TargetMode="External"/><Relationship Id="rId1785" Type="http://schemas.openxmlformats.org/officeDocument/2006/relationships/hyperlink" Target="https://pbs.twimg.com/media/Dl-9XSZVAAA2YUh.jpg" TargetMode="External"/><Relationship Id="rId1992" Type="http://schemas.openxmlformats.org/officeDocument/2006/relationships/hyperlink" Target="https://www.radiozamaneh.com/410028" TargetMode="External"/><Relationship Id="rId2629" Type="http://schemas.openxmlformats.org/officeDocument/2006/relationships/hyperlink" Target="https://pbs.twimg.com/media/DlwTwU_X4AYn2LV.jpg" TargetMode="External"/><Relationship Id="rId2836" Type="http://schemas.openxmlformats.org/officeDocument/2006/relationships/hyperlink" Target="http://hadipiri.ir/" TargetMode="External"/><Relationship Id="rId77" Type="http://schemas.openxmlformats.org/officeDocument/2006/relationships/hyperlink" Target="http://pic.twitter.com/2eZx9XzVFe" TargetMode="External"/><Relationship Id="rId808" Type="http://schemas.openxmlformats.org/officeDocument/2006/relationships/hyperlink" Target="http://t.me/mehdighavidell" TargetMode="External"/><Relationship Id="rId1438" Type="http://schemas.openxmlformats.org/officeDocument/2006/relationships/hyperlink" Target="http://cyberwarzone.com/" TargetMode="External"/><Relationship Id="rId1645" Type="http://schemas.openxmlformats.org/officeDocument/2006/relationships/hyperlink" Target="https://pbs.twimg.com/media/DmBAwPOW4AILGUj.jpg" TargetMode="External"/><Relationship Id="rId1852" Type="http://schemas.openxmlformats.org/officeDocument/2006/relationships/hyperlink" Target="http://pic.twitter.com/2jLXGKIuP5" TargetMode="External"/><Relationship Id="rId2903" Type="http://schemas.openxmlformats.org/officeDocument/2006/relationships/hyperlink" Target="https://www.instagram.com/p/BnCr8v4lcfm/?utm_source=ig_twitter_share&amp;igshid=16f4byq929dwm" TargetMode="External"/><Relationship Id="rId1505" Type="http://schemas.openxmlformats.org/officeDocument/2006/relationships/hyperlink" Target="https://pbs.twimg.com/media/DmExRhwXgAAIjcm.jpg" TargetMode="External"/><Relationship Id="rId1712" Type="http://schemas.openxmlformats.org/officeDocument/2006/relationships/hyperlink" Target="http://daarvh.blogfa.com/" TargetMode="External"/><Relationship Id="rId598" Type="http://schemas.openxmlformats.org/officeDocument/2006/relationships/hyperlink" Target="http://pic.twitter.com/XRWTvaCatF" TargetMode="External"/><Relationship Id="rId2279" Type="http://schemas.openxmlformats.org/officeDocument/2006/relationships/hyperlink" Target="https://twitter.com/irannews8857/status/1034806136464179203" TargetMode="External"/><Relationship Id="rId2486" Type="http://schemas.openxmlformats.org/officeDocument/2006/relationships/hyperlink" Target="https://pbs.twimg.com/media/DlxC4URUUAAf5AQ.jpg" TargetMode="External"/><Relationship Id="rId2693" Type="http://schemas.openxmlformats.org/officeDocument/2006/relationships/hyperlink" Target="https://pbs.twimg.com/media/DlwEtiFW4AAaPKc.jpg" TargetMode="External"/><Relationship Id="rId3537" Type="http://schemas.openxmlformats.org/officeDocument/2006/relationships/hyperlink" Target="http://www.mmzahedi.ir/" TargetMode="External"/><Relationship Id="rId458" Type="http://schemas.openxmlformats.org/officeDocument/2006/relationships/hyperlink" Target="http://pic.twitter.com/ZZsBBrPckg" TargetMode="External"/><Relationship Id="rId665" Type="http://schemas.openxmlformats.org/officeDocument/2006/relationships/hyperlink" Target="https://pbs.twimg.com/media/DmQET2UW4AAqGuv.jpg" TargetMode="External"/><Relationship Id="rId872" Type="http://schemas.openxmlformats.org/officeDocument/2006/relationships/hyperlink" Target="http://newspaper.hamshahri.org/" TargetMode="External"/><Relationship Id="rId1088" Type="http://schemas.openxmlformats.org/officeDocument/2006/relationships/hyperlink" Target="http://rayafeed.com/" TargetMode="External"/><Relationship Id="rId1295" Type="http://schemas.openxmlformats.org/officeDocument/2006/relationships/hyperlink" Target="https://twitter.com/sadeghzibakalam/status/1036290486791618562" TargetMode="External"/><Relationship Id="rId2139" Type="http://schemas.openxmlformats.org/officeDocument/2006/relationships/hyperlink" Target="http://pic.twitter.com/nWE0CXcGeY" TargetMode="External"/><Relationship Id="rId2346" Type="http://schemas.openxmlformats.org/officeDocument/2006/relationships/hyperlink" Target="https://twitter.com/afshanimedia/status/1034839426944389120" TargetMode="External"/><Relationship Id="rId2553" Type="http://schemas.openxmlformats.org/officeDocument/2006/relationships/hyperlink" Target="https://pbs.twimg.com/media/DlwjIsXW0AA4XCq.jpg" TargetMode="External"/><Relationship Id="rId2760" Type="http://schemas.openxmlformats.org/officeDocument/2006/relationships/hyperlink" Target="https://twitter.com/FarsNews_Agency/status/1034691385599946752" TargetMode="External"/><Relationship Id="rId3604" Type="http://schemas.openxmlformats.org/officeDocument/2006/relationships/hyperlink" Target="http://manoto.news/" TargetMode="External"/><Relationship Id="rId318" Type="http://schemas.openxmlformats.org/officeDocument/2006/relationships/hyperlink" Target="https://twitter.com/P_Salahshouri/status/1036873560936079360" TargetMode="External"/><Relationship Id="rId525" Type="http://schemas.openxmlformats.org/officeDocument/2006/relationships/hyperlink" Target="https://pbs.twimg.com/media/DmRGbVbWsAAhJGK.jpg" TargetMode="External"/><Relationship Id="rId732" Type="http://schemas.openxmlformats.org/officeDocument/2006/relationships/hyperlink" Target="http://t.me/iranium88" TargetMode="External"/><Relationship Id="rId1155" Type="http://schemas.openxmlformats.org/officeDocument/2006/relationships/hyperlink" Target="https://t.me/joinchat/AAAAAEW-4GmVW4dNijEwFg" TargetMode="External"/><Relationship Id="rId1362" Type="http://schemas.openxmlformats.org/officeDocument/2006/relationships/hyperlink" Target="https://www.instagram.com/samsam_1371/" TargetMode="External"/><Relationship Id="rId2206" Type="http://schemas.openxmlformats.org/officeDocument/2006/relationships/hyperlink" Target="http://madarshahian.com/" TargetMode="External"/><Relationship Id="rId2413" Type="http://schemas.openxmlformats.org/officeDocument/2006/relationships/hyperlink" Target="https://pbs.twimg.com/media/DlxE_GQWwAAGCQn.jpg" TargetMode="External"/><Relationship Id="rId2620" Type="http://schemas.openxmlformats.org/officeDocument/2006/relationships/hyperlink" Target="http://www.eghtesadonline.com/" TargetMode="External"/><Relationship Id="rId1015" Type="http://schemas.openxmlformats.org/officeDocument/2006/relationships/hyperlink" Target="https://pbs.twimg.com/media/DmLnMRRWsAE63pP.jpg" TargetMode="External"/><Relationship Id="rId1222" Type="http://schemas.openxmlformats.org/officeDocument/2006/relationships/hyperlink" Target="https://pbs.twimg.com/media/DmJYvk5W0AE5btb.jpg" TargetMode="External"/><Relationship Id="rId3187" Type="http://schemas.openxmlformats.org/officeDocument/2006/relationships/hyperlink" Target="http://www.sarvnews.com/" TargetMode="External"/><Relationship Id="rId3394" Type="http://schemas.openxmlformats.org/officeDocument/2006/relationships/hyperlink" Target="https://pbs.twimg.com/media/Dlrw5ZZX0AAMgX9.jpg" TargetMode="External"/><Relationship Id="rId3047" Type="http://schemas.openxmlformats.org/officeDocument/2006/relationships/hyperlink" Target="http://pic.twitter.com/pkHs7mUNZH" TargetMode="External"/><Relationship Id="rId175" Type="http://schemas.openxmlformats.org/officeDocument/2006/relationships/hyperlink" Target="http://pic.twitter.com/9A7RRkfWvn" TargetMode="External"/><Relationship Id="rId3254" Type="http://schemas.openxmlformats.org/officeDocument/2006/relationships/hyperlink" Target="http://www.kayhan.london/" TargetMode="External"/><Relationship Id="rId3461" Type="http://schemas.openxmlformats.org/officeDocument/2006/relationships/hyperlink" Target="https://pbs.twimg.com/media/DlridEaXcAEbyN2.jpg" TargetMode="External"/><Relationship Id="rId382" Type="http://schemas.openxmlformats.org/officeDocument/2006/relationships/hyperlink" Target="https://www.yjc.ir/00Rvec" TargetMode="External"/><Relationship Id="rId2063" Type="http://schemas.openxmlformats.org/officeDocument/2006/relationships/hyperlink" Target="https://pbs.twimg.com/media/DlhyaqtUcAIPe1G.jpg" TargetMode="External"/><Relationship Id="rId2270" Type="http://schemas.openxmlformats.org/officeDocument/2006/relationships/hyperlink" Target="http://sapp.ir/alefhamim" TargetMode="External"/><Relationship Id="rId3114" Type="http://schemas.openxmlformats.org/officeDocument/2006/relationships/hyperlink" Target="http://telegram.com/mobin7766" TargetMode="External"/><Relationship Id="rId3321" Type="http://schemas.openxmlformats.org/officeDocument/2006/relationships/hyperlink" Target="https://dalghakirani.blogspot.co.uk/" TargetMode="External"/><Relationship Id="rId242" Type="http://schemas.openxmlformats.org/officeDocument/2006/relationships/hyperlink" Target="https://telegram.me/harfbzanbot?start=PY4Y1P" TargetMode="External"/><Relationship Id="rId2130" Type="http://schemas.openxmlformats.org/officeDocument/2006/relationships/hyperlink" Target="https://pbs.twimg.com/media/Dl2WSQ5WwAAHnli.jpg" TargetMode="External"/><Relationship Id="rId102" Type="http://schemas.openxmlformats.org/officeDocument/2006/relationships/hyperlink" Target="https://pbs.twimg.com/media/DmU9keTXcAEYYT2.jpg" TargetMode="External"/><Relationship Id="rId1689" Type="http://schemas.openxmlformats.org/officeDocument/2006/relationships/hyperlink" Target="http://tn.ai/1816663" TargetMode="External"/><Relationship Id="rId1896" Type="http://schemas.openxmlformats.org/officeDocument/2006/relationships/hyperlink" Target="https://pbs.twimg.com/media/Dl70SU1UcAExrhd.jpg" TargetMode="External"/><Relationship Id="rId2947" Type="http://schemas.openxmlformats.org/officeDocument/2006/relationships/hyperlink" Target="https://pbs.twimg.com/media/DltljcIXgAErWd1.jpg" TargetMode="External"/><Relationship Id="rId919" Type="http://schemas.openxmlformats.org/officeDocument/2006/relationships/hyperlink" Target="https://twitter.com/t_alidoosti/status/1036719392761905153" TargetMode="External"/><Relationship Id="rId1549" Type="http://schemas.openxmlformats.org/officeDocument/2006/relationships/hyperlink" Target="http://www.adelkhani.ir/" TargetMode="External"/><Relationship Id="rId1756" Type="http://schemas.openxmlformats.org/officeDocument/2006/relationships/hyperlink" Target="http://www.rtgk.persianblog.ir/" TargetMode="External"/><Relationship Id="rId1963" Type="http://schemas.openxmlformats.org/officeDocument/2006/relationships/hyperlink" Target="https://aminsabeti.net/" TargetMode="External"/><Relationship Id="rId2807" Type="http://schemas.openxmlformats.org/officeDocument/2006/relationships/hyperlink" Target="https://pbs.twimg.com/media/DlvuDNgX0AAaXGj.jpg" TargetMode="External"/><Relationship Id="rId48" Type="http://schemas.openxmlformats.org/officeDocument/2006/relationships/hyperlink" Target="http://t.me/iRezaFeizi" TargetMode="External"/><Relationship Id="rId1409" Type="http://schemas.openxmlformats.org/officeDocument/2006/relationships/hyperlink" Target="http://www.farsnews.com/farsplus-magazine" TargetMode="External"/><Relationship Id="rId1616" Type="http://schemas.openxmlformats.org/officeDocument/2006/relationships/hyperlink" Target="https://pbs.twimg.com/media/DmBjQyCXoAET2Vp.jpg" TargetMode="External"/><Relationship Id="rId1823" Type="http://schemas.openxmlformats.org/officeDocument/2006/relationships/hyperlink" Target="https://pbs.twimg.com/media/Dl9lEuaXgAI1PK3.jpg" TargetMode="External"/><Relationship Id="rId2597" Type="http://schemas.openxmlformats.org/officeDocument/2006/relationships/hyperlink" Target="https://pbs.twimg.com/media/DlwYGeeWsAEzwG7.jpg" TargetMode="External"/><Relationship Id="rId3648" Type="http://schemas.openxmlformats.org/officeDocument/2006/relationships/hyperlink" Target="http://eitaa.com/abuali_313" TargetMode="External"/><Relationship Id="rId569" Type="http://schemas.openxmlformats.org/officeDocument/2006/relationships/hyperlink" Target="https://twitter.com/steve_hanke/status/1036988896368885760" TargetMode="External"/><Relationship Id="rId776" Type="http://schemas.openxmlformats.org/officeDocument/2006/relationships/hyperlink" Target="https://pbs.twimg.com/media/DmPXfdSW4AAVWbZ.jpg" TargetMode="External"/><Relationship Id="rId983" Type="http://schemas.openxmlformats.org/officeDocument/2006/relationships/hyperlink" Target="https://pbs.twimg.com/media/DmL-HfUW4AI30G-.jpg" TargetMode="External"/><Relationship Id="rId1199" Type="http://schemas.openxmlformats.org/officeDocument/2006/relationships/hyperlink" Target="https://pbs.twimg.com/media/DmJxXFMWwAA1wcZ.jpg" TargetMode="External"/><Relationship Id="rId2457" Type="http://schemas.openxmlformats.org/officeDocument/2006/relationships/hyperlink" Target="https://pbs.twimg.com/media/DlxLzzVWwAEhfEZ.jpg" TargetMode="External"/><Relationship Id="rId2664" Type="http://schemas.openxmlformats.org/officeDocument/2006/relationships/hyperlink" Target="https://pbs.twimg.com/media/DlwMNOTVAAAjjcq.jpg" TargetMode="External"/><Relationship Id="rId3508" Type="http://schemas.openxmlformats.org/officeDocument/2006/relationships/hyperlink" Target="http://www.translateworld.ir/" TargetMode="External"/><Relationship Id="rId429" Type="http://schemas.openxmlformats.org/officeDocument/2006/relationships/hyperlink" Target="https://www.instagram.com/samsam_1371/" TargetMode="External"/><Relationship Id="rId636" Type="http://schemas.openxmlformats.org/officeDocument/2006/relationships/hyperlink" Target="https://pbs.twimg.com/media/DmQOaBlWwAIVi_e.jpg" TargetMode="External"/><Relationship Id="rId1059" Type="http://schemas.openxmlformats.org/officeDocument/2006/relationships/hyperlink" Target="https://twitter.com/PadDolat/status/1036609745321451523" TargetMode="External"/><Relationship Id="rId1266" Type="http://schemas.openxmlformats.org/officeDocument/2006/relationships/hyperlink" Target="http://tn.ai/1818803" TargetMode="External"/><Relationship Id="rId1473" Type="http://schemas.openxmlformats.org/officeDocument/2006/relationships/hyperlink" Target="http://bit.ly/2PqQm7C" TargetMode="External"/><Relationship Id="rId2317" Type="http://schemas.openxmlformats.org/officeDocument/2006/relationships/hyperlink" Target="https://pbs.twimg.com/media/DlygiaQVAAA2CHX.jpg" TargetMode="External"/><Relationship Id="rId2871" Type="http://schemas.openxmlformats.org/officeDocument/2006/relationships/hyperlink" Target="https://pbs.twimg.com/media/DlvZD_dXgAEeJ1S.jpg" TargetMode="External"/><Relationship Id="rId843" Type="http://schemas.openxmlformats.org/officeDocument/2006/relationships/hyperlink" Target="https://goo.gl/CVeFTt" TargetMode="External"/><Relationship Id="rId1126" Type="http://schemas.openxmlformats.org/officeDocument/2006/relationships/hyperlink" Target="http://cyberwarzone.com/" TargetMode="External"/><Relationship Id="rId1680" Type="http://schemas.openxmlformats.org/officeDocument/2006/relationships/hyperlink" Target="https://pbs.twimg.com/media/DmAYNeLUUAAbKoy.jpg" TargetMode="External"/><Relationship Id="rId2524" Type="http://schemas.openxmlformats.org/officeDocument/2006/relationships/hyperlink" Target="http://iranfreedom.org/fa/" TargetMode="External"/><Relationship Id="rId2731" Type="http://schemas.openxmlformats.org/officeDocument/2006/relationships/hyperlink" Target="http://emtedad.net/" TargetMode="External"/><Relationship Id="rId703" Type="http://schemas.openxmlformats.org/officeDocument/2006/relationships/hyperlink" Target="http://pic.twitter.com/J57AkbdgFw" TargetMode="External"/><Relationship Id="rId910" Type="http://schemas.openxmlformats.org/officeDocument/2006/relationships/hyperlink" Target="https://twitter.com/Khamenei_fa/status/1036627946704961536" TargetMode="External"/><Relationship Id="rId1333" Type="http://schemas.openxmlformats.org/officeDocument/2006/relationships/hyperlink" Target="http://www.iranntv.com/" TargetMode="External"/><Relationship Id="rId1540" Type="http://schemas.openxmlformats.org/officeDocument/2006/relationships/hyperlink" Target="http://pic.twitter.com/Yb1hqXCtdh" TargetMode="External"/><Relationship Id="rId1400" Type="http://schemas.openxmlformats.org/officeDocument/2006/relationships/hyperlink" Target="https://twitter.com/sbiabanaki47/status/1036201032143986688" TargetMode="External"/><Relationship Id="rId3298" Type="http://schemas.openxmlformats.org/officeDocument/2006/relationships/hyperlink" Target="http://khabarfoori.com/detail/555212" TargetMode="External"/><Relationship Id="rId3158" Type="http://schemas.openxmlformats.org/officeDocument/2006/relationships/hyperlink" Target="http://mohammad.gh/" TargetMode="External"/><Relationship Id="rId3365" Type="http://schemas.openxmlformats.org/officeDocument/2006/relationships/hyperlink" Target="http://www.irvds.net/" TargetMode="External"/><Relationship Id="rId3572" Type="http://schemas.openxmlformats.org/officeDocument/2006/relationships/hyperlink" Target="http://www.khabarfoori.com/" TargetMode="External"/><Relationship Id="rId286" Type="http://schemas.openxmlformats.org/officeDocument/2006/relationships/hyperlink" Target="http://qalampress.ir/" TargetMode="External"/><Relationship Id="rId493" Type="http://schemas.openxmlformats.org/officeDocument/2006/relationships/hyperlink" Target="http://arsam-m.blogspot.com/" TargetMode="External"/><Relationship Id="rId2174" Type="http://schemas.openxmlformats.org/officeDocument/2006/relationships/hyperlink" Target="https://www.instagram.com/mostafa.goldsmith" TargetMode="External"/><Relationship Id="rId2381" Type="http://schemas.openxmlformats.org/officeDocument/2006/relationships/hyperlink" Target="http://pic.twitter.com/B6v7AeS2Kp" TargetMode="External"/><Relationship Id="rId3018" Type="http://schemas.openxmlformats.org/officeDocument/2006/relationships/hyperlink" Target="http://pic.twitter.com/tcFx5xJYuu" TargetMode="External"/><Relationship Id="rId3225" Type="http://schemas.openxmlformats.org/officeDocument/2006/relationships/hyperlink" Target="http://farahan.blogsky.com/" TargetMode="External"/><Relationship Id="rId3432" Type="http://schemas.openxmlformats.org/officeDocument/2006/relationships/hyperlink" Target="https://instagram.com/cyber_802" TargetMode="External"/><Relationship Id="rId146" Type="http://schemas.openxmlformats.org/officeDocument/2006/relationships/hyperlink" Target="http://www.netbarg.com/" TargetMode="External"/><Relationship Id="rId353" Type="http://schemas.openxmlformats.org/officeDocument/2006/relationships/hyperlink" Target="http://www.eghtesadonline.com/" TargetMode="External"/><Relationship Id="rId560" Type="http://schemas.openxmlformats.org/officeDocument/2006/relationships/hyperlink" Target="http://pic.twitter.com/ay5ooJ4q52" TargetMode="External"/><Relationship Id="rId1190" Type="http://schemas.openxmlformats.org/officeDocument/2006/relationships/hyperlink" Target="http://pic.twitter.com/avttFX178A" TargetMode="External"/><Relationship Id="rId2034" Type="http://schemas.openxmlformats.org/officeDocument/2006/relationships/hyperlink" Target="https://pbs.twimg.com/media/Dl38MKKXgAEaPyr.jpg" TargetMode="External"/><Relationship Id="rId2241" Type="http://schemas.openxmlformats.org/officeDocument/2006/relationships/hyperlink" Target="http://pake-shadi.com/" TargetMode="External"/><Relationship Id="rId213" Type="http://schemas.openxmlformats.org/officeDocument/2006/relationships/hyperlink" Target="http://pic.twitter.com/BZqdecxnGS" TargetMode="External"/><Relationship Id="rId420" Type="http://schemas.openxmlformats.org/officeDocument/2006/relationships/hyperlink" Target="https://twitter.com/tavakoli1367/status/1037053465950937089" TargetMode="External"/><Relationship Id="rId1050" Type="http://schemas.openxmlformats.org/officeDocument/2006/relationships/hyperlink" Target="https://www.manoto.news/" TargetMode="External"/><Relationship Id="rId2101" Type="http://schemas.openxmlformats.org/officeDocument/2006/relationships/hyperlink" Target="http://cyberwarzone.com/" TargetMode="External"/><Relationship Id="rId1867" Type="http://schemas.openxmlformats.org/officeDocument/2006/relationships/hyperlink" Target="https://telegram.me/harfbzanbot?start=PY4Y1P" TargetMode="External"/><Relationship Id="rId2918" Type="http://schemas.openxmlformats.org/officeDocument/2006/relationships/hyperlink" Target="https://pbs.twimg.com/media/DluKNnOXgAEJ8Rk.jpg" TargetMode="External"/><Relationship Id="rId1727" Type="http://schemas.openxmlformats.org/officeDocument/2006/relationships/hyperlink" Target="http://www.eghtesadonline.com/" TargetMode="External"/><Relationship Id="rId1934" Type="http://schemas.openxmlformats.org/officeDocument/2006/relationships/hyperlink" Target="https://pbs.twimg.com/media/Dl7Mn72WsAAS_pK.jpg" TargetMode="External"/><Relationship Id="rId3082" Type="http://schemas.openxmlformats.org/officeDocument/2006/relationships/hyperlink" Target="https://pbs.twimg.com/media/DlSopicX0AEMr5_.jpg" TargetMode="External"/><Relationship Id="rId19" Type="http://schemas.openxmlformats.org/officeDocument/2006/relationships/hyperlink" Target="https://pbs.twimg.com/media/DmVeUizXoAIUIG5.jpg" TargetMode="External"/><Relationship Id="rId3" Type="http://schemas.openxmlformats.org/officeDocument/2006/relationships/hyperlink" Target="https://pbs.twimg.com/media/DmVnXXwXsAISt09.jpg" TargetMode="External"/><Relationship Id="rId887" Type="http://schemas.openxmlformats.org/officeDocument/2006/relationships/hyperlink" Target="https://twitter.com/Jedaaal/status/1036667068492472320" TargetMode="External"/><Relationship Id="rId2568" Type="http://schemas.openxmlformats.org/officeDocument/2006/relationships/hyperlink" Target="http://pic.twitter.com/yNw0tovC76" TargetMode="External"/><Relationship Id="rId2775" Type="http://schemas.openxmlformats.org/officeDocument/2006/relationships/hyperlink" Target="http://telegram.me/sabetitelegram" TargetMode="External"/><Relationship Id="rId2982" Type="http://schemas.openxmlformats.org/officeDocument/2006/relationships/hyperlink" Target="https://t.me/trenditter" TargetMode="External"/><Relationship Id="rId3619" Type="http://schemas.openxmlformats.org/officeDocument/2006/relationships/hyperlink" Target="https://pbs.twimg.com/media/Dlq6p9IW4AEy3mn.jpg" TargetMode="External"/><Relationship Id="rId747" Type="http://schemas.openxmlformats.org/officeDocument/2006/relationships/hyperlink" Target="http://www.iranintl.com/" TargetMode="External"/><Relationship Id="rId954" Type="http://schemas.openxmlformats.org/officeDocument/2006/relationships/hyperlink" Target="https://pbs.twimg.com/media/DmMO0TvWsAEN0Yk.jpg" TargetMode="External"/><Relationship Id="rId1377" Type="http://schemas.openxmlformats.org/officeDocument/2006/relationships/hyperlink" Target="http://pic.twitter.com/kT3vkXsqZb" TargetMode="External"/><Relationship Id="rId1584" Type="http://schemas.openxmlformats.org/officeDocument/2006/relationships/hyperlink" Target="https://pbs.twimg.com/media/DmCMu79X4AEnylA.jpg" TargetMode="External"/><Relationship Id="rId1791" Type="http://schemas.openxmlformats.org/officeDocument/2006/relationships/hyperlink" Target="http://ibena.ir/" TargetMode="External"/><Relationship Id="rId2428" Type="http://schemas.openxmlformats.org/officeDocument/2006/relationships/hyperlink" Target="https://pbs.twimg.com/media/Dlxal3PW4AAuqs5.jpg" TargetMode="External"/><Relationship Id="rId2635" Type="http://schemas.openxmlformats.org/officeDocument/2006/relationships/hyperlink" Target="https://coinclass.ir/" TargetMode="External"/><Relationship Id="rId2842" Type="http://schemas.openxmlformats.org/officeDocument/2006/relationships/hyperlink" Target="https://pbs.twimg.com/media/Dlvl_8gW0AAplmX.jpg" TargetMode="External"/><Relationship Id="rId83" Type="http://schemas.openxmlformats.org/officeDocument/2006/relationships/hyperlink" Target="https://pbs.twimg.com/media/DmVD21sW4AAH51O.jpg" TargetMode="External"/><Relationship Id="rId607" Type="http://schemas.openxmlformats.org/officeDocument/2006/relationships/hyperlink" Target="http://pic.twitter.com/phFWSFOEm1" TargetMode="External"/><Relationship Id="rId814" Type="http://schemas.openxmlformats.org/officeDocument/2006/relationships/hyperlink" Target="https://facebook.com/officialaliashini" TargetMode="External"/><Relationship Id="rId1237" Type="http://schemas.openxmlformats.org/officeDocument/2006/relationships/hyperlink" Target="http://gooyeh-qom.com/" TargetMode="External"/><Relationship Id="rId1444" Type="http://schemas.openxmlformats.org/officeDocument/2006/relationships/hyperlink" Target="https://www.instagram.com/hachal.haft/" TargetMode="External"/><Relationship Id="rId1651" Type="http://schemas.openxmlformats.org/officeDocument/2006/relationships/hyperlink" Target="https://pbs.twimg.com/media/DmAuUfsW4AAUsuX.jpg" TargetMode="External"/><Relationship Id="rId2702" Type="http://schemas.openxmlformats.org/officeDocument/2006/relationships/hyperlink" Target="https://twitter.com/a_gholhaki/status/1034162295063162886" TargetMode="External"/><Relationship Id="rId1304" Type="http://schemas.openxmlformats.org/officeDocument/2006/relationships/hyperlink" Target="https://ir.linkedin.com/in/meisam-rajabi-8242ba53" TargetMode="External"/><Relationship Id="rId1511" Type="http://schemas.openxmlformats.org/officeDocument/2006/relationships/hyperlink" Target="https://pbs.twimg.com/media/DmEvNiZXoAAW6l8.jpg" TargetMode="External"/><Relationship Id="rId3269" Type="http://schemas.openxmlformats.org/officeDocument/2006/relationships/hyperlink" Target="http://pic.twitter.com/LPGmZ11dgY" TargetMode="External"/><Relationship Id="rId3476" Type="http://schemas.openxmlformats.org/officeDocument/2006/relationships/hyperlink" Target="http://telegram.me/sabetitelegram" TargetMode="External"/><Relationship Id="rId10" Type="http://schemas.openxmlformats.org/officeDocument/2006/relationships/hyperlink" Target="https://twitter.com/Chenarani_ir/status/1037276173615677441" TargetMode="External"/><Relationship Id="rId397" Type="http://schemas.openxmlformats.org/officeDocument/2006/relationships/hyperlink" Target="https://twitter.com/majazestan/status/1036704313140293642" TargetMode="External"/><Relationship Id="rId2078" Type="http://schemas.openxmlformats.org/officeDocument/2006/relationships/hyperlink" Target="http://www.instagram.com/salavatialireza.e/" TargetMode="External"/><Relationship Id="rId2285" Type="http://schemas.openxmlformats.org/officeDocument/2006/relationships/hyperlink" Target="http://instagram.com/saeed.naimi" TargetMode="External"/><Relationship Id="rId2492" Type="http://schemas.openxmlformats.org/officeDocument/2006/relationships/hyperlink" Target="https://pbs.twimg.com/media/Dlw_XpIWsAA7Ipg.jpg" TargetMode="External"/><Relationship Id="rId3129" Type="http://schemas.openxmlformats.org/officeDocument/2006/relationships/hyperlink" Target="https://pbs.twimg.com/media/DltD7pNXgAA73kF.jpg" TargetMode="External"/><Relationship Id="rId3336" Type="http://schemas.openxmlformats.org/officeDocument/2006/relationships/hyperlink" Target="http://pic.twitter.com/hjEec0gjMv" TargetMode="External"/><Relationship Id="rId257" Type="http://schemas.openxmlformats.org/officeDocument/2006/relationships/hyperlink" Target="https://pbs.twimg.com/media/DmUMTSVX4AAu0ke.jpg" TargetMode="External"/><Relationship Id="rId464" Type="http://schemas.openxmlformats.org/officeDocument/2006/relationships/hyperlink" Target="http://instagram.com/hasan_alinezhaad" TargetMode="External"/><Relationship Id="rId1094" Type="http://schemas.openxmlformats.org/officeDocument/2006/relationships/hyperlink" Target="https://plus.google.com/u/0/110838954178345857084" TargetMode="External"/><Relationship Id="rId2145" Type="http://schemas.openxmlformats.org/officeDocument/2006/relationships/hyperlink" Target="http://www.iranntv.com/" TargetMode="External"/><Relationship Id="rId3543" Type="http://schemas.openxmlformats.org/officeDocument/2006/relationships/hyperlink" Target="https://pbs.twimg.com/media/Dlq8XrRWwAA0Oei.jpg" TargetMode="External"/><Relationship Id="rId117" Type="http://schemas.openxmlformats.org/officeDocument/2006/relationships/hyperlink" Target="https://pbs.twimg.com/media/DmU2_sGX4AAqM3v.jpg" TargetMode="External"/><Relationship Id="rId671" Type="http://schemas.openxmlformats.org/officeDocument/2006/relationships/hyperlink" Target="https://pbs.twimg.com/media/DmQC4j3XcAEtT7N.jpg" TargetMode="External"/><Relationship Id="rId2352" Type="http://schemas.openxmlformats.org/officeDocument/2006/relationships/hyperlink" Target="https://pbs.twimg.com/media/DlxvawCUwAARttr.jpg" TargetMode="External"/><Relationship Id="rId3403" Type="http://schemas.openxmlformats.org/officeDocument/2006/relationships/hyperlink" Target="https://twitter.com/danialbehzadi/status/1034318001598816256" TargetMode="External"/><Relationship Id="rId3610" Type="http://schemas.openxmlformats.org/officeDocument/2006/relationships/hyperlink" Target="https://pbs.twimg.com/media/Dlq7DWSUUAAzs4a.jpg" TargetMode="External"/><Relationship Id="rId324" Type="http://schemas.openxmlformats.org/officeDocument/2006/relationships/hyperlink" Target="http://qalampress.ir/" TargetMode="External"/><Relationship Id="rId531" Type="http://schemas.openxmlformats.org/officeDocument/2006/relationships/hyperlink" Target="https://pbs.twimg.com/media/DmRFboNWsAA3JbG.jpg" TargetMode="External"/><Relationship Id="rId1161" Type="http://schemas.openxmlformats.org/officeDocument/2006/relationships/hyperlink" Target="http://m0911.com/" TargetMode="External"/><Relationship Id="rId2005" Type="http://schemas.openxmlformats.org/officeDocument/2006/relationships/hyperlink" Target="https://pbs.twimg.com/media/Dl41XL1XoAAvt0i.jpg" TargetMode="External"/><Relationship Id="rId2212" Type="http://schemas.openxmlformats.org/officeDocument/2006/relationships/hyperlink" Target="http://yaali12.blog.ir/1397/06/08" TargetMode="External"/><Relationship Id="rId1021" Type="http://schemas.openxmlformats.org/officeDocument/2006/relationships/hyperlink" Target="http://fb.com/Freedom.Messenger" TargetMode="External"/><Relationship Id="rId1978" Type="http://schemas.openxmlformats.org/officeDocument/2006/relationships/hyperlink" Target="http://pic.twitter.com/iu8z35RJMu" TargetMode="External"/><Relationship Id="rId3193" Type="http://schemas.openxmlformats.org/officeDocument/2006/relationships/hyperlink" Target="http://www.sohrablou.com/" TargetMode="External"/><Relationship Id="rId1838" Type="http://schemas.openxmlformats.org/officeDocument/2006/relationships/hyperlink" Target="http://pic.twitter.com/bgTLHnMnaP" TargetMode="External"/><Relationship Id="rId3053" Type="http://schemas.openxmlformats.org/officeDocument/2006/relationships/hyperlink" Target="https://pbs.twimg.com/media/DltX_FUW0AALWJg.jpg" TargetMode="External"/><Relationship Id="rId3260" Type="http://schemas.openxmlformats.org/officeDocument/2006/relationships/hyperlink" Target="http://pic.twitter.com/SbGvFciSnZ" TargetMode="External"/><Relationship Id="rId181" Type="http://schemas.openxmlformats.org/officeDocument/2006/relationships/hyperlink" Target="http://instagram.com/roohollah.zam" TargetMode="External"/><Relationship Id="rId1905" Type="http://schemas.openxmlformats.org/officeDocument/2006/relationships/hyperlink" Target="https://pbs.twimg.com/media/Dl7q9-bXcAAqQQB.jpg" TargetMode="External"/><Relationship Id="rId3120" Type="http://schemas.openxmlformats.org/officeDocument/2006/relationships/hyperlink" Target="http://www.asriran.com/fa/news/628909/%D8%A7%D8%B1%D8%B2%D8%B4-%D9%BE%D9%88%D9%84-%D9%88%D9%86%D8%B2%D9%88%D8%A6%D9%84%D8%A7-%D8%AA%D9%82%D8%B1%DB%8C%D8%A8%D8%A7-%D8%A8%D9%87-%D8%B5%D9%81%D8%B1-%D8%B1%D8%B3%DB%8C%D8%AF%D9%87-%D8%A7%D8%B3%D8%AA" TargetMode="External"/><Relationship Id="rId998" Type="http://schemas.openxmlformats.org/officeDocument/2006/relationships/hyperlink" Target="http://sarshar.org/" TargetMode="External"/><Relationship Id="rId2679" Type="http://schemas.openxmlformats.org/officeDocument/2006/relationships/hyperlink" Target="https://pbs.twimg.com/media/DlwGpWGUwAA6X7x.jpg" TargetMode="External"/><Relationship Id="rId2886" Type="http://schemas.openxmlformats.org/officeDocument/2006/relationships/hyperlink" Target="https://pbs.twimg.com/media/DlvG2nfX4AAN89v.jpg" TargetMode="External"/><Relationship Id="rId858" Type="http://schemas.openxmlformats.org/officeDocument/2006/relationships/hyperlink" Target="https://twitter.com/bahamimbh/status/1036863078586101762" TargetMode="External"/><Relationship Id="rId1488" Type="http://schemas.openxmlformats.org/officeDocument/2006/relationships/hyperlink" Target="https://t.me/Nashenastel_bot?start=u570047539" TargetMode="External"/><Relationship Id="rId1695" Type="http://schemas.openxmlformats.org/officeDocument/2006/relationships/hyperlink" Target="https://pbs.twimg.com/media/Dl_v2KPXsAA6vDV.jpg" TargetMode="External"/><Relationship Id="rId2539" Type="http://schemas.openxmlformats.org/officeDocument/2006/relationships/hyperlink" Target="https://pbs.twimg.com/media/DlwrP9HX4AAMOLg.jpg" TargetMode="External"/><Relationship Id="rId2746" Type="http://schemas.openxmlformats.org/officeDocument/2006/relationships/hyperlink" Target="http://newspaper.hamshahri.org/" TargetMode="External"/><Relationship Id="rId2953" Type="http://schemas.openxmlformats.org/officeDocument/2006/relationships/hyperlink" Target="https://twitter.com/smfazelian/status/1034449289458724865" TargetMode="External"/><Relationship Id="rId718" Type="http://schemas.openxmlformats.org/officeDocument/2006/relationships/hyperlink" Target="https://telegram.me/HarfBeManBot?start=MjU4MzE1MDIx" TargetMode="External"/><Relationship Id="rId925" Type="http://schemas.openxmlformats.org/officeDocument/2006/relationships/hyperlink" Target="http://t.co/mforooghii" TargetMode="External"/><Relationship Id="rId1348" Type="http://schemas.openxmlformats.org/officeDocument/2006/relationships/hyperlink" Target="https://pbs.twimg.com/media/DmGZq8NUcAAjO1r.jpg" TargetMode="External"/><Relationship Id="rId1555" Type="http://schemas.openxmlformats.org/officeDocument/2006/relationships/hyperlink" Target="http://www.eghtesadonline.com/" TargetMode="External"/><Relationship Id="rId1762" Type="http://schemas.openxmlformats.org/officeDocument/2006/relationships/hyperlink" Target="https://www.instagram.com/p/BnLDa7EneHR/?utm_source=ig_twitter_share&amp;igshid=g02jq5260my6" TargetMode="External"/><Relationship Id="rId2606" Type="http://schemas.openxmlformats.org/officeDocument/2006/relationships/hyperlink" Target="https://www.manoto.news/" TargetMode="External"/><Relationship Id="rId1208" Type="http://schemas.openxmlformats.org/officeDocument/2006/relationships/hyperlink" Target="http://www.ana.ir/service/22" TargetMode="External"/><Relationship Id="rId1415" Type="http://schemas.openxmlformats.org/officeDocument/2006/relationships/hyperlink" Target="https://pbs.twimg.com/media/DmFdafHVAAEtn5W.jpg" TargetMode="External"/><Relationship Id="rId2813" Type="http://schemas.openxmlformats.org/officeDocument/2006/relationships/hyperlink" Target="http://sarmashghnews.com/" TargetMode="External"/><Relationship Id="rId54" Type="http://schemas.openxmlformats.org/officeDocument/2006/relationships/hyperlink" Target="https://twitter.com/Tasnimnews_Fa/status/1037277895150981121" TargetMode="External"/><Relationship Id="rId1622" Type="http://schemas.openxmlformats.org/officeDocument/2006/relationships/hyperlink" Target="http://miladkamali.blog.ir/" TargetMode="External"/><Relationship Id="rId2189" Type="http://schemas.openxmlformats.org/officeDocument/2006/relationships/hyperlink" Target="https://t.me/iranazad94" TargetMode="External"/><Relationship Id="rId3587" Type="http://schemas.openxmlformats.org/officeDocument/2006/relationships/hyperlink" Target="http://ibena.ir/" TargetMode="External"/><Relationship Id="rId2396" Type="http://schemas.openxmlformats.org/officeDocument/2006/relationships/hyperlink" Target="https://pbs.twimg.com/media/Dlxu9HlX4AAdbHy.jpg" TargetMode="External"/><Relationship Id="rId3447" Type="http://schemas.openxmlformats.org/officeDocument/2006/relationships/hyperlink" Target="https://twitter.com/yaghma_fashkham/status/1034296926051684352" TargetMode="External"/><Relationship Id="rId368" Type="http://schemas.openxmlformats.org/officeDocument/2006/relationships/hyperlink" Target="https://www.ilna.ir/fa/tiny/news-664199" TargetMode="External"/><Relationship Id="rId575" Type="http://schemas.openxmlformats.org/officeDocument/2006/relationships/hyperlink" Target="http://pic.twitter.com/ZZsBBrPckg" TargetMode="External"/><Relationship Id="rId782" Type="http://schemas.openxmlformats.org/officeDocument/2006/relationships/hyperlink" Target="https://pbs.twimg.com/media/DmPVSyfWwAEIHmB.jpg" TargetMode="External"/><Relationship Id="rId2049" Type="http://schemas.openxmlformats.org/officeDocument/2006/relationships/hyperlink" Target="https://pbs.twimg.com/media/Dl3rHvFXoAACCeV.jpg" TargetMode="External"/><Relationship Id="rId2256" Type="http://schemas.openxmlformats.org/officeDocument/2006/relationships/hyperlink" Target="https://pbs.twimg.com/media/DlzIQH-WsAErPFn.jpg" TargetMode="External"/><Relationship Id="rId2463" Type="http://schemas.openxmlformats.org/officeDocument/2006/relationships/hyperlink" Target="https://pbs.twimg.com/media/Dlv2RVbX4AAlLLc.jpg" TargetMode="External"/><Relationship Id="rId2670" Type="http://schemas.openxmlformats.org/officeDocument/2006/relationships/hyperlink" Target="https://pbs.twimg.com/media/Dlrrz1QWsAAOlSS.jpg" TargetMode="External"/><Relationship Id="rId3307" Type="http://schemas.openxmlformats.org/officeDocument/2006/relationships/hyperlink" Target="http://pic.twitter.com/XnCnHlD7eQ" TargetMode="External"/><Relationship Id="rId3514" Type="http://schemas.openxmlformats.org/officeDocument/2006/relationships/hyperlink" Target="https://eitaa.com/rouyesh1" TargetMode="External"/><Relationship Id="rId228" Type="http://schemas.openxmlformats.org/officeDocument/2006/relationships/hyperlink" Target="http://tn.ai/1821061" TargetMode="External"/><Relationship Id="rId435" Type="http://schemas.openxmlformats.org/officeDocument/2006/relationships/hyperlink" Target="http://campashrafmassacre.wordpress.com/" TargetMode="External"/><Relationship Id="rId642" Type="http://schemas.openxmlformats.org/officeDocument/2006/relationships/hyperlink" Target="https://pbs.twimg.com/media/DmQMdHVX4AIeurn.jpg" TargetMode="External"/><Relationship Id="rId1065" Type="http://schemas.openxmlformats.org/officeDocument/2006/relationships/hyperlink" Target="http://pic.twitter.com/mvmSZrJrY3" TargetMode="External"/><Relationship Id="rId1272" Type="http://schemas.openxmlformats.org/officeDocument/2006/relationships/hyperlink" Target="https://telegram.me/STD_behbahani" TargetMode="External"/><Relationship Id="rId2116" Type="http://schemas.openxmlformats.org/officeDocument/2006/relationships/hyperlink" Target="https://pbs.twimg.com/media/Dl2hiJaUwAAHK2T.jpg" TargetMode="External"/><Relationship Id="rId2323" Type="http://schemas.openxmlformats.org/officeDocument/2006/relationships/hyperlink" Target="http://hashtagban.com/" TargetMode="External"/><Relationship Id="rId2530" Type="http://schemas.openxmlformats.org/officeDocument/2006/relationships/hyperlink" Target="http://www.exportcampaign.com/" TargetMode="External"/><Relationship Id="rId502" Type="http://schemas.openxmlformats.org/officeDocument/2006/relationships/hyperlink" Target="http://www.facebook.com/mohsenbayatzanjani" TargetMode="External"/><Relationship Id="rId1132" Type="http://schemas.openxmlformats.org/officeDocument/2006/relationships/hyperlink" Target="http://tn.ai/1819334" TargetMode="External"/><Relationship Id="rId3097" Type="http://schemas.openxmlformats.org/officeDocument/2006/relationships/hyperlink" Target="https://pbs.twimg.com/media/DltOvoOX4AAbdM-.jpg" TargetMode="External"/><Relationship Id="rId1949" Type="http://schemas.openxmlformats.org/officeDocument/2006/relationships/hyperlink" Target="https://www.ilna.ir/fa/tiny/news-662951" TargetMode="External"/><Relationship Id="rId3164" Type="http://schemas.openxmlformats.org/officeDocument/2006/relationships/hyperlink" Target="http://www.translateworld.ir/" TargetMode="External"/><Relationship Id="rId292" Type="http://schemas.openxmlformats.org/officeDocument/2006/relationships/hyperlink" Target="http://www.zoomit.ir/" TargetMode="External"/><Relationship Id="rId1809" Type="http://schemas.openxmlformats.org/officeDocument/2006/relationships/hyperlink" Target="https://pbs.twimg.com/media/Dl-n26FUYAEI6Th.jpg" TargetMode="External"/><Relationship Id="rId3371" Type="http://schemas.openxmlformats.org/officeDocument/2006/relationships/hyperlink" Target="http://www.goftogoonews.com/" TargetMode="External"/><Relationship Id="rId2180" Type="http://schemas.openxmlformats.org/officeDocument/2006/relationships/hyperlink" Target="https://pbs.twimg.com/media/Dl1WgPDXcAAMkkj.jpg" TargetMode="External"/><Relationship Id="rId3024" Type="http://schemas.openxmlformats.org/officeDocument/2006/relationships/hyperlink" Target="http://t.me/hamidrezahabibi_313" TargetMode="External"/><Relationship Id="rId3231" Type="http://schemas.openxmlformats.org/officeDocument/2006/relationships/hyperlink" Target="https://pbs.twimg.com/media/Dlsc-3dW0AAmNfr.jpg" TargetMode="External"/><Relationship Id="rId152" Type="http://schemas.openxmlformats.org/officeDocument/2006/relationships/hyperlink" Target="https://t.me/amitanha" TargetMode="External"/><Relationship Id="rId2040" Type="http://schemas.openxmlformats.org/officeDocument/2006/relationships/hyperlink" Target="https://pbs.twimg.com/media/Dl3nOXGXgAAaNUh.jpg" TargetMode="External"/><Relationship Id="rId2997" Type="http://schemas.openxmlformats.org/officeDocument/2006/relationships/hyperlink" Target="http://t.me/r_sanaiee" TargetMode="External"/><Relationship Id="rId969" Type="http://schemas.openxmlformats.org/officeDocument/2006/relationships/hyperlink" Target="https://pbs.twimg.com/media/DmMESQoUcAAlaZn.jpg" TargetMode="External"/><Relationship Id="rId1599" Type="http://schemas.openxmlformats.org/officeDocument/2006/relationships/hyperlink" Target="http://www.iranintl.com/" TargetMode="External"/><Relationship Id="rId1459" Type="http://schemas.openxmlformats.org/officeDocument/2006/relationships/hyperlink" Target="https://www.farsnews.com/news/13970611000558" TargetMode="External"/><Relationship Id="rId2857" Type="http://schemas.openxmlformats.org/officeDocument/2006/relationships/hyperlink" Target="http://www.tasnimnews.com/" TargetMode="External"/><Relationship Id="rId98" Type="http://schemas.openxmlformats.org/officeDocument/2006/relationships/hyperlink" Target="https://twitter.com/sp_hos/status/1037300530400387074" TargetMode="External"/><Relationship Id="rId829" Type="http://schemas.openxmlformats.org/officeDocument/2006/relationships/hyperlink" Target="http://pic.twitter.com/YFlXCZrbAt" TargetMode="External"/><Relationship Id="rId1666" Type="http://schemas.openxmlformats.org/officeDocument/2006/relationships/hyperlink" Target="https://pbs.twimg.com/media/DmAjx2KV4AEVBGp.jpg" TargetMode="External"/><Relationship Id="rId1873" Type="http://schemas.openxmlformats.org/officeDocument/2006/relationships/hyperlink" Target="https://telegram.me/harfbzanbot?start=j0dZd8q" TargetMode="External"/><Relationship Id="rId2717" Type="http://schemas.openxmlformats.org/officeDocument/2006/relationships/hyperlink" Target="http://peyghamesoroosh.parsiblog.com/" TargetMode="External"/><Relationship Id="rId2924" Type="http://schemas.openxmlformats.org/officeDocument/2006/relationships/hyperlink" Target="https://www.instagram.com/p/BnCg-ublbPC/?utm_source=ig_twitter_share&amp;igshid=gsogiil9bib4" TargetMode="External"/><Relationship Id="rId1319" Type="http://schemas.openxmlformats.org/officeDocument/2006/relationships/hyperlink" Target="http://akharinkhabar.ir/" TargetMode="External"/><Relationship Id="rId1526" Type="http://schemas.openxmlformats.org/officeDocument/2006/relationships/hyperlink" Target="https://pbs.twimg.com/media/DmEZ26NXoAYUmTj.jpg" TargetMode="External"/><Relationship Id="rId1733" Type="http://schemas.openxmlformats.org/officeDocument/2006/relationships/hyperlink" Target="https://pbs.twimg.com/media/Dl_jCpIU4AASPOb.jpg" TargetMode="External"/><Relationship Id="rId1940" Type="http://schemas.openxmlformats.org/officeDocument/2006/relationships/hyperlink" Target="https://pbs.twimg.com/media/Dl7GmL4U0AAlAK2.jpg" TargetMode="External"/><Relationship Id="rId25" Type="http://schemas.openxmlformats.org/officeDocument/2006/relationships/hyperlink" Target="https://pbs.twimg.com/media/DmVdMgqXcAEI_48.jpg" TargetMode="External"/><Relationship Id="rId1800" Type="http://schemas.openxmlformats.org/officeDocument/2006/relationships/hyperlink" Target="https://pbs.twimg.com/media/Dl-tAq0XsAALYLv.jpg" TargetMode="External"/><Relationship Id="rId3558" Type="http://schemas.openxmlformats.org/officeDocument/2006/relationships/hyperlink" Target="http://pic.twitter.com/Doa7Cn9h9r" TargetMode="External"/><Relationship Id="rId479" Type="http://schemas.openxmlformats.org/officeDocument/2006/relationships/hyperlink" Target="https://pbs.twimg.com/media/DmRfu_AXgAEhXwn.jpg" TargetMode="External"/><Relationship Id="rId686" Type="http://schemas.openxmlformats.org/officeDocument/2006/relationships/hyperlink" Target="https://twitter.com/P_Salahshouri/status/1036873560936079360" TargetMode="External"/><Relationship Id="rId893" Type="http://schemas.openxmlformats.org/officeDocument/2006/relationships/hyperlink" Target="https://pbs.twimg.com/media/DmOVZP6XcAABpRq.jpg" TargetMode="External"/><Relationship Id="rId2367" Type="http://schemas.openxmlformats.org/officeDocument/2006/relationships/hyperlink" Target="https://pbs.twimg.com/media/DlyIABtXgAEUlbz.jpg" TargetMode="External"/><Relationship Id="rId2574" Type="http://schemas.openxmlformats.org/officeDocument/2006/relationships/hyperlink" Target="https://twitter.com/SharghDaily/status/1034700872138334209" TargetMode="External"/><Relationship Id="rId2781" Type="http://schemas.openxmlformats.org/officeDocument/2006/relationships/hyperlink" Target="https://pbs.twimg.com/media/DlvxpsVXoAEnH8p.jpg" TargetMode="External"/><Relationship Id="rId3418" Type="http://schemas.openxmlformats.org/officeDocument/2006/relationships/hyperlink" Target="http://www.iranntv.com/" TargetMode="External"/><Relationship Id="rId3625" Type="http://schemas.openxmlformats.org/officeDocument/2006/relationships/hyperlink" Target="https://twitter.com/Eranico_com/status/1034324539314978816" TargetMode="External"/><Relationship Id="rId339" Type="http://schemas.openxmlformats.org/officeDocument/2006/relationships/hyperlink" Target="https://twitter.com/rezarashidpour/status/1037023567186206720" TargetMode="External"/><Relationship Id="rId546" Type="http://schemas.openxmlformats.org/officeDocument/2006/relationships/hyperlink" Target="http://eranico.com/" TargetMode="External"/><Relationship Id="rId753" Type="http://schemas.openxmlformats.org/officeDocument/2006/relationships/hyperlink" Target="https://twitter.com/saeedazad200/status/1036905881202581504" TargetMode="External"/><Relationship Id="rId1176" Type="http://schemas.openxmlformats.org/officeDocument/2006/relationships/hyperlink" Target="http://www.coiniran.com/" TargetMode="External"/><Relationship Id="rId1383" Type="http://schemas.openxmlformats.org/officeDocument/2006/relationships/hyperlink" Target="https://pbs.twimg.com/media/DmEiZqkX4AAMxfb.jpg" TargetMode="External"/><Relationship Id="rId2227" Type="http://schemas.openxmlformats.org/officeDocument/2006/relationships/hyperlink" Target="https://pbs.twimg.com/media/Dl0RB6mWsAAbRyQ.jpg" TargetMode="External"/><Relationship Id="rId2434" Type="http://schemas.openxmlformats.org/officeDocument/2006/relationships/hyperlink" Target="http://pic.twitter.com/bPnpUPgSxx" TargetMode="External"/><Relationship Id="rId406" Type="http://schemas.openxmlformats.org/officeDocument/2006/relationships/hyperlink" Target="https://pbs.twimg.com/media/DmSc3pWV4AAc033.jpg" TargetMode="External"/><Relationship Id="rId960" Type="http://schemas.openxmlformats.org/officeDocument/2006/relationships/hyperlink" Target="http://neveshtehaa.blog.ir/" TargetMode="External"/><Relationship Id="rId1036" Type="http://schemas.openxmlformats.org/officeDocument/2006/relationships/hyperlink" Target="https://twitter.com/MalcolmSardar/status/1036279432263200768" TargetMode="External"/><Relationship Id="rId1243" Type="http://schemas.openxmlformats.org/officeDocument/2006/relationships/hyperlink" Target="https://pbs.twimg.com/media/DmHxwMEXsAAFM-D.jpg" TargetMode="External"/><Relationship Id="rId1590" Type="http://schemas.openxmlformats.org/officeDocument/2006/relationships/hyperlink" Target="http://pic.twitter.com/RboAQFTgvt" TargetMode="External"/><Relationship Id="rId2641" Type="http://schemas.openxmlformats.org/officeDocument/2006/relationships/hyperlink" Target="https://pbs.twimg.com/media/DlwQtSfXcAEZgtG.jpg" TargetMode="External"/><Relationship Id="rId613" Type="http://schemas.openxmlformats.org/officeDocument/2006/relationships/hyperlink" Target="http://pic.twitter.com/Vddhh4z7AQ" TargetMode="External"/><Relationship Id="rId820" Type="http://schemas.openxmlformats.org/officeDocument/2006/relationships/hyperlink" Target="https://pbs.twimg.com/media/DmPGNmPXsAEF-Jx.jpg" TargetMode="External"/><Relationship Id="rId1450" Type="http://schemas.openxmlformats.org/officeDocument/2006/relationships/hyperlink" Target="http://ibena.ir/" TargetMode="External"/><Relationship Id="rId2501" Type="http://schemas.openxmlformats.org/officeDocument/2006/relationships/hyperlink" Target="http://nabaapress.ir/?option=com_k2&amp;view=item&amp;id=2161" TargetMode="External"/><Relationship Id="rId1103" Type="http://schemas.openxmlformats.org/officeDocument/2006/relationships/hyperlink" Target="http://www.tasnimnews.com/" TargetMode="External"/><Relationship Id="rId1310" Type="http://schemas.openxmlformats.org/officeDocument/2006/relationships/hyperlink" Target="http://sobhe-no.ir/" TargetMode="External"/><Relationship Id="rId3068" Type="http://schemas.openxmlformats.org/officeDocument/2006/relationships/hyperlink" Target="http://t.me/revolutionary1357" TargetMode="External"/><Relationship Id="rId3275" Type="http://schemas.openxmlformats.org/officeDocument/2006/relationships/hyperlink" Target="http://sepandnews.com/" TargetMode="External"/><Relationship Id="rId3482" Type="http://schemas.openxmlformats.org/officeDocument/2006/relationships/hyperlink" Target="https://pbs.twimg.com/media/DlrXnvsX4AE-FrR.jpg" TargetMode="External"/><Relationship Id="rId196" Type="http://schemas.openxmlformats.org/officeDocument/2006/relationships/hyperlink" Target="https://twitter.com/yekishavim/status/1037261817268060161" TargetMode="External"/><Relationship Id="rId2084" Type="http://schemas.openxmlformats.org/officeDocument/2006/relationships/hyperlink" Target="https://t.me/marketingdaily1" TargetMode="External"/><Relationship Id="rId2291" Type="http://schemas.openxmlformats.org/officeDocument/2006/relationships/hyperlink" Target="https://pbs.twimg.com/media/DlsT3vOU4AcLjDL.jpg" TargetMode="External"/><Relationship Id="rId3135" Type="http://schemas.openxmlformats.org/officeDocument/2006/relationships/hyperlink" Target="https://pbs.twimg.com/media/Dls1fknW0AAwBMH.jpg" TargetMode="External"/><Relationship Id="rId3342" Type="http://schemas.openxmlformats.org/officeDocument/2006/relationships/hyperlink" Target="https://pbs.twimg.com/media/DlsAFlFX4AErJ2a.jpg" TargetMode="External"/><Relationship Id="rId263" Type="http://schemas.openxmlformats.org/officeDocument/2006/relationships/hyperlink" Target="https://pbs.twimg.com/media/DmUKSwdWsAAf-1T.jpg" TargetMode="External"/><Relationship Id="rId470" Type="http://schemas.openxmlformats.org/officeDocument/2006/relationships/hyperlink" Target="https://t.me/Nashenastel_bot?start=u570047539" TargetMode="External"/><Relationship Id="rId2151" Type="http://schemas.openxmlformats.org/officeDocument/2006/relationships/hyperlink" Target="http://pic.twitter.com/ZCBzPPKqzO" TargetMode="External"/><Relationship Id="rId3202" Type="http://schemas.openxmlformats.org/officeDocument/2006/relationships/hyperlink" Target="https://www.ilna.ir/fa/tiny/news-661320" TargetMode="External"/><Relationship Id="rId123" Type="http://schemas.openxmlformats.org/officeDocument/2006/relationships/hyperlink" Target="https://pbs.twimg.com/media/DmU1F0JWsAAPBMh.jpg" TargetMode="External"/><Relationship Id="rId330" Type="http://schemas.openxmlformats.org/officeDocument/2006/relationships/hyperlink" Target="https://pbs.twimg.com/media/DmT0Py-XgAAQeot.jpg" TargetMode="External"/><Relationship Id="rId2011" Type="http://schemas.openxmlformats.org/officeDocument/2006/relationships/hyperlink" Target="https://www.facebook.com/seyedhadihoseiny" TargetMode="External"/><Relationship Id="rId2968" Type="http://schemas.openxmlformats.org/officeDocument/2006/relationships/hyperlink" Target="https://twitter.com/yjcagency/status/1034479368503021575" TargetMode="External"/><Relationship Id="rId1777" Type="http://schemas.openxmlformats.org/officeDocument/2006/relationships/hyperlink" Target="https://pbs.twimg.com/media/Dl_CrwpXgAAbiXu.jpg" TargetMode="External"/><Relationship Id="rId1984" Type="http://schemas.openxmlformats.org/officeDocument/2006/relationships/hyperlink" Target="http://tn.ai/1816416" TargetMode="External"/><Relationship Id="rId2828" Type="http://schemas.openxmlformats.org/officeDocument/2006/relationships/hyperlink" Target="https://pbs.twimg.com/media/DlvqN9UX0AAtfiP.jpg" TargetMode="External"/><Relationship Id="rId69" Type="http://schemas.openxmlformats.org/officeDocument/2006/relationships/hyperlink" Target="http://mazaheriseyf.ir/" TargetMode="External"/><Relationship Id="rId1637" Type="http://schemas.openxmlformats.org/officeDocument/2006/relationships/hyperlink" Target="https://pbs.twimg.com/media/DmBJOXDUcAEMN_Z.jpg" TargetMode="External"/><Relationship Id="rId1844" Type="http://schemas.openxmlformats.org/officeDocument/2006/relationships/hyperlink" Target="http://m0911.com/" TargetMode="External"/><Relationship Id="rId1704" Type="http://schemas.openxmlformats.org/officeDocument/2006/relationships/hyperlink" Target="https://pbs.twimg.com/media/DmACWrdXgAEYWew.jpg" TargetMode="External"/><Relationship Id="rId1911" Type="http://schemas.openxmlformats.org/officeDocument/2006/relationships/hyperlink" Target="https://twitter.com/rezarashidpour/status/1035153063508697089" TargetMode="External"/><Relationship Id="rId797" Type="http://schemas.openxmlformats.org/officeDocument/2006/relationships/hyperlink" Target="https://pbs.twimg.com/media/DmPPgUCU4AIKfws.jpg" TargetMode="External"/><Relationship Id="rId2478" Type="http://schemas.openxmlformats.org/officeDocument/2006/relationships/hyperlink" Target="https://www.tir.ir/" TargetMode="External"/><Relationship Id="rId1287" Type="http://schemas.openxmlformats.org/officeDocument/2006/relationships/hyperlink" Target="http://www.iranntv.com/" TargetMode="External"/><Relationship Id="rId2685" Type="http://schemas.openxmlformats.org/officeDocument/2006/relationships/hyperlink" Target="http://www.tasnimnews.com/" TargetMode="External"/><Relationship Id="rId2892" Type="http://schemas.openxmlformats.org/officeDocument/2006/relationships/hyperlink" Target="http://selahvarzi.com/" TargetMode="External"/><Relationship Id="rId3529" Type="http://schemas.openxmlformats.org/officeDocument/2006/relationships/hyperlink" Target="https://twitter.com/mostafatajzade/status/1034333041232105472" TargetMode="External"/><Relationship Id="rId657" Type="http://schemas.openxmlformats.org/officeDocument/2006/relationships/hyperlink" Target="https://pbs.twimg.com/media/DmQIDqtXcAAvjxe.jpg" TargetMode="External"/><Relationship Id="rId864" Type="http://schemas.openxmlformats.org/officeDocument/2006/relationships/hyperlink" Target="http://www.facebook.com/reza.masoudi1996" TargetMode="External"/><Relationship Id="rId1494" Type="http://schemas.openxmlformats.org/officeDocument/2006/relationships/hyperlink" Target="https://www.ilna.ir/fa/tiny/news-663667" TargetMode="External"/><Relationship Id="rId2338" Type="http://schemas.openxmlformats.org/officeDocument/2006/relationships/hyperlink" Target="https://pbs.twimg.com/media/DlyUqQoXoAAtXTs.jpg" TargetMode="External"/><Relationship Id="rId2545" Type="http://schemas.openxmlformats.org/officeDocument/2006/relationships/hyperlink" Target="https://bit.ly/2BXRy0B" TargetMode="External"/><Relationship Id="rId2752" Type="http://schemas.openxmlformats.org/officeDocument/2006/relationships/hyperlink" Target="http://www.tasnimnews.com/" TargetMode="External"/><Relationship Id="rId517" Type="http://schemas.openxmlformats.org/officeDocument/2006/relationships/hyperlink" Target="https://pbs.twimg.com/media/DmRIzQQVsAA3QT6.jpg" TargetMode="External"/><Relationship Id="rId724" Type="http://schemas.openxmlformats.org/officeDocument/2006/relationships/hyperlink" Target="https://pbs.twimg.com/media/DmPr5njW4AAosSW.jpg" TargetMode="External"/><Relationship Id="rId931" Type="http://schemas.openxmlformats.org/officeDocument/2006/relationships/hyperlink" Target="https://article.mojahedin.org/i/%D8%A8%D8%A7%D8%B2%D8%AA%D8%A7%D8%A8-%D8%A8%D8%AD%D8%B1%D8%A7%D9%86%D9%87%D8%A7-%D9%85%D8%AC%D9%84%D8%B3" TargetMode="External"/><Relationship Id="rId1147" Type="http://schemas.openxmlformats.org/officeDocument/2006/relationships/hyperlink" Target="https://t.me/saeedabbasian12" TargetMode="External"/><Relationship Id="rId1354" Type="http://schemas.openxmlformats.org/officeDocument/2006/relationships/hyperlink" Target="http://pic.twitter.com/ddyiR5tNi6" TargetMode="External"/><Relationship Id="rId1561" Type="http://schemas.openxmlformats.org/officeDocument/2006/relationships/hyperlink" Target="https://www.mehrnews.com/news/4390957/" TargetMode="External"/><Relationship Id="rId2405" Type="http://schemas.openxmlformats.org/officeDocument/2006/relationships/hyperlink" Target="https://pbs.twimg.com/media/DlxqL7cUYAAZjW7.jpg" TargetMode="External"/><Relationship Id="rId2612" Type="http://schemas.openxmlformats.org/officeDocument/2006/relationships/hyperlink" Target="http://pic.twitter.com/9MkTYYL9Lb" TargetMode="External"/><Relationship Id="rId60" Type="http://schemas.openxmlformats.org/officeDocument/2006/relationships/hyperlink" Target="https://t.me/rasuyab" TargetMode="External"/><Relationship Id="rId1007" Type="http://schemas.openxmlformats.org/officeDocument/2006/relationships/hyperlink" Target="https://www.roozportal.com/" TargetMode="External"/><Relationship Id="rId1214" Type="http://schemas.openxmlformats.org/officeDocument/2006/relationships/hyperlink" Target="https://twitter.com/amirhossein693/status/1035901281485942784" TargetMode="External"/><Relationship Id="rId1421" Type="http://schemas.openxmlformats.org/officeDocument/2006/relationships/hyperlink" Target="https://pbs.twimg.com/media/DmFcOSQXsAExPjU.jpg" TargetMode="External"/><Relationship Id="rId3179" Type="http://schemas.openxmlformats.org/officeDocument/2006/relationships/hyperlink" Target="http://fb.com/majid.rezaei.942" TargetMode="External"/><Relationship Id="rId3386" Type="http://schemas.openxmlformats.org/officeDocument/2006/relationships/hyperlink" Target="https://twitter.com/rezannnnnnnn/status/1034404704007204865" TargetMode="External"/><Relationship Id="rId3593" Type="http://schemas.openxmlformats.org/officeDocument/2006/relationships/hyperlink" Target="https://t.me/pesariran_v" TargetMode="External"/><Relationship Id="rId2195" Type="http://schemas.openxmlformats.org/officeDocument/2006/relationships/hyperlink" Target="http://www.khamenei.ir/" TargetMode="External"/><Relationship Id="rId3039" Type="http://schemas.openxmlformats.org/officeDocument/2006/relationships/hyperlink" Target="https://t.me/abdolahmomeni" TargetMode="External"/><Relationship Id="rId3246" Type="http://schemas.openxmlformats.org/officeDocument/2006/relationships/hyperlink" Target="https://sapp.ir/hamidbazmshahi" TargetMode="External"/><Relationship Id="rId3453" Type="http://schemas.openxmlformats.org/officeDocument/2006/relationships/hyperlink" Target="https://pbs.twimg.com/media/DlrjUqbXcAAHvdZ.jpg" TargetMode="External"/><Relationship Id="rId167" Type="http://schemas.openxmlformats.org/officeDocument/2006/relationships/hyperlink" Target="https://twitter.com/mersadnews_ir/status/1037275717082472448" TargetMode="External"/><Relationship Id="rId374" Type="http://schemas.openxmlformats.org/officeDocument/2006/relationships/hyperlink" Target="https://pbs.twimg.com/media/DmTeSHNX4AEoSoY.jpg" TargetMode="External"/><Relationship Id="rId581" Type="http://schemas.openxmlformats.org/officeDocument/2006/relationships/hyperlink" Target="http://www.instagram.com/amirrrajabi" TargetMode="External"/><Relationship Id="rId2055" Type="http://schemas.openxmlformats.org/officeDocument/2006/relationships/hyperlink" Target="http://www.facebook.com/Siasat.Zadegan?ref=tn_tinyman" TargetMode="External"/><Relationship Id="rId2262" Type="http://schemas.openxmlformats.org/officeDocument/2006/relationships/hyperlink" Target="https://twitter.com/ir_aref/status/1034688703581642753" TargetMode="External"/><Relationship Id="rId3106" Type="http://schemas.openxmlformats.org/officeDocument/2006/relationships/hyperlink" Target="https://twitter.com/mmohammadii61/status/1034441579560239105" TargetMode="External"/><Relationship Id="rId234" Type="http://schemas.openxmlformats.org/officeDocument/2006/relationships/hyperlink" Target="https://pbs.twimg.com/media/DmUTPgSWwAAVaTs.jpg" TargetMode="External"/><Relationship Id="rId3313" Type="http://schemas.openxmlformats.org/officeDocument/2006/relationships/hyperlink" Target="http://tebeslami.net/" TargetMode="External"/><Relationship Id="rId3520" Type="http://schemas.openxmlformats.org/officeDocument/2006/relationships/hyperlink" Target="http://www.ridan.com/" TargetMode="External"/><Relationship Id="rId441" Type="http://schemas.openxmlformats.org/officeDocument/2006/relationships/hyperlink" Target="https://pbs.twimg.com/media/DmRxaoCUYAAmkIs.jpg" TargetMode="External"/><Relationship Id="rId1071" Type="http://schemas.openxmlformats.org/officeDocument/2006/relationships/hyperlink" Target="http://entekhab.ir/" TargetMode="External"/><Relationship Id="rId2122" Type="http://schemas.openxmlformats.org/officeDocument/2006/relationships/hyperlink" Target="https://t.me/nabztabriz" TargetMode="External"/><Relationship Id="rId301" Type="http://schemas.openxmlformats.org/officeDocument/2006/relationships/hyperlink" Target="https://pbs.twimg.com/media/DmT9EkyWsAAmlc5.jpg" TargetMode="External"/><Relationship Id="rId1888" Type="http://schemas.openxmlformats.org/officeDocument/2006/relationships/hyperlink" Target="https://pbs.twimg.com/media/Dl8B62-W0AA-isl.jpg" TargetMode="External"/><Relationship Id="rId2939" Type="http://schemas.openxmlformats.org/officeDocument/2006/relationships/hyperlink" Target="https://twitter.com/najafi_tehrani/status/1034376503910453248" TargetMode="External"/><Relationship Id="rId1748" Type="http://schemas.openxmlformats.org/officeDocument/2006/relationships/hyperlink" Target="http://emtedad.net/" TargetMode="External"/><Relationship Id="rId1955" Type="http://schemas.openxmlformats.org/officeDocument/2006/relationships/hyperlink" Target="http://pic.twitter.com/NI1q0RbbIT" TargetMode="External"/><Relationship Id="rId3170" Type="http://schemas.openxmlformats.org/officeDocument/2006/relationships/hyperlink" Target="https://twitter.com/majazestan/status/1034359224665600000" TargetMode="External"/><Relationship Id="rId1608" Type="http://schemas.openxmlformats.org/officeDocument/2006/relationships/hyperlink" Target="http://10darsad.ir/" TargetMode="External"/><Relationship Id="rId1815" Type="http://schemas.openxmlformats.org/officeDocument/2006/relationships/hyperlink" Target="https://www.aparat.com/v/MalzD" TargetMode="External"/><Relationship Id="rId3030" Type="http://schemas.openxmlformats.org/officeDocument/2006/relationships/hyperlink" Target="http://www.no.com/" TargetMode="External"/><Relationship Id="rId2589" Type="http://schemas.openxmlformats.org/officeDocument/2006/relationships/hyperlink" Target="https://twitter.com/ir_aref/status/1034688984306405376" TargetMode="External"/><Relationship Id="rId2796" Type="http://schemas.openxmlformats.org/officeDocument/2006/relationships/hyperlink" Target="https://pbs.twimg.com/media/DlvviNUWsAEka21.jpg" TargetMode="External"/><Relationship Id="rId768" Type="http://schemas.openxmlformats.org/officeDocument/2006/relationships/hyperlink" Target="https://twitter.com/P_Salahshouri/status/1036873560936079360" TargetMode="External"/><Relationship Id="rId975" Type="http://schemas.openxmlformats.org/officeDocument/2006/relationships/hyperlink" Target="https://pbs.twimg.com/media/DmMBuibXsAQRrjv.jpg" TargetMode="External"/><Relationship Id="rId1398" Type="http://schemas.openxmlformats.org/officeDocument/2006/relationships/hyperlink" Target="http://fna.ir/boeelt" TargetMode="External"/><Relationship Id="rId2449" Type="http://schemas.openxmlformats.org/officeDocument/2006/relationships/hyperlink" Target="https://t.me/houshdar" TargetMode="External"/><Relationship Id="rId2656" Type="http://schemas.openxmlformats.org/officeDocument/2006/relationships/hyperlink" Target="https://pbs.twimg.com/media/DlwN9mgU0AEAXcB.jpg" TargetMode="External"/><Relationship Id="rId2863" Type="http://schemas.openxmlformats.org/officeDocument/2006/relationships/hyperlink" Target="https://pbs.twimg.com/media/DlveyNaWsAIBXEY.jpg" TargetMode="External"/><Relationship Id="rId628" Type="http://schemas.openxmlformats.org/officeDocument/2006/relationships/hyperlink" Target="http://www.tasnimnews.com/" TargetMode="External"/><Relationship Id="rId835" Type="http://schemas.openxmlformats.org/officeDocument/2006/relationships/hyperlink" Target="http://www.omidkeshtkar.com/" TargetMode="External"/><Relationship Id="rId1258" Type="http://schemas.openxmlformats.org/officeDocument/2006/relationships/hyperlink" Target="https://pbs.twimg.com/media/DmHYCR2W0AA1ZYc.jpg" TargetMode="External"/><Relationship Id="rId1465" Type="http://schemas.openxmlformats.org/officeDocument/2006/relationships/hyperlink" Target="http://rookhsat.blogfa.com/" TargetMode="External"/><Relationship Id="rId1672" Type="http://schemas.openxmlformats.org/officeDocument/2006/relationships/hyperlink" Target="https://pbs.twimg.com/media/DgceHIaXcAEkupn.jpg" TargetMode="External"/><Relationship Id="rId2309" Type="http://schemas.openxmlformats.org/officeDocument/2006/relationships/hyperlink" Target="http://instagram.com/mehdi_mohammadiyan" TargetMode="External"/><Relationship Id="rId2516" Type="http://schemas.openxmlformats.org/officeDocument/2006/relationships/hyperlink" Target="http://www.instagram.com/amirrrajabi" TargetMode="External"/><Relationship Id="rId2723" Type="http://schemas.openxmlformats.org/officeDocument/2006/relationships/hyperlink" Target="https://www.radiozamaneh.com/409784" TargetMode="External"/><Relationship Id="rId1118" Type="http://schemas.openxmlformats.org/officeDocument/2006/relationships/hyperlink" Target="https://pbs.twimg.com/media/DmKshaIXcAEazEO.jpg" TargetMode="External"/><Relationship Id="rId1325" Type="http://schemas.openxmlformats.org/officeDocument/2006/relationships/hyperlink" Target="https://pbs.twimg.com/media/DmGqYe-XcAIhRt0.jpg" TargetMode="External"/><Relationship Id="rId1532" Type="http://schemas.openxmlformats.org/officeDocument/2006/relationships/hyperlink" Target="https://pbs.twimg.com/media/Dl4PTDeWsAAlRo7.jpg" TargetMode="External"/><Relationship Id="rId2930" Type="http://schemas.openxmlformats.org/officeDocument/2006/relationships/hyperlink" Target="https://linktr.ee/varashtunes" TargetMode="External"/><Relationship Id="rId902" Type="http://schemas.openxmlformats.org/officeDocument/2006/relationships/hyperlink" Target="https://twitter.com/hasanasadiz/status/1036663659072811008" TargetMode="External"/><Relationship Id="rId3497" Type="http://schemas.openxmlformats.org/officeDocument/2006/relationships/hyperlink" Target="http://www.translateworld.ir/" TargetMode="External"/><Relationship Id="rId31" Type="http://schemas.openxmlformats.org/officeDocument/2006/relationships/hyperlink" Target="https://www.instagram.com/hachal.haft/" TargetMode="External"/><Relationship Id="rId2099" Type="http://schemas.openxmlformats.org/officeDocument/2006/relationships/hyperlink" Target="https://t.me/joinchat/AAAAAEC229U5bljMI7X7MQ" TargetMode="External"/><Relationship Id="rId278" Type="http://schemas.openxmlformats.org/officeDocument/2006/relationships/hyperlink" Target="https://pbs.twimg.com/media/DmUGnKvWwAEdTr1.jpg" TargetMode="External"/><Relationship Id="rId3357" Type="http://schemas.openxmlformats.org/officeDocument/2006/relationships/hyperlink" Target="https://www.instagram.com/masoudpirhadi/" TargetMode="External"/><Relationship Id="rId3564" Type="http://schemas.openxmlformats.org/officeDocument/2006/relationships/hyperlink" Target="http://khamenei.ir/" TargetMode="External"/><Relationship Id="rId485" Type="http://schemas.openxmlformats.org/officeDocument/2006/relationships/hyperlink" Target="https://twitter.com/PMOIRAN/status/1037030704364826624" TargetMode="External"/><Relationship Id="rId692" Type="http://schemas.openxmlformats.org/officeDocument/2006/relationships/hyperlink" Target="https://pbs.twimg.com/media/DmP7HgBUUAAwgb-.jpg" TargetMode="External"/><Relationship Id="rId2166" Type="http://schemas.openxmlformats.org/officeDocument/2006/relationships/hyperlink" Target="https://pbs.twimg.com/media/Dl1pG64X0AAKa3S.jpg" TargetMode="External"/><Relationship Id="rId2373" Type="http://schemas.openxmlformats.org/officeDocument/2006/relationships/hyperlink" Target="https://pbs.twimg.com/media/Dlx-J1sU8AAZVwp.jpg" TargetMode="External"/><Relationship Id="rId2580" Type="http://schemas.openxmlformats.org/officeDocument/2006/relationships/hyperlink" Target="https://pbs.twimg.com/media/DlwbOsLX0AEZrUy.jpg" TargetMode="External"/><Relationship Id="rId3217" Type="http://schemas.openxmlformats.org/officeDocument/2006/relationships/hyperlink" Target="https://pbs.twimg.com/media/DlslD4uW0AESqWx.jpg" TargetMode="External"/><Relationship Id="rId3424" Type="http://schemas.openxmlformats.org/officeDocument/2006/relationships/hyperlink" Target="https://pbs.twimg.com/media/Dlrl8bvXgAA6gpW.jpg" TargetMode="External"/><Relationship Id="rId3631" Type="http://schemas.openxmlformats.org/officeDocument/2006/relationships/hyperlink" Target="https://pbs.twimg.com/media/DlquYJuXoAARRsX.jpg" TargetMode="External"/><Relationship Id="rId138" Type="http://schemas.openxmlformats.org/officeDocument/2006/relationships/hyperlink" Target="https://hesamfatemi.blogspot.nl/" TargetMode="External"/><Relationship Id="rId345" Type="http://schemas.openxmlformats.org/officeDocument/2006/relationships/hyperlink" Target="http://tn.ai/1820769" TargetMode="External"/><Relationship Id="rId552" Type="http://schemas.openxmlformats.org/officeDocument/2006/relationships/hyperlink" Target="https://pbs.twimg.com/media/DmQ5OcAUcAAsxPD.jpg" TargetMode="External"/><Relationship Id="rId1182" Type="http://schemas.openxmlformats.org/officeDocument/2006/relationships/hyperlink" Target="http://taaghche.ir/" TargetMode="External"/><Relationship Id="rId2026" Type="http://schemas.openxmlformats.org/officeDocument/2006/relationships/hyperlink" Target="http://cyberwarzone.com/" TargetMode="External"/><Relationship Id="rId2233" Type="http://schemas.openxmlformats.org/officeDocument/2006/relationships/hyperlink" Target="http://telegram.me/Creative_Management" TargetMode="External"/><Relationship Id="rId2440" Type="http://schemas.openxmlformats.org/officeDocument/2006/relationships/hyperlink" Target="http://instagram.com/moiengraph" TargetMode="External"/><Relationship Id="rId205" Type="http://schemas.openxmlformats.org/officeDocument/2006/relationships/hyperlink" Target="https://twitter.com/MjHaghshenas/status/1037228441551216640" TargetMode="External"/><Relationship Id="rId412" Type="http://schemas.openxmlformats.org/officeDocument/2006/relationships/hyperlink" Target="https://pbs.twimg.com/media/DmQq_o-XsAEvE35.jpg" TargetMode="External"/><Relationship Id="rId1042" Type="http://schemas.openxmlformats.org/officeDocument/2006/relationships/hyperlink" Target="http://pic.twitter.com/UdWJV79xFg" TargetMode="External"/><Relationship Id="rId2300" Type="http://schemas.openxmlformats.org/officeDocument/2006/relationships/hyperlink" Target="https://twitter.com/simayazaditv/status/1034401494475399169" TargetMode="External"/><Relationship Id="rId1999" Type="http://schemas.openxmlformats.org/officeDocument/2006/relationships/hyperlink" Target="https://pbs.twimg.com/media/Dl58D2XVsAA7U_v.jpg" TargetMode="External"/><Relationship Id="rId1859" Type="http://schemas.openxmlformats.org/officeDocument/2006/relationships/hyperlink" Target="https://pbs.twimg.com/media/Dl8vQqkXsAA0ykP.jpg" TargetMode="External"/><Relationship Id="rId3074" Type="http://schemas.openxmlformats.org/officeDocument/2006/relationships/hyperlink" Target="https://pbs.twimg.com/media/DltQoZvWwAAKzfD.jpg" TargetMode="External"/><Relationship Id="rId1719" Type="http://schemas.openxmlformats.org/officeDocument/2006/relationships/hyperlink" Target="https://pbs.twimg.com/media/Dl_w-hEWwAAedC6.jpg" TargetMode="External"/><Relationship Id="rId1926" Type="http://schemas.openxmlformats.org/officeDocument/2006/relationships/hyperlink" Target="https://sapp.ir/khamenei_ir" TargetMode="External"/><Relationship Id="rId3281" Type="http://schemas.openxmlformats.org/officeDocument/2006/relationships/hyperlink" Target="http://instagram.com/abdolrahim_ansari" TargetMode="External"/><Relationship Id="rId2090" Type="http://schemas.openxmlformats.org/officeDocument/2006/relationships/hyperlink" Target="http://etemadnewspaper.ir/" TargetMode="External"/><Relationship Id="rId3141" Type="http://schemas.openxmlformats.org/officeDocument/2006/relationships/hyperlink" Target="http://www.khoshmard.ir/" TargetMode="External"/><Relationship Id="rId3001" Type="http://schemas.openxmlformats.org/officeDocument/2006/relationships/hyperlink" Target="http://telegram.me/omidpouraziz" TargetMode="External"/><Relationship Id="rId879" Type="http://schemas.openxmlformats.org/officeDocument/2006/relationships/hyperlink" Target="http://novincinema.com/" TargetMode="External"/><Relationship Id="rId2767" Type="http://schemas.openxmlformats.org/officeDocument/2006/relationships/hyperlink" Target="http://tasnimnews.com/" TargetMode="External"/><Relationship Id="rId739" Type="http://schemas.openxmlformats.org/officeDocument/2006/relationships/hyperlink" Target="http://pic.twitter.com/k6n5auhUZl" TargetMode="External"/><Relationship Id="rId1369" Type="http://schemas.openxmlformats.org/officeDocument/2006/relationships/hyperlink" Target="https://unikanews.com/" TargetMode="External"/><Relationship Id="rId1576" Type="http://schemas.openxmlformats.org/officeDocument/2006/relationships/hyperlink" Target="https://pbs.twimg.com/media/DmCUA-2X4AYIWDG.jpg" TargetMode="External"/><Relationship Id="rId2974" Type="http://schemas.openxmlformats.org/officeDocument/2006/relationships/hyperlink" Target="https://pbs.twimg.com/media/DltxO-OUwAEfHjo.jpg" TargetMode="External"/><Relationship Id="rId946" Type="http://schemas.openxmlformats.org/officeDocument/2006/relationships/hyperlink" Target="http://wp.kntu.ac.ir/haniftayarani" TargetMode="External"/><Relationship Id="rId1229" Type="http://schemas.openxmlformats.org/officeDocument/2006/relationships/hyperlink" Target="https://twitter.com/liea_abnos/status/1035982361773711360" TargetMode="External"/><Relationship Id="rId1783" Type="http://schemas.openxmlformats.org/officeDocument/2006/relationships/hyperlink" Target="http://www.ilna.ir/" TargetMode="External"/><Relationship Id="rId1990" Type="http://schemas.openxmlformats.org/officeDocument/2006/relationships/hyperlink" Target="https://pbs.twimg.com/media/Dl6DY4GXgAE8GSP.jpg" TargetMode="External"/><Relationship Id="rId2627" Type="http://schemas.openxmlformats.org/officeDocument/2006/relationships/hyperlink" Target="https://pbs.twimg.com/media/DlwUpQAWsAEaPsE.jpg" TargetMode="External"/><Relationship Id="rId2834" Type="http://schemas.openxmlformats.org/officeDocument/2006/relationships/hyperlink" Target="https://pbs.twimg.com/media/DlvprXzXgAA_dh6.jpg" TargetMode="External"/><Relationship Id="rId75" Type="http://schemas.openxmlformats.org/officeDocument/2006/relationships/hyperlink" Target="https://twitter.com/Tasnimnews_Fa/status/1036894359394942976" TargetMode="External"/><Relationship Id="rId806" Type="http://schemas.openxmlformats.org/officeDocument/2006/relationships/hyperlink" Target="http://pic.twitter.com/DBWla35bGc" TargetMode="External"/><Relationship Id="rId1436" Type="http://schemas.openxmlformats.org/officeDocument/2006/relationships/hyperlink" Target="http://www.leader.ir/fa/content/21276" TargetMode="External"/><Relationship Id="rId1643" Type="http://schemas.openxmlformats.org/officeDocument/2006/relationships/hyperlink" Target="https://pbs.twimg.com/media/DmBAn7DXgAAjero.jpg" TargetMode="External"/><Relationship Id="rId1850" Type="http://schemas.openxmlformats.org/officeDocument/2006/relationships/hyperlink" Target="https://pbs.twimg.com/media/Dl82GaDX0AYQ0Ho.jpg" TargetMode="External"/><Relationship Id="rId2901" Type="http://schemas.openxmlformats.org/officeDocument/2006/relationships/hyperlink" Target="http://pic.twitter.com/4ATpFssrvz" TargetMode="External"/><Relationship Id="rId1503" Type="http://schemas.openxmlformats.org/officeDocument/2006/relationships/hyperlink" Target="https://pbs.twimg.com/media/DmExtvkX0AcGDj7.jpg" TargetMode="External"/><Relationship Id="rId1710" Type="http://schemas.openxmlformats.org/officeDocument/2006/relationships/hyperlink" Target="https://pbs.twimg.com/media/Dl_2EndWwAAP0-r.jpg" TargetMode="External"/><Relationship Id="rId3468" Type="http://schemas.openxmlformats.org/officeDocument/2006/relationships/hyperlink" Target="https://pbs.twimg.com/media/DlrYgbAXcAAH4pS.jpg" TargetMode="External"/><Relationship Id="rId389" Type="http://schemas.openxmlformats.org/officeDocument/2006/relationships/hyperlink" Target="https://twitter.com/amirpourmand/status/1037056472100888578" TargetMode="External"/><Relationship Id="rId596" Type="http://schemas.openxmlformats.org/officeDocument/2006/relationships/hyperlink" Target="https://telegram.me/HarfBeManBot?start=MzUyMjY5Mzk4" TargetMode="External"/><Relationship Id="rId2277" Type="http://schemas.openxmlformats.org/officeDocument/2006/relationships/hyperlink" Target="https://pbs.twimg.com/media/Dly2p-EWsAE8f5Q.jpg" TargetMode="External"/><Relationship Id="rId2484" Type="http://schemas.openxmlformats.org/officeDocument/2006/relationships/hyperlink" Target="https://goo.gl/3JYu8v" TargetMode="External"/><Relationship Id="rId2691" Type="http://schemas.openxmlformats.org/officeDocument/2006/relationships/hyperlink" Target="https://pbs.twimg.com/media/Dlruq2-W0AARNWG.jpg" TargetMode="External"/><Relationship Id="rId3328" Type="http://schemas.openxmlformats.org/officeDocument/2006/relationships/hyperlink" Target="https://pbs.twimg.com/media/DlsB0FWWwAMN7s0.jpg" TargetMode="External"/><Relationship Id="rId3535" Type="http://schemas.openxmlformats.org/officeDocument/2006/relationships/hyperlink" Target="https://pbs.twimg.com/media/DlrJOBhX0AEub4t.jpg" TargetMode="External"/><Relationship Id="rId249" Type="http://schemas.openxmlformats.org/officeDocument/2006/relationships/hyperlink" Target="http://www.tasnimnews.com/" TargetMode="External"/><Relationship Id="rId456" Type="http://schemas.openxmlformats.org/officeDocument/2006/relationships/hyperlink" Target="https://pbs.twimg.com/media/DmRpsyXXgAIJZt_.jpg" TargetMode="External"/><Relationship Id="rId663" Type="http://schemas.openxmlformats.org/officeDocument/2006/relationships/hyperlink" Target="https://twitter.com/sahandiranmehr/status/1036947161404059648" TargetMode="External"/><Relationship Id="rId870" Type="http://schemas.openxmlformats.org/officeDocument/2006/relationships/hyperlink" Target="https://pbs.twimg.com/media/DmOorRgXoAAOm9o.jpg" TargetMode="External"/><Relationship Id="rId1086" Type="http://schemas.openxmlformats.org/officeDocument/2006/relationships/hyperlink" Target="https://pbs.twimg.com/media/DmKp06wX4AAz3ut.jpg" TargetMode="External"/><Relationship Id="rId1293" Type="http://schemas.openxmlformats.org/officeDocument/2006/relationships/hyperlink" Target="http://pic.twitter.com/ztaF6QDFHe" TargetMode="External"/><Relationship Id="rId2137" Type="http://schemas.openxmlformats.org/officeDocument/2006/relationships/hyperlink" Target="http://pic.twitter.com/YwFDHpqeCZ" TargetMode="External"/><Relationship Id="rId2344" Type="http://schemas.openxmlformats.org/officeDocument/2006/relationships/hyperlink" Target="http://www.farzadshalforoosh.blogfa.com/" TargetMode="External"/><Relationship Id="rId2551" Type="http://schemas.openxmlformats.org/officeDocument/2006/relationships/hyperlink" Target="http://safinews.ir/" TargetMode="External"/><Relationship Id="rId109" Type="http://schemas.openxmlformats.org/officeDocument/2006/relationships/hyperlink" Target="https://pbs.twimg.com/media/DmU5C5lX4AAGWMc.jpg" TargetMode="External"/><Relationship Id="rId316" Type="http://schemas.openxmlformats.org/officeDocument/2006/relationships/hyperlink" Target="http://www.ibena.ir/news/90867/" TargetMode="External"/><Relationship Id="rId523" Type="http://schemas.openxmlformats.org/officeDocument/2006/relationships/hyperlink" Target="https://pbs.twimg.com/media/DmRGwpaX4AAJBjT.jpg" TargetMode="External"/><Relationship Id="rId1153" Type="http://schemas.openxmlformats.org/officeDocument/2006/relationships/hyperlink" Target="http://jeem.ir/" TargetMode="External"/><Relationship Id="rId2204" Type="http://schemas.openxmlformats.org/officeDocument/2006/relationships/hyperlink" Target="https://twitter.com/hasanasadiz/status/1034864514435563520" TargetMode="External"/><Relationship Id="rId3602" Type="http://schemas.openxmlformats.org/officeDocument/2006/relationships/hyperlink" Target="http://www.facebook.com/mohsenbayatzanjani" TargetMode="External"/><Relationship Id="rId730" Type="http://schemas.openxmlformats.org/officeDocument/2006/relationships/hyperlink" Target="http://www.iranintl.com/" TargetMode="External"/><Relationship Id="rId1013" Type="http://schemas.openxmlformats.org/officeDocument/2006/relationships/hyperlink" Target="https://pbs.twimg.com/media/DmLohv4VsAAhS97.jpg" TargetMode="External"/><Relationship Id="rId1360" Type="http://schemas.openxmlformats.org/officeDocument/2006/relationships/hyperlink" Target="http://www.iranthisway.com/" TargetMode="External"/><Relationship Id="rId2411" Type="http://schemas.openxmlformats.org/officeDocument/2006/relationships/hyperlink" Target="https://pbs.twimg.com/media/DlxjjuHWwAAgWqO.jpg" TargetMode="External"/><Relationship Id="rId1220" Type="http://schemas.openxmlformats.org/officeDocument/2006/relationships/hyperlink" Target="http://peyghamesoroosh.parsiblog.com/" TargetMode="External"/><Relationship Id="rId3185" Type="http://schemas.openxmlformats.org/officeDocument/2006/relationships/hyperlink" Target="https://pbs.twimg.com/media/DlsvH9OW0AA8__3.jpg" TargetMode="External"/><Relationship Id="rId3392" Type="http://schemas.openxmlformats.org/officeDocument/2006/relationships/hyperlink" Target="https://pbs.twimg.com/media/DlrxgrqXsAEOpbz.jpg" TargetMode="External"/><Relationship Id="rId3045" Type="http://schemas.openxmlformats.org/officeDocument/2006/relationships/hyperlink" Target="http://www.maqami.blog.ir/" TargetMode="External"/><Relationship Id="rId3252" Type="http://schemas.openxmlformats.org/officeDocument/2006/relationships/hyperlink" Target="https://kayhan.london/fa/?p=128212" TargetMode="External"/><Relationship Id="rId173" Type="http://schemas.openxmlformats.org/officeDocument/2006/relationships/hyperlink" Target="http://aminkhosroshahi.com/" TargetMode="External"/><Relationship Id="rId380" Type="http://schemas.openxmlformats.org/officeDocument/2006/relationships/hyperlink" Target="https://t.me/xHarfBot?start=91065558" TargetMode="External"/><Relationship Id="rId2061" Type="http://schemas.openxmlformats.org/officeDocument/2006/relationships/hyperlink" Target="http://expertshare.wordpress.com/" TargetMode="External"/><Relationship Id="rId3112" Type="http://schemas.openxmlformats.org/officeDocument/2006/relationships/hyperlink" Target="http://www.rajanews.com/" TargetMode="External"/><Relationship Id="rId240" Type="http://schemas.openxmlformats.org/officeDocument/2006/relationships/hyperlink" Target="http://saeednevesht.blog.ir/" TargetMode="External"/><Relationship Id="rId100" Type="http://schemas.openxmlformats.org/officeDocument/2006/relationships/hyperlink" Target="https://pbs.twimg.com/media/DmU_RR0W0AAzlom.jpg" TargetMode="External"/><Relationship Id="rId2878" Type="http://schemas.openxmlformats.org/officeDocument/2006/relationships/hyperlink" Target="http://www.ibena.ir/" TargetMode="External"/><Relationship Id="rId1687" Type="http://schemas.openxmlformats.org/officeDocument/2006/relationships/hyperlink" Target="https://eitaa.com/Mostafa_Ghafari" TargetMode="External"/><Relationship Id="rId1894" Type="http://schemas.openxmlformats.org/officeDocument/2006/relationships/hyperlink" Target="https://twitter.com/ma30mo/status/1035402989090099200" TargetMode="External"/><Relationship Id="rId2738" Type="http://schemas.openxmlformats.org/officeDocument/2006/relationships/hyperlink" Target="https://t.me/kashanpress_ghotnibaf" TargetMode="External"/><Relationship Id="rId2945" Type="http://schemas.openxmlformats.org/officeDocument/2006/relationships/hyperlink" Target="https://twitter.com/A_Raefipour/status/1034388202772148225" TargetMode="External"/><Relationship Id="rId917" Type="http://schemas.openxmlformats.org/officeDocument/2006/relationships/hyperlink" Target="http://instagram.com/mmajid_moradi" TargetMode="External"/><Relationship Id="rId1547" Type="http://schemas.openxmlformats.org/officeDocument/2006/relationships/hyperlink" Target="https://pbs.twimg.com/media/DmEE4pgXgAEOdxI.jpg" TargetMode="External"/><Relationship Id="rId1754" Type="http://schemas.openxmlformats.org/officeDocument/2006/relationships/hyperlink" Target="http://pic.twitter.com/KilSGbmIdO" TargetMode="External"/><Relationship Id="rId1961" Type="http://schemas.openxmlformats.org/officeDocument/2006/relationships/hyperlink" Target="https://pbs.twimg.com/media/Dl6jNSoXsAA9s-K.jpg" TargetMode="External"/><Relationship Id="rId2805" Type="http://schemas.openxmlformats.org/officeDocument/2006/relationships/hyperlink" Target="http://roshangari.ir/video/54730" TargetMode="External"/><Relationship Id="rId46" Type="http://schemas.openxmlformats.org/officeDocument/2006/relationships/hyperlink" Target="https://pbs.twimg.com/media/DmUril3X4AEDz4X.jpg" TargetMode="External"/><Relationship Id="rId1407" Type="http://schemas.openxmlformats.org/officeDocument/2006/relationships/hyperlink" Target="https://pbs.twimg.com/media/DmFhsRhXgAE6iwF.jpg" TargetMode="External"/><Relationship Id="rId1614" Type="http://schemas.openxmlformats.org/officeDocument/2006/relationships/hyperlink" Target="http://www.modafeharam.com/" TargetMode="External"/><Relationship Id="rId1821" Type="http://schemas.openxmlformats.org/officeDocument/2006/relationships/hyperlink" Target="https://pbs.twimg.com/media/Dl9tMsCW4AADzxq.jpg" TargetMode="External"/><Relationship Id="rId3579" Type="http://schemas.openxmlformats.org/officeDocument/2006/relationships/hyperlink" Target="https://twitter.com/mostafatajzade/status/1034333041232105472" TargetMode="External"/><Relationship Id="rId2388" Type="http://schemas.openxmlformats.org/officeDocument/2006/relationships/hyperlink" Target="https://pbs.twimg.com/media/Dlxz-DmWsAIeUIj.jpg" TargetMode="External"/><Relationship Id="rId2595" Type="http://schemas.openxmlformats.org/officeDocument/2006/relationships/hyperlink" Target="https://twitter.com/shahramrafizade/status/1034718897482678272" TargetMode="External"/><Relationship Id="rId3439" Type="http://schemas.openxmlformats.org/officeDocument/2006/relationships/hyperlink" Target="https://pbs.twimg.com/media/Dlrj-rUWwAA21hJ.jpg" TargetMode="External"/><Relationship Id="rId567" Type="http://schemas.openxmlformats.org/officeDocument/2006/relationships/hyperlink" Target="http://pic.twitter.com/ZZsBBrPckg" TargetMode="External"/><Relationship Id="rId1197" Type="http://schemas.openxmlformats.org/officeDocument/2006/relationships/hyperlink" Target="https://pbs.twimg.com/media/DmJy4tvW4AAdYG7.jpg" TargetMode="External"/><Relationship Id="rId2248" Type="http://schemas.openxmlformats.org/officeDocument/2006/relationships/hyperlink" Target="https://pbs.twimg.com/media/DlzPcGZWsAE0vYR.jpg" TargetMode="External"/><Relationship Id="rId3646" Type="http://schemas.openxmlformats.org/officeDocument/2006/relationships/hyperlink" Target="http://www.farsnews.com/" TargetMode="External"/><Relationship Id="rId774" Type="http://schemas.openxmlformats.org/officeDocument/2006/relationships/hyperlink" Target="http://meisam1285.blogfa.com/" TargetMode="External"/><Relationship Id="rId981" Type="http://schemas.openxmlformats.org/officeDocument/2006/relationships/hyperlink" Target="https://t.me/IranAzadie/29630" TargetMode="External"/><Relationship Id="rId1057" Type="http://schemas.openxmlformats.org/officeDocument/2006/relationships/hyperlink" Target="https://buff.ly/2wEktBI" TargetMode="External"/><Relationship Id="rId2455" Type="http://schemas.openxmlformats.org/officeDocument/2006/relationships/hyperlink" Target="http://www.kosar3d.ir/" TargetMode="External"/><Relationship Id="rId2662" Type="http://schemas.openxmlformats.org/officeDocument/2006/relationships/hyperlink" Target="http://www.khamenei.ir/" TargetMode="External"/><Relationship Id="rId3506" Type="http://schemas.openxmlformats.org/officeDocument/2006/relationships/hyperlink" Target="https://twitter.com/mostafatajzade/status/1034333041232105472" TargetMode="External"/><Relationship Id="rId427" Type="http://schemas.openxmlformats.org/officeDocument/2006/relationships/hyperlink" Target="https://pbs.twimg.com/media/DmR7sOhV4AAj2Ze.jpg" TargetMode="External"/><Relationship Id="rId634" Type="http://schemas.openxmlformats.org/officeDocument/2006/relationships/hyperlink" Target="https://pbs.twimg.com/media/DmQO5tsXsAA_B5S.jpg" TargetMode="External"/><Relationship Id="rId841" Type="http://schemas.openxmlformats.org/officeDocument/2006/relationships/hyperlink" Target="http://pic.twitter.com/vIfYkzmgr5" TargetMode="External"/><Relationship Id="rId1264" Type="http://schemas.openxmlformats.org/officeDocument/2006/relationships/hyperlink" Target="http://www.farsnews.com/" TargetMode="External"/><Relationship Id="rId1471" Type="http://schemas.openxmlformats.org/officeDocument/2006/relationships/hyperlink" Target="http://pic.twitter.com/cmwp4a17mQ" TargetMode="External"/><Relationship Id="rId2108" Type="http://schemas.openxmlformats.org/officeDocument/2006/relationships/hyperlink" Target="http://pic.twitter.com/5YdxMtklvE" TargetMode="External"/><Relationship Id="rId2315" Type="http://schemas.openxmlformats.org/officeDocument/2006/relationships/hyperlink" Target="https://pbs.twimg.com/media/DlyhLnNWsAAaGD3.jpg" TargetMode="External"/><Relationship Id="rId2522" Type="http://schemas.openxmlformats.org/officeDocument/2006/relationships/hyperlink" Target="http://eranico.com/" TargetMode="External"/><Relationship Id="rId701" Type="http://schemas.openxmlformats.org/officeDocument/2006/relationships/hyperlink" Target="http://www.farsnews.com/farsplus-magazine" TargetMode="External"/><Relationship Id="rId1124" Type="http://schemas.openxmlformats.org/officeDocument/2006/relationships/hyperlink" Target="http://tn.ai/1819393" TargetMode="External"/><Relationship Id="rId1331" Type="http://schemas.openxmlformats.org/officeDocument/2006/relationships/hyperlink" Target="http://sobhe-no.ir/" TargetMode="External"/><Relationship Id="rId3089" Type="http://schemas.openxmlformats.org/officeDocument/2006/relationships/hyperlink" Target="https://pbs.twimg.com/media/DltPUD4WsAAioG_.jpg" TargetMode="External"/><Relationship Id="rId3296" Type="http://schemas.openxmlformats.org/officeDocument/2006/relationships/hyperlink" Target="https://pbs.twimg.com/media/DlsNJDyX0AEvZ5P.jpg" TargetMode="External"/><Relationship Id="rId3156" Type="http://schemas.openxmlformats.org/officeDocument/2006/relationships/hyperlink" Target="https://t.me/trenditter" TargetMode="External"/><Relationship Id="rId3363" Type="http://schemas.openxmlformats.org/officeDocument/2006/relationships/hyperlink" Target="https://twitter.com/HamaaseDovvom/status/1034285744221827072" TargetMode="External"/><Relationship Id="rId284" Type="http://schemas.openxmlformats.org/officeDocument/2006/relationships/hyperlink" Target="http://sobhe-no.ir/" TargetMode="External"/><Relationship Id="rId491" Type="http://schemas.openxmlformats.org/officeDocument/2006/relationships/hyperlink" Target="http://instagram.com/hamid__vakili" TargetMode="External"/><Relationship Id="rId2172" Type="http://schemas.openxmlformats.org/officeDocument/2006/relationships/hyperlink" Target="https://t.me/golshany" TargetMode="External"/><Relationship Id="rId3016" Type="http://schemas.openxmlformats.org/officeDocument/2006/relationships/hyperlink" Target="https://twitter.com/Nosir80192452/status/1034420647831773185" TargetMode="External"/><Relationship Id="rId3223" Type="http://schemas.openxmlformats.org/officeDocument/2006/relationships/hyperlink" Target="https://pbs.twimg.com/media/Dlsi0nVU8AEMDKQ.jpg" TargetMode="External"/><Relationship Id="rId3570" Type="http://schemas.openxmlformats.org/officeDocument/2006/relationships/hyperlink" Target="https://pbs.twimg.com/media/DlrHRhbU0AIM6qa.jpg" TargetMode="External"/><Relationship Id="rId144" Type="http://schemas.openxmlformats.org/officeDocument/2006/relationships/hyperlink" Target="https://twitter.com/A_Raefipour/status/1036613896327647234" TargetMode="External"/><Relationship Id="rId3430" Type="http://schemas.openxmlformats.org/officeDocument/2006/relationships/hyperlink" Target="http://www.iribnews.ir/" TargetMode="External"/><Relationship Id="rId351" Type="http://schemas.openxmlformats.org/officeDocument/2006/relationships/hyperlink" Target="http://shatr.blog.ir/" TargetMode="External"/><Relationship Id="rId2032" Type="http://schemas.openxmlformats.org/officeDocument/2006/relationships/hyperlink" Target="https://pbs.twimg.com/media/Dl3_qkrXgAIKIf8.jpg" TargetMode="External"/><Relationship Id="rId2989" Type="http://schemas.openxmlformats.org/officeDocument/2006/relationships/hyperlink" Target="http://www.mitfirm.org/" TargetMode="External"/><Relationship Id="rId211" Type="http://schemas.openxmlformats.org/officeDocument/2006/relationships/hyperlink" Target="http://sepisoad.com/" TargetMode="External"/><Relationship Id="rId1798" Type="http://schemas.openxmlformats.org/officeDocument/2006/relationships/hyperlink" Target="https://twitter.com/MoHoSAb/status/1027656328154701824" TargetMode="External"/><Relationship Id="rId2849" Type="http://schemas.openxmlformats.org/officeDocument/2006/relationships/hyperlink" Target="http://tn.ai/1815028" TargetMode="External"/><Relationship Id="rId1658" Type="http://schemas.openxmlformats.org/officeDocument/2006/relationships/hyperlink" Target="http://mehrnews.com/news/4390461" TargetMode="External"/><Relationship Id="rId1865" Type="http://schemas.openxmlformats.org/officeDocument/2006/relationships/hyperlink" Target="http://www.baraabari.com/" TargetMode="External"/><Relationship Id="rId2709" Type="http://schemas.openxmlformats.org/officeDocument/2006/relationships/hyperlink" Target="http://manoto.news/" TargetMode="External"/><Relationship Id="rId1518" Type="http://schemas.openxmlformats.org/officeDocument/2006/relationships/hyperlink" Target="http://forsan.news/" TargetMode="External"/><Relationship Id="rId2916" Type="http://schemas.openxmlformats.org/officeDocument/2006/relationships/hyperlink" Target="https://pbs.twimg.com/media/DluQreeXcAEvbrL.jpg" TargetMode="External"/><Relationship Id="rId3080" Type="http://schemas.openxmlformats.org/officeDocument/2006/relationships/hyperlink" Target="https://pbs.twimg.com/media/DltQFuzXoAEwPxZ.jpg" TargetMode="External"/><Relationship Id="rId1725" Type="http://schemas.openxmlformats.org/officeDocument/2006/relationships/hyperlink" Target="https://pbs.twimg.com/media/Dl_tmUPUUAAUnUM.jpg" TargetMode="External"/><Relationship Id="rId1932" Type="http://schemas.openxmlformats.org/officeDocument/2006/relationships/hyperlink" Target="http://www.instagram.com/sabaghi_as" TargetMode="External"/><Relationship Id="rId17" Type="http://schemas.openxmlformats.org/officeDocument/2006/relationships/hyperlink" Target="https://pbs.twimg.com/media/DmVfKrZXcAI8jcx.jpg" TargetMode="External"/><Relationship Id="rId2499" Type="http://schemas.openxmlformats.org/officeDocument/2006/relationships/hyperlink" Target="https://pbs.twimg.com/media/Dlw943yX0AAMqpg.jpg" TargetMode="External"/><Relationship Id="rId1" Type="http://schemas.openxmlformats.org/officeDocument/2006/relationships/hyperlink" Target="https://pbs.twimg.com/media/DmVpkeeX0AAEr4_.jpg" TargetMode="External"/><Relationship Id="rId678" Type="http://schemas.openxmlformats.org/officeDocument/2006/relationships/hyperlink" Target="https://twitter.com/halVlid/status/1036939263278034951" TargetMode="External"/><Relationship Id="rId885" Type="http://schemas.openxmlformats.org/officeDocument/2006/relationships/hyperlink" Target="https://pbs.twimg.com/media/DmOa29kUYAAYrJA.jpg" TargetMode="External"/><Relationship Id="rId2359" Type="http://schemas.openxmlformats.org/officeDocument/2006/relationships/hyperlink" Target="http://aa.com.tr/fa" TargetMode="External"/><Relationship Id="rId2566" Type="http://schemas.openxmlformats.org/officeDocument/2006/relationships/hyperlink" Target="https://twitter.com/tavakoli1367/status/1034698144511082496" TargetMode="External"/><Relationship Id="rId2773" Type="http://schemas.openxmlformats.org/officeDocument/2006/relationships/hyperlink" Target="http://t.me/jamalgeram" TargetMode="External"/><Relationship Id="rId2980" Type="http://schemas.openxmlformats.org/officeDocument/2006/relationships/hyperlink" Target="https://pbs.twimg.com/media/DltvjbTW4AE243K.jpg" TargetMode="External"/><Relationship Id="rId3617" Type="http://schemas.openxmlformats.org/officeDocument/2006/relationships/hyperlink" Target="http://filter_shod_n.bar.com/" TargetMode="External"/><Relationship Id="rId538" Type="http://schemas.openxmlformats.org/officeDocument/2006/relationships/hyperlink" Target="https://pbs.twimg.com/media/DmQ_sFcWwAAwfld.jpg" TargetMode="External"/><Relationship Id="rId745" Type="http://schemas.openxmlformats.org/officeDocument/2006/relationships/hyperlink" Target="https://pbs.twimg.com/media/DmPhkVdW0AA6W-W.jpg" TargetMode="External"/><Relationship Id="rId952" Type="http://schemas.openxmlformats.org/officeDocument/2006/relationships/hyperlink" Target="https://pbs.twimg.com/media/DmMP1pFU4AEhRTJ.jpg" TargetMode="External"/><Relationship Id="rId1168" Type="http://schemas.openxmlformats.org/officeDocument/2006/relationships/hyperlink" Target="http://tn.ai/1819015" TargetMode="External"/><Relationship Id="rId1375" Type="http://schemas.openxmlformats.org/officeDocument/2006/relationships/hyperlink" Target="http://t.me/HidenChat_bot?start=162668251" TargetMode="External"/><Relationship Id="rId1582" Type="http://schemas.openxmlformats.org/officeDocument/2006/relationships/hyperlink" Target="http://www.psyop.blog.ir/" TargetMode="External"/><Relationship Id="rId2219" Type="http://schemas.openxmlformats.org/officeDocument/2006/relationships/hyperlink" Target="https://twitter.com/shahramrafizade/status/1034718897482678272" TargetMode="External"/><Relationship Id="rId2426" Type="http://schemas.openxmlformats.org/officeDocument/2006/relationships/hyperlink" Target="https://pbs.twimg.com/media/DlxcL3BWwAAwfd-.jpg" TargetMode="External"/><Relationship Id="rId2633" Type="http://schemas.openxmlformats.org/officeDocument/2006/relationships/hyperlink" Target="https://twitter.com/bohloleshirazi/status/1034718473404985344" TargetMode="External"/><Relationship Id="rId81" Type="http://schemas.openxmlformats.org/officeDocument/2006/relationships/hyperlink" Target="https://telegram.me/HarfBeManBot?start=NTY4MzY5MTAz" TargetMode="External"/><Relationship Id="rId605" Type="http://schemas.openxmlformats.org/officeDocument/2006/relationships/hyperlink" Target="https://www.manoto.news/" TargetMode="External"/><Relationship Id="rId812" Type="http://schemas.openxmlformats.org/officeDocument/2006/relationships/hyperlink" Target="https://pbs.twimg.com/media/DmLR6FOWsAAX13M.jpg" TargetMode="External"/><Relationship Id="rId1028" Type="http://schemas.openxmlformats.org/officeDocument/2006/relationships/hyperlink" Target="http://pic.twitter.com/CGRRaR1RQQ" TargetMode="External"/><Relationship Id="rId1235" Type="http://schemas.openxmlformats.org/officeDocument/2006/relationships/hyperlink" Target="http://khamenei.ir/" TargetMode="External"/><Relationship Id="rId1442" Type="http://schemas.openxmlformats.org/officeDocument/2006/relationships/hyperlink" Target="https://pbs.twimg.com/media/DmFShiiX4AAcsrh.jpg" TargetMode="External"/><Relationship Id="rId2840" Type="http://schemas.openxmlformats.org/officeDocument/2006/relationships/hyperlink" Target="https://pbs.twimg.com/media/DlvnUbFV4AAZzq7.jpg" TargetMode="External"/><Relationship Id="rId1302" Type="http://schemas.openxmlformats.org/officeDocument/2006/relationships/hyperlink" Target="http://www.eghtesadonline.com/" TargetMode="External"/><Relationship Id="rId2700" Type="http://schemas.openxmlformats.org/officeDocument/2006/relationships/hyperlink" Target="https://pbs.twimg.com/media/DlwB6N9WwAUBiQS.jpg" TargetMode="External"/><Relationship Id="rId3267" Type="http://schemas.openxmlformats.org/officeDocument/2006/relationships/hyperlink" Target="http://www.khamenei.ir/" TargetMode="External"/><Relationship Id="rId188" Type="http://schemas.openxmlformats.org/officeDocument/2006/relationships/hyperlink" Target="https://pbs.twimg.com/media/DmUezj0WsAAtdij.jpg" TargetMode="External"/><Relationship Id="rId395" Type="http://schemas.openxmlformats.org/officeDocument/2006/relationships/hyperlink" Target="https://pbs.twimg.com/media/DmSxfa6XoAEywME.jpg" TargetMode="External"/><Relationship Id="rId2076" Type="http://schemas.openxmlformats.org/officeDocument/2006/relationships/hyperlink" Target="https://twitter.com/a_miresmaeili/status/1034901666624151554" TargetMode="External"/><Relationship Id="rId3474" Type="http://schemas.openxmlformats.org/officeDocument/2006/relationships/hyperlink" Target="http://www.translateworld.ir/" TargetMode="External"/><Relationship Id="rId2283" Type="http://schemas.openxmlformats.org/officeDocument/2006/relationships/hyperlink" Target="https://twitter.com/hasanasadiz/status/1034864514435563520" TargetMode="External"/><Relationship Id="rId2490" Type="http://schemas.openxmlformats.org/officeDocument/2006/relationships/hyperlink" Target="http://cyberwarzone.com/" TargetMode="External"/><Relationship Id="rId3127" Type="http://schemas.openxmlformats.org/officeDocument/2006/relationships/hyperlink" Target="http://pic.twitter.com/exKP9BVpNQ" TargetMode="External"/><Relationship Id="rId3334" Type="http://schemas.openxmlformats.org/officeDocument/2006/relationships/hyperlink" Target="https://www.tir.ir/" TargetMode="External"/><Relationship Id="rId3541" Type="http://schemas.openxmlformats.org/officeDocument/2006/relationships/hyperlink" Target="https://pbs.twimg.com/media/DlrI1plVsAAqCMG.jpg" TargetMode="External"/><Relationship Id="rId255" Type="http://schemas.openxmlformats.org/officeDocument/2006/relationships/hyperlink" Target="https://pbs.twimg.com/media/DmUMXWJXcAAwaRt.jpg" TargetMode="External"/><Relationship Id="rId462" Type="http://schemas.openxmlformats.org/officeDocument/2006/relationships/hyperlink" Target="https://twitter.com/hselahvarzi/status/1036330505187348481" TargetMode="External"/><Relationship Id="rId1092" Type="http://schemas.openxmlformats.org/officeDocument/2006/relationships/hyperlink" Target="http://instagram.com/masoudsaeediii" TargetMode="External"/><Relationship Id="rId2143" Type="http://schemas.openxmlformats.org/officeDocument/2006/relationships/hyperlink" Target="https://pbs.twimg.com/media/Dl2J_ryWsAA0dEu.jpg" TargetMode="External"/><Relationship Id="rId2350" Type="http://schemas.openxmlformats.org/officeDocument/2006/relationships/hyperlink" Target="https://www.manoto.news/" TargetMode="External"/><Relationship Id="rId3401" Type="http://schemas.openxmlformats.org/officeDocument/2006/relationships/hyperlink" Target="https://pbs.twimg.com/media/DlrmVZEXcAAUyin.jpg" TargetMode="External"/><Relationship Id="rId115" Type="http://schemas.openxmlformats.org/officeDocument/2006/relationships/hyperlink" Target="http://pic.twitter.com/UGeLxz74K7" TargetMode="External"/><Relationship Id="rId322" Type="http://schemas.openxmlformats.org/officeDocument/2006/relationships/hyperlink" Target="http://www.edrismohammadi.rzb.ir/" TargetMode="External"/><Relationship Id="rId2003" Type="http://schemas.openxmlformats.org/officeDocument/2006/relationships/hyperlink" Target="https://pbs.twimg.com/media/DlrY-V-WsAEk8zN.png" TargetMode="External"/><Relationship Id="rId2210" Type="http://schemas.openxmlformats.org/officeDocument/2006/relationships/hyperlink" Target="https://pbs.twimg.com/media/Dl01CE6WwAANZ8h.jpg" TargetMode="External"/><Relationship Id="rId1769" Type="http://schemas.openxmlformats.org/officeDocument/2006/relationships/hyperlink" Target="https://pbs.twimg.com/media/Dl_EBclX0AAlycQ.jpg" TargetMode="External"/><Relationship Id="rId1976" Type="http://schemas.openxmlformats.org/officeDocument/2006/relationships/hyperlink" Target="https://pbs.twimg.com/media/Dl6Wn8FW4AEngjS.jpg" TargetMode="External"/><Relationship Id="rId3191" Type="http://schemas.openxmlformats.org/officeDocument/2006/relationships/hyperlink" Target="http://pressroom.rferl.org/a/jan-palach-film/28340588.html" TargetMode="External"/><Relationship Id="rId1629" Type="http://schemas.openxmlformats.org/officeDocument/2006/relationships/hyperlink" Target="http://khabarfoori.com/detail/562450" TargetMode="External"/><Relationship Id="rId1836" Type="http://schemas.openxmlformats.org/officeDocument/2006/relationships/hyperlink" Target="http://gholeh.blogfa.com/" TargetMode="External"/><Relationship Id="rId1903" Type="http://schemas.openxmlformats.org/officeDocument/2006/relationships/hyperlink" Target="http://pake-shadi.com/" TargetMode="External"/><Relationship Id="rId3051" Type="http://schemas.openxmlformats.org/officeDocument/2006/relationships/hyperlink" Target="http://instagram.com/mrezaa1211" TargetMode="External"/><Relationship Id="rId789" Type="http://schemas.openxmlformats.org/officeDocument/2006/relationships/hyperlink" Target="http://shatr.blog.ir/" TargetMode="External"/><Relationship Id="rId996" Type="http://schemas.openxmlformats.org/officeDocument/2006/relationships/hyperlink" Target="http://jahaneghtesad.com/%d8%b1%d9%88%d8%ad%d8%a7%d9%86%db%8c%d8%8c-%da%af%d8%b1%d9%88%da%af%d8%a7%d9%86-%d8%a7%d8%b4%d8%aa%d8%a8%d8%a7%d9%87%d8%a7%d8%aa-%d8%ae%d9%88%d8%af%d8%ae%d9%88%d8%a7%d8%b3%d8%aa%d9%87/" TargetMode="External"/><Relationship Id="rId2677" Type="http://schemas.openxmlformats.org/officeDocument/2006/relationships/hyperlink" Target="https://pbs.twimg.com/media/DlwG8UlU4AEFJwm.jpg" TargetMode="External"/><Relationship Id="rId2884" Type="http://schemas.openxmlformats.org/officeDocument/2006/relationships/hyperlink" Target="http://soheil.fa/" TargetMode="External"/><Relationship Id="rId649" Type="http://schemas.openxmlformats.org/officeDocument/2006/relationships/hyperlink" Target="https://pbs.twimg.com/media/DmQKyAOXgAE_63Q.jpg" TargetMode="External"/><Relationship Id="rId856" Type="http://schemas.openxmlformats.org/officeDocument/2006/relationships/hyperlink" Target="http://t.me/leilanevesht" TargetMode="External"/><Relationship Id="rId1279" Type="http://schemas.openxmlformats.org/officeDocument/2006/relationships/hyperlink" Target="http://www.iranntv.com/" TargetMode="External"/><Relationship Id="rId1486" Type="http://schemas.openxmlformats.org/officeDocument/2006/relationships/hyperlink" Target="https://pbs.twimg.com/media/DmE6dVxUwAARiF1.jpg" TargetMode="External"/><Relationship Id="rId2537" Type="http://schemas.openxmlformats.org/officeDocument/2006/relationships/hyperlink" Target="https://pbs.twimg.com/media/DlwtYFOX4AEGehi.jpg" TargetMode="External"/><Relationship Id="rId509" Type="http://schemas.openxmlformats.org/officeDocument/2006/relationships/hyperlink" Target="https://www.hra-news.org/articles/a-365/?tg_rhash=22a41dd9689763" TargetMode="External"/><Relationship Id="rId1139" Type="http://schemas.openxmlformats.org/officeDocument/2006/relationships/hyperlink" Target="https://kayhan.london/fa/1397/06/12/%d8%a7%d8%b9%d8%aa%d8%b1%d8%a7%d9%81%d8%a7%d8%aa-%d8%b1%d9%88%d8%ad%d8%a7%d9%86%db%8c-%d8%af%d8%b1-%d9%85%d8%ac%d9%84%d8%b3-%d8%b1%d8%a7%d8%b3%d8%aa%db%8c-%d9%87%d9%85-%da%a9%d9%87-%d8%aa%d9%82%d8%b5" TargetMode="External"/><Relationship Id="rId1346" Type="http://schemas.openxmlformats.org/officeDocument/2006/relationships/hyperlink" Target="https://arad.co/" TargetMode="External"/><Relationship Id="rId1693" Type="http://schemas.openxmlformats.org/officeDocument/2006/relationships/hyperlink" Target="http://cyberwarzone.com/" TargetMode="External"/><Relationship Id="rId2744" Type="http://schemas.openxmlformats.org/officeDocument/2006/relationships/hyperlink" Target="https://pbs.twimg.com/media/Dlv48peXgAAQimm.jpg" TargetMode="External"/><Relationship Id="rId2951" Type="http://schemas.openxmlformats.org/officeDocument/2006/relationships/hyperlink" Target="https://telegram.me/HarfBeManBot?start=NjUzOTYzMTk" TargetMode="External"/><Relationship Id="rId716" Type="http://schemas.openxmlformats.org/officeDocument/2006/relationships/hyperlink" Target="https://twitter.com/P_Salahshouri/status/1036873560936079360" TargetMode="External"/><Relationship Id="rId923" Type="http://schemas.openxmlformats.org/officeDocument/2006/relationships/hyperlink" Target="https://pbs.twimg.com/media/DmMsacXW4AA4lBp.jpg" TargetMode="External"/><Relationship Id="rId1553" Type="http://schemas.openxmlformats.org/officeDocument/2006/relationships/hyperlink" Target="https://pbs.twimg.com/media/DmEBA0nWsAAFp-z.jpg" TargetMode="External"/><Relationship Id="rId1760" Type="http://schemas.openxmlformats.org/officeDocument/2006/relationships/hyperlink" Target="https://pbs.twimg.com/media/Dl_MnYxXgAEXlpq.jpg" TargetMode="External"/><Relationship Id="rId2604" Type="http://schemas.openxmlformats.org/officeDocument/2006/relationships/hyperlink" Target="https://pbs.twimg.com/media/DlwXeDKU8AAgVhC.jpg" TargetMode="External"/><Relationship Id="rId2811" Type="http://schemas.openxmlformats.org/officeDocument/2006/relationships/hyperlink" Target="https://pbs.twimg.com/media/Dlvt6-jXcAEQahz.jpg" TargetMode="External"/><Relationship Id="rId52" Type="http://schemas.openxmlformats.org/officeDocument/2006/relationships/hyperlink" Target="https://pbs.twimg.com/media/DmVR-bOW4AEkLj0.jpg" TargetMode="External"/><Relationship Id="rId1206" Type="http://schemas.openxmlformats.org/officeDocument/2006/relationships/hyperlink" Target="https://www.aparat.com/rezamahmoudi.79" TargetMode="External"/><Relationship Id="rId1413" Type="http://schemas.openxmlformats.org/officeDocument/2006/relationships/hyperlink" Target="http://www.tasnimnews.com/" TargetMode="External"/><Relationship Id="rId1620" Type="http://schemas.openxmlformats.org/officeDocument/2006/relationships/hyperlink" Target="http://mehrnews.com/news/4391103" TargetMode="External"/><Relationship Id="rId3378" Type="http://schemas.openxmlformats.org/officeDocument/2006/relationships/hyperlink" Target="http://pic.twitter.com/srt3O6Fr2Z" TargetMode="External"/><Relationship Id="rId3585" Type="http://schemas.openxmlformats.org/officeDocument/2006/relationships/hyperlink" Target="http://www.stnews.ir/" TargetMode="External"/><Relationship Id="rId299" Type="http://schemas.openxmlformats.org/officeDocument/2006/relationships/hyperlink" Target="http://www.atregoleyas.ir/" TargetMode="External"/><Relationship Id="rId2187" Type="http://schemas.openxmlformats.org/officeDocument/2006/relationships/hyperlink" Target="https://sabamedia.info/" TargetMode="External"/><Relationship Id="rId2394" Type="http://schemas.openxmlformats.org/officeDocument/2006/relationships/hyperlink" Target="https://pbs.twimg.com/media/Dlxv9N8WsAA-zsc.jpg" TargetMode="External"/><Relationship Id="rId3238" Type="http://schemas.openxmlformats.org/officeDocument/2006/relationships/hyperlink" Target="https://pbs.twimg.com/media/DlscRc9W4AA8vbw.jpg" TargetMode="External"/><Relationship Id="rId3445" Type="http://schemas.openxmlformats.org/officeDocument/2006/relationships/hyperlink" Target="http://instagram.com/farzad_seifi.ir" TargetMode="External"/><Relationship Id="rId3652" Type="http://schemas.openxmlformats.org/officeDocument/2006/relationships/hyperlink" Target="https://twitter.com/elia12420/status/1034166092606984195" TargetMode="External"/><Relationship Id="rId159" Type="http://schemas.openxmlformats.org/officeDocument/2006/relationships/hyperlink" Target="http://www.instagram.com/saeid.afsari" TargetMode="External"/><Relationship Id="rId366" Type="http://schemas.openxmlformats.org/officeDocument/2006/relationships/hyperlink" Target="https://pbs.twimg.com/media/DmThtK6WsAAUy2T.jpg" TargetMode="External"/><Relationship Id="rId573" Type="http://schemas.openxmlformats.org/officeDocument/2006/relationships/hyperlink" Target="http://www.imdb.com/name/nm2579994/bio?ref_=nm_ov_bio_sm" TargetMode="External"/><Relationship Id="rId780" Type="http://schemas.openxmlformats.org/officeDocument/2006/relationships/hyperlink" Target="http://mcaf.ee/o8ulm0?omid_1396" TargetMode="External"/><Relationship Id="rId2047" Type="http://schemas.openxmlformats.org/officeDocument/2006/relationships/hyperlink" Target="https://www.instagram.com/hachal.haft/" TargetMode="External"/><Relationship Id="rId2254" Type="http://schemas.openxmlformats.org/officeDocument/2006/relationships/hyperlink" Target="https://pbs.twimg.com/media/DlzNJdsXsAE1iJc.jpg" TargetMode="External"/><Relationship Id="rId2461" Type="http://schemas.openxmlformats.org/officeDocument/2006/relationships/hyperlink" Target="http://eliyaomid.ir/" TargetMode="External"/><Relationship Id="rId3305" Type="http://schemas.openxmlformats.org/officeDocument/2006/relationships/hyperlink" Target="http://pic.twitter.com/UmuXXYkXz7" TargetMode="External"/><Relationship Id="rId3512" Type="http://schemas.openxmlformats.org/officeDocument/2006/relationships/hyperlink" Target="https://www.instagram.com/mostafa.goldsmith" TargetMode="External"/><Relationship Id="rId226" Type="http://schemas.openxmlformats.org/officeDocument/2006/relationships/hyperlink" Target="https://pbs.twimg.com/media/DmUVNrUXsAA1iay.jpg" TargetMode="External"/><Relationship Id="rId433" Type="http://schemas.openxmlformats.org/officeDocument/2006/relationships/hyperlink" Target="https://pbs.twimg.com/media/DmR2fs4V4AAuec2.jpg" TargetMode="External"/><Relationship Id="rId1063" Type="http://schemas.openxmlformats.org/officeDocument/2006/relationships/hyperlink" Target="https://telegram.me/HarfBeManBot?start=MjkwOTU3Mjc2" TargetMode="External"/><Relationship Id="rId1270" Type="http://schemas.openxmlformats.org/officeDocument/2006/relationships/hyperlink" Target="http://www.hajfathi.ir/" TargetMode="External"/><Relationship Id="rId2114" Type="http://schemas.openxmlformats.org/officeDocument/2006/relationships/hyperlink" Target="http://www.tasnimnews.com/" TargetMode="External"/><Relationship Id="rId640" Type="http://schemas.openxmlformats.org/officeDocument/2006/relationships/hyperlink" Target="http://icinema.ir/page/10751" TargetMode="External"/><Relationship Id="rId2321" Type="http://schemas.openxmlformats.org/officeDocument/2006/relationships/hyperlink" Target="https://hashtagban.com/" TargetMode="External"/><Relationship Id="rId500" Type="http://schemas.openxmlformats.org/officeDocument/2006/relationships/hyperlink" Target="https://pbs.twimg.com/media/DmRSeBGUcAEWDS5.jpg" TargetMode="External"/><Relationship Id="rId1130" Type="http://schemas.openxmlformats.org/officeDocument/2006/relationships/hyperlink" Target="https://pbs.twimg.com/media/DmKjOKzX0AA-tWz.jpg" TargetMode="External"/><Relationship Id="rId1947" Type="http://schemas.openxmlformats.org/officeDocument/2006/relationships/hyperlink" Target="https://pbs.twimg.com/media/Dl640fNW4AIBPpP.jpg" TargetMode="External"/><Relationship Id="rId3095" Type="http://schemas.openxmlformats.org/officeDocument/2006/relationships/hyperlink" Target="http://khabarfoori.com/detail/555350" TargetMode="External"/><Relationship Id="rId1807" Type="http://schemas.openxmlformats.org/officeDocument/2006/relationships/hyperlink" Target="https://pbs.twimg.com/media/Dl-pbJ0W4AAYmLT.jpg" TargetMode="External"/><Relationship Id="rId3162" Type="http://schemas.openxmlformats.org/officeDocument/2006/relationships/hyperlink" Target="https://pbs.twimg.com/media/Dls3G0uW0AA_Kc4.jpg" TargetMode="External"/><Relationship Id="rId290" Type="http://schemas.openxmlformats.org/officeDocument/2006/relationships/hyperlink" Target="http://instagram.com/mim.zal" TargetMode="External"/><Relationship Id="rId3022" Type="http://schemas.openxmlformats.org/officeDocument/2006/relationships/hyperlink" Target="https://twitter.com/javadkandelousi/status/1034500686464118785" TargetMode="External"/><Relationship Id="rId150" Type="http://schemas.openxmlformats.org/officeDocument/2006/relationships/hyperlink" Target="http://www.etemadonline.com/" TargetMode="External"/><Relationship Id="rId2788" Type="http://schemas.openxmlformats.org/officeDocument/2006/relationships/hyperlink" Target="https://pbs.twimg.com/media/DlvxBZ-W0AAE-ws.jpg" TargetMode="External"/><Relationship Id="rId2995" Type="http://schemas.openxmlformats.org/officeDocument/2006/relationships/hyperlink" Target="https://pbs.twimg.com/media/DltoNIiW4AAXpT0.jpg" TargetMode="External"/><Relationship Id="rId967" Type="http://schemas.openxmlformats.org/officeDocument/2006/relationships/hyperlink" Target="https://pbs.twimg.com/media/DmMFRISX4AAX60E.jpg" TargetMode="External"/><Relationship Id="rId1597" Type="http://schemas.openxmlformats.org/officeDocument/2006/relationships/hyperlink" Target="https://pbs.twimg.com/media/DmBaz03W0AEr6jz.jpg" TargetMode="External"/><Relationship Id="rId2648" Type="http://schemas.openxmlformats.org/officeDocument/2006/relationships/hyperlink" Target="https://pbs.twimg.com/media/DlwPGocXsAAoe9H.jpg" TargetMode="External"/><Relationship Id="rId2855" Type="http://schemas.openxmlformats.org/officeDocument/2006/relationships/hyperlink" Target="http://tn.ai/1814745" TargetMode="External"/><Relationship Id="rId96" Type="http://schemas.openxmlformats.org/officeDocument/2006/relationships/hyperlink" Target="https://pbs.twimg.com/media/DmVAXLUX0AA4nMF.jpg" TargetMode="External"/><Relationship Id="rId827" Type="http://schemas.openxmlformats.org/officeDocument/2006/relationships/hyperlink" Target="http://radiozamaneh.com/" TargetMode="External"/><Relationship Id="rId1457" Type="http://schemas.openxmlformats.org/officeDocument/2006/relationships/hyperlink" Target="https://pbs.twimg.com/media/DmFIYx4WsAEHmX7.jpg" TargetMode="External"/><Relationship Id="rId1664" Type="http://schemas.openxmlformats.org/officeDocument/2006/relationships/hyperlink" Target="https://pbs.twimg.com/media/DmAkUNMXoAAprSs.jpg" TargetMode="External"/><Relationship Id="rId1871" Type="http://schemas.openxmlformats.org/officeDocument/2006/relationships/hyperlink" Target="https://telegram.me/HarfBeManBot?start=NDQ4MTYwNTgz" TargetMode="External"/><Relationship Id="rId2508" Type="http://schemas.openxmlformats.org/officeDocument/2006/relationships/hyperlink" Target="http://www.irna.ir/" TargetMode="External"/><Relationship Id="rId2715" Type="http://schemas.openxmlformats.org/officeDocument/2006/relationships/hyperlink" Target="https://twitter.com/sasansai2122/status/1034395507878182912" TargetMode="External"/><Relationship Id="rId2922" Type="http://schemas.openxmlformats.org/officeDocument/2006/relationships/hyperlink" Target="https://www.isna.ir/news/97060603121/" TargetMode="External"/><Relationship Id="rId1317" Type="http://schemas.openxmlformats.org/officeDocument/2006/relationships/hyperlink" Target="http://www.trtpersian.com/" TargetMode="External"/><Relationship Id="rId1524" Type="http://schemas.openxmlformats.org/officeDocument/2006/relationships/hyperlink" Target="https://telegram.me/moosavitehrani_room" TargetMode="External"/><Relationship Id="rId1731" Type="http://schemas.openxmlformats.org/officeDocument/2006/relationships/hyperlink" Target="https://pbs.twimg.com/media/Dl_jLphWsAEdgpI.jpg" TargetMode="External"/><Relationship Id="rId23" Type="http://schemas.openxmlformats.org/officeDocument/2006/relationships/hyperlink" Target="http://www.hosseindanai.com/" TargetMode="External"/><Relationship Id="rId3489" Type="http://schemas.openxmlformats.org/officeDocument/2006/relationships/hyperlink" Target="https://pbs.twimg.com/media/DlrXMLxX4AEdMt0.jpg" TargetMode="External"/><Relationship Id="rId2298" Type="http://schemas.openxmlformats.org/officeDocument/2006/relationships/hyperlink" Target="http://pic.twitter.com/nWE0CXcGeY" TargetMode="External"/><Relationship Id="rId3349" Type="http://schemas.openxmlformats.org/officeDocument/2006/relationships/hyperlink" Target="https://pbs.twimg.com/media/Dlr_lW3X0AAOJZl.jpg" TargetMode="External"/><Relationship Id="rId3556" Type="http://schemas.openxmlformats.org/officeDocument/2006/relationships/hyperlink" Target="http://fb.com/Freedom.Messenger" TargetMode="External"/><Relationship Id="rId477" Type="http://schemas.openxmlformats.org/officeDocument/2006/relationships/hyperlink" Target="http://www.farsnews.com/" TargetMode="External"/><Relationship Id="rId684" Type="http://schemas.openxmlformats.org/officeDocument/2006/relationships/hyperlink" Target="http://instagram.com/roohollah.zam" TargetMode="External"/><Relationship Id="rId2158" Type="http://schemas.openxmlformats.org/officeDocument/2006/relationships/hyperlink" Target="https://pbs.twimg.com/media/Dl10XcHX4AA4P65.jpg" TargetMode="External"/><Relationship Id="rId2365" Type="http://schemas.openxmlformats.org/officeDocument/2006/relationships/hyperlink" Target="http://goo.gl/KZ33gh" TargetMode="External"/><Relationship Id="rId3209" Type="http://schemas.openxmlformats.org/officeDocument/2006/relationships/hyperlink" Target="https://rouhanimeter.com/2018/07/annual-report-2018/" TargetMode="External"/><Relationship Id="rId337" Type="http://schemas.openxmlformats.org/officeDocument/2006/relationships/hyperlink" Target="https://pbs.twimg.com/media/DmTyUgDX4AAFrNn.jpg" TargetMode="External"/><Relationship Id="rId891" Type="http://schemas.openxmlformats.org/officeDocument/2006/relationships/hyperlink" Target="https://pbs.twimg.com/media/DmMk2T-X0AUitJt.jpg" TargetMode="External"/><Relationship Id="rId2018" Type="http://schemas.openxmlformats.org/officeDocument/2006/relationships/hyperlink" Target="http://snn.ir/fa/news/706961" TargetMode="External"/><Relationship Id="rId2572" Type="http://schemas.openxmlformats.org/officeDocument/2006/relationships/hyperlink" Target="http://www.jaaar.com/" TargetMode="External"/><Relationship Id="rId3416" Type="http://schemas.openxmlformats.org/officeDocument/2006/relationships/hyperlink" Target="https://pbs.twimg.com/media/DlruvC2WsAAQVhi.jpg" TargetMode="External"/><Relationship Id="rId3623" Type="http://schemas.openxmlformats.org/officeDocument/2006/relationships/hyperlink" Target="https://pbs.twimg.com/media/Dlqu6PbWsAABTq1.jpg" TargetMode="External"/><Relationship Id="rId544" Type="http://schemas.openxmlformats.org/officeDocument/2006/relationships/hyperlink" Target="https://twitter.com/NavadeEghtesadi/status/1036963126141431810" TargetMode="External"/><Relationship Id="rId751" Type="http://schemas.openxmlformats.org/officeDocument/2006/relationships/hyperlink" Target="http://instagram.com/ehsanrastgar" TargetMode="External"/><Relationship Id="rId849" Type="http://schemas.openxmlformats.org/officeDocument/2006/relationships/hyperlink" Target="https://pbs.twimg.com/media/DmO1kPpXsAEPSue.jpg" TargetMode="External"/><Relationship Id="rId1174" Type="http://schemas.openxmlformats.org/officeDocument/2006/relationships/hyperlink" Target="https://coiniran.com/crypto-draft/" TargetMode="External"/><Relationship Id="rId1381" Type="http://schemas.openxmlformats.org/officeDocument/2006/relationships/hyperlink" Target="https://pbs.twimg.com/media/DmF6BPGX4AAWR18.jpg" TargetMode="External"/><Relationship Id="rId1479" Type="http://schemas.openxmlformats.org/officeDocument/2006/relationships/hyperlink" Target="https://pbs.twimg.com/media/DmE-7q2WwAMiydy.jpg" TargetMode="External"/><Relationship Id="rId1686" Type="http://schemas.openxmlformats.org/officeDocument/2006/relationships/hyperlink" Target="https://pbs.twimg.com/media/DmASRkhW4AE_gnC.jpg" TargetMode="External"/><Relationship Id="rId2225" Type="http://schemas.openxmlformats.org/officeDocument/2006/relationships/hyperlink" Target="https://pbs.twimg.com/media/Dl0a104U4AAWWR-.jpg" TargetMode="External"/><Relationship Id="rId2432" Type="http://schemas.openxmlformats.org/officeDocument/2006/relationships/hyperlink" Target="https://pbs.twimg.com/media/DlxWlXsWsAAZADI.jpg" TargetMode="External"/><Relationship Id="rId404" Type="http://schemas.openxmlformats.org/officeDocument/2006/relationships/hyperlink" Target="https://www.instagram.com/maormz/" TargetMode="External"/><Relationship Id="rId611" Type="http://schemas.openxmlformats.org/officeDocument/2006/relationships/hyperlink" Target="http://icana.ir/" TargetMode="External"/><Relationship Id="rId1034" Type="http://schemas.openxmlformats.org/officeDocument/2006/relationships/hyperlink" Target="http://www.irvds.net/" TargetMode="External"/><Relationship Id="rId1241" Type="http://schemas.openxmlformats.org/officeDocument/2006/relationships/hyperlink" Target="https://bit.ly/2Ms0gIf" TargetMode="External"/><Relationship Id="rId1339" Type="http://schemas.openxmlformats.org/officeDocument/2006/relationships/hyperlink" Target="https://www.hra-news.org/interviews/a-110/?tg_rhash=22a41dd9689763" TargetMode="External"/><Relationship Id="rId1893" Type="http://schemas.openxmlformats.org/officeDocument/2006/relationships/hyperlink" Target="http://www.instagram.com/sabaghi_as" TargetMode="External"/><Relationship Id="rId2737" Type="http://schemas.openxmlformats.org/officeDocument/2006/relationships/hyperlink" Target="https://pbs.twimg.com/media/Dlv6RLyWsAEHg9k.jpg" TargetMode="External"/><Relationship Id="rId2944" Type="http://schemas.openxmlformats.org/officeDocument/2006/relationships/hyperlink" Target="http://instagram.com/arashpajooh" TargetMode="External"/><Relationship Id="rId709" Type="http://schemas.openxmlformats.org/officeDocument/2006/relationships/hyperlink" Target="http://instagram.com/shoma.rasane" TargetMode="External"/><Relationship Id="rId916" Type="http://schemas.openxmlformats.org/officeDocument/2006/relationships/hyperlink" Target="https://pbs.twimg.com/media/DmNudEGUwAEPkJg.jpg" TargetMode="External"/><Relationship Id="rId1101" Type="http://schemas.openxmlformats.org/officeDocument/2006/relationships/hyperlink" Target="http://tn.ai/1819436" TargetMode="External"/><Relationship Id="rId1546" Type="http://schemas.openxmlformats.org/officeDocument/2006/relationships/hyperlink" Target="http://tn.ai/1817999" TargetMode="External"/><Relationship Id="rId1753" Type="http://schemas.openxmlformats.org/officeDocument/2006/relationships/hyperlink" Target="https://pbs.twimg.com/media/Dl_Rhu7UUAA9_q0.jpg" TargetMode="External"/><Relationship Id="rId1960" Type="http://schemas.openxmlformats.org/officeDocument/2006/relationships/hyperlink" Target="https://pbs.twimg.com/media/Dl6krQ_U4AYJxlD.jpg" TargetMode="External"/><Relationship Id="rId2804" Type="http://schemas.openxmlformats.org/officeDocument/2006/relationships/hyperlink" Target="http://roshangari.ir/" TargetMode="External"/><Relationship Id="rId45" Type="http://schemas.openxmlformats.org/officeDocument/2006/relationships/hyperlink" Target="https://twitter.com/amire_tanha/status/1037283172076204032" TargetMode="External"/><Relationship Id="rId1406" Type="http://schemas.openxmlformats.org/officeDocument/2006/relationships/hyperlink" Target="http://forsan.news/" TargetMode="External"/><Relationship Id="rId1613" Type="http://schemas.openxmlformats.org/officeDocument/2006/relationships/hyperlink" Target="https://tejaratnews.com/%D8%B1%DA%A9%D9%88%D8%B1%D8%AF-23-%D8%B3%D8%A7%D9%84%D9%87-%D8%AA%D9%88%D8%B1%D9%85-%D8%B4%DA%A9%D8%B3%D8%AA" TargetMode="External"/><Relationship Id="rId1820" Type="http://schemas.openxmlformats.org/officeDocument/2006/relationships/hyperlink" Target="http://m.youtube.com/user/MNEDA1" TargetMode="External"/><Relationship Id="rId3066" Type="http://schemas.openxmlformats.org/officeDocument/2006/relationships/hyperlink" Target="https://www.instagram.com/mahroo.jafari/" TargetMode="External"/><Relationship Id="rId3273" Type="http://schemas.openxmlformats.org/officeDocument/2006/relationships/hyperlink" Target="https://pbs.twimg.com/media/DlsVCPbXgAABdJD.jpg" TargetMode="External"/><Relationship Id="rId3480" Type="http://schemas.openxmlformats.org/officeDocument/2006/relationships/hyperlink" Target="https://pbs.twimg.com/media/DlrXvoJX0AAT5gk.jpg" TargetMode="External"/><Relationship Id="rId194" Type="http://schemas.openxmlformats.org/officeDocument/2006/relationships/hyperlink" Target="https://pbs.twimg.com/media/DmUdovfU0AAi1Rw.jpg" TargetMode="External"/><Relationship Id="rId1918" Type="http://schemas.openxmlformats.org/officeDocument/2006/relationships/hyperlink" Target="https://pbs.twimg.com/media/Dl7d7x3W4AA6MMp.jpg" TargetMode="External"/><Relationship Id="rId2082" Type="http://schemas.openxmlformats.org/officeDocument/2006/relationships/hyperlink" Target="https://twitter.com/031esf/status/1035147180783362050" TargetMode="External"/><Relationship Id="rId3133" Type="http://schemas.openxmlformats.org/officeDocument/2006/relationships/hyperlink" Target="http://page.is/peymaneh-shafi" TargetMode="External"/><Relationship Id="rId3578" Type="http://schemas.openxmlformats.org/officeDocument/2006/relationships/hyperlink" Target="https://pbs.twimg.com/media/Dlq8ZE-X0AI9R5r.jpg" TargetMode="External"/><Relationship Id="rId261" Type="http://schemas.openxmlformats.org/officeDocument/2006/relationships/hyperlink" Target="https://twitter.com/jalilmohebbi/status/1037230523423379456" TargetMode="External"/><Relationship Id="rId499" Type="http://schemas.openxmlformats.org/officeDocument/2006/relationships/hyperlink" Target="http://telegram.me/omidpouraziz" TargetMode="External"/><Relationship Id="rId2387" Type="http://schemas.openxmlformats.org/officeDocument/2006/relationships/hyperlink" Target="http://instagram.com/vahid_viator" TargetMode="External"/><Relationship Id="rId2594" Type="http://schemas.openxmlformats.org/officeDocument/2006/relationships/hyperlink" Target="http://pic.twitter.com/nWE0CXcGeY" TargetMode="External"/><Relationship Id="rId3340" Type="http://schemas.openxmlformats.org/officeDocument/2006/relationships/hyperlink" Target="https://pbs.twimg.com/media/DlsALBeXgAIQX6y.jpg" TargetMode="External"/><Relationship Id="rId3438" Type="http://schemas.openxmlformats.org/officeDocument/2006/relationships/hyperlink" Target="https://pbs.twimg.com/media/DlrkETFWsAEgrnx.jpg" TargetMode="External"/><Relationship Id="rId3645" Type="http://schemas.openxmlformats.org/officeDocument/2006/relationships/hyperlink" Target="http://pic.twitter.com/UsDxBCcsfc" TargetMode="External"/><Relationship Id="rId359" Type="http://schemas.openxmlformats.org/officeDocument/2006/relationships/hyperlink" Target="http://pic.twitter.com/O39XOU5lqs" TargetMode="External"/><Relationship Id="rId566" Type="http://schemas.openxmlformats.org/officeDocument/2006/relationships/hyperlink" Target="https://twitter.com/FarsNews_Agency/status/1036895904161247232" TargetMode="External"/><Relationship Id="rId773" Type="http://schemas.openxmlformats.org/officeDocument/2006/relationships/hyperlink" Target="https://twitter.com/rezarashidpour/status/1036732068489822214" TargetMode="External"/><Relationship Id="rId1196" Type="http://schemas.openxmlformats.org/officeDocument/2006/relationships/hyperlink" Target="https://pbs.twimg.com/media/DmJzTu2WwAAD0Uq.jpg" TargetMode="External"/><Relationship Id="rId2247" Type="http://schemas.openxmlformats.org/officeDocument/2006/relationships/hyperlink" Target="https://pbs.twimg.com/media/DlzPjAYXgAAhCaY.jpg" TargetMode="External"/><Relationship Id="rId2454" Type="http://schemas.openxmlformats.org/officeDocument/2006/relationships/hyperlink" Target="https://pbs.twimg.com/media/DlxMbUaW4AA_PNU.jpg" TargetMode="External"/><Relationship Id="rId2899" Type="http://schemas.openxmlformats.org/officeDocument/2006/relationships/hyperlink" Target="https://pbs.twimg.com/media/DlupcNjXsAAOPa-.jpg" TargetMode="External"/><Relationship Id="rId3200" Type="http://schemas.openxmlformats.org/officeDocument/2006/relationships/hyperlink" Target="http://pic.twitter.com/qMVWAeCAP8" TargetMode="External"/><Relationship Id="rId3505" Type="http://schemas.openxmlformats.org/officeDocument/2006/relationships/hyperlink" Target="http://www.nikru.ir/" TargetMode="External"/><Relationship Id="rId121" Type="http://schemas.openxmlformats.org/officeDocument/2006/relationships/hyperlink" Target="https://twitter.com/Chenarani_ir/status/1037086132872335362" TargetMode="External"/><Relationship Id="rId219" Type="http://schemas.openxmlformats.org/officeDocument/2006/relationships/hyperlink" Target="https://pbs.twimg.com/media/DmUWPckWsAEoqH7.jpg" TargetMode="External"/><Relationship Id="rId426" Type="http://schemas.openxmlformats.org/officeDocument/2006/relationships/hyperlink" Target="https://twitter.com/mmohammadii61/status/1037085653295656960" TargetMode="External"/><Relationship Id="rId633" Type="http://schemas.openxmlformats.org/officeDocument/2006/relationships/hyperlink" Target="https://pbs.twimg.com/media/DmQPFJ4X0AE80ig.jpg" TargetMode="External"/><Relationship Id="rId980" Type="http://schemas.openxmlformats.org/officeDocument/2006/relationships/hyperlink" Target="http://telegram.me/javadsharifian" TargetMode="External"/><Relationship Id="rId1056" Type="http://schemas.openxmlformats.org/officeDocument/2006/relationships/hyperlink" Target="https://telegram.me/harfbemanbot?start=NzU2MTY5MzQ" TargetMode="External"/><Relationship Id="rId1263" Type="http://schemas.openxmlformats.org/officeDocument/2006/relationships/hyperlink" Target="https://pbs.twimg.com/media/DmHT20gWsAABRLx.jpg" TargetMode="External"/><Relationship Id="rId2107" Type="http://schemas.openxmlformats.org/officeDocument/2006/relationships/hyperlink" Target="http://pic.twitter.com/K0Uw9uOt4u" TargetMode="External"/><Relationship Id="rId2314" Type="http://schemas.openxmlformats.org/officeDocument/2006/relationships/hyperlink" Target="https://pbs.twimg.com/media/Dlw3T8jW4AMw1os.jpg" TargetMode="External"/><Relationship Id="rId2661" Type="http://schemas.openxmlformats.org/officeDocument/2006/relationships/hyperlink" Target="http://www.khamenei.ir/" TargetMode="External"/><Relationship Id="rId2759" Type="http://schemas.openxmlformats.org/officeDocument/2006/relationships/hyperlink" Target="http://www.mehrnews.com/" TargetMode="External"/><Relationship Id="rId2966" Type="http://schemas.openxmlformats.org/officeDocument/2006/relationships/hyperlink" Target="https://t.me/BehinehKhan" TargetMode="External"/><Relationship Id="rId840" Type="http://schemas.openxmlformats.org/officeDocument/2006/relationships/hyperlink" Target="https://twitter.com/maziaran/status/1036861038631763968" TargetMode="External"/><Relationship Id="rId938" Type="http://schemas.openxmlformats.org/officeDocument/2006/relationships/hyperlink" Target="http://pic.twitter.com/0YsBz34ttr" TargetMode="External"/><Relationship Id="rId1470" Type="http://schemas.openxmlformats.org/officeDocument/2006/relationships/hyperlink" Target="http://cyberwarzone.com/" TargetMode="External"/><Relationship Id="rId1568" Type="http://schemas.openxmlformats.org/officeDocument/2006/relationships/hyperlink" Target="https://pbs.twimg.com/media/DmDo1jsWsAA4clX.jpg" TargetMode="External"/><Relationship Id="rId1775" Type="http://schemas.openxmlformats.org/officeDocument/2006/relationships/hyperlink" Target="https://asre-eghtesad.com/" TargetMode="External"/><Relationship Id="rId2521" Type="http://schemas.openxmlformats.org/officeDocument/2006/relationships/hyperlink" Target="https://pbs.twimg.com/media/Dlw2srzW0AARcf_.jpg" TargetMode="External"/><Relationship Id="rId2619" Type="http://schemas.openxmlformats.org/officeDocument/2006/relationships/hyperlink" Target="https://pbs.twimg.com/media/DlwVg6hXsAAG6cf.jpg" TargetMode="External"/><Relationship Id="rId2826" Type="http://schemas.openxmlformats.org/officeDocument/2006/relationships/hyperlink" Target="https://pbs.twimg.com/media/DlvjYeaV4AAA_ms.jpg" TargetMode="External"/><Relationship Id="rId67" Type="http://schemas.openxmlformats.org/officeDocument/2006/relationships/hyperlink" Target="http://pic.twitter.com/J57AkbdgFw" TargetMode="External"/><Relationship Id="rId700" Type="http://schemas.openxmlformats.org/officeDocument/2006/relationships/hyperlink" Target="http://ble.im/Fars_Plus" TargetMode="External"/><Relationship Id="rId1123" Type="http://schemas.openxmlformats.org/officeDocument/2006/relationships/hyperlink" Target="https://telegram.me/harfbzanbot?start=8bvwwX5" TargetMode="External"/><Relationship Id="rId1330" Type="http://schemas.openxmlformats.org/officeDocument/2006/relationships/hyperlink" Target="http://pic.twitter.com/jmchD6HkLb" TargetMode="External"/><Relationship Id="rId1428" Type="http://schemas.openxmlformats.org/officeDocument/2006/relationships/hyperlink" Target="http://www.tasnimnews.com/" TargetMode="External"/><Relationship Id="rId1635" Type="http://schemas.openxmlformats.org/officeDocument/2006/relationships/hyperlink" Target="https://pbs.twimg.com/media/DmBJnQOXsAEhdnm.jpg" TargetMode="External"/><Relationship Id="rId1982" Type="http://schemas.openxmlformats.org/officeDocument/2006/relationships/hyperlink" Target="https://www.instagram.com/p/BnInNc_FGJ5/?utm_source=ig_twitter_share&amp;igshid=3jvw16rl61kx" TargetMode="External"/><Relationship Id="rId3088" Type="http://schemas.openxmlformats.org/officeDocument/2006/relationships/hyperlink" Target="https://twitter.com/Advent_is_near/status/1034485803374796802" TargetMode="External"/><Relationship Id="rId1842" Type="http://schemas.openxmlformats.org/officeDocument/2006/relationships/hyperlink" Target="https://pbs.twimg.com/media/Dl9CFxhXcAAq876.jpg" TargetMode="External"/><Relationship Id="rId3295" Type="http://schemas.openxmlformats.org/officeDocument/2006/relationships/hyperlink" Target="https://pbs.twimg.com/media/DlsNNdHXoAAd62h.jpg" TargetMode="External"/><Relationship Id="rId1702" Type="http://schemas.openxmlformats.org/officeDocument/2006/relationships/hyperlink" Target="https://www.instagram.com/p/BnLfKvhnTIc/?utm_source=ig_twitter_share&amp;igshid=1u2h54nbb75wm" TargetMode="External"/><Relationship Id="rId3155" Type="http://schemas.openxmlformats.org/officeDocument/2006/relationships/hyperlink" Target="http://nazokbin.ir/" TargetMode="External"/><Relationship Id="rId3362" Type="http://schemas.openxmlformats.org/officeDocument/2006/relationships/hyperlink" Target="http://newspaper.hamshahri.org/" TargetMode="External"/><Relationship Id="rId283" Type="http://schemas.openxmlformats.org/officeDocument/2006/relationships/hyperlink" Target="https://pbs.twimg.com/media/DmUE-zsU4AAxclP.jpg" TargetMode="External"/><Relationship Id="rId490" Type="http://schemas.openxmlformats.org/officeDocument/2006/relationships/hyperlink" Target="http://smbhosseini.ir/" TargetMode="External"/><Relationship Id="rId2171" Type="http://schemas.openxmlformats.org/officeDocument/2006/relationships/hyperlink" Target="https://pbs.twimg.com/media/Dl1ig4dWwAAmGbt.jpg" TargetMode="External"/><Relationship Id="rId3015" Type="http://schemas.openxmlformats.org/officeDocument/2006/relationships/hyperlink" Target="http://www.acs.ir/" TargetMode="External"/><Relationship Id="rId3222" Type="http://schemas.openxmlformats.org/officeDocument/2006/relationships/hyperlink" Target="https://pbs.twimg.com/media/Dlsi4KrWwAAjwVN.jpg" TargetMode="External"/><Relationship Id="rId143" Type="http://schemas.openxmlformats.org/officeDocument/2006/relationships/hyperlink" Target="http://t.me/hicch" TargetMode="External"/><Relationship Id="rId350" Type="http://schemas.openxmlformats.org/officeDocument/2006/relationships/hyperlink" Target="http://wp.me/16Gro" TargetMode="External"/><Relationship Id="rId588" Type="http://schemas.openxmlformats.org/officeDocument/2006/relationships/hyperlink" Target="https://twitter.com/P_Salahshouri/status/1036873560936079360" TargetMode="External"/><Relationship Id="rId795" Type="http://schemas.openxmlformats.org/officeDocument/2006/relationships/hyperlink" Target="http://pic.twitter.com/SPXAcTOwNl" TargetMode="External"/><Relationship Id="rId2031" Type="http://schemas.openxmlformats.org/officeDocument/2006/relationships/hyperlink" Target="http://pic.twitter.com/P4F6neN5K1" TargetMode="External"/><Relationship Id="rId2269" Type="http://schemas.openxmlformats.org/officeDocument/2006/relationships/hyperlink" Target="https://twitter.com/aliakrami6/status/1034788813837463552" TargetMode="External"/><Relationship Id="rId2476" Type="http://schemas.openxmlformats.org/officeDocument/2006/relationships/hyperlink" Target="https://pbs.twimg.com/media/DlxG6hNXoAEWR4G.jpg" TargetMode="External"/><Relationship Id="rId2683" Type="http://schemas.openxmlformats.org/officeDocument/2006/relationships/hyperlink" Target="http://tn.ai/1815294" TargetMode="External"/><Relationship Id="rId2890" Type="http://schemas.openxmlformats.org/officeDocument/2006/relationships/hyperlink" Target="https://twitter.com/mostafatajzade/status/1034333041232105472" TargetMode="External"/><Relationship Id="rId3527" Type="http://schemas.openxmlformats.org/officeDocument/2006/relationships/hyperlink" Target="http://www.iranvajahan.blogfa.com/" TargetMode="External"/><Relationship Id="rId9" Type="http://schemas.openxmlformats.org/officeDocument/2006/relationships/hyperlink" Target="https://t.me/theaterasbevahshi" TargetMode="External"/><Relationship Id="rId210" Type="http://schemas.openxmlformats.org/officeDocument/2006/relationships/hyperlink" Target="https://sharghdaily.ir/" TargetMode="External"/><Relationship Id="rId448" Type="http://schemas.openxmlformats.org/officeDocument/2006/relationships/hyperlink" Target="https://pbs.twimg.com/media/DmRsn91XcAAV3_j.jpg" TargetMode="External"/><Relationship Id="rId655" Type="http://schemas.openxmlformats.org/officeDocument/2006/relationships/hyperlink" Target="https://twitter.com/naeeme59/status/1036645431143481344" TargetMode="External"/><Relationship Id="rId862" Type="http://schemas.openxmlformats.org/officeDocument/2006/relationships/hyperlink" Target="https://pbs.twimg.com/media/DmOt7VeUwAEUYWX.jpg" TargetMode="External"/><Relationship Id="rId1078" Type="http://schemas.openxmlformats.org/officeDocument/2006/relationships/hyperlink" Target="https://hra-news.org/" TargetMode="External"/><Relationship Id="rId1285" Type="http://schemas.openxmlformats.org/officeDocument/2006/relationships/hyperlink" Target="https://pbs.twimg.com/media/DmHGkCJXsAI3QMd.jpg" TargetMode="External"/><Relationship Id="rId1492" Type="http://schemas.openxmlformats.org/officeDocument/2006/relationships/hyperlink" Target="http://tasnimnews.com/" TargetMode="External"/><Relationship Id="rId2129" Type="http://schemas.openxmlformats.org/officeDocument/2006/relationships/hyperlink" Target="https://youtu.be/_Gjr-6fxVhs?t=8m18s" TargetMode="External"/><Relationship Id="rId2336" Type="http://schemas.openxmlformats.org/officeDocument/2006/relationships/hyperlink" Target="https://sharif.edu/" TargetMode="External"/><Relationship Id="rId2543" Type="http://schemas.openxmlformats.org/officeDocument/2006/relationships/hyperlink" Target="http://instagram.com/maed.amini" TargetMode="External"/><Relationship Id="rId2750" Type="http://schemas.openxmlformats.org/officeDocument/2006/relationships/hyperlink" Target="http://tn.ai/1815094" TargetMode="External"/><Relationship Id="rId2988" Type="http://schemas.openxmlformats.org/officeDocument/2006/relationships/hyperlink" Target="https://pbs.twimg.com/media/DltraowW0AM5WuR.jpg" TargetMode="External"/><Relationship Id="rId308" Type="http://schemas.openxmlformats.org/officeDocument/2006/relationships/hyperlink" Target="https://pbs.twimg.com/media/DmT67lwWwAAWXMQ.jpg" TargetMode="External"/><Relationship Id="rId515" Type="http://schemas.openxmlformats.org/officeDocument/2006/relationships/hyperlink" Target="https://twitter.com/P_Salahshouri/status/1036873560936079360" TargetMode="External"/><Relationship Id="rId722" Type="http://schemas.openxmlformats.org/officeDocument/2006/relationships/hyperlink" Target="http://instagram.com/soheil.rfe" TargetMode="External"/><Relationship Id="rId1145" Type="http://schemas.openxmlformats.org/officeDocument/2006/relationships/hyperlink" Target="http://www.iranntv.com/" TargetMode="External"/><Relationship Id="rId1352" Type="http://schemas.openxmlformats.org/officeDocument/2006/relationships/hyperlink" Target="http://www.khabarfoori.com/" TargetMode="External"/><Relationship Id="rId1797" Type="http://schemas.openxmlformats.org/officeDocument/2006/relationships/hyperlink" Target="https://pbs.twimg.com/media/Dl-xB_6W0AAF_U3.jpg" TargetMode="External"/><Relationship Id="rId2403" Type="http://schemas.openxmlformats.org/officeDocument/2006/relationships/hyperlink" Target="http://pic.twitter.com/FWICePcFmg" TargetMode="External"/><Relationship Id="rId2848" Type="http://schemas.openxmlformats.org/officeDocument/2006/relationships/hyperlink" Target="https://twitter.com/padash_mr/status/1034663183817031680" TargetMode="External"/><Relationship Id="rId89" Type="http://schemas.openxmlformats.org/officeDocument/2006/relationships/hyperlink" Target="http://instagram.com/gharibi137784" TargetMode="External"/><Relationship Id="rId1005" Type="http://schemas.openxmlformats.org/officeDocument/2006/relationships/hyperlink" Target="http://www.vetpars.com/" TargetMode="External"/><Relationship Id="rId1212" Type="http://schemas.openxmlformats.org/officeDocument/2006/relationships/hyperlink" Target="http://www.tasnimnews.com/" TargetMode="External"/><Relationship Id="rId1657" Type="http://schemas.openxmlformats.org/officeDocument/2006/relationships/hyperlink" Target="https://pbs.twimg.com/media/DmAt9cAVAAAPmFH.jpg" TargetMode="External"/><Relationship Id="rId1864" Type="http://schemas.openxmlformats.org/officeDocument/2006/relationships/hyperlink" Target="https://pbs.twimg.com/media/Dl8igD4V4AAcK0o.jpg" TargetMode="External"/><Relationship Id="rId2610" Type="http://schemas.openxmlformats.org/officeDocument/2006/relationships/hyperlink" Target="https://pbs.twimg.com/media/DlwW5EYUcAAy9kx.jpg" TargetMode="External"/><Relationship Id="rId2708" Type="http://schemas.openxmlformats.org/officeDocument/2006/relationships/hyperlink" Target="http://www.khabarfoori.com/" TargetMode="External"/><Relationship Id="rId2915" Type="http://schemas.openxmlformats.org/officeDocument/2006/relationships/hyperlink" Target="http://pic.twitter.com/gajBFBz5YF" TargetMode="External"/><Relationship Id="rId1517" Type="http://schemas.openxmlformats.org/officeDocument/2006/relationships/hyperlink" Target="https://pbs.twimg.com/media/DmEqJdEW0AElC4D.jpg" TargetMode="External"/><Relationship Id="rId1724" Type="http://schemas.openxmlformats.org/officeDocument/2006/relationships/hyperlink" Target="https://pbs.twimg.com/media/Dl_vj93W0AAcmnF.jpg" TargetMode="External"/><Relationship Id="rId3177" Type="http://schemas.openxmlformats.org/officeDocument/2006/relationships/hyperlink" Target="http://telegram.me/rezanasrichannel" TargetMode="External"/><Relationship Id="rId16" Type="http://schemas.openxmlformats.org/officeDocument/2006/relationships/hyperlink" Target="http://cyberwarzone.com/" TargetMode="External"/><Relationship Id="rId1931" Type="http://schemas.openxmlformats.org/officeDocument/2006/relationships/hyperlink" Target="https://pbs.twimg.com/media/Dl7Q0llW0AApw_L.jpg" TargetMode="External"/><Relationship Id="rId3037" Type="http://schemas.openxmlformats.org/officeDocument/2006/relationships/hyperlink" Target="https://pbs.twimg.com/media/DltajMkXsAAJ12H.jpg" TargetMode="External"/><Relationship Id="rId3384" Type="http://schemas.openxmlformats.org/officeDocument/2006/relationships/hyperlink" Target="http://t.me/pastonews" TargetMode="External"/><Relationship Id="rId3591" Type="http://schemas.openxmlformats.org/officeDocument/2006/relationships/hyperlink" Target="http://www.ibena.ir/" TargetMode="External"/><Relationship Id="rId2193" Type="http://schemas.openxmlformats.org/officeDocument/2006/relationships/hyperlink" Target="https://twitter.com/yaghma_fashkham/status/1034777875617120257" TargetMode="External"/><Relationship Id="rId2498" Type="http://schemas.openxmlformats.org/officeDocument/2006/relationships/hyperlink" Target="https://pbs.twimg.com/media/Dlw-J5DXoAAXmic.jpg" TargetMode="External"/><Relationship Id="rId3244" Type="http://schemas.openxmlformats.org/officeDocument/2006/relationships/hyperlink" Target="http://google.com/" TargetMode="External"/><Relationship Id="rId3451" Type="http://schemas.openxmlformats.org/officeDocument/2006/relationships/hyperlink" Target="https://twitter.com/JmonitorT/status/1034380626990788608" TargetMode="External"/><Relationship Id="rId3549" Type="http://schemas.openxmlformats.org/officeDocument/2006/relationships/hyperlink" Target="https://twitter.com/shafaeieisa/status/1034357910544044033" TargetMode="External"/><Relationship Id="rId165" Type="http://schemas.openxmlformats.org/officeDocument/2006/relationships/hyperlink" Target="https://pbs.twimg.com/media/DmUouEgXsAAKHlP.jpg" TargetMode="External"/><Relationship Id="rId372" Type="http://schemas.openxmlformats.org/officeDocument/2006/relationships/hyperlink" Target="http://jjo.ir/caypixuy" TargetMode="External"/><Relationship Id="rId677" Type="http://schemas.openxmlformats.org/officeDocument/2006/relationships/hyperlink" Target="https://pbs.twimg.com/media/DmQA3ntU0AIA1w2.jpg" TargetMode="External"/><Relationship Id="rId2053" Type="http://schemas.openxmlformats.org/officeDocument/2006/relationships/hyperlink" Target="https://pbs.twimg.com/media/Dl3kMEwX0AA4NGL.jpg" TargetMode="External"/><Relationship Id="rId2260" Type="http://schemas.openxmlformats.org/officeDocument/2006/relationships/hyperlink" Target="http://instagram.com/jonbesh_sabz_88" TargetMode="External"/><Relationship Id="rId2358" Type="http://schemas.openxmlformats.org/officeDocument/2006/relationships/hyperlink" Target="https://pbs.twimg.com/media/DlyNxn6X4AYH6zM.jpg" TargetMode="External"/><Relationship Id="rId3104" Type="http://schemas.openxmlformats.org/officeDocument/2006/relationships/hyperlink" Target="https://twitter.com/mah_sadeghi/status/1034502042897842177" TargetMode="External"/><Relationship Id="rId3311" Type="http://schemas.openxmlformats.org/officeDocument/2006/relationships/hyperlink" Target="https://pbs.twimg.com/media/DlsKZSPU0AEJU8b.jpg" TargetMode="External"/><Relationship Id="rId232" Type="http://schemas.openxmlformats.org/officeDocument/2006/relationships/hyperlink" Target="http://fb.com/Freedom.Messenger" TargetMode="External"/><Relationship Id="rId884" Type="http://schemas.openxmlformats.org/officeDocument/2006/relationships/hyperlink" Target="https://www.ilna.ir/fa/tiny/news-663851" TargetMode="External"/><Relationship Id="rId2120" Type="http://schemas.openxmlformats.org/officeDocument/2006/relationships/hyperlink" Target="http://radiozamaneh.com/" TargetMode="External"/><Relationship Id="rId2565" Type="http://schemas.openxmlformats.org/officeDocument/2006/relationships/hyperlink" Target="http://jebal.mihanblog.com/" TargetMode="External"/><Relationship Id="rId2772" Type="http://schemas.openxmlformats.org/officeDocument/2006/relationships/hyperlink" Target="http://www.tasnimnews.com/" TargetMode="External"/><Relationship Id="rId3409" Type="http://schemas.openxmlformats.org/officeDocument/2006/relationships/hyperlink" Target="http://paper.li/MelissaCremon/1483087707" TargetMode="External"/><Relationship Id="rId3616" Type="http://schemas.openxmlformats.org/officeDocument/2006/relationships/hyperlink" Target="http://pic.twitter.com/qa3k1kHVXz" TargetMode="External"/><Relationship Id="rId537" Type="http://schemas.openxmlformats.org/officeDocument/2006/relationships/hyperlink" Target="https://pbs.twimg.com/media/DmRCUBAXsAApHyM.jpg" TargetMode="External"/><Relationship Id="rId744" Type="http://schemas.openxmlformats.org/officeDocument/2006/relationships/hyperlink" Target="http://www.iranintl.com/" TargetMode="External"/><Relationship Id="rId951" Type="http://schemas.openxmlformats.org/officeDocument/2006/relationships/hyperlink" Target="http://mohammad.gh/" TargetMode="External"/><Relationship Id="rId1167" Type="http://schemas.openxmlformats.org/officeDocument/2006/relationships/hyperlink" Target="http://rashidvalid2015.blogspot.co.uk/" TargetMode="External"/><Relationship Id="rId1374" Type="http://schemas.openxmlformats.org/officeDocument/2006/relationships/hyperlink" Target="https://pbs.twimg.com/media/DmGCu29WsAEOwpM.jpg" TargetMode="External"/><Relationship Id="rId1581" Type="http://schemas.openxmlformats.org/officeDocument/2006/relationships/hyperlink" Target="https://pbs.twimg.com/media/DmCS8VKX0AAJo5F.jpg" TargetMode="External"/><Relationship Id="rId1679" Type="http://schemas.openxmlformats.org/officeDocument/2006/relationships/hyperlink" Target="http://pic.twitter.com/78tEkBP0xN" TargetMode="External"/><Relationship Id="rId2218" Type="http://schemas.openxmlformats.org/officeDocument/2006/relationships/hyperlink" Target="https://www.facebook.com/DastNeveshte.Hamid.Taheri" TargetMode="External"/><Relationship Id="rId2425" Type="http://schemas.openxmlformats.org/officeDocument/2006/relationships/hyperlink" Target="http://reza.em/" TargetMode="External"/><Relationship Id="rId2632" Type="http://schemas.openxmlformats.org/officeDocument/2006/relationships/hyperlink" Target="https://www.instagram.com/vakilulroaya" TargetMode="External"/><Relationship Id="rId80" Type="http://schemas.openxmlformats.org/officeDocument/2006/relationships/hyperlink" Target="http://www.khabarfoori.com/" TargetMode="External"/><Relationship Id="rId604" Type="http://schemas.openxmlformats.org/officeDocument/2006/relationships/hyperlink" Target="https://pbs.twimg.com/media/DmQUjPUW0AA8wDN.jpg" TargetMode="External"/><Relationship Id="rId811" Type="http://schemas.openxmlformats.org/officeDocument/2006/relationships/hyperlink" Target="https://twitter.com/hesamodin1/status/1036621703001133056" TargetMode="External"/><Relationship Id="rId1027" Type="http://schemas.openxmlformats.org/officeDocument/2006/relationships/hyperlink" Target="https://pbs.twimg.com/media/DmLeKZeX4AAnVAB.jpg" TargetMode="External"/><Relationship Id="rId1234" Type="http://schemas.openxmlformats.org/officeDocument/2006/relationships/hyperlink" Target="https://pbs.twimg.com/media/DmJAZ67XsAA9Oq4.jpg" TargetMode="External"/><Relationship Id="rId1441" Type="http://schemas.openxmlformats.org/officeDocument/2006/relationships/hyperlink" Target="https://pbs.twimg.com/media/DmExRhwXgAAIjcm.jpg" TargetMode="External"/><Relationship Id="rId1886" Type="http://schemas.openxmlformats.org/officeDocument/2006/relationships/hyperlink" Target="http://pic.twitter.com/QbAnhnYByJ" TargetMode="External"/><Relationship Id="rId2937" Type="http://schemas.openxmlformats.org/officeDocument/2006/relationships/hyperlink" Target="https://bestfarsi.com/" TargetMode="External"/><Relationship Id="rId909" Type="http://schemas.openxmlformats.org/officeDocument/2006/relationships/hyperlink" Target="http://icana.ir/" TargetMode="External"/><Relationship Id="rId1301" Type="http://schemas.openxmlformats.org/officeDocument/2006/relationships/hyperlink" Target="https://pbs.twimg.com/media/DmG-InmXsAEGgad.jpg" TargetMode="External"/><Relationship Id="rId1539" Type="http://schemas.openxmlformats.org/officeDocument/2006/relationships/hyperlink" Target="https://rouhanimeter.com/2018/07/annual-report-2018/" TargetMode="External"/><Relationship Id="rId1746" Type="http://schemas.openxmlformats.org/officeDocument/2006/relationships/hyperlink" Target="https://ir.linkedin.com/in/meisam-rajabi-8242ba53" TargetMode="External"/><Relationship Id="rId1953" Type="http://schemas.openxmlformats.org/officeDocument/2006/relationships/hyperlink" Target="https://pbs.twimg.com/media/Dl6vlg4W4AAF9UX.jpg" TargetMode="External"/><Relationship Id="rId3199" Type="http://schemas.openxmlformats.org/officeDocument/2006/relationships/hyperlink" Target="https://t.me/soheilgoran1" TargetMode="External"/><Relationship Id="rId38" Type="http://schemas.openxmlformats.org/officeDocument/2006/relationships/hyperlink" Target="https://www.ilna.ir/fa/tiny/news-665370" TargetMode="External"/><Relationship Id="rId1606" Type="http://schemas.openxmlformats.org/officeDocument/2006/relationships/hyperlink" Target="http://pahlevanihamed.tumblr.com/" TargetMode="External"/><Relationship Id="rId1813" Type="http://schemas.openxmlformats.org/officeDocument/2006/relationships/hyperlink" Target="https://pbs.twimg.com/media/Dl8-RFEXsAAvXMa.jpg" TargetMode="External"/><Relationship Id="rId3059" Type="http://schemas.openxmlformats.org/officeDocument/2006/relationships/hyperlink" Target="https://pbs.twimg.com/media/DltTSYnXoAAot9k.jpg" TargetMode="External"/><Relationship Id="rId3266" Type="http://schemas.openxmlformats.org/officeDocument/2006/relationships/hyperlink" Target="https://twitter.com/mostafatajzade/status/1034333041232105472" TargetMode="External"/><Relationship Id="rId3473" Type="http://schemas.openxmlformats.org/officeDocument/2006/relationships/hyperlink" Target="http://daarvh.blogfa.com/" TargetMode="External"/><Relationship Id="rId187" Type="http://schemas.openxmlformats.org/officeDocument/2006/relationships/hyperlink" Target="https://pbs.twimg.com/media/DmUfEsgW4AAGjfl.jpg" TargetMode="External"/><Relationship Id="rId394" Type="http://schemas.openxmlformats.org/officeDocument/2006/relationships/hyperlink" Target="http://ageofinheritors.com/" TargetMode="External"/><Relationship Id="rId2075" Type="http://schemas.openxmlformats.org/officeDocument/2006/relationships/hyperlink" Target="http://www.al-monitor.com/pulse/authors/saeid-jafari.html" TargetMode="External"/><Relationship Id="rId2282" Type="http://schemas.openxmlformats.org/officeDocument/2006/relationships/hyperlink" Target="https://pbs.twimg.com/media/DlywfNNWwAEsufu.jpg" TargetMode="External"/><Relationship Id="rId3126" Type="http://schemas.openxmlformats.org/officeDocument/2006/relationships/hyperlink" Target="https://pbs.twimg.com/media/DltEfCzWsAAqIHl.jpg" TargetMode="External"/><Relationship Id="rId254" Type="http://schemas.openxmlformats.org/officeDocument/2006/relationships/hyperlink" Target="https://www.sazinco.ir/" TargetMode="External"/><Relationship Id="rId699" Type="http://schemas.openxmlformats.org/officeDocument/2006/relationships/hyperlink" Target="https://pbs.twimg.com/media/DmP2MbXWwAAb6c4.jpg" TargetMode="External"/><Relationship Id="rId1091" Type="http://schemas.openxmlformats.org/officeDocument/2006/relationships/hyperlink" Target="http://pic.twitter.com/bWoVWW9ydR" TargetMode="External"/><Relationship Id="rId2587" Type="http://schemas.openxmlformats.org/officeDocument/2006/relationships/hyperlink" Target="https://t.me/PastoNews" TargetMode="External"/><Relationship Id="rId2794" Type="http://schemas.openxmlformats.org/officeDocument/2006/relationships/hyperlink" Target="https://pbs.twimg.com/media/DlvwFLCWsAAKBhQ.jpg" TargetMode="External"/><Relationship Id="rId3333" Type="http://schemas.openxmlformats.org/officeDocument/2006/relationships/hyperlink" Target="https://pbs.twimg.com/media/DlsA58bX0AAZ1QZ.jpg" TargetMode="External"/><Relationship Id="rId3540" Type="http://schemas.openxmlformats.org/officeDocument/2006/relationships/hyperlink" Target="http://tn.ai/1814347" TargetMode="External"/><Relationship Id="rId3638" Type="http://schemas.openxmlformats.org/officeDocument/2006/relationships/hyperlink" Target="http://instagram.com/m.khojasteh75" TargetMode="External"/><Relationship Id="rId114" Type="http://schemas.openxmlformats.org/officeDocument/2006/relationships/hyperlink" Target="https://www.roozportal.com/" TargetMode="External"/><Relationship Id="rId461" Type="http://schemas.openxmlformats.org/officeDocument/2006/relationships/hyperlink" Target="http://www.11news.ir/" TargetMode="External"/><Relationship Id="rId559" Type="http://schemas.openxmlformats.org/officeDocument/2006/relationships/hyperlink" Target="https://twitter.com/ehsan_cheraghi/status/1036930544498561024" TargetMode="External"/><Relationship Id="rId766" Type="http://schemas.openxmlformats.org/officeDocument/2006/relationships/hyperlink" Target="https://twitter.com/A_poormasood/status/1036715027141742594" TargetMode="External"/><Relationship Id="rId1189" Type="http://schemas.openxmlformats.org/officeDocument/2006/relationships/hyperlink" Target="https://pbs.twimg.com/media/DmJ8RbDX4AEy1bt.jpg" TargetMode="External"/><Relationship Id="rId1396" Type="http://schemas.openxmlformats.org/officeDocument/2006/relationships/hyperlink" Target="http://tlgrm.me/fasle_vasl" TargetMode="External"/><Relationship Id="rId2142" Type="http://schemas.openxmlformats.org/officeDocument/2006/relationships/hyperlink" Target="http://pic.twitter.com/cgsK9BmxJx" TargetMode="External"/><Relationship Id="rId2447" Type="http://schemas.openxmlformats.org/officeDocument/2006/relationships/hyperlink" Target="http://plus.google.com/+fatemehdanaei" TargetMode="External"/><Relationship Id="rId3400" Type="http://schemas.openxmlformats.org/officeDocument/2006/relationships/hyperlink" Target="http://madarshahian.com/" TargetMode="External"/><Relationship Id="rId321" Type="http://schemas.openxmlformats.org/officeDocument/2006/relationships/hyperlink" Target="http://google.com/" TargetMode="External"/><Relationship Id="rId419" Type="http://schemas.openxmlformats.org/officeDocument/2006/relationships/hyperlink" Target="https://twitter.com/ZiaNabavi1/status/1036951739642073089" TargetMode="External"/><Relationship Id="rId626" Type="http://schemas.openxmlformats.org/officeDocument/2006/relationships/hyperlink" Target="http://instagram.com/hasan_alinezhaad" TargetMode="External"/><Relationship Id="rId973" Type="http://schemas.openxmlformats.org/officeDocument/2006/relationships/hyperlink" Target="https://aminsabeti.net/" TargetMode="External"/><Relationship Id="rId1049" Type="http://schemas.openxmlformats.org/officeDocument/2006/relationships/hyperlink" Target="http://newspaper.hamshahri.org/" TargetMode="External"/><Relationship Id="rId1256" Type="http://schemas.openxmlformats.org/officeDocument/2006/relationships/hyperlink" Target="https://pbs.twimg.com/media/DmHY8NKWwAAc_yp.jpg" TargetMode="External"/><Relationship Id="rId2002" Type="http://schemas.openxmlformats.org/officeDocument/2006/relationships/hyperlink" Target="https://twitter.com/alhosseini/status/1034377650301820929" TargetMode="External"/><Relationship Id="rId2307" Type="http://schemas.openxmlformats.org/officeDocument/2006/relationships/hyperlink" Target="https://pbs.twimg.com/media/DlxBp5fXgAECp2t.jpg" TargetMode="External"/><Relationship Id="rId2654" Type="http://schemas.openxmlformats.org/officeDocument/2006/relationships/hyperlink" Target="https://pbs.twimg.com/media/DlwORt0X4AAMxpf.jpg" TargetMode="External"/><Relationship Id="rId2861" Type="http://schemas.openxmlformats.org/officeDocument/2006/relationships/hyperlink" Target="http://www.yjc.ir/" TargetMode="External"/><Relationship Id="rId2959" Type="http://schemas.openxmlformats.org/officeDocument/2006/relationships/hyperlink" Target="https://pbs.twimg.com/media/Dlt14dtVsAAm_Nh.jpg" TargetMode="External"/><Relationship Id="rId833" Type="http://schemas.openxmlformats.org/officeDocument/2006/relationships/hyperlink" Target="https://www.isna.ir/news/97061306392/" TargetMode="External"/><Relationship Id="rId1116" Type="http://schemas.openxmlformats.org/officeDocument/2006/relationships/hyperlink" Target="https://pbs.twimg.com/media/DmKu9dHWsAA28dd.jpg" TargetMode="External"/><Relationship Id="rId1463" Type="http://schemas.openxmlformats.org/officeDocument/2006/relationships/hyperlink" Target="https://pbs.twimg.com/media/DmFEX4uW4AASeEx.jpg" TargetMode="External"/><Relationship Id="rId1670" Type="http://schemas.openxmlformats.org/officeDocument/2006/relationships/hyperlink" Target="http://cyberwarzone.com/" TargetMode="External"/><Relationship Id="rId1768" Type="http://schemas.openxmlformats.org/officeDocument/2006/relationships/hyperlink" Target="http://eliyaomid.ir/" TargetMode="External"/><Relationship Id="rId2514" Type="http://schemas.openxmlformats.org/officeDocument/2006/relationships/hyperlink" Target="http://entekhab.ir/" TargetMode="External"/><Relationship Id="rId2721" Type="http://schemas.openxmlformats.org/officeDocument/2006/relationships/hyperlink" Target="http://t.me/PmUnkwonBot?start=i_JNZNZ6" TargetMode="External"/><Relationship Id="rId2819" Type="http://schemas.openxmlformats.org/officeDocument/2006/relationships/hyperlink" Target="http://rbi313.blogfa.ir/" TargetMode="External"/><Relationship Id="rId900" Type="http://schemas.openxmlformats.org/officeDocument/2006/relationships/hyperlink" Target="https://pbs.twimg.com/media/DmOQtANUcAAhqQY.jpg" TargetMode="External"/><Relationship Id="rId1323" Type="http://schemas.openxmlformats.org/officeDocument/2006/relationships/hyperlink" Target="https://pbs.twimg.com/media/DmGtNRYUwAExypT.jpg" TargetMode="External"/><Relationship Id="rId1530" Type="http://schemas.openxmlformats.org/officeDocument/2006/relationships/hyperlink" Target="http://www.trtpersian.com/" TargetMode="External"/><Relationship Id="rId1628" Type="http://schemas.openxmlformats.org/officeDocument/2006/relationships/hyperlink" Target="http://www.baraabari.com/" TargetMode="External"/><Relationship Id="rId1975" Type="http://schemas.openxmlformats.org/officeDocument/2006/relationships/hyperlink" Target="https://pbs.twimg.com/media/Dl6XOLRXgAAjX4a.jpg" TargetMode="External"/><Relationship Id="rId3190" Type="http://schemas.openxmlformats.org/officeDocument/2006/relationships/hyperlink" Target="https://telegram.me/HarfBeManBot?start=MjczNjIwMzU" TargetMode="External"/><Relationship Id="rId1835" Type="http://schemas.openxmlformats.org/officeDocument/2006/relationships/hyperlink" Target="https://pbs.twimg.com/media/Dl9IsmaX0AENXRG.jpg" TargetMode="External"/><Relationship Id="rId3050" Type="http://schemas.openxmlformats.org/officeDocument/2006/relationships/hyperlink" Target="https://pbs.twimg.com/media/DltZRTNX4AE7NmB.jpg" TargetMode="External"/><Relationship Id="rId3288" Type="http://schemas.openxmlformats.org/officeDocument/2006/relationships/hyperlink" Target="https://pbs.twimg.com/media/DlXjdhtW0AA5BRf.jpg" TargetMode="External"/><Relationship Id="rId3495" Type="http://schemas.openxmlformats.org/officeDocument/2006/relationships/hyperlink" Target="http://pic.twitter.com/EQzrOYSNuw" TargetMode="External"/><Relationship Id="rId1902" Type="http://schemas.openxmlformats.org/officeDocument/2006/relationships/hyperlink" Target="https://www.facebook.com/pakeshadi/videos/526722007798549/" TargetMode="External"/><Relationship Id="rId2097" Type="http://schemas.openxmlformats.org/officeDocument/2006/relationships/hyperlink" Target="https://pbs.twimg.com/media/Dl24EZ4X4AAGgoI.jpg" TargetMode="External"/><Relationship Id="rId3148" Type="http://schemas.openxmlformats.org/officeDocument/2006/relationships/hyperlink" Target="https://pbs.twimg.com/media/DltAPTUWsAAOYJm.jpg" TargetMode="External"/><Relationship Id="rId3355" Type="http://schemas.openxmlformats.org/officeDocument/2006/relationships/hyperlink" Target="http://www.pogity.com/" TargetMode="External"/><Relationship Id="rId3562" Type="http://schemas.openxmlformats.org/officeDocument/2006/relationships/hyperlink" Target="http://www.elahian.com/" TargetMode="External"/><Relationship Id="rId276" Type="http://schemas.openxmlformats.org/officeDocument/2006/relationships/hyperlink" Target="http://alsefi.blogfa.com/" TargetMode="External"/><Relationship Id="rId483" Type="http://schemas.openxmlformats.org/officeDocument/2006/relationships/hyperlink" Target="http://www.vatanemrooz.ir/" TargetMode="External"/><Relationship Id="rId690" Type="http://schemas.openxmlformats.org/officeDocument/2006/relationships/hyperlink" Target="http://fa.euronews.com/amp/2018/09/03/journalist-and-economic-expert-saeed-leilaz-talks-iran-economy-in-exclusive-interview" TargetMode="External"/><Relationship Id="rId2164" Type="http://schemas.openxmlformats.org/officeDocument/2006/relationships/hyperlink" Target="https://pbs.twimg.com/media/Dl1tKTnX4AEKyuO.jpg" TargetMode="External"/><Relationship Id="rId2371" Type="http://schemas.openxmlformats.org/officeDocument/2006/relationships/hyperlink" Target="https://twitter.com/aliakrami6/status/1034788813837463552" TargetMode="External"/><Relationship Id="rId3008" Type="http://schemas.openxmlformats.org/officeDocument/2006/relationships/hyperlink" Target="https://twitter.com/damoon_k/status/1034317627479531520" TargetMode="External"/><Relationship Id="rId3215" Type="http://schemas.openxmlformats.org/officeDocument/2006/relationships/hyperlink" Target="https://pbs.twimg.com/media/DlslL_oU4AItd-m.jpg" TargetMode="External"/><Relationship Id="rId3422" Type="http://schemas.openxmlformats.org/officeDocument/2006/relationships/hyperlink" Target="http://iranrenter.com/" TargetMode="External"/><Relationship Id="rId136" Type="http://schemas.openxmlformats.org/officeDocument/2006/relationships/hyperlink" Target="https://www.chess.com/members/view/arfsh83" TargetMode="External"/><Relationship Id="rId343" Type="http://schemas.openxmlformats.org/officeDocument/2006/relationships/hyperlink" Target="https://pbs.twimg.com/media/DmTvUxNXsAABLa1.jpg" TargetMode="External"/><Relationship Id="rId550" Type="http://schemas.openxmlformats.org/officeDocument/2006/relationships/hyperlink" Target="https://pbs.twimg.com/media/DmQ5oQNU8AIqjAN.jpg" TargetMode="External"/><Relationship Id="rId788" Type="http://schemas.openxmlformats.org/officeDocument/2006/relationships/hyperlink" Target="http://pic.twitter.com/tCNc3Royh7" TargetMode="External"/><Relationship Id="rId995" Type="http://schemas.openxmlformats.org/officeDocument/2006/relationships/hyperlink" Target="http://cyberwarzone.com/" TargetMode="External"/><Relationship Id="rId1180" Type="http://schemas.openxmlformats.org/officeDocument/2006/relationships/hyperlink" Target="http://bit.ly/2MKBYdK" TargetMode="External"/><Relationship Id="rId2024" Type="http://schemas.openxmlformats.org/officeDocument/2006/relationships/hyperlink" Target="http://t.me/pastonews" TargetMode="External"/><Relationship Id="rId2231" Type="http://schemas.openxmlformats.org/officeDocument/2006/relationships/hyperlink" Target="https://pbs.twimg.com/media/DltaVwUW0AAwGVq.jpg" TargetMode="External"/><Relationship Id="rId2469" Type="http://schemas.openxmlformats.org/officeDocument/2006/relationships/hyperlink" Target="https://pbs.twimg.com/media/DlxIvaCVAAAnRh6.jpg" TargetMode="External"/><Relationship Id="rId2676" Type="http://schemas.openxmlformats.org/officeDocument/2006/relationships/hyperlink" Target="http://afkarnews.ir/" TargetMode="External"/><Relationship Id="rId2883" Type="http://schemas.openxmlformats.org/officeDocument/2006/relationships/hyperlink" Target="https://pbs.twimg.com/media/DlvL2CGX0AARpEJ.jpg" TargetMode="External"/><Relationship Id="rId203" Type="http://schemas.openxmlformats.org/officeDocument/2006/relationships/hyperlink" Target="http://kazemalireza.com/" TargetMode="External"/><Relationship Id="rId648" Type="http://schemas.openxmlformats.org/officeDocument/2006/relationships/hyperlink" Target="http://farahan.blogsky.com/" TargetMode="External"/><Relationship Id="rId855" Type="http://schemas.openxmlformats.org/officeDocument/2006/relationships/hyperlink" Target="https://twitter.com/avant_tv" TargetMode="External"/><Relationship Id="rId1040" Type="http://schemas.openxmlformats.org/officeDocument/2006/relationships/hyperlink" Target="https://pbs.twimg.com/media/DmK48gjWsAAM9xy.jpg" TargetMode="External"/><Relationship Id="rId1278" Type="http://schemas.openxmlformats.org/officeDocument/2006/relationships/hyperlink" Target="https://pbs.twimg.com/media/DmHIpstW0AA0Ish.jpg" TargetMode="External"/><Relationship Id="rId1485" Type="http://schemas.openxmlformats.org/officeDocument/2006/relationships/hyperlink" Target="http://instagram.com/javad_izadi" TargetMode="External"/><Relationship Id="rId1692" Type="http://schemas.openxmlformats.org/officeDocument/2006/relationships/hyperlink" Target="https://pbs.twimg.com/media/DmALGQDWsAAKLH0.jpg" TargetMode="External"/><Relationship Id="rId2329" Type="http://schemas.openxmlformats.org/officeDocument/2006/relationships/hyperlink" Target="https://twitter.com/irna_1313/status/1034799517332332546" TargetMode="External"/><Relationship Id="rId2536" Type="http://schemas.openxmlformats.org/officeDocument/2006/relationships/hyperlink" Target="https://pbs.twimg.com/media/DlwuO_7XcAEzmnD.jpg" TargetMode="External"/><Relationship Id="rId2743" Type="http://schemas.openxmlformats.org/officeDocument/2006/relationships/hyperlink" Target="http://seyedezatollahrashmi.wordpress.com/" TargetMode="External"/><Relationship Id="rId410" Type="http://schemas.openxmlformats.org/officeDocument/2006/relationships/hyperlink" Target="https://pbs.twimg.com/media/DmSS40UW0AA_h9C.jpg" TargetMode="External"/><Relationship Id="rId508" Type="http://schemas.openxmlformats.org/officeDocument/2006/relationships/hyperlink" Target="https://pbs.twimg.com/media/DmRNeJQXoAEp52J.jpg" TargetMode="External"/><Relationship Id="rId715" Type="http://schemas.openxmlformats.org/officeDocument/2006/relationships/hyperlink" Target="http://pic.twitter.com/qY3DVnSP4j" TargetMode="External"/><Relationship Id="rId922" Type="http://schemas.openxmlformats.org/officeDocument/2006/relationships/hyperlink" Target="http://nazokbin.ir/" TargetMode="External"/><Relationship Id="rId1138" Type="http://schemas.openxmlformats.org/officeDocument/2006/relationships/hyperlink" Target="https://telegram.me/dar2delbot?start=send_b2NldA" TargetMode="External"/><Relationship Id="rId1345" Type="http://schemas.openxmlformats.org/officeDocument/2006/relationships/hyperlink" Target="https://pbs.twimg.com/media/DmGZyTKXoAAlxTr.jpg" TargetMode="External"/><Relationship Id="rId1552" Type="http://schemas.openxmlformats.org/officeDocument/2006/relationships/hyperlink" Target="http://boursenews.ir/" TargetMode="External"/><Relationship Id="rId1997" Type="http://schemas.openxmlformats.org/officeDocument/2006/relationships/hyperlink" Target="http://www.ilna.ir/" TargetMode="External"/><Relationship Id="rId2603" Type="http://schemas.openxmlformats.org/officeDocument/2006/relationships/hyperlink" Target="https://www.ilna.ir/fa/tiny/news-662402" TargetMode="External"/><Relationship Id="rId2950" Type="http://schemas.openxmlformats.org/officeDocument/2006/relationships/hyperlink" Target="http://goo.gl/5KtgUZ" TargetMode="External"/><Relationship Id="rId1205" Type="http://schemas.openxmlformats.org/officeDocument/2006/relationships/hyperlink" Target="http://pic.twitter.com/rdQZUHd2Ht" TargetMode="External"/><Relationship Id="rId1857" Type="http://schemas.openxmlformats.org/officeDocument/2006/relationships/hyperlink" Target="http://majlisnameh.com/" TargetMode="External"/><Relationship Id="rId2810" Type="http://schemas.openxmlformats.org/officeDocument/2006/relationships/hyperlink" Target="http://roshangari.ir/video/54732" TargetMode="External"/><Relationship Id="rId2908" Type="http://schemas.openxmlformats.org/officeDocument/2006/relationships/hyperlink" Target="https://instagram.com/dnl.96" TargetMode="External"/><Relationship Id="rId51" Type="http://schemas.openxmlformats.org/officeDocument/2006/relationships/hyperlink" Target="https://twitter.com/rezarashidpour/status/1037060149544972288" TargetMode="External"/><Relationship Id="rId1412" Type="http://schemas.openxmlformats.org/officeDocument/2006/relationships/hyperlink" Target="https://pbs.twimg.com/media/DmFejVeVAAAl7GI.jpg" TargetMode="External"/><Relationship Id="rId1717" Type="http://schemas.openxmlformats.org/officeDocument/2006/relationships/hyperlink" Target="https://pbs.twimg.com/media/Dl_xaESW4AAN1-j.jpg" TargetMode="External"/><Relationship Id="rId1924" Type="http://schemas.openxmlformats.org/officeDocument/2006/relationships/hyperlink" Target="http://pic.twitter.com/14M4Wrb5Nj" TargetMode="External"/><Relationship Id="rId3072" Type="http://schemas.openxmlformats.org/officeDocument/2006/relationships/hyperlink" Target="https://pbs.twimg.com/media/DltRVJhWwAA3Auq.jpg" TargetMode="External"/><Relationship Id="rId3377" Type="http://schemas.openxmlformats.org/officeDocument/2006/relationships/hyperlink" Target="http://t.me/joinchat/AAAAAEGgat6mmiJXlKYnLQ" TargetMode="External"/><Relationship Id="rId298" Type="http://schemas.openxmlformats.org/officeDocument/2006/relationships/hyperlink" Target="http://www.iranwire.com/" TargetMode="External"/><Relationship Id="rId3584" Type="http://schemas.openxmlformats.org/officeDocument/2006/relationships/hyperlink" Target="http://www.peshawa.org/" TargetMode="External"/><Relationship Id="rId158" Type="http://schemas.openxmlformats.org/officeDocument/2006/relationships/hyperlink" Target="https://twitter.com/tahlilgaran/status/1037254079599325184" TargetMode="External"/><Relationship Id="rId2186" Type="http://schemas.openxmlformats.org/officeDocument/2006/relationships/hyperlink" Target="https://pbs.twimg.com/media/Dl1LYVlXsAEsFWm.jpg" TargetMode="External"/><Relationship Id="rId2393" Type="http://schemas.openxmlformats.org/officeDocument/2006/relationships/hyperlink" Target="https://pbs.twimg.com/media/DlxxTfNXcAAG7z9.jpg" TargetMode="External"/><Relationship Id="rId2698" Type="http://schemas.openxmlformats.org/officeDocument/2006/relationships/hyperlink" Target="https://pbs.twimg.com/media/DlwDIq0X0AA6N9h.jpg" TargetMode="External"/><Relationship Id="rId3237" Type="http://schemas.openxmlformats.org/officeDocument/2006/relationships/hyperlink" Target="http://bit.ly/2wkHZmX" TargetMode="External"/><Relationship Id="rId3444" Type="http://schemas.openxmlformats.org/officeDocument/2006/relationships/hyperlink" Target="http://bit.ly/2spGvnO" TargetMode="External"/><Relationship Id="rId3651" Type="http://schemas.openxmlformats.org/officeDocument/2006/relationships/hyperlink" Target="https://news.mojahedin.org/id/d975387a-42db-4e0b-a7c8-3f45b742c695" TargetMode="External"/><Relationship Id="rId365" Type="http://schemas.openxmlformats.org/officeDocument/2006/relationships/hyperlink" Target="https://www.ilna.ir/fa/tiny/news-663696" TargetMode="External"/><Relationship Id="rId572" Type="http://schemas.openxmlformats.org/officeDocument/2006/relationships/hyperlink" Target="https://pbs.twimg.com/media/DmQmeE8XcAAynDc.jpg" TargetMode="External"/><Relationship Id="rId2046" Type="http://schemas.openxmlformats.org/officeDocument/2006/relationships/hyperlink" Target="https://pbs.twimg.com/media/Dl3yDSEXcAMFgkK.jpg" TargetMode="External"/><Relationship Id="rId2253" Type="http://schemas.openxmlformats.org/officeDocument/2006/relationships/hyperlink" Target="https://pbs.twimg.com/media/DlxmanIXcAEsvpn.jpg" TargetMode="External"/><Relationship Id="rId2460" Type="http://schemas.openxmlformats.org/officeDocument/2006/relationships/hyperlink" Target="https://pbs.twimg.com/media/DlxK5G2XgAAhCHl.jpg" TargetMode="External"/><Relationship Id="rId3304" Type="http://schemas.openxmlformats.org/officeDocument/2006/relationships/hyperlink" Target="https://twitter.com/mrsarshar/status/1033773789396574211" TargetMode="External"/><Relationship Id="rId3511" Type="http://schemas.openxmlformats.org/officeDocument/2006/relationships/hyperlink" Target="https://pbs.twimg.com/media/DlrVOeZXgAc6QlY.jpg" TargetMode="External"/><Relationship Id="rId225" Type="http://schemas.openxmlformats.org/officeDocument/2006/relationships/hyperlink" Target="https://www.instagram.com/samsam_1371/" TargetMode="External"/><Relationship Id="rId432" Type="http://schemas.openxmlformats.org/officeDocument/2006/relationships/hyperlink" Target="http://pic.twitter.com/vuAf56aztT" TargetMode="External"/><Relationship Id="rId877" Type="http://schemas.openxmlformats.org/officeDocument/2006/relationships/hyperlink" Target="https://pbs.twimg.com/media/DmOg2QyXcAEO3iW.jpg" TargetMode="External"/><Relationship Id="rId1062" Type="http://schemas.openxmlformats.org/officeDocument/2006/relationships/hyperlink" Target="https://pbs.twimg.com/media/DmLJKDlX0AAwS3g.jpg" TargetMode="External"/><Relationship Id="rId2113" Type="http://schemas.openxmlformats.org/officeDocument/2006/relationships/hyperlink" Target="https://pbs.twimg.com/media/Dl2lwofWwAQLNQc.jpg" TargetMode="External"/><Relationship Id="rId2320" Type="http://schemas.openxmlformats.org/officeDocument/2006/relationships/hyperlink" Target="http://pic.twitter.com/kPJac8iPVQ" TargetMode="External"/><Relationship Id="rId2558" Type="http://schemas.openxmlformats.org/officeDocument/2006/relationships/hyperlink" Target="https://pbs.twimg.com/media/DlwiFkSXoAUlvxP.jpg" TargetMode="External"/><Relationship Id="rId2765" Type="http://schemas.openxmlformats.org/officeDocument/2006/relationships/hyperlink" Target="https://pbs.twimg.com/media/Dlv2RVbX4AAlLLc.jpg" TargetMode="External"/><Relationship Id="rId2972" Type="http://schemas.openxmlformats.org/officeDocument/2006/relationships/hyperlink" Target="https://pbs.twimg.com/media/DltxZY0XgAAyPMb.jpg" TargetMode="External"/><Relationship Id="rId3609" Type="http://schemas.openxmlformats.org/officeDocument/2006/relationships/hyperlink" Target="http://www.sajadnrz.me/" TargetMode="External"/><Relationship Id="rId737" Type="http://schemas.openxmlformats.org/officeDocument/2006/relationships/hyperlink" Target="http://t.me/varzeshnamezanan" TargetMode="External"/><Relationship Id="rId944" Type="http://schemas.openxmlformats.org/officeDocument/2006/relationships/hyperlink" Target="https://pbs.twimg.com/media/DmMVvskWwAAuDTA.jpg" TargetMode="External"/><Relationship Id="rId1367" Type="http://schemas.openxmlformats.org/officeDocument/2006/relationships/hyperlink" Target="https://pbs.twimg.com/media/DmE0CX7UwAUXXdU.jpg" TargetMode="External"/><Relationship Id="rId1574" Type="http://schemas.openxmlformats.org/officeDocument/2006/relationships/hyperlink" Target="http://www.instagram.com/salavatialireza.e/" TargetMode="External"/><Relationship Id="rId1781" Type="http://schemas.openxmlformats.org/officeDocument/2006/relationships/hyperlink" Target="https://www.ilna.ir/fa/tiny/news-662917" TargetMode="External"/><Relationship Id="rId2418" Type="http://schemas.openxmlformats.org/officeDocument/2006/relationships/hyperlink" Target="https://pbs.twimg.com/media/DlxgPsfX0AAF1FO.jpg" TargetMode="External"/><Relationship Id="rId2625" Type="http://schemas.openxmlformats.org/officeDocument/2006/relationships/hyperlink" Target="http://www.eghtesadonline.com/" TargetMode="External"/><Relationship Id="rId2832" Type="http://schemas.openxmlformats.org/officeDocument/2006/relationships/hyperlink" Target="https://pbs.twimg.com/media/DlvWOX0XoAApJsF.jpg" TargetMode="External"/><Relationship Id="rId73" Type="http://schemas.openxmlformats.org/officeDocument/2006/relationships/hyperlink" Target="https://pbs.twimg.com/media/DmVMNcLXcAE2TzD.jpg" TargetMode="External"/><Relationship Id="rId804" Type="http://schemas.openxmlformats.org/officeDocument/2006/relationships/hyperlink" Target="https://twitter.com/Eranico_com/status/1036890758773649414" TargetMode="External"/><Relationship Id="rId1227" Type="http://schemas.openxmlformats.org/officeDocument/2006/relationships/hyperlink" Target="https://pbs.twimg.com/media/DmJT6nGUYAAIgwp.jpg" TargetMode="External"/><Relationship Id="rId1434" Type="http://schemas.openxmlformats.org/officeDocument/2006/relationships/hyperlink" Target="http://bit.ly/2C9lKpl" TargetMode="External"/><Relationship Id="rId1641" Type="http://schemas.openxmlformats.org/officeDocument/2006/relationships/hyperlink" Target="http://ageofinheritors.com/" TargetMode="External"/><Relationship Id="rId1879" Type="http://schemas.openxmlformats.org/officeDocument/2006/relationships/hyperlink" Target="https://www.radiozamaneh.com/410093" TargetMode="External"/><Relationship Id="rId3094" Type="http://schemas.openxmlformats.org/officeDocument/2006/relationships/hyperlink" Target="https://pbs.twimg.com/media/DltO_OzW0AA8Js9.jpg" TargetMode="External"/><Relationship Id="rId1501" Type="http://schemas.openxmlformats.org/officeDocument/2006/relationships/hyperlink" Target="https://t.me/drmdehghan" TargetMode="External"/><Relationship Id="rId1739" Type="http://schemas.openxmlformats.org/officeDocument/2006/relationships/hyperlink" Target="http://tn.ai/1817322" TargetMode="External"/><Relationship Id="rId1946" Type="http://schemas.openxmlformats.org/officeDocument/2006/relationships/hyperlink" Target="https://twitter.com/mostafatajzade/status/1035462441424117760" TargetMode="External"/><Relationship Id="rId3399" Type="http://schemas.openxmlformats.org/officeDocument/2006/relationships/hyperlink" Target="http://instagram.com/khansari_ali" TargetMode="External"/><Relationship Id="rId1806" Type="http://schemas.openxmlformats.org/officeDocument/2006/relationships/hyperlink" Target="https://pbs.twimg.com/media/Dl-pygMXoAArOLv.jpg" TargetMode="External"/><Relationship Id="rId3161" Type="http://schemas.openxmlformats.org/officeDocument/2006/relationships/hyperlink" Target="http://behnamgolestani.blogspot.se/" TargetMode="External"/><Relationship Id="rId3259" Type="http://schemas.openxmlformats.org/officeDocument/2006/relationships/hyperlink" Target="https://pbs.twimg.com/media/DlsYyfAXsAAJbfH.jpg" TargetMode="External"/><Relationship Id="rId3466" Type="http://schemas.openxmlformats.org/officeDocument/2006/relationships/hyperlink" Target="https://arad.co/" TargetMode="External"/><Relationship Id="rId387" Type="http://schemas.openxmlformats.org/officeDocument/2006/relationships/hyperlink" Target="http://eslahatnews.com/" TargetMode="External"/><Relationship Id="rId594" Type="http://schemas.openxmlformats.org/officeDocument/2006/relationships/hyperlink" Target="http://www.translateworld.ir/" TargetMode="External"/><Relationship Id="rId2068" Type="http://schemas.openxmlformats.org/officeDocument/2006/relationships/hyperlink" Target="http://www.jamnews.com/" TargetMode="External"/><Relationship Id="rId2275" Type="http://schemas.openxmlformats.org/officeDocument/2006/relationships/hyperlink" Target="https://pbs.twimg.com/media/Dly3KzfXsAAln9N.jpg" TargetMode="External"/><Relationship Id="rId3021" Type="http://schemas.openxmlformats.org/officeDocument/2006/relationships/hyperlink" Target="https://twitter.com/mmohammadii61/status/1034523344534728705" TargetMode="External"/><Relationship Id="rId3119" Type="http://schemas.openxmlformats.org/officeDocument/2006/relationships/hyperlink" Target="http://pic.twitter.com/jafjC0MIk7" TargetMode="External"/><Relationship Id="rId3326" Type="http://schemas.openxmlformats.org/officeDocument/2006/relationships/hyperlink" Target="https://pbs.twimg.com/media/DlsB3fnW0AATCeS.jpg" TargetMode="External"/><Relationship Id="rId247" Type="http://schemas.openxmlformats.org/officeDocument/2006/relationships/hyperlink" Target="http://pooriast.wordpress.com/" TargetMode="External"/><Relationship Id="rId899" Type="http://schemas.openxmlformats.org/officeDocument/2006/relationships/hyperlink" Target="https://www.ilna.ir/fa/tiny/news-663893" TargetMode="External"/><Relationship Id="rId1084" Type="http://schemas.openxmlformats.org/officeDocument/2006/relationships/hyperlink" Target="http://cyberwarzone.com/" TargetMode="External"/><Relationship Id="rId2482" Type="http://schemas.openxmlformats.org/officeDocument/2006/relationships/hyperlink" Target="https://pbs.twimg.com/media/DlxDQgaWsAAFqiW.jpg" TargetMode="External"/><Relationship Id="rId2787" Type="http://schemas.openxmlformats.org/officeDocument/2006/relationships/hyperlink" Target="http://khabarfarsi.com/u/58754385" TargetMode="External"/><Relationship Id="rId3533" Type="http://schemas.openxmlformats.org/officeDocument/2006/relationships/hyperlink" Target="https://pbs.twimg.com/media/DlrH-CZXoAAXAGg.jpg" TargetMode="External"/><Relationship Id="rId107" Type="http://schemas.openxmlformats.org/officeDocument/2006/relationships/hyperlink" Target="http://pic.twitter.com/brN3k0pOEM" TargetMode="External"/><Relationship Id="rId454" Type="http://schemas.openxmlformats.org/officeDocument/2006/relationships/hyperlink" Target="https://pbs.twimg.com/media/DmRp0gsWsAMQV5Y.jpg" TargetMode="External"/><Relationship Id="rId661" Type="http://schemas.openxmlformats.org/officeDocument/2006/relationships/hyperlink" Target="https://t.me/javad59_92" TargetMode="External"/><Relationship Id="rId759" Type="http://schemas.openxmlformats.org/officeDocument/2006/relationships/hyperlink" Target="http://t.me/radioomidtr" TargetMode="External"/><Relationship Id="rId966" Type="http://schemas.openxmlformats.org/officeDocument/2006/relationships/hyperlink" Target="https://pbs.twimg.com/media/DmMFiISX0AECmMS.jpg" TargetMode="External"/><Relationship Id="rId1291" Type="http://schemas.openxmlformats.org/officeDocument/2006/relationships/hyperlink" Target="https://twitter.com/Ned_Ned_/status/1036313373934342146?s=19" TargetMode="External"/><Relationship Id="rId1389" Type="http://schemas.openxmlformats.org/officeDocument/2006/relationships/hyperlink" Target="https://www.instagram.com/hachal.haft/" TargetMode="External"/><Relationship Id="rId1596" Type="http://schemas.openxmlformats.org/officeDocument/2006/relationships/hyperlink" Target="http://cyberwarzone.com/" TargetMode="External"/><Relationship Id="rId2135" Type="http://schemas.openxmlformats.org/officeDocument/2006/relationships/hyperlink" Target="https://pbs.twimg.com/media/Dl2QBvKX0AAz1u5.jpg" TargetMode="External"/><Relationship Id="rId2342" Type="http://schemas.openxmlformats.org/officeDocument/2006/relationships/hyperlink" Target="http://pic.twitter.com/rcwCCCzPk6" TargetMode="External"/><Relationship Id="rId2647" Type="http://schemas.openxmlformats.org/officeDocument/2006/relationships/hyperlink" Target="http://rahrahtanz.ir/13447/%d8%b1%d8%a7%d9%87-%d8%b1%d8%a7%d9%87-%db%b5%db%b1" TargetMode="External"/><Relationship Id="rId2994" Type="http://schemas.openxmlformats.org/officeDocument/2006/relationships/hyperlink" Target="http://telegram.me/omidpouraziz" TargetMode="External"/><Relationship Id="rId3600" Type="http://schemas.openxmlformats.org/officeDocument/2006/relationships/hyperlink" Target="http://inestagram.com/paper.tulip" TargetMode="External"/><Relationship Id="rId314" Type="http://schemas.openxmlformats.org/officeDocument/2006/relationships/hyperlink" Target="https://pbs.twimg.com/media/DmT4hrzX0AAO6Pc.jpg" TargetMode="External"/><Relationship Id="rId521" Type="http://schemas.openxmlformats.org/officeDocument/2006/relationships/hyperlink" Target="https://goo.gl/2TYmAU" TargetMode="External"/><Relationship Id="rId619" Type="http://schemas.openxmlformats.org/officeDocument/2006/relationships/hyperlink" Target="http://pic.twitter.com/J57AkbdgFw" TargetMode="External"/><Relationship Id="rId1151" Type="http://schemas.openxmlformats.org/officeDocument/2006/relationships/hyperlink" Target="https://pbs.twimg.com/media/DmKbqM4UcAApx0k.jpg" TargetMode="External"/><Relationship Id="rId1249" Type="http://schemas.openxmlformats.org/officeDocument/2006/relationships/hyperlink" Target="https://pbs.twimg.com/media/DmHnMSqXsAAwybU.jpg" TargetMode="External"/><Relationship Id="rId2202" Type="http://schemas.openxmlformats.org/officeDocument/2006/relationships/hyperlink" Target="http://instagram.com/mehrandish.official" TargetMode="External"/><Relationship Id="rId2854" Type="http://schemas.openxmlformats.org/officeDocument/2006/relationships/hyperlink" Target="http://instagram.com/mohsenjannesari7/" TargetMode="External"/><Relationship Id="rId95" Type="http://schemas.openxmlformats.org/officeDocument/2006/relationships/hyperlink" Target="http://www.tasnimnews.com/" TargetMode="External"/><Relationship Id="rId826" Type="http://schemas.openxmlformats.org/officeDocument/2006/relationships/hyperlink" Target="https://pbs.twimg.com/media/DmPC-PeW0AEKae4.jpg" TargetMode="External"/><Relationship Id="rId1011" Type="http://schemas.openxmlformats.org/officeDocument/2006/relationships/hyperlink" Target="http://www.koosheh.com/" TargetMode="External"/><Relationship Id="rId1109" Type="http://schemas.openxmlformats.org/officeDocument/2006/relationships/hyperlink" Target="http://t.me/radioomidtr" TargetMode="External"/><Relationship Id="rId1456" Type="http://schemas.openxmlformats.org/officeDocument/2006/relationships/hyperlink" Target="http://alwahabiyah.com/" TargetMode="External"/><Relationship Id="rId1663" Type="http://schemas.openxmlformats.org/officeDocument/2006/relationships/hyperlink" Target="http://instagram.com/mo.che" TargetMode="External"/><Relationship Id="rId1870" Type="http://schemas.openxmlformats.org/officeDocument/2006/relationships/hyperlink" Target="https://pbs.twimg.com/media/DAQRrzGXUAI10Ty.jpg" TargetMode="External"/><Relationship Id="rId1968" Type="http://schemas.openxmlformats.org/officeDocument/2006/relationships/hyperlink" Target="https://t.me/LiLiLoLoMind" TargetMode="External"/><Relationship Id="rId2507" Type="http://schemas.openxmlformats.org/officeDocument/2006/relationships/hyperlink" Target="https://twitter.com/zhojabri_n/status/1034319095385219073" TargetMode="External"/><Relationship Id="rId2714" Type="http://schemas.openxmlformats.org/officeDocument/2006/relationships/hyperlink" Target="https://telegram.me/harfbzanbot?start=0Y8p1AP" TargetMode="External"/><Relationship Id="rId2921" Type="http://schemas.openxmlformats.org/officeDocument/2006/relationships/hyperlink" Target="https://twitter.com/manofars/status/1034527830376435713?s=19" TargetMode="External"/><Relationship Id="rId1316" Type="http://schemas.openxmlformats.org/officeDocument/2006/relationships/hyperlink" Target="http://www.trt.net.tr/persian/yrn/2018/09/02/zhrt-dstyr-rwhny-drbrh-mhdwdythy-lmy-hl-tsnn-yrn-1041666" TargetMode="External"/><Relationship Id="rId1523" Type="http://schemas.openxmlformats.org/officeDocument/2006/relationships/hyperlink" Target="https://pbs.twimg.com/media/DmEa5llXgAEQGAG.jpg" TargetMode="External"/><Relationship Id="rId1730" Type="http://schemas.openxmlformats.org/officeDocument/2006/relationships/hyperlink" Target="http://tn.ai/1817282" TargetMode="External"/><Relationship Id="rId3183" Type="http://schemas.openxmlformats.org/officeDocument/2006/relationships/hyperlink" Target="https://pbs.twimg.com/media/DlswW3gX4AAouWJ.jpg" TargetMode="External"/><Relationship Id="rId3390" Type="http://schemas.openxmlformats.org/officeDocument/2006/relationships/hyperlink" Target="http://www.bahar-narenj.blogspot.com/" TargetMode="External"/><Relationship Id="rId22" Type="http://schemas.openxmlformats.org/officeDocument/2006/relationships/hyperlink" Target="http://cyberwarzone.com/" TargetMode="External"/><Relationship Id="rId1828" Type="http://schemas.openxmlformats.org/officeDocument/2006/relationships/hyperlink" Target="https://lnu.se/en/" TargetMode="External"/><Relationship Id="rId3043" Type="http://schemas.openxmlformats.org/officeDocument/2006/relationships/hyperlink" Target="https://twitter.com/EsmaeiliParviz/status/1034469472487321600" TargetMode="External"/><Relationship Id="rId3250" Type="http://schemas.openxmlformats.org/officeDocument/2006/relationships/hyperlink" Target="http://persian.euronews.com/" TargetMode="External"/><Relationship Id="rId3488" Type="http://schemas.openxmlformats.org/officeDocument/2006/relationships/hyperlink" Target="http://www.instagram.com/ef_sadat" TargetMode="External"/><Relationship Id="rId171" Type="http://schemas.openxmlformats.org/officeDocument/2006/relationships/hyperlink" Target="https://pbs.twimg.com/media/DmUmvACXsAE_zyK.jpg" TargetMode="External"/><Relationship Id="rId2297" Type="http://schemas.openxmlformats.org/officeDocument/2006/relationships/hyperlink" Target="https://twitter.com/pessarbad/status/1034683425431674880" TargetMode="External"/><Relationship Id="rId3348" Type="http://schemas.openxmlformats.org/officeDocument/2006/relationships/hyperlink" Target="https://article.mojahedin.org/i/%D8%A8%D8%B3%D8%AA%D9%87-%D8%A7%D8%B1%D9%88%D9%BE%D8%A7-%D8%AA%D9%88%D9%87%DB%8C%D9%86-%D9%85%D8%B3%DA%A9%D9%86-%D8%AC%D8%B1%D8%B9%D9%87-%D8%AD%DB%8C%D8%A7%D8%AA" TargetMode="External"/><Relationship Id="rId3555" Type="http://schemas.openxmlformats.org/officeDocument/2006/relationships/hyperlink" Target="https://pbs.twimg.com/media/DlrILdoWsAAYsaD.jpg" TargetMode="External"/><Relationship Id="rId269" Type="http://schemas.openxmlformats.org/officeDocument/2006/relationships/hyperlink" Target="https://pbs.twimg.com/media/DbVNpZ6XcAA7ymp.jpg" TargetMode="External"/><Relationship Id="rId476" Type="http://schemas.openxmlformats.org/officeDocument/2006/relationships/hyperlink" Target="https://pbs.twimg.com/media/DmRhVFTX4AAOvKO.jpg" TargetMode="External"/><Relationship Id="rId683" Type="http://schemas.openxmlformats.org/officeDocument/2006/relationships/hyperlink" Target="https://pbs.twimg.com/media/DmP-PtUW0AEkEmi.jpg" TargetMode="External"/><Relationship Id="rId890" Type="http://schemas.openxmlformats.org/officeDocument/2006/relationships/hyperlink" Target="https://pbs.twimg.com/media/DmOaUbiW0AA2qcY.jpg" TargetMode="External"/><Relationship Id="rId2157" Type="http://schemas.openxmlformats.org/officeDocument/2006/relationships/hyperlink" Target="http://www.imarketor.com/" TargetMode="External"/><Relationship Id="rId2364" Type="http://schemas.openxmlformats.org/officeDocument/2006/relationships/hyperlink" Target="https://t.me/sadollahzarei" TargetMode="External"/><Relationship Id="rId2571" Type="http://schemas.openxmlformats.org/officeDocument/2006/relationships/hyperlink" Target="https://pbs.twimg.com/media/DlweJmNXcAEsd0H.jpg" TargetMode="External"/><Relationship Id="rId3110" Type="http://schemas.openxmlformats.org/officeDocument/2006/relationships/hyperlink" Target="https://pbs.twimg.com/media/DltMoGIXsAAMH5R.jpg" TargetMode="External"/><Relationship Id="rId3208" Type="http://schemas.openxmlformats.org/officeDocument/2006/relationships/hyperlink" Target="https://twitter.com/shafaeieisa/status/1034357910544044033" TargetMode="External"/><Relationship Id="rId3415" Type="http://schemas.openxmlformats.org/officeDocument/2006/relationships/hyperlink" Target="https://www.facebook.com/iraneazadi" TargetMode="External"/><Relationship Id="rId129" Type="http://schemas.openxmlformats.org/officeDocument/2006/relationships/hyperlink" Target="http://pic.twitter.com/zeRnMvXBQD" TargetMode="External"/><Relationship Id="rId336" Type="http://schemas.openxmlformats.org/officeDocument/2006/relationships/hyperlink" Target="http://gholeh.blogfa.com/" TargetMode="External"/><Relationship Id="rId543" Type="http://schemas.openxmlformats.org/officeDocument/2006/relationships/hyperlink" Target="https://pbs.twimg.com/media/DmQ9rOEX0AAN5Fk.jpg" TargetMode="External"/><Relationship Id="rId988" Type="http://schemas.openxmlformats.org/officeDocument/2006/relationships/hyperlink" Target="https://twitter.com/ZeynabHosseinii/status/1036497853894586369" TargetMode="External"/><Relationship Id="rId1173" Type="http://schemas.openxmlformats.org/officeDocument/2006/relationships/hyperlink" Target="http://www.atregoleyas.ir/" TargetMode="External"/><Relationship Id="rId1380" Type="http://schemas.openxmlformats.org/officeDocument/2006/relationships/hyperlink" Target="http://najvahayenajibane.blogspot.com/2013/05/farsani-khamenei.html?m=1" TargetMode="External"/><Relationship Id="rId2017" Type="http://schemas.openxmlformats.org/officeDocument/2006/relationships/hyperlink" Target="http://www.iranntv.com/" TargetMode="External"/><Relationship Id="rId2224" Type="http://schemas.openxmlformats.org/officeDocument/2006/relationships/hyperlink" Target="http://pic.twitter.com/DbyKZWbFhX" TargetMode="External"/><Relationship Id="rId2669" Type="http://schemas.openxmlformats.org/officeDocument/2006/relationships/hyperlink" Target="https://twitter.com/EsmaeiliParviz/status/1034398367776944130" TargetMode="External"/><Relationship Id="rId2876" Type="http://schemas.openxmlformats.org/officeDocument/2006/relationships/hyperlink" Target="http://ibena.ir/" TargetMode="External"/><Relationship Id="rId3622" Type="http://schemas.openxmlformats.org/officeDocument/2006/relationships/hyperlink" Target="https://pbs.twimg.com/media/DlqvCQqXsAEgWHV.jpg" TargetMode="External"/><Relationship Id="rId403" Type="http://schemas.openxmlformats.org/officeDocument/2006/relationships/hyperlink" Target="https://t.me/Taghadom" TargetMode="External"/><Relationship Id="rId750" Type="http://schemas.openxmlformats.org/officeDocument/2006/relationships/hyperlink" Target="http://www.iranintl.com/" TargetMode="External"/><Relationship Id="rId848" Type="http://schemas.openxmlformats.org/officeDocument/2006/relationships/hyperlink" Target="http://www.tabyincenter.ir/" TargetMode="External"/><Relationship Id="rId1033" Type="http://schemas.openxmlformats.org/officeDocument/2006/relationships/hyperlink" Target="http://aa.com.tr/fa" TargetMode="External"/><Relationship Id="rId1478" Type="http://schemas.openxmlformats.org/officeDocument/2006/relationships/hyperlink" Target="http://l.tp4.ir/mhvLc9" TargetMode="External"/><Relationship Id="rId1685" Type="http://schemas.openxmlformats.org/officeDocument/2006/relationships/hyperlink" Target="https://pbs.twimg.com/media/DmASh-IXgAEptKP.jpg" TargetMode="External"/><Relationship Id="rId1892" Type="http://schemas.openxmlformats.org/officeDocument/2006/relationships/hyperlink" Target="http://pic.twitter.com/DI8fLqa0dg" TargetMode="External"/><Relationship Id="rId2431" Type="http://schemas.openxmlformats.org/officeDocument/2006/relationships/hyperlink" Target="http://tebeslami.net/" TargetMode="External"/><Relationship Id="rId2529" Type="http://schemas.openxmlformats.org/officeDocument/2006/relationships/hyperlink" Target="http://www.farsnews.com/" TargetMode="External"/><Relationship Id="rId2736" Type="http://schemas.openxmlformats.org/officeDocument/2006/relationships/hyperlink" Target="http://montazerashena.blog.ir/" TargetMode="External"/><Relationship Id="rId610" Type="http://schemas.openxmlformats.org/officeDocument/2006/relationships/hyperlink" Target="http://www.icana.ir/Fa/News/401866" TargetMode="External"/><Relationship Id="rId708" Type="http://schemas.openxmlformats.org/officeDocument/2006/relationships/hyperlink" Target="https://pbs.twimg.com/media/DmPxK38XgAAJSjp.jpg" TargetMode="External"/><Relationship Id="rId915" Type="http://schemas.openxmlformats.org/officeDocument/2006/relationships/hyperlink" Target="https://pbs.twimg.com/media/DmNum-cW0AAchkb.jpg" TargetMode="External"/><Relationship Id="rId1240" Type="http://schemas.openxmlformats.org/officeDocument/2006/relationships/hyperlink" Target="http://safinews.ir/" TargetMode="External"/><Relationship Id="rId1338" Type="http://schemas.openxmlformats.org/officeDocument/2006/relationships/hyperlink" Target="http://www.trtpersian.com/" TargetMode="External"/><Relationship Id="rId1545" Type="http://schemas.openxmlformats.org/officeDocument/2006/relationships/hyperlink" Target="http://pic.twitter.com/TFzWwXBoA7" TargetMode="External"/><Relationship Id="rId2943" Type="http://schemas.openxmlformats.org/officeDocument/2006/relationships/hyperlink" Target="https://pbs.twimg.com/media/Dlt-NpkU8AElqln.jpg" TargetMode="External"/><Relationship Id="rId1100" Type="http://schemas.openxmlformats.org/officeDocument/2006/relationships/hyperlink" Target="http://eranico.com/" TargetMode="External"/><Relationship Id="rId1405" Type="http://schemas.openxmlformats.org/officeDocument/2006/relationships/hyperlink" Target="https://pbs.twimg.com/media/DmFjgUiWwAA3dj5.jpg" TargetMode="External"/><Relationship Id="rId1752" Type="http://schemas.openxmlformats.org/officeDocument/2006/relationships/hyperlink" Target="http://www.tp4.ir/" TargetMode="External"/><Relationship Id="rId2803" Type="http://schemas.openxmlformats.org/officeDocument/2006/relationships/hyperlink" Target="http://www.ibena.ir/" TargetMode="External"/><Relationship Id="rId44" Type="http://schemas.openxmlformats.org/officeDocument/2006/relationships/hyperlink" Target="http://fb.com/Freedom.Messenger" TargetMode="External"/><Relationship Id="rId1612" Type="http://schemas.openxmlformats.org/officeDocument/2006/relationships/hyperlink" Target="https://pbs.twimg.com/media/DmBrtesXoAQG-Jr.jpg" TargetMode="External"/><Relationship Id="rId1917" Type="http://schemas.openxmlformats.org/officeDocument/2006/relationships/hyperlink" Target="https://shahrvand-yar.com/" TargetMode="External"/><Relationship Id="rId3065" Type="http://schemas.openxmlformats.org/officeDocument/2006/relationships/hyperlink" Target="http://sobhe-no.ir/" TargetMode="External"/><Relationship Id="rId3272" Type="http://schemas.openxmlformats.org/officeDocument/2006/relationships/hyperlink" Target="http://www.khamenei.ir/" TargetMode="External"/><Relationship Id="rId193" Type="http://schemas.openxmlformats.org/officeDocument/2006/relationships/hyperlink" Target="http://telegram.me/omidpouraziz" TargetMode="External"/><Relationship Id="rId498" Type="http://schemas.openxmlformats.org/officeDocument/2006/relationships/hyperlink" Target="http://pic.twitter.com/J57AkbdgFw" TargetMode="External"/><Relationship Id="rId2081" Type="http://schemas.openxmlformats.org/officeDocument/2006/relationships/hyperlink" Target="http://cyberwarzone.com/" TargetMode="External"/><Relationship Id="rId2179" Type="http://schemas.openxmlformats.org/officeDocument/2006/relationships/hyperlink" Target="http://t.me/azarmansouri" TargetMode="External"/><Relationship Id="rId3132" Type="http://schemas.openxmlformats.org/officeDocument/2006/relationships/hyperlink" Target="https://threadreaderapp.com/thread/1034356639170809856.html" TargetMode="External"/><Relationship Id="rId3577" Type="http://schemas.openxmlformats.org/officeDocument/2006/relationships/hyperlink" Target="https://twitter.com/HamaaseDovvom/status/1034285744221827072" TargetMode="External"/><Relationship Id="rId260" Type="http://schemas.openxmlformats.org/officeDocument/2006/relationships/hyperlink" Target="http://www.abasaslani.com/" TargetMode="External"/><Relationship Id="rId2386" Type="http://schemas.openxmlformats.org/officeDocument/2006/relationships/hyperlink" Target="https://pbs.twimg.com/media/Dlx1nJVX0AMbBh_.jpg" TargetMode="External"/><Relationship Id="rId2593" Type="http://schemas.openxmlformats.org/officeDocument/2006/relationships/hyperlink" Target="https://twitter.com/pessarbad/status/1034683425431674880" TargetMode="External"/><Relationship Id="rId3437" Type="http://schemas.openxmlformats.org/officeDocument/2006/relationships/hyperlink" Target="http://amirhne.ir/" TargetMode="External"/><Relationship Id="rId3644" Type="http://schemas.openxmlformats.org/officeDocument/2006/relationships/hyperlink" Target="http://omidbeig.wordpress.com/" TargetMode="External"/><Relationship Id="rId120" Type="http://schemas.openxmlformats.org/officeDocument/2006/relationships/hyperlink" Target="https://t.me/BChatBot?start=sc-163610352" TargetMode="External"/><Relationship Id="rId358" Type="http://schemas.openxmlformats.org/officeDocument/2006/relationships/hyperlink" Target="http://www.ictna.ir/" TargetMode="External"/><Relationship Id="rId565" Type="http://schemas.openxmlformats.org/officeDocument/2006/relationships/hyperlink" Target="https://pbs.twimg.com/media/DmQszlZXgAAPUmt.jpg" TargetMode="External"/><Relationship Id="rId772" Type="http://schemas.openxmlformats.org/officeDocument/2006/relationships/hyperlink" Target="https://pbs.twimg.com/media/DmPZPHcWsAAMOVk.jpg" TargetMode="External"/><Relationship Id="rId1195" Type="http://schemas.openxmlformats.org/officeDocument/2006/relationships/hyperlink" Target="https://plus.google.com/u/0/104509671759946954655/posts" TargetMode="External"/><Relationship Id="rId2039" Type="http://schemas.openxmlformats.org/officeDocument/2006/relationships/hyperlink" Target="https://twitter.com/hasanasadiz/status/1035237737136365568" TargetMode="External"/><Relationship Id="rId2246" Type="http://schemas.openxmlformats.org/officeDocument/2006/relationships/hyperlink" Target="http://instagram.com/ehsanrastgar" TargetMode="External"/><Relationship Id="rId2453" Type="http://schemas.openxmlformats.org/officeDocument/2006/relationships/hyperlink" Target="https://twitter.com/SAqasi/status/1034521860132810753" TargetMode="External"/><Relationship Id="rId2660" Type="http://schemas.openxmlformats.org/officeDocument/2006/relationships/hyperlink" Target="https://pbs.twimg.com/media/DlwNRVVUUAEIDtn.jpg" TargetMode="External"/><Relationship Id="rId2898" Type="http://schemas.openxmlformats.org/officeDocument/2006/relationships/hyperlink" Target="https://sabamedia.info/" TargetMode="External"/><Relationship Id="rId3504" Type="http://schemas.openxmlformats.org/officeDocument/2006/relationships/hyperlink" Target="https://pbs.twimg.com/media/DlrV-THVAAEY_wG.jpg" TargetMode="External"/><Relationship Id="rId218" Type="http://schemas.openxmlformats.org/officeDocument/2006/relationships/hyperlink" Target="http://shatr.blog.ir/" TargetMode="External"/><Relationship Id="rId425" Type="http://schemas.openxmlformats.org/officeDocument/2006/relationships/hyperlink" Target="http://niasamed.com/" TargetMode="External"/><Relationship Id="rId632" Type="http://schemas.openxmlformats.org/officeDocument/2006/relationships/hyperlink" Target="http://www.tasnimnews.com/" TargetMode="External"/><Relationship Id="rId1055" Type="http://schemas.openxmlformats.org/officeDocument/2006/relationships/hyperlink" Target="https://pbs.twimg.com/media/DmLKvtmWwAYbdkn.jpg" TargetMode="External"/><Relationship Id="rId1262" Type="http://schemas.openxmlformats.org/officeDocument/2006/relationships/hyperlink" Target="https://www.instagram.com/samsam_1371/" TargetMode="External"/><Relationship Id="rId2106" Type="http://schemas.openxmlformats.org/officeDocument/2006/relationships/hyperlink" Target="https://twitter.com/erfan_kasraie/status/1035147600981311488" TargetMode="External"/><Relationship Id="rId2313" Type="http://schemas.openxmlformats.org/officeDocument/2006/relationships/hyperlink" Target="https://twitter.com/Khamenei_fa/status/1034765384325496832" TargetMode="External"/><Relationship Id="rId2520" Type="http://schemas.openxmlformats.org/officeDocument/2006/relationships/hyperlink" Target="https://pbs.twimg.com/media/Dlw2S0mW0AAPchM.jpg" TargetMode="External"/><Relationship Id="rId2758" Type="http://schemas.openxmlformats.org/officeDocument/2006/relationships/hyperlink" Target="http://newspaper.hamshahri.org/" TargetMode="External"/><Relationship Id="rId2965" Type="http://schemas.openxmlformats.org/officeDocument/2006/relationships/hyperlink" Target="http://telegram.me/tavalodi_digar313" TargetMode="External"/><Relationship Id="rId937" Type="http://schemas.openxmlformats.org/officeDocument/2006/relationships/hyperlink" Target="https://pbs.twimg.com/media/DmMjH7RUcAANHNh.jpg" TargetMode="External"/><Relationship Id="rId1122" Type="http://schemas.openxmlformats.org/officeDocument/2006/relationships/hyperlink" Target="http://pic.twitter.com/b8ko4rSQE3" TargetMode="External"/><Relationship Id="rId1567" Type="http://schemas.openxmlformats.org/officeDocument/2006/relationships/hyperlink" Target="http://www.rahatrack.ir/" TargetMode="External"/><Relationship Id="rId1774" Type="http://schemas.openxmlformats.org/officeDocument/2006/relationships/hyperlink" Target="http://asre-eghtesad.ir/content/43785" TargetMode="External"/><Relationship Id="rId1981" Type="http://schemas.openxmlformats.org/officeDocument/2006/relationships/hyperlink" Target="http://forsan.news/" TargetMode="External"/><Relationship Id="rId2618" Type="http://schemas.openxmlformats.org/officeDocument/2006/relationships/hyperlink" Target="http://www.yjc.ir/" TargetMode="External"/><Relationship Id="rId2825" Type="http://schemas.openxmlformats.org/officeDocument/2006/relationships/hyperlink" Target="https://pbs.twimg.com/media/Dlvrnq6XsAEriFx.jpg" TargetMode="External"/><Relationship Id="rId66" Type="http://schemas.openxmlformats.org/officeDocument/2006/relationships/hyperlink" Target="https://twitter.com/P_Salahshouri/status/1036873560936079360?s=19" TargetMode="External"/><Relationship Id="rId1427" Type="http://schemas.openxmlformats.org/officeDocument/2006/relationships/hyperlink" Target="https://pbs.twimg.com/media/DmFXkfYUUAA3tUa.jpg" TargetMode="External"/><Relationship Id="rId1634" Type="http://schemas.openxmlformats.org/officeDocument/2006/relationships/hyperlink" Target="http://www.hemlavantage.no/" TargetMode="External"/><Relationship Id="rId1841" Type="http://schemas.openxmlformats.org/officeDocument/2006/relationships/hyperlink" Target="https://pbs.twimg.com/media/Dl9BamvWwAAlzc0.jpg" TargetMode="External"/><Relationship Id="rId3087" Type="http://schemas.openxmlformats.org/officeDocument/2006/relationships/hyperlink" Target="https://www.instagram.com/moosa_hasanvand/" TargetMode="External"/><Relationship Id="rId3294" Type="http://schemas.openxmlformats.org/officeDocument/2006/relationships/hyperlink" Target="https://pbs.twimg.com/media/DlsNMNuX0AA_4aj.jpg" TargetMode="External"/><Relationship Id="rId1939" Type="http://schemas.openxmlformats.org/officeDocument/2006/relationships/hyperlink" Target="https://pbs.twimg.com/media/Dl7GvaRW0AE8kHB.jpg" TargetMode="External"/><Relationship Id="rId3599" Type="http://schemas.openxmlformats.org/officeDocument/2006/relationships/hyperlink" Target="http://entekhab.ir/" TargetMode="External"/><Relationship Id="rId1701" Type="http://schemas.openxmlformats.org/officeDocument/2006/relationships/hyperlink" Target="https://pbs.twimg.com/media/DmAC7RzW4AAndiA.jpg" TargetMode="External"/><Relationship Id="rId3154" Type="http://schemas.openxmlformats.org/officeDocument/2006/relationships/hyperlink" Target="https://pbs.twimg.com/media/Dls-93SWsAEtGyG.jpg" TargetMode="External"/><Relationship Id="rId3361" Type="http://schemas.openxmlformats.org/officeDocument/2006/relationships/hyperlink" Target="http://bit.ly/2og7AZW" TargetMode="External"/><Relationship Id="rId3459" Type="http://schemas.openxmlformats.org/officeDocument/2006/relationships/hyperlink" Target="http://masaf.ir/" TargetMode="External"/><Relationship Id="rId282" Type="http://schemas.openxmlformats.org/officeDocument/2006/relationships/hyperlink" Target="http://huxta.com/" TargetMode="External"/><Relationship Id="rId587" Type="http://schemas.openxmlformats.org/officeDocument/2006/relationships/hyperlink" Target="http://newspaper.hamshahri.org/" TargetMode="External"/><Relationship Id="rId2170" Type="http://schemas.openxmlformats.org/officeDocument/2006/relationships/hyperlink" Target="https://pbs.twimg.com/media/Dl1lCMbW0AAFADn.jpg" TargetMode="External"/><Relationship Id="rId2268" Type="http://schemas.openxmlformats.org/officeDocument/2006/relationships/hyperlink" Target="https://pbs.twimg.com/media/Dly6wIaX0AMvr6S.jpg" TargetMode="External"/><Relationship Id="rId3014" Type="http://schemas.openxmlformats.org/officeDocument/2006/relationships/hyperlink" Target="http://pic.twitter.com/yfm1lWCPE9" TargetMode="External"/><Relationship Id="rId3221" Type="http://schemas.openxmlformats.org/officeDocument/2006/relationships/hyperlink" Target="http://www.khabarfoori.com/" TargetMode="External"/><Relationship Id="rId3319" Type="http://schemas.openxmlformats.org/officeDocument/2006/relationships/hyperlink" Target="https://pbs.twimg.com/media/DlsJxD7XgAAe6ai.jpg" TargetMode="External"/><Relationship Id="rId8" Type="http://schemas.openxmlformats.org/officeDocument/2006/relationships/hyperlink" Target="https://pbs.twimg.com/media/DmVjcPWXcAAC2dK.jpg" TargetMode="External"/><Relationship Id="rId142" Type="http://schemas.openxmlformats.org/officeDocument/2006/relationships/hyperlink" Target="https://twitter.com/mmghorbani/status/1037045117205585922" TargetMode="External"/><Relationship Id="rId447" Type="http://schemas.openxmlformats.org/officeDocument/2006/relationships/hyperlink" Target="https://telegram.me/SaeedTavanarad" TargetMode="External"/><Relationship Id="rId794" Type="http://schemas.openxmlformats.org/officeDocument/2006/relationships/hyperlink" Target="https://pbs.twimg.com/media/DmPSKUjX0AAgMGJ.jpg" TargetMode="External"/><Relationship Id="rId1077" Type="http://schemas.openxmlformats.org/officeDocument/2006/relationships/hyperlink" Target="http://pic.twitter.com/EAqpC2tX3o" TargetMode="External"/><Relationship Id="rId2030" Type="http://schemas.openxmlformats.org/officeDocument/2006/relationships/hyperlink" Target="https://twitter.com/Saman_Hpanahi/status/1034002448262877184" TargetMode="External"/><Relationship Id="rId2128" Type="http://schemas.openxmlformats.org/officeDocument/2006/relationships/hyperlink" Target="https://twitter.com/abdollahram/status/1035067264393859072" TargetMode="External"/><Relationship Id="rId2475" Type="http://schemas.openxmlformats.org/officeDocument/2006/relationships/hyperlink" Target="http://cyberwarzone.com/" TargetMode="External"/><Relationship Id="rId2682" Type="http://schemas.openxmlformats.org/officeDocument/2006/relationships/hyperlink" Target="https://www.instagram.com/p/BnDg_bBF4EK/?utm_source=ig_twitter_share&amp;igshid=15pr8y34u2bcq" TargetMode="External"/><Relationship Id="rId2987" Type="http://schemas.openxmlformats.org/officeDocument/2006/relationships/hyperlink" Target="https://www.facebook.com/sadat.khanoom/videos/2285203071495292/" TargetMode="External"/><Relationship Id="rId3526" Type="http://schemas.openxmlformats.org/officeDocument/2006/relationships/hyperlink" Target="http://instagram.com/omidsalek/" TargetMode="External"/><Relationship Id="rId654" Type="http://schemas.openxmlformats.org/officeDocument/2006/relationships/hyperlink" Target="http://t.me/@pourhashemi_ali" TargetMode="External"/><Relationship Id="rId861" Type="http://schemas.openxmlformats.org/officeDocument/2006/relationships/hyperlink" Target="http://www.ilna.ir/" TargetMode="External"/><Relationship Id="rId959" Type="http://schemas.openxmlformats.org/officeDocument/2006/relationships/hyperlink" Target="http://www.rouydad24.ir/" TargetMode="External"/><Relationship Id="rId1284" Type="http://schemas.openxmlformats.org/officeDocument/2006/relationships/hyperlink" Target="https://pbs.twimg.com/media/DmHGv07UwAAbkwJ.jpg" TargetMode="External"/><Relationship Id="rId1491" Type="http://schemas.openxmlformats.org/officeDocument/2006/relationships/hyperlink" Target="https://pbs.twimg.com/media/DmE2efUX4AE934S.jpg" TargetMode="External"/><Relationship Id="rId1589" Type="http://schemas.openxmlformats.org/officeDocument/2006/relationships/hyperlink" Target="https://pbs.twimg.com/media/DmCLLa0XsAEhuqt.jpg" TargetMode="External"/><Relationship Id="rId2335" Type="http://schemas.openxmlformats.org/officeDocument/2006/relationships/hyperlink" Target="https://pbs.twimg.com/media/DlyWfYiXcAYk-xM.jpg" TargetMode="External"/><Relationship Id="rId2542" Type="http://schemas.openxmlformats.org/officeDocument/2006/relationships/hyperlink" Target="https://pbs.twimg.com/media/DlwpGSIXcAElGOT.jpg" TargetMode="External"/><Relationship Id="rId307" Type="http://schemas.openxmlformats.org/officeDocument/2006/relationships/hyperlink" Target="https://www.instagram.com/sardareshgh313/" TargetMode="External"/><Relationship Id="rId514" Type="http://schemas.openxmlformats.org/officeDocument/2006/relationships/hyperlink" Target="https://pbs.twimg.com/media/DmRJaIRXgAY2rwu.jpg" TargetMode="External"/><Relationship Id="rId721" Type="http://schemas.openxmlformats.org/officeDocument/2006/relationships/hyperlink" Target="http://instagram.com/roohollah.zam" TargetMode="External"/><Relationship Id="rId1144" Type="http://schemas.openxmlformats.org/officeDocument/2006/relationships/hyperlink" Target="http://pic.twitter.com/mw3Wf56mgZ" TargetMode="External"/><Relationship Id="rId1351" Type="http://schemas.openxmlformats.org/officeDocument/2006/relationships/hyperlink" Target="https://twitter.com/AkhbarFori/status/1036274497718968321" TargetMode="External"/><Relationship Id="rId1449" Type="http://schemas.openxmlformats.org/officeDocument/2006/relationships/hyperlink" Target="http://cyberwarzone.com/" TargetMode="External"/><Relationship Id="rId1796" Type="http://schemas.openxmlformats.org/officeDocument/2006/relationships/hyperlink" Target="http://chmd.blogfa.com/" TargetMode="External"/><Relationship Id="rId2402" Type="http://schemas.openxmlformats.org/officeDocument/2006/relationships/hyperlink" Target="http://www.factnameh.com/" TargetMode="External"/><Relationship Id="rId2847" Type="http://schemas.openxmlformats.org/officeDocument/2006/relationships/hyperlink" Target="https://pbs.twimg.com/media/DlvfnU4U4AA1RBZ.jpg" TargetMode="External"/><Relationship Id="rId88" Type="http://schemas.openxmlformats.org/officeDocument/2006/relationships/hyperlink" Target="https://pbs.twimg.com/media/DmVF3R-XsAEs6n7.jpg" TargetMode="External"/><Relationship Id="rId819" Type="http://schemas.openxmlformats.org/officeDocument/2006/relationships/hyperlink" Target="https://www.radiozamaneh.com/410627" TargetMode="External"/><Relationship Id="rId1004" Type="http://schemas.openxmlformats.org/officeDocument/2006/relationships/hyperlink" Target="http://www.vetpars.com/index.php/publisher/articleview/action/view/frmArticleID/4545/" TargetMode="External"/><Relationship Id="rId1211" Type="http://schemas.openxmlformats.org/officeDocument/2006/relationships/hyperlink" Target="https://pbs.twimg.com/media/DmJjPBUU8AABUqP.jpg" TargetMode="External"/><Relationship Id="rId1656" Type="http://schemas.openxmlformats.org/officeDocument/2006/relationships/hyperlink" Target="http://www.tasnimnews.com/" TargetMode="External"/><Relationship Id="rId1863" Type="http://schemas.openxmlformats.org/officeDocument/2006/relationships/hyperlink" Target="http://www.iranntv.com/" TargetMode="External"/><Relationship Id="rId2707" Type="http://schemas.openxmlformats.org/officeDocument/2006/relationships/hyperlink" Target="http://www.iranntv.com/" TargetMode="External"/><Relationship Id="rId2914" Type="http://schemas.openxmlformats.org/officeDocument/2006/relationships/hyperlink" Target="https://pbs.twimg.com/media/DluRuZuXcAEPO03.jpg" TargetMode="External"/><Relationship Id="rId1309" Type="http://schemas.openxmlformats.org/officeDocument/2006/relationships/hyperlink" Target="https://pbs.twimg.com/media/DmG4MtFWsAIsFop.jpg" TargetMode="External"/><Relationship Id="rId1516" Type="http://schemas.openxmlformats.org/officeDocument/2006/relationships/hyperlink" Target="http://forsan.news/" TargetMode="External"/><Relationship Id="rId1723" Type="http://schemas.openxmlformats.org/officeDocument/2006/relationships/hyperlink" Target="http://www.omidkeshtkar.com/" TargetMode="External"/><Relationship Id="rId1930" Type="http://schemas.openxmlformats.org/officeDocument/2006/relationships/hyperlink" Target="http://www.mitfirm.org/" TargetMode="External"/><Relationship Id="rId3176" Type="http://schemas.openxmlformats.org/officeDocument/2006/relationships/hyperlink" Target="https://pbs.twimg.com/media/DlsyyQVWwAAcYf6.jpg" TargetMode="External"/><Relationship Id="rId3383" Type="http://schemas.openxmlformats.org/officeDocument/2006/relationships/hyperlink" Target="https://pbs.twimg.com/media/DlryjhGXsAErH4D.jpg" TargetMode="External"/><Relationship Id="rId3590" Type="http://schemas.openxmlformats.org/officeDocument/2006/relationships/hyperlink" Target="http://www.ibena.ir/news/90513/" TargetMode="External"/><Relationship Id="rId15" Type="http://schemas.openxmlformats.org/officeDocument/2006/relationships/hyperlink" Target="http://www.irna.ir/fa/News/83023862" TargetMode="External"/><Relationship Id="rId2192" Type="http://schemas.openxmlformats.org/officeDocument/2006/relationships/hyperlink" Target="https://www.facebook.com/Sepehr.Azadi" TargetMode="External"/><Relationship Id="rId3036" Type="http://schemas.openxmlformats.org/officeDocument/2006/relationships/hyperlink" Target="https://pbs.twimg.com/media/Dlta29kXoAAs8pW.jpg" TargetMode="External"/><Relationship Id="rId3243" Type="http://schemas.openxmlformats.org/officeDocument/2006/relationships/hyperlink" Target="http://instagram.com/mohsenjannesari7/" TargetMode="External"/><Relationship Id="rId164" Type="http://schemas.openxmlformats.org/officeDocument/2006/relationships/hyperlink" Target="http://tn.ai/1821005" TargetMode="External"/><Relationship Id="rId371" Type="http://schemas.openxmlformats.org/officeDocument/2006/relationships/hyperlink" Target="https://youtu.be/PhCmekUG9mw" TargetMode="External"/><Relationship Id="rId2052" Type="http://schemas.openxmlformats.org/officeDocument/2006/relationships/hyperlink" Target="http://instagram.com/hasan_alinezhaad" TargetMode="External"/><Relationship Id="rId2497" Type="http://schemas.openxmlformats.org/officeDocument/2006/relationships/hyperlink" Target="http://meraatnews.com/" TargetMode="External"/><Relationship Id="rId3450" Type="http://schemas.openxmlformats.org/officeDocument/2006/relationships/hyperlink" Target="http://www.yamahdiadrekni.ir/" TargetMode="External"/><Relationship Id="rId3548" Type="http://schemas.openxmlformats.org/officeDocument/2006/relationships/hyperlink" Target="https://telegram.me/HarfBeManBot?start=MjEyNzQwNjg0" TargetMode="External"/><Relationship Id="rId469" Type="http://schemas.openxmlformats.org/officeDocument/2006/relationships/hyperlink" Target="https://pbs.twimg.com/media/DmPOBuQWsAEs_Pd.jpg" TargetMode="External"/><Relationship Id="rId676" Type="http://schemas.openxmlformats.org/officeDocument/2006/relationships/hyperlink" Target="http://milad.nekofar.com/" TargetMode="External"/><Relationship Id="rId883" Type="http://schemas.openxmlformats.org/officeDocument/2006/relationships/hyperlink" Target="http://www.alef.ir/" TargetMode="External"/><Relationship Id="rId1099" Type="http://schemas.openxmlformats.org/officeDocument/2006/relationships/hyperlink" Target="http://pic.twitter.com/14M4Wrb5Nj" TargetMode="External"/><Relationship Id="rId2357" Type="http://schemas.openxmlformats.org/officeDocument/2006/relationships/hyperlink" Target="http://v.aa.com.tr/1242038" TargetMode="External"/><Relationship Id="rId2564" Type="http://schemas.openxmlformats.org/officeDocument/2006/relationships/hyperlink" Target="https://pbs.twimg.com/media/DlwgvF8XgAAseJ6.jpg" TargetMode="External"/><Relationship Id="rId3103" Type="http://schemas.openxmlformats.org/officeDocument/2006/relationships/hyperlink" Target="http://iranshahrig.com/" TargetMode="External"/><Relationship Id="rId3310" Type="http://schemas.openxmlformats.org/officeDocument/2006/relationships/hyperlink" Target="https://sabamedia.info/" TargetMode="External"/><Relationship Id="rId3408" Type="http://schemas.openxmlformats.org/officeDocument/2006/relationships/hyperlink" Target="http://pic.twitter.com/ZHgQFU8VrX" TargetMode="External"/><Relationship Id="rId3615" Type="http://schemas.openxmlformats.org/officeDocument/2006/relationships/hyperlink" Target="https://twitter.com/iraneman_org" TargetMode="External"/><Relationship Id="rId231" Type="http://schemas.openxmlformats.org/officeDocument/2006/relationships/hyperlink" Target="https://pbs.twimg.com/media/DmUUDElW4AA4rrK.jpg" TargetMode="External"/><Relationship Id="rId329" Type="http://schemas.openxmlformats.org/officeDocument/2006/relationships/hyperlink" Target="http://www.telegram.me/alisoltanivash" TargetMode="External"/><Relationship Id="rId536" Type="http://schemas.openxmlformats.org/officeDocument/2006/relationships/hyperlink" Target="http://www.oligen.ir/" TargetMode="External"/><Relationship Id="rId1166" Type="http://schemas.openxmlformats.org/officeDocument/2006/relationships/hyperlink" Target="http://pic.twitter.com/MA3Mj98osL" TargetMode="External"/><Relationship Id="rId1373" Type="http://schemas.openxmlformats.org/officeDocument/2006/relationships/hyperlink" Target="https://twitter.com/hassanrouhani/status/339764118317838336" TargetMode="External"/><Relationship Id="rId2217" Type="http://schemas.openxmlformats.org/officeDocument/2006/relationships/hyperlink" Target="https://pbs.twimg.com/media/Dl0ign4XsAAYQ-s.jpg" TargetMode="External"/><Relationship Id="rId2771" Type="http://schemas.openxmlformats.org/officeDocument/2006/relationships/hyperlink" Target="https://pbs.twimg.com/media/DlvzeDXW0AAjsTj.jpg" TargetMode="External"/><Relationship Id="rId2869" Type="http://schemas.openxmlformats.org/officeDocument/2006/relationships/hyperlink" Target="https://twitter.com/faa_raa135/status/1034465453152849920" TargetMode="External"/><Relationship Id="rId743" Type="http://schemas.openxmlformats.org/officeDocument/2006/relationships/hyperlink" Target="http://pic.twitter.com/WVmXTlqeBS" TargetMode="External"/><Relationship Id="rId950" Type="http://schemas.openxmlformats.org/officeDocument/2006/relationships/hyperlink" Target="https://pbs.twimg.com/media/DmMT2UrW0AAfquW.jpg" TargetMode="External"/><Relationship Id="rId1026" Type="http://schemas.openxmlformats.org/officeDocument/2006/relationships/hyperlink" Target="http://pic.twitter.com/KWDWaH4eWy" TargetMode="External"/><Relationship Id="rId1580" Type="http://schemas.openxmlformats.org/officeDocument/2006/relationships/hyperlink" Target="http://telegram.me/semahos" TargetMode="External"/><Relationship Id="rId1678" Type="http://schemas.openxmlformats.org/officeDocument/2006/relationships/hyperlink" Target="https://twitter.com/mohamadrezapar5/status/1035019764664545280" TargetMode="External"/><Relationship Id="rId1885" Type="http://schemas.openxmlformats.org/officeDocument/2006/relationships/hyperlink" Target="http://www.trtpersian.com/" TargetMode="External"/><Relationship Id="rId2424" Type="http://schemas.openxmlformats.org/officeDocument/2006/relationships/hyperlink" Target="https://twitter.com/isfahan_sa/status/1034802994422931456" TargetMode="External"/><Relationship Id="rId2631" Type="http://schemas.openxmlformats.org/officeDocument/2006/relationships/hyperlink" Target="https://twitter.com/surmelina_aidin/status/1034710158306365440" TargetMode="External"/><Relationship Id="rId2729" Type="http://schemas.openxmlformats.org/officeDocument/2006/relationships/hyperlink" Target="http://rouhani.ir/" TargetMode="External"/><Relationship Id="rId2936" Type="http://schemas.openxmlformats.org/officeDocument/2006/relationships/hyperlink" Target="http://pic.twitter.com/y7qgiV00NY" TargetMode="External"/><Relationship Id="rId603" Type="http://schemas.openxmlformats.org/officeDocument/2006/relationships/hyperlink" Target="https://twitter.com/MortezaGasemi66/status/1036977978671083525" TargetMode="External"/><Relationship Id="rId810" Type="http://schemas.openxmlformats.org/officeDocument/2006/relationships/hyperlink" Target="http://pic.twitter.com/KJikkjMBzs" TargetMode="External"/><Relationship Id="rId908" Type="http://schemas.openxmlformats.org/officeDocument/2006/relationships/hyperlink" Target="https://pbs.twimg.com/media/DmOIyV9U8AA23_y.jpg" TargetMode="External"/><Relationship Id="rId1233" Type="http://schemas.openxmlformats.org/officeDocument/2006/relationships/hyperlink" Target="http://entekhab.ir/" TargetMode="External"/><Relationship Id="rId1440" Type="http://schemas.openxmlformats.org/officeDocument/2006/relationships/hyperlink" Target="http://nazokbin.ir/" TargetMode="External"/><Relationship Id="rId1538" Type="http://schemas.openxmlformats.org/officeDocument/2006/relationships/hyperlink" Target="http://www.tasnimnews.com/" TargetMode="External"/><Relationship Id="rId1300" Type="http://schemas.openxmlformats.org/officeDocument/2006/relationships/hyperlink" Target="http://www.iranntv.com/" TargetMode="External"/><Relationship Id="rId1745" Type="http://schemas.openxmlformats.org/officeDocument/2006/relationships/hyperlink" Target="https://pbs.twimg.com/media/Dl_aE5QV4AAO553.jpg" TargetMode="External"/><Relationship Id="rId1952" Type="http://schemas.openxmlformats.org/officeDocument/2006/relationships/hyperlink" Target="http://pic.twitter.com/uSrgZCcmIn" TargetMode="External"/><Relationship Id="rId3198" Type="http://schemas.openxmlformats.org/officeDocument/2006/relationships/hyperlink" Target="http://telegram.me/Amirebtehaj1" TargetMode="External"/><Relationship Id="rId37" Type="http://schemas.openxmlformats.org/officeDocument/2006/relationships/hyperlink" Target="http://cyberwarzone.com/" TargetMode="External"/><Relationship Id="rId1605" Type="http://schemas.openxmlformats.org/officeDocument/2006/relationships/hyperlink" Target="http://cyberwarzone.com/" TargetMode="External"/><Relationship Id="rId1812" Type="http://schemas.openxmlformats.org/officeDocument/2006/relationships/hyperlink" Target="https://twitter.com/President_bakh/status/1035614924272267265" TargetMode="External"/><Relationship Id="rId3058" Type="http://schemas.openxmlformats.org/officeDocument/2006/relationships/hyperlink" Target="http://instagram.com/Alirezapirverdi" TargetMode="External"/><Relationship Id="rId3265" Type="http://schemas.openxmlformats.org/officeDocument/2006/relationships/hyperlink" Target="http://www.hosseinzafari.ir/" TargetMode="External"/><Relationship Id="rId3472" Type="http://schemas.openxmlformats.org/officeDocument/2006/relationships/hyperlink" Target="https://twitter.com/pouriazeraati/status/1034343134090743809" TargetMode="External"/><Relationship Id="rId186" Type="http://schemas.openxmlformats.org/officeDocument/2006/relationships/hyperlink" Target="https://pbs.twimg.com/media/DmUfzTXX4AEKfEX.jpg" TargetMode="External"/><Relationship Id="rId393" Type="http://schemas.openxmlformats.org/officeDocument/2006/relationships/hyperlink" Target="https://pbs.twimg.com/media/DmTBcXbXcAAl0m8.jpg" TargetMode="External"/><Relationship Id="rId2074" Type="http://schemas.openxmlformats.org/officeDocument/2006/relationships/hyperlink" Target="https://pbs.twimg.com/media/Dl3XIdlXcAIzOgY.jpg" TargetMode="External"/><Relationship Id="rId2281" Type="http://schemas.openxmlformats.org/officeDocument/2006/relationships/hyperlink" Target="https://pbs.twimg.com/media/DlyxtyHWsAIdbvM.jpg" TargetMode="External"/><Relationship Id="rId3125" Type="http://schemas.openxmlformats.org/officeDocument/2006/relationships/hyperlink" Target="http://www.iranintl.com/" TargetMode="External"/><Relationship Id="rId3332" Type="http://schemas.openxmlformats.org/officeDocument/2006/relationships/hyperlink" Target="https://t.me/trenditter" TargetMode="External"/><Relationship Id="rId253" Type="http://schemas.openxmlformats.org/officeDocument/2006/relationships/hyperlink" Target="https://pbs.twimg.com/media/DmUM-nxX4AAsaPL.jpg" TargetMode="External"/><Relationship Id="rId460" Type="http://schemas.openxmlformats.org/officeDocument/2006/relationships/hyperlink" Target="http://eranico.com/" TargetMode="External"/><Relationship Id="rId698" Type="http://schemas.openxmlformats.org/officeDocument/2006/relationships/hyperlink" Target="https://twitter.com/avant_tv" TargetMode="External"/><Relationship Id="rId1090" Type="http://schemas.openxmlformats.org/officeDocument/2006/relationships/hyperlink" Target="http://newspaper.hamshahri.org/" TargetMode="External"/><Relationship Id="rId2141" Type="http://schemas.openxmlformats.org/officeDocument/2006/relationships/hyperlink" Target="https://sabamedia.info/" TargetMode="External"/><Relationship Id="rId2379" Type="http://schemas.openxmlformats.org/officeDocument/2006/relationships/hyperlink" Target="https://www.jamaran.ir/fa/tiny/news-1000436" TargetMode="External"/><Relationship Id="rId2586" Type="http://schemas.openxmlformats.org/officeDocument/2006/relationships/hyperlink" Target="https://pbs.twimg.com/media/DlwWlWmW4AAD6Eh.jpg" TargetMode="External"/><Relationship Id="rId2793" Type="http://schemas.openxmlformats.org/officeDocument/2006/relationships/hyperlink" Target="https://pbs.twimg.com/media/DlvwbHcXgAECnZL.jpg" TargetMode="External"/><Relationship Id="rId3637" Type="http://schemas.openxmlformats.org/officeDocument/2006/relationships/hyperlink" Target="https://goo.gl/7F2aN6" TargetMode="External"/><Relationship Id="rId113" Type="http://schemas.openxmlformats.org/officeDocument/2006/relationships/hyperlink" Target="https://roozportal.com/?p=17555" TargetMode="External"/><Relationship Id="rId320" Type="http://schemas.openxmlformats.org/officeDocument/2006/relationships/hyperlink" Target="http://www.hajk1.ir/" TargetMode="External"/><Relationship Id="rId558" Type="http://schemas.openxmlformats.org/officeDocument/2006/relationships/hyperlink" Target="https://pbs.twimg.com/media/DmQzSrZWsAImiHP.jpg" TargetMode="External"/><Relationship Id="rId765" Type="http://schemas.openxmlformats.org/officeDocument/2006/relationships/hyperlink" Target="https://twitter.com/MasoudFadak/status/1036659071703834625" TargetMode="External"/><Relationship Id="rId972" Type="http://schemas.openxmlformats.org/officeDocument/2006/relationships/hyperlink" Target="http://www.instagram.com/AhmadReza.Kazemi" TargetMode="External"/><Relationship Id="rId1188" Type="http://schemas.openxmlformats.org/officeDocument/2006/relationships/hyperlink" Target="https://pbs.twimg.com/media/DmJdAtAU8AICKvO.jpg" TargetMode="External"/><Relationship Id="rId1395" Type="http://schemas.openxmlformats.org/officeDocument/2006/relationships/hyperlink" Target="http://entekhab.ir/" TargetMode="External"/><Relationship Id="rId2001" Type="http://schemas.openxmlformats.org/officeDocument/2006/relationships/hyperlink" Target="http://irezad.ir/" TargetMode="External"/><Relationship Id="rId2239" Type="http://schemas.openxmlformats.org/officeDocument/2006/relationships/hyperlink" Target="https://pbs.twimg.com/media/DlupcNjXsAAOPa-.jpg" TargetMode="External"/><Relationship Id="rId2446" Type="http://schemas.openxmlformats.org/officeDocument/2006/relationships/hyperlink" Target="https://pbs.twimg.com/media/DlxSGv0XcAAY7wV.jpg" TargetMode="External"/><Relationship Id="rId2653" Type="http://schemas.openxmlformats.org/officeDocument/2006/relationships/hyperlink" Target="http://radiozamaneh.com/" TargetMode="External"/><Relationship Id="rId2860" Type="http://schemas.openxmlformats.org/officeDocument/2006/relationships/hyperlink" Target="https://pbs.twimg.com/media/DlvgxvgW0AAHeuy.jpg" TargetMode="External"/><Relationship Id="rId418" Type="http://schemas.openxmlformats.org/officeDocument/2006/relationships/hyperlink" Target="https://twitter.com/elia12420/status/1037032052783239168" TargetMode="External"/><Relationship Id="rId625" Type="http://schemas.openxmlformats.org/officeDocument/2006/relationships/hyperlink" Target="http://t.me/hicch" TargetMode="External"/><Relationship Id="rId832" Type="http://schemas.openxmlformats.org/officeDocument/2006/relationships/hyperlink" Target="https://www.instagram.com/p/BnS-WjJBpC0/?utm_source=ig_twitter_share&amp;igshid=1opl727srl6br" TargetMode="External"/><Relationship Id="rId1048" Type="http://schemas.openxmlformats.org/officeDocument/2006/relationships/hyperlink" Target="https://t.me/AnDarShow" TargetMode="External"/><Relationship Id="rId1255" Type="http://schemas.openxmlformats.org/officeDocument/2006/relationships/hyperlink" Target="https://www.instagram.com/samsam_1371/" TargetMode="External"/><Relationship Id="rId1462" Type="http://schemas.openxmlformats.org/officeDocument/2006/relationships/hyperlink" Target="http://cyberwarzone.com/" TargetMode="External"/><Relationship Id="rId2306" Type="http://schemas.openxmlformats.org/officeDocument/2006/relationships/hyperlink" Target="https://twitter.com/Parpanchi/status/1034774212320419841" TargetMode="External"/><Relationship Id="rId2513" Type="http://schemas.openxmlformats.org/officeDocument/2006/relationships/hyperlink" Target="https://telegram.me/HarfBeManBot?start=NTY4MzY5MTAz" TargetMode="External"/><Relationship Id="rId2958" Type="http://schemas.openxmlformats.org/officeDocument/2006/relationships/hyperlink" Target="https://pbs.twimg.com/media/Dlt2Y4NXsAA98tr.jpg" TargetMode="External"/><Relationship Id="rId1115" Type="http://schemas.openxmlformats.org/officeDocument/2006/relationships/hyperlink" Target="http://www.tasnimnews.com/" TargetMode="External"/><Relationship Id="rId1322" Type="http://schemas.openxmlformats.org/officeDocument/2006/relationships/hyperlink" Target="https://pbs.twimg.com/media/DmGtYh0XoAc84DG.jpg" TargetMode="External"/><Relationship Id="rId1767" Type="http://schemas.openxmlformats.org/officeDocument/2006/relationships/hyperlink" Target="https://pbs.twimg.com/media/Dl_IApzWwAELrTm.jpg" TargetMode="External"/><Relationship Id="rId1974" Type="http://schemas.openxmlformats.org/officeDocument/2006/relationships/hyperlink" Target="http://newspaper.hamshahri.org/" TargetMode="External"/><Relationship Id="rId2720" Type="http://schemas.openxmlformats.org/officeDocument/2006/relationships/hyperlink" Target="http://www.zagrosian.com/" TargetMode="External"/><Relationship Id="rId2818" Type="http://schemas.openxmlformats.org/officeDocument/2006/relationships/hyperlink" Target="https://www.facebook.com/yosi.nastenka" TargetMode="External"/><Relationship Id="rId59" Type="http://schemas.openxmlformats.org/officeDocument/2006/relationships/hyperlink" Target="https://pbs.twimg.com/media/DmVPZJXXsAA9XCP.jpg" TargetMode="External"/><Relationship Id="rId1627" Type="http://schemas.openxmlformats.org/officeDocument/2006/relationships/hyperlink" Target="https://pbs.twimg.com/media/Dl67mXfU8AAn9ZE.jpg" TargetMode="External"/><Relationship Id="rId1834" Type="http://schemas.openxmlformats.org/officeDocument/2006/relationships/hyperlink" Target="https://pbs.twimg.com/media/Dl9MfB8X4AAGY88.jpg" TargetMode="External"/><Relationship Id="rId3287" Type="http://schemas.openxmlformats.org/officeDocument/2006/relationships/hyperlink" Target="https://twitter.com/Luxelinii/status/1032981925361868800" TargetMode="External"/><Relationship Id="rId2096" Type="http://schemas.openxmlformats.org/officeDocument/2006/relationships/hyperlink" Target="http://www.khabarfoori.com/" TargetMode="External"/><Relationship Id="rId3494" Type="http://schemas.openxmlformats.org/officeDocument/2006/relationships/hyperlink" Target="https://twitter.com/paddolat/status/1034372971580809221" TargetMode="External"/><Relationship Id="rId1901" Type="http://schemas.openxmlformats.org/officeDocument/2006/relationships/hyperlink" Target="https://pbs.twimg.com/media/Dl7yn7OU8AQiogx.jpg" TargetMode="External"/><Relationship Id="rId3147" Type="http://schemas.openxmlformats.org/officeDocument/2006/relationships/hyperlink" Target="http://pic.twitter.com/lh20VfCtpT" TargetMode="External"/><Relationship Id="rId3354" Type="http://schemas.openxmlformats.org/officeDocument/2006/relationships/hyperlink" Target="https://pbs.twimg.com/media/Dlr_HNBUYAIBbKj.jpg" TargetMode="External"/><Relationship Id="rId3561" Type="http://schemas.openxmlformats.org/officeDocument/2006/relationships/hyperlink" Target="https://t.me/rizbin_riznevesht" TargetMode="External"/><Relationship Id="rId275" Type="http://schemas.openxmlformats.org/officeDocument/2006/relationships/hyperlink" Target="http://manoto.news/" TargetMode="External"/><Relationship Id="rId482" Type="http://schemas.openxmlformats.org/officeDocument/2006/relationships/hyperlink" Target="https://pbs.twimg.com/media/DmRcxUyW0AA5lvi.jpg" TargetMode="External"/><Relationship Id="rId2163" Type="http://schemas.openxmlformats.org/officeDocument/2006/relationships/hyperlink" Target="https://pbs.twimg.com/media/Dl1wPVCXoAEclj4.jpg" TargetMode="External"/><Relationship Id="rId2370" Type="http://schemas.openxmlformats.org/officeDocument/2006/relationships/hyperlink" Target="http://www.koosheh.com/" TargetMode="External"/><Relationship Id="rId3007" Type="http://schemas.openxmlformats.org/officeDocument/2006/relationships/hyperlink" Target="http://pic.twitter.com/5Pp5i82OrG" TargetMode="External"/><Relationship Id="rId3214" Type="http://schemas.openxmlformats.org/officeDocument/2006/relationships/hyperlink" Target="http://shakhesnews.com/?p=171737" TargetMode="External"/><Relationship Id="rId3421" Type="http://schemas.openxmlformats.org/officeDocument/2006/relationships/hyperlink" Target="http://www.didehbansistan.ir/" TargetMode="External"/><Relationship Id="rId135" Type="http://schemas.openxmlformats.org/officeDocument/2006/relationships/hyperlink" Target="https://twitter.com/mehrodadm/status/1037262847724670976" TargetMode="External"/><Relationship Id="rId342" Type="http://schemas.openxmlformats.org/officeDocument/2006/relationships/hyperlink" Target="https://telegram.me/harfbemanbot?start=MTM3MDk0MjAy" TargetMode="External"/><Relationship Id="rId787" Type="http://schemas.openxmlformats.org/officeDocument/2006/relationships/hyperlink" Target="https://pbs.twimg.com/media/DmPUXJ5XgAAchRh.jpg" TargetMode="External"/><Relationship Id="rId994" Type="http://schemas.openxmlformats.org/officeDocument/2006/relationships/hyperlink" Target="https://pbs.twimg.com/media/Dl1oVKNXsAI__OB.jpg" TargetMode="External"/><Relationship Id="rId2023" Type="http://schemas.openxmlformats.org/officeDocument/2006/relationships/hyperlink" Target="http://pic.twitter.com/pVqSBWHNUC" TargetMode="External"/><Relationship Id="rId2230" Type="http://schemas.openxmlformats.org/officeDocument/2006/relationships/hyperlink" Target="https://twitter.com/abmomeni/status/1034519886926688256" TargetMode="External"/><Relationship Id="rId2468" Type="http://schemas.openxmlformats.org/officeDocument/2006/relationships/hyperlink" Target="https://www.ilna.ir/fa/tiny/news-662547" TargetMode="External"/><Relationship Id="rId2675" Type="http://schemas.openxmlformats.org/officeDocument/2006/relationships/hyperlink" Target="https://pbs.twimg.com/media/DlwIdQ_X0AE08RB.jpg" TargetMode="External"/><Relationship Id="rId2882" Type="http://schemas.openxmlformats.org/officeDocument/2006/relationships/hyperlink" Target="https://pbs.twimg.com/media/DlvN2B2UYAE08og.jpg" TargetMode="External"/><Relationship Id="rId3519" Type="http://schemas.openxmlformats.org/officeDocument/2006/relationships/hyperlink" Target="https://pbs.twimg.com/media/DlrKa0PX4AEbEOZ.jpg" TargetMode="External"/><Relationship Id="rId202" Type="http://schemas.openxmlformats.org/officeDocument/2006/relationships/hyperlink" Target="https://pbs.twimg.com/media/DmUbcHNW4AAYLlX.jpg" TargetMode="External"/><Relationship Id="rId647" Type="http://schemas.openxmlformats.org/officeDocument/2006/relationships/hyperlink" Target="https://pbs.twimg.com/media/DmQLq1LWwAAkHex.jpg" TargetMode="External"/><Relationship Id="rId854" Type="http://schemas.openxmlformats.org/officeDocument/2006/relationships/hyperlink" Target="http://pooriast.wordpress.com/" TargetMode="External"/><Relationship Id="rId1277" Type="http://schemas.openxmlformats.org/officeDocument/2006/relationships/hyperlink" Target="http://selahvarzi.com/" TargetMode="External"/><Relationship Id="rId1484" Type="http://schemas.openxmlformats.org/officeDocument/2006/relationships/hyperlink" Target="http://sobhe-no.ir/" TargetMode="External"/><Relationship Id="rId1691" Type="http://schemas.openxmlformats.org/officeDocument/2006/relationships/hyperlink" Target="http://t.me/Pvshahinbot" TargetMode="External"/><Relationship Id="rId2328" Type="http://schemas.openxmlformats.org/officeDocument/2006/relationships/hyperlink" Target="https://twitter.com/khabar_fouri/status/1034766036145504256" TargetMode="External"/><Relationship Id="rId2535" Type="http://schemas.openxmlformats.org/officeDocument/2006/relationships/hyperlink" Target="http://cyberwarzone.com/" TargetMode="External"/><Relationship Id="rId2742" Type="http://schemas.openxmlformats.org/officeDocument/2006/relationships/hyperlink" Target="http://www.yjc.ir/" TargetMode="External"/><Relationship Id="rId507" Type="http://schemas.openxmlformats.org/officeDocument/2006/relationships/hyperlink" Target="http://www.iranthisway.com/" TargetMode="External"/><Relationship Id="rId714" Type="http://schemas.openxmlformats.org/officeDocument/2006/relationships/hyperlink" Target="https://pbs.twimg.com/media/DmPjPXvWwAALRf-.jpg" TargetMode="External"/><Relationship Id="rId921" Type="http://schemas.openxmlformats.org/officeDocument/2006/relationships/hyperlink" Target="http://peyman.apps-1and1.net/" TargetMode="External"/><Relationship Id="rId1137" Type="http://schemas.openxmlformats.org/officeDocument/2006/relationships/hyperlink" Target="https://twitter.com/a_gholhaki/status/1036556096155131906" TargetMode="External"/><Relationship Id="rId1344" Type="http://schemas.openxmlformats.org/officeDocument/2006/relationships/hyperlink" Target="http://paper.li/MelissaCremon/1483087707" TargetMode="External"/><Relationship Id="rId1551" Type="http://schemas.openxmlformats.org/officeDocument/2006/relationships/hyperlink" Target="http://titre1.ir/" TargetMode="External"/><Relationship Id="rId1789" Type="http://schemas.openxmlformats.org/officeDocument/2006/relationships/hyperlink" Target="http://tinyurl.com/yajl24g3" TargetMode="External"/><Relationship Id="rId1996" Type="http://schemas.openxmlformats.org/officeDocument/2006/relationships/hyperlink" Target="https://pbs.twimg.com/media/Dl59gYMUUAALnWQ.jpg" TargetMode="External"/><Relationship Id="rId2602" Type="http://schemas.openxmlformats.org/officeDocument/2006/relationships/hyperlink" Target="https://pbs.twimg.com/media/DlwXoRfXsAAmciN.jpg" TargetMode="External"/><Relationship Id="rId50" Type="http://schemas.openxmlformats.org/officeDocument/2006/relationships/hyperlink" Target="http://www.victoriaazad.com/" TargetMode="External"/><Relationship Id="rId1204" Type="http://schemas.openxmlformats.org/officeDocument/2006/relationships/hyperlink" Target="http://telegram.me/omidpouraziz" TargetMode="External"/><Relationship Id="rId1411" Type="http://schemas.openxmlformats.org/officeDocument/2006/relationships/hyperlink" Target="http://tn.ai/1816042" TargetMode="External"/><Relationship Id="rId1649" Type="http://schemas.openxmlformats.org/officeDocument/2006/relationships/hyperlink" Target="https://pbs.twimg.com/media/DmA08fBXgAAkP3p.jpg" TargetMode="External"/><Relationship Id="rId1856" Type="http://schemas.openxmlformats.org/officeDocument/2006/relationships/hyperlink" Target="http://pic.twitter.com/pUt1UmcJ2X" TargetMode="External"/><Relationship Id="rId2907" Type="http://schemas.openxmlformats.org/officeDocument/2006/relationships/hyperlink" Target="https://pbs.twimg.com/media/DltS6rJXsAEEm_L.jpg" TargetMode="External"/><Relationship Id="rId3071" Type="http://schemas.openxmlformats.org/officeDocument/2006/relationships/hyperlink" Target="http://www.kadkhodaee.ir/" TargetMode="External"/><Relationship Id="rId1509" Type="http://schemas.openxmlformats.org/officeDocument/2006/relationships/hyperlink" Target="https://pbs.twimg.com/media/DmEwPBpX4AA6mwC.jpg" TargetMode="External"/><Relationship Id="rId1716" Type="http://schemas.openxmlformats.org/officeDocument/2006/relationships/hyperlink" Target="http://kayhan.ir/" TargetMode="External"/><Relationship Id="rId1923" Type="http://schemas.openxmlformats.org/officeDocument/2006/relationships/hyperlink" Target="https://aminsabeti.net/" TargetMode="External"/><Relationship Id="rId3169" Type="http://schemas.openxmlformats.org/officeDocument/2006/relationships/hyperlink" Target="http://www.yjc.ir/" TargetMode="External"/><Relationship Id="rId3376" Type="http://schemas.openxmlformats.org/officeDocument/2006/relationships/hyperlink" Target="http://pic.twitter.com/MYydUvyW5g" TargetMode="External"/><Relationship Id="rId3583" Type="http://schemas.openxmlformats.org/officeDocument/2006/relationships/hyperlink" Target="http://www.tasnimnews.com/" TargetMode="External"/><Relationship Id="rId297" Type="http://schemas.openxmlformats.org/officeDocument/2006/relationships/hyperlink" Target="http://pic.twitter.com/gRfhSxh6Md" TargetMode="External"/><Relationship Id="rId2185" Type="http://schemas.openxmlformats.org/officeDocument/2006/relationships/hyperlink" Target="http://www.malekli.ir/" TargetMode="External"/><Relationship Id="rId2392" Type="http://schemas.openxmlformats.org/officeDocument/2006/relationships/hyperlink" Target="http://www.voisfarsi.com/" TargetMode="External"/><Relationship Id="rId3029" Type="http://schemas.openxmlformats.org/officeDocument/2006/relationships/hyperlink" Target="https://twitter.com/vahidhdi/status/1034298223035392000" TargetMode="External"/><Relationship Id="rId3236" Type="http://schemas.openxmlformats.org/officeDocument/2006/relationships/hyperlink" Target="https://pbs.twimg.com/media/Dlscb1WXgAEdnz9.jpg" TargetMode="External"/><Relationship Id="rId157" Type="http://schemas.openxmlformats.org/officeDocument/2006/relationships/hyperlink" Target="http://www.amirbagherian.com/" TargetMode="External"/><Relationship Id="rId364" Type="http://schemas.openxmlformats.org/officeDocument/2006/relationships/hyperlink" Target="https://pbs.twimg.com/media/DmTifYrXsAACyXz.jpg" TargetMode="External"/><Relationship Id="rId2045" Type="http://schemas.openxmlformats.org/officeDocument/2006/relationships/hyperlink" Target="http://naeimehdoustdar.wordpress.com/" TargetMode="External"/><Relationship Id="rId2697" Type="http://schemas.openxmlformats.org/officeDocument/2006/relationships/hyperlink" Target="https://pbs.twimg.com/media/DlwDWAgWsAAnjfK.jpg" TargetMode="External"/><Relationship Id="rId3443" Type="http://schemas.openxmlformats.org/officeDocument/2006/relationships/hyperlink" Target="https://pbs.twimg.com/media/DlrfrA0X0AAyxS5.jpg" TargetMode="External"/><Relationship Id="rId3650" Type="http://schemas.openxmlformats.org/officeDocument/2006/relationships/hyperlink" Target="https://pbs.twimg.com/media/DlqtiViXcAAmlq7.jpg" TargetMode="External"/><Relationship Id="rId571" Type="http://schemas.openxmlformats.org/officeDocument/2006/relationships/hyperlink" Target="https://pbs.twimg.com/media/DmQmvVIW0AEUDrf.jpg" TargetMode="External"/><Relationship Id="rId669" Type="http://schemas.openxmlformats.org/officeDocument/2006/relationships/hyperlink" Target="https://pbs.twimg.com/media/DmQDMwUW0AAG1v1.jpg" TargetMode="External"/><Relationship Id="rId876" Type="http://schemas.openxmlformats.org/officeDocument/2006/relationships/hyperlink" Target="http://www.tasnimnews.com/" TargetMode="External"/><Relationship Id="rId1299" Type="http://schemas.openxmlformats.org/officeDocument/2006/relationships/hyperlink" Target="https://pbs.twimg.com/media/DmHAyvXW4AI8BS0.jpg" TargetMode="External"/><Relationship Id="rId2252" Type="http://schemas.openxmlformats.org/officeDocument/2006/relationships/hyperlink" Target="https://twitter.com/zmr_275l/status/1034814673034661889" TargetMode="External"/><Relationship Id="rId2557" Type="http://schemas.openxmlformats.org/officeDocument/2006/relationships/hyperlink" Target="https://pbs.twimg.com/media/DlwikMPXsAAcqIu.jpg" TargetMode="External"/><Relationship Id="rId3303" Type="http://schemas.openxmlformats.org/officeDocument/2006/relationships/hyperlink" Target="https://pbs.twimg.com/media/DlsMVLsXsAEyKkd.jpg" TargetMode="External"/><Relationship Id="rId3510" Type="http://schemas.openxmlformats.org/officeDocument/2006/relationships/hyperlink" Target="https://t.me/makhtorat" TargetMode="External"/><Relationship Id="rId3608" Type="http://schemas.openxmlformats.org/officeDocument/2006/relationships/hyperlink" Target="http://www.rtgk.persianblog.ir/" TargetMode="External"/><Relationship Id="rId224" Type="http://schemas.openxmlformats.org/officeDocument/2006/relationships/hyperlink" Target="https://pbs.twimg.com/media/DmUVmCKUcAAXRdd.jpg" TargetMode="External"/><Relationship Id="rId431" Type="http://schemas.openxmlformats.org/officeDocument/2006/relationships/hyperlink" Target="http://www.iran-emrooz.net/index.php/news1/72797/" TargetMode="External"/><Relationship Id="rId529" Type="http://schemas.openxmlformats.org/officeDocument/2006/relationships/hyperlink" Target="https://pbs.twimg.com/media/DmRGAwcXoAALkZM.jpg" TargetMode="External"/><Relationship Id="rId736" Type="http://schemas.openxmlformats.org/officeDocument/2006/relationships/hyperlink" Target="https://twitter.com/masoudkazemi81/status/1036904992639250433" TargetMode="External"/><Relationship Id="rId1061" Type="http://schemas.openxmlformats.org/officeDocument/2006/relationships/hyperlink" Target="http://cyberwarzone.com/" TargetMode="External"/><Relationship Id="rId1159" Type="http://schemas.openxmlformats.org/officeDocument/2006/relationships/hyperlink" Target="https://twitter.com/truthmines/status/1034314231875661824" TargetMode="External"/><Relationship Id="rId1366" Type="http://schemas.openxmlformats.org/officeDocument/2006/relationships/hyperlink" Target="http://persian.euronews.com/" TargetMode="External"/><Relationship Id="rId2112" Type="http://schemas.openxmlformats.org/officeDocument/2006/relationships/hyperlink" Target="http://pic.twitter.com/UbjFrupCBt" TargetMode="External"/><Relationship Id="rId2417" Type="http://schemas.openxmlformats.org/officeDocument/2006/relationships/hyperlink" Target="https://pbs.twimg.com/media/DlxhOCTW4AAMe33.jpg" TargetMode="External"/><Relationship Id="rId2764" Type="http://schemas.openxmlformats.org/officeDocument/2006/relationships/hyperlink" Target="http://payambarpour.wordpress.com/" TargetMode="External"/><Relationship Id="rId2971" Type="http://schemas.openxmlformats.org/officeDocument/2006/relationships/hyperlink" Target="https://pbs.twimg.com/media/DltyO9jXoAIil31.jpg" TargetMode="External"/><Relationship Id="rId943" Type="http://schemas.openxmlformats.org/officeDocument/2006/relationships/hyperlink" Target="http://mohammad.gh/" TargetMode="External"/><Relationship Id="rId1019" Type="http://schemas.openxmlformats.org/officeDocument/2006/relationships/hyperlink" Target="http://www.ronasart.com/" TargetMode="External"/><Relationship Id="rId1573" Type="http://schemas.openxmlformats.org/officeDocument/2006/relationships/hyperlink" Target="https://youtu.be/aNEuurD-fy4" TargetMode="External"/><Relationship Id="rId1780" Type="http://schemas.openxmlformats.org/officeDocument/2006/relationships/hyperlink" Target="http://www.iranenergy.news/" TargetMode="External"/><Relationship Id="rId1878" Type="http://schemas.openxmlformats.org/officeDocument/2006/relationships/hyperlink" Target="https://pbs.twimg.com/media/Dl7A-5nW4AAEOwN.jpg" TargetMode="External"/><Relationship Id="rId2624" Type="http://schemas.openxmlformats.org/officeDocument/2006/relationships/hyperlink" Target="http://www.hajk1.ir/" TargetMode="External"/><Relationship Id="rId2831" Type="http://schemas.openxmlformats.org/officeDocument/2006/relationships/hyperlink" Target="https://twitter.com/digaran/status/1034656136476143618" TargetMode="External"/><Relationship Id="rId2929" Type="http://schemas.openxmlformats.org/officeDocument/2006/relationships/hyperlink" Target="http://cyberwarzone.com/" TargetMode="External"/><Relationship Id="rId72" Type="http://schemas.openxmlformats.org/officeDocument/2006/relationships/hyperlink" Target="https://telegram.me/harfbemanbot?start=NDMxNDM5MDI1" TargetMode="External"/><Relationship Id="rId803" Type="http://schemas.openxmlformats.org/officeDocument/2006/relationships/hyperlink" Target="http://www.farsnews.com/" TargetMode="External"/><Relationship Id="rId1226" Type="http://schemas.openxmlformats.org/officeDocument/2006/relationships/hyperlink" Target="https://www.ilna.ir/fa/tiny/news-663352" TargetMode="External"/><Relationship Id="rId1433" Type="http://schemas.openxmlformats.org/officeDocument/2006/relationships/hyperlink" Target="http://www.ilna.ir/" TargetMode="External"/><Relationship Id="rId1640" Type="http://schemas.openxmlformats.org/officeDocument/2006/relationships/hyperlink" Target="https://pbs.twimg.com/media/DmBDQ79UwAAEbyv.jpg" TargetMode="External"/><Relationship Id="rId1738" Type="http://schemas.openxmlformats.org/officeDocument/2006/relationships/hyperlink" Target="http://pic.twitter.com/Utk2GfY0gp" TargetMode="External"/><Relationship Id="rId3093" Type="http://schemas.openxmlformats.org/officeDocument/2006/relationships/hyperlink" Target="http://iranshahrig.com/" TargetMode="External"/><Relationship Id="rId1500" Type="http://schemas.openxmlformats.org/officeDocument/2006/relationships/hyperlink" Target="http://pic.twitter.com/XoBGvou8KC" TargetMode="External"/><Relationship Id="rId1945" Type="http://schemas.openxmlformats.org/officeDocument/2006/relationships/hyperlink" Target="https://instagram.com/_u/muhammad.bagher.fa/" TargetMode="External"/><Relationship Id="rId3160" Type="http://schemas.openxmlformats.org/officeDocument/2006/relationships/hyperlink" Target="https://pbs.twimg.com/media/Dls3TGhW0AAAFV2.jpg" TargetMode="External"/><Relationship Id="rId3398" Type="http://schemas.openxmlformats.org/officeDocument/2006/relationships/hyperlink" Target="http://pic.twitter.com/pPZ3hOncMP" TargetMode="External"/><Relationship Id="rId1805" Type="http://schemas.openxmlformats.org/officeDocument/2006/relationships/hyperlink" Target="http://rezabardiya.blogfa.com/" TargetMode="External"/><Relationship Id="rId3020" Type="http://schemas.openxmlformats.org/officeDocument/2006/relationships/hyperlink" Target="https://pbs.twimg.com/media/DltfBVrWwAANLzJ.jpg" TargetMode="External"/><Relationship Id="rId3258" Type="http://schemas.openxmlformats.org/officeDocument/2006/relationships/hyperlink" Target="http://newspaper.hamshahri.org/" TargetMode="External"/><Relationship Id="rId3465" Type="http://schemas.openxmlformats.org/officeDocument/2006/relationships/hyperlink" Target="http://shahnazhasaniblogfa.com/" TargetMode="External"/><Relationship Id="rId179" Type="http://schemas.openxmlformats.org/officeDocument/2006/relationships/hyperlink" Target="https://pbs.twimg.com/media/DmUig3OXsAMJZGT.jpg" TargetMode="External"/><Relationship Id="rId386" Type="http://schemas.openxmlformats.org/officeDocument/2006/relationships/hyperlink" Target="https://pbs.twimg.com/media/DmTRckdX4AMPDWj.jpg" TargetMode="External"/><Relationship Id="rId593" Type="http://schemas.openxmlformats.org/officeDocument/2006/relationships/hyperlink" Target="https://twitter.com/shakilamonfared/status/1036937275207086080" TargetMode="External"/><Relationship Id="rId2067" Type="http://schemas.openxmlformats.org/officeDocument/2006/relationships/hyperlink" Target="http://sarzaminjavid.com/" TargetMode="External"/><Relationship Id="rId2274" Type="http://schemas.openxmlformats.org/officeDocument/2006/relationships/hyperlink" Target="https://pbs.twimg.com/media/Dly3scmX4AArE4C.jpg" TargetMode="External"/><Relationship Id="rId2481" Type="http://schemas.openxmlformats.org/officeDocument/2006/relationships/hyperlink" Target="https://pbs.twimg.com/media/DlxE_GQWwAAGCQn.jpg" TargetMode="External"/><Relationship Id="rId3118" Type="http://schemas.openxmlformats.org/officeDocument/2006/relationships/hyperlink" Target="https://pbs.twimg.com/media/DltFpmyU0AAELTL.jpg" TargetMode="External"/><Relationship Id="rId3325" Type="http://schemas.openxmlformats.org/officeDocument/2006/relationships/hyperlink" Target="https://pbs.twimg.com/media/DlsJa2tW4AACZpy.jpg" TargetMode="External"/><Relationship Id="rId3532" Type="http://schemas.openxmlformats.org/officeDocument/2006/relationships/hyperlink" Target="http://www.khoorna.com/" TargetMode="External"/><Relationship Id="rId246" Type="http://schemas.openxmlformats.org/officeDocument/2006/relationships/hyperlink" Target="https://pbs.twimg.com/media/DmUCYihXoAAu8tK.jpg" TargetMode="External"/><Relationship Id="rId453" Type="http://schemas.openxmlformats.org/officeDocument/2006/relationships/hyperlink" Target="http://pic.twitter.com/J57AkbdgFw" TargetMode="External"/><Relationship Id="rId660" Type="http://schemas.openxmlformats.org/officeDocument/2006/relationships/hyperlink" Target="http://farahan.blogsky.com/" TargetMode="External"/><Relationship Id="rId898" Type="http://schemas.openxmlformats.org/officeDocument/2006/relationships/hyperlink" Target="http://www.edrismohammadi.rzb.ir/" TargetMode="External"/><Relationship Id="rId1083" Type="http://schemas.openxmlformats.org/officeDocument/2006/relationships/hyperlink" Target="https://www.isna.ir/news/97061206000/" TargetMode="External"/><Relationship Id="rId1290" Type="http://schemas.openxmlformats.org/officeDocument/2006/relationships/hyperlink" Target="http://www.iranntv.com/" TargetMode="External"/><Relationship Id="rId2134" Type="http://schemas.openxmlformats.org/officeDocument/2006/relationships/hyperlink" Target="https://pbs.twimg.com/media/Dl2Qu1lWsAAzMu5.jpg" TargetMode="External"/><Relationship Id="rId2341" Type="http://schemas.openxmlformats.org/officeDocument/2006/relationships/hyperlink" Target="https://pbs.twimg.com/media/DlyTw1FX4AIItGx.jpg" TargetMode="External"/><Relationship Id="rId2579" Type="http://schemas.openxmlformats.org/officeDocument/2006/relationships/hyperlink" Target="http://instagram.com/yasser.babaei.m" TargetMode="External"/><Relationship Id="rId2786" Type="http://schemas.openxmlformats.org/officeDocument/2006/relationships/hyperlink" Target="https://pbs.twimg.com/media/DlvxTENWwAA85Vm.jpg" TargetMode="External"/><Relationship Id="rId2993" Type="http://schemas.openxmlformats.org/officeDocument/2006/relationships/hyperlink" Target="https://www.instagram.com/miantitr" TargetMode="External"/><Relationship Id="rId106" Type="http://schemas.openxmlformats.org/officeDocument/2006/relationships/hyperlink" Target="https://pbs.twimg.com/media/DmU7JbkWwAIACuc.jpg" TargetMode="External"/><Relationship Id="rId313" Type="http://schemas.openxmlformats.org/officeDocument/2006/relationships/hyperlink" Target="http://www.eghtesadonline.com/" TargetMode="External"/><Relationship Id="rId758" Type="http://schemas.openxmlformats.org/officeDocument/2006/relationships/hyperlink" Target="https://goo.gl/c4g83u" TargetMode="External"/><Relationship Id="rId965" Type="http://schemas.openxmlformats.org/officeDocument/2006/relationships/hyperlink" Target="https://pbs.twimg.com/media/DmMF_QQXsAA6fqx.jpg" TargetMode="External"/><Relationship Id="rId1150" Type="http://schemas.openxmlformats.org/officeDocument/2006/relationships/hyperlink" Target="https://www.ilna.ir/fa/tiny/news-664300" TargetMode="External"/><Relationship Id="rId1388" Type="http://schemas.openxmlformats.org/officeDocument/2006/relationships/hyperlink" Target="https://pbs.twimg.com/media/DmFvtuFWwAImOuf.jpg" TargetMode="External"/><Relationship Id="rId1595" Type="http://schemas.openxmlformats.org/officeDocument/2006/relationships/hyperlink" Target="https://youtu.be/sLWAJIcPfMw" TargetMode="External"/><Relationship Id="rId2439" Type="http://schemas.openxmlformats.org/officeDocument/2006/relationships/hyperlink" Target="https://pbs.twimg.com/media/Dlw3T8jW4AMw1os.jpg" TargetMode="External"/><Relationship Id="rId2646" Type="http://schemas.openxmlformats.org/officeDocument/2006/relationships/hyperlink" Target="http://instagram.com/danial.esfandiare" TargetMode="External"/><Relationship Id="rId2853" Type="http://schemas.openxmlformats.org/officeDocument/2006/relationships/hyperlink" Target="https://pbs.twimg.com/media/DltLtktW0AAVzzU.jpg" TargetMode="External"/><Relationship Id="rId94" Type="http://schemas.openxmlformats.org/officeDocument/2006/relationships/hyperlink" Target="https://pbs.twimg.com/media/DmVBbbSX4AYd1SW.jpg" TargetMode="External"/><Relationship Id="rId520" Type="http://schemas.openxmlformats.org/officeDocument/2006/relationships/hyperlink" Target="http://pic.twitter.com/ZZsBBrPckg" TargetMode="External"/><Relationship Id="rId618" Type="http://schemas.openxmlformats.org/officeDocument/2006/relationships/hyperlink" Target="https://twitter.com/P_Salahshouri/status/1036873560936079360" TargetMode="External"/><Relationship Id="rId825" Type="http://schemas.openxmlformats.org/officeDocument/2006/relationships/hyperlink" Target="https://www.radiozamaneh.com/410620" TargetMode="External"/><Relationship Id="rId1248" Type="http://schemas.openxmlformats.org/officeDocument/2006/relationships/hyperlink" Target="http://www.iranntv.com/" TargetMode="External"/><Relationship Id="rId1455" Type="http://schemas.openxmlformats.org/officeDocument/2006/relationships/hyperlink" Target="https://pbs.twimg.com/media/DmFJsKfW0AAaoPu.jpg" TargetMode="External"/><Relationship Id="rId1662" Type="http://schemas.openxmlformats.org/officeDocument/2006/relationships/hyperlink" Target="https://pbs.twimg.com/media/DmAMZ_OXsAApbcy.jpg" TargetMode="External"/><Relationship Id="rId2201" Type="http://schemas.openxmlformats.org/officeDocument/2006/relationships/hyperlink" Target="https://pbs.twimg.com/media/Dl0-_45XgAAvyal.jpg" TargetMode="External"/><Relationship Id="rId2506" Type="http://schemas.openxmlformats.org/officeDocument/2006/relationships/hyperlink" Target="https://news.mojahedin.org/i/%D8%A2%D8%B3%D9%88%D8%B4%DB%8C%D8%AA%D8%AF%D9%BE%D8%B1%D8%B3-%D8%AA%D8%B8%D8%A7%D9%87%D8%B1%D8%A7%D8%AA-%D8%AF%DB%8C%D9%85%D8%A7%D9%87-%D8%A7%DB%8C%D8%B1%D8%A7%D9%86-%D9%84%D8%B1%D8%B2%D9%87-%D8%A7%D9%86%D8%AF%D8%A7%D8%AE%D8%AA" TargetMode="External"/><Relationship Id="rId1010" Type="http://schemas.openxmlformats.org/officeDocument/2006/relationships/hyperlink" Target="https://pbs.twimg.com/media/DmLpwWIWsAETMuO.jpg" TargetMode="External"/><Relationship Id="rId1108" Type="http://schemas.openxmlformats.org/officeDocument/2006/relationships/hyperlink" Target="https://goo.gl/UvJYTv" TargetMode="External"/><Relationship Id="rId1315" Type="http://schemas.openxmlformats.org/officeDocument/2006/relationships/hyperlink" Target="http://trtpersian.com/" TargetMode="External"/><Relationship Id="rId1967" Type="http://schemas.openxmlformats.org/officeDocument/2006/relationships/hyperlink" Target="https://pbs.twimg.com/media/Dl6faGoX0AAj-r1.jpg" TargetMode="External"/><Relationship Id="rId2713" Type="http://schemas.openxmlformats.org/officeDocument/2006/relationships/hyperlink" Target="http://akharinkhabar.ir/" TargetMode="External"/><Relationship Id="rId2920" Type="http://schemas.openxmlformats.org/officeDocument/2006/relationships/hyperlink" Target="https://pbs.twimg.com/media/DluJPTvXoAAauWg.jpg" TargetMode="External"/><Relationship Id="rId1522" Type="http://schemas.openxmlformats.org/officeDocument/2006/relationships/hyperlink" Target="https://pbs.twimg.com/media/DmEdLxIX4AE1nfO.jpg" TargetMode="External"/><Relationship Id="rId21" Type="http://schemas.openxmlformats.org/officeDocument/2006/relationships/hyperlink" Target="https://www.ilna.ir/fa/tiny/news-665145" TargetMode="External"/><Relationship Id="rId2089" Type="http://schemas.openxmlformats.org/officeDocument/2006/relationships/hyperlink" Target="http://pic.twitter.com/DbyKZWbFhX" TargetMode="External"/><Relationship Id="rId3487" Type="http://schemas.openxmlformats.org/officeDocument/2006/relationships/hyperlink" Target="https://ift.tt/2wmayR8" TargetMode="External"/><Relationship Id="rId2296" Type="http://schemas.openxmlformats.org/officeDocument/2006/relationships/hyperlink" Target="https://twitter.com/mehdixr/status/1028690179656245249" TargetMode="External"/><Relationship Id="rId3347" Type="http://schemas.openxmlformats.org/officeDocument/2006/relationships/hyperlink" Target="http://www.iranintl.com/" TargetMode="External"/><Relationship Id="rId3554" Type="http://schemas.openxmlformats.org/officeDocument/2006/relationships/hyperlink" Target="http://pic.twitter.com/YGDXKo0Fea" TargetMode="External"/><Relationship Id="rId268" Type="http://schemas.openxmlformats.org/officeDocument/2006/relationships/hyperlink" Target="https://twitter.com/mmia6889/status/987781078965542914" TargetMode="External"/><Relationship Id="rId475" Type="http://schemas.openxmlformats.org/officeDocument/2006/relationships/hyperlink" Target="http://mellatmag.com/" TargetMode="External"/><Relationship Id="rId682" Type="http://schemas.openxmlformats.org/officeDocument/2006/relationships/hyperlink" Target="https://pbs.twimg.com/media/DmP-fjUW0AAlrUv.jpg" TargetMode="External"/><Relationship Id="rId2156" Type="http://schemas.openxmlformats.org/officeDocument/2006/relationships/hyperlink" Target="http://bit.ly/2spGvnO" TargetMode="External"/><Relationship Id="rId2363" Type="http://schemas.openxmlformats.org/officeDocument/2006/relationships/hyperlink" Target="https://pbs.twimg.com/media/DlyJ4_IXsAAnlon.jpg" TargetMode="External"/><Relationship Id="rId2570" Type="http://schemas.openxmlformats.org/officeDocument/2006/relationships/hyperlink" Target="https://pbs.twimg.com/media/DlweZA9X4AAvLIL.jpg" TargetMode="External"/><Relationship Id="rId3207" Type="http://schemas.openxmlformats.org/officeDocument/2006/relationships/hyperlink" Target="https://twitter.com/tahamajidii/status/1034304854154534912" TargetMode="External"/><Relationship Id="rId3414" Type="http://schemas.openxmlformats.org/officeDocument/2006/relationships/hyperlink" Target="https://news.mojahedin.org/id/a0f520e8-2c27-4138-aba4-726672ffd237" TargetMode="External"/><Relationship Id="rId3621" Type="http://schemas.openxmlformats.org/officeDocument/2006/relationships/hyperlink" Target="http://inestagram.com/paper.tulip" TargetMode="External"/><Relationship Id="rId128" Type="http://schemas.openxmlformats.org/officeDocument/2006/relationships/hyperlink" Target="https://twitter.com/nazanin_ban00/status/1037265199538024449" TargetMode="External"/><Relationship Id="rId335" Type="http://schemas.openxmlformats.org/officeDocument/2006/relationships/hyperlink" Target="http://www.acs.ir/" TargetMode="External"/><Relationship Id="rId542" Type="http://schemas.openxmlformats.org/officeDocument/2006/relationships/hyperlink" Target="https://instagram.com/javad_tayyeb" TargetMode="External"/><Relationship Id="rId1172" Type="http://schemas.openxmlformats.org/officeDocument/2006/relationships/hyperlink" Target="https://pbs.twimg.com/media/DmKOp9ZW0AUv7rb.jpg" TargetMode="External"/><Relationship Id="rId2016" Type="http://schemas.openxmlformats.org/officeDocument/2006/relationships/hyperlink" Target="http://pic.twitter.com/aukmKB94iW" TargetMode="External"/><Relationship Id="rId2223" Type="http://schemas.openxmlformats.org/officeDocument/2006/relationships/hyperlink" Target="https://twitter.com/IRNA_1313/status/1034799517332332546" TargetMode="External"/><Relationship Id="rId2430" Type="http://schemas.openxmlformats.org/officeDocument/2006/relationships/hyperlink" Target="https://twitter.com/aliakrami6/status/1034788813837463552" TargetMode="External"/><Relationship Id="rId402" Type="http://schemas.openxmlformats.org/officeDocument/2006/relationships/hyperlink" Target="http://pic.twitter.com/fWJxHnZK3q" TargetMode="External"/><Relationship Id="rId1032" Type="http://schemas.openxmlformats.org/officeDocument/2006/relationships/hyperlink" Target="https://pbs.twimg.com/media/DmLdrCRXcAA-RR_.jpg" TargetMode="External"/><Relationship Id="rId1989" Type="http://schemas.openxmlformats.org/officeDocument/2006/relationships/hyperlink" Target="http://instagram.com/alidehghan_b" TargetMode="External"/><Relationship Id="rId1849" Type="http://schemas.openxmlformats.org/officeDocument/2006/relationships/hyperlink" Target="https://pbs.twimg.com/media/Dl7WdI2W4AEAjiK.jpg" TargetMode="External"/><Relationship Id="rId3064" Type="http://schemas.openxmlformats.org/officeDocument/2006/relationships/hyperlink" Target="https://pbs.twimg.com/media/DltSGSjVAAAcDXo.jpg" TargetMode="External"/><Relationship Id="rId192" Type="http://schemas.openxmlformats.org/officeDocument/2006/relationships/hyperlink" Target="https://twitter.com/azar_mansoori/status/1037025795343110144" TargetMode="External"/><Relationship Id="rId1709" Type="http://schemas.openxmlformats.org/officeDocument/2006/relationships/hyperlink" Target="http://garargah.blog.ir/" TargetMode="External"/><Relationship Id="rId1916" Type="http://schemas.openxmlformats.org/officeDocument/2006/relationships/hyperlink" Target="https://pbs.twimg.com/media/Dl7iDsxW4AAmIhg.jpg" TargetMode="External"/><Relationship Id="rId3271" Type="http://schemas.openxmlformats.org/officeDocument/2006/relationships/hyperlink" Target="https://twitter.com/tavakoli1367/status/1034322748401696768" TargetMode="External"/><Relationship Id="rId2080" Type="http://schemas.openxmlformats.org/officeDocument/2006/relationships/hyperlink" Target="http://www.iribnews.ir/fa/news/2215439" TargetMode="External"/><Relationship Id="rId3131" Type="http://schemas.openxmlformats.org/officeDocument/2006/relationships/hyperlink" Target="https://t.me/arazbahram" TargetMode="External"/><Relationship Id="rId2897" Type="http://schemas.openxmlformats.org/officeDocument/2006/relationships/hyperlink" Target="https://pbs.twimg.com/media/DluvLO8XgAAV6N0.jpg" TargetMode="External"/><Relationship Id="rId869" Type="http://schemas.openxmlformats.org/officeDocument/2006/relationships/hyperlink" Target="http://neveshtehaa.blog.ir/" TargetMode="External"/><Relationship Id="rId1499" Type="http://schemas.openxmlformats.org/officeDocument/2006/relationships/hyperlink" Target="http://t.me/masaebeensanboodan" TargetMode="External"/><Relationship Id="rId729" Type="http://schemas.openxmlformats.org/officeDocument/2006/relationships/hyperlink" Target="http://pic.twitter.com/9csx9sh9h8" TargetMode="External"/><Relationship Id="rId1359" Type="http://schemas.openxmlformats.org/officeDocument/2006/relationships/hyperlink" Target="https://pbs.twimg.com/media/DmGNUYTXcAEgpAQ.jpg" TargetMode="External"/><Relationship Id="rId2757" Type="http://schemas.openxmlformats.org/officeDocument/2006/relationships/hyperlink" Target="http://goo.gl/RGQoEj" TargetMode="External"/><Relationship Id="rId2964" Type="http://schemas.openxmlformats.org/officeDocument/2006/relationships/hyperlink" Target="https://pbs.twimg.com/media/Dlt1bqsXcAUk0Zv.jpg" TargetMode="External"/><Relationship Id="rId936" Type="http://schemas.openxmlformats.org/officeDocument/2006/relationships/hyperlink" Target="https://twitter.com/Tahlilgaran/status/1036685929124126720" TargetMode="External"/><Relationship Id="rId1219" Type="http://schemas.openxmlformats.org/officeDocument/2006/relationships/hyperlink" Target="http://www.khabarfoori.com/" TargetMode="External"/><Relationship Id="rId1566" Type="http://schemas.openxmlformats.org/officeDocument/2006/relationships/hyperlink" Target="https://twitter.com/mr_golestani/status/1035985701022703616" TargetMode="External"/><Relationship Id="rId1773" Type="http://schemas.openxmlformats.org/officeDocument/2006/relationships/hyperlink" Target="http://www.nabaapress.ir/" TargetMode="External"/><Relationship Id="rId1980" Type="http://schemas.openxmlformats.org/officeDocument/2006/relationships/hyperlink" Target="http://pic.twitter.com/RQDn926pt1" TargetMode="External"/><Relationship Id="rId2617" Type="http://schemas.openxmlformats.org/officeDocument/2006/relationships/hyperlink" Target="https://pbs.twimg.com/media/DlwVwQwXcAA5mEH.jpg" TargetMode="External"/><Relationship Id="rId2824" Type="http://schemas.openxmlformats.org/officeDocument/2006/relationships/hyperlink" Target="http://www.chiilick.com/" TargetMode="External"/><Relationship Id="rId65" Type="http://schemas.openxmlformats.org/officeDocument/2006/relationships/hyperlink" Target="http://newspaper.hamshahri.org/" TargetMode="External"/><Relationship Id="rId1426" Type="http://schemas.openxmlformats.org/officeDocument/2006/relationships/hyperlink" Target="http://tn.ai/1817970" TargetMode="External"/><Relationship Id="rId1633" Type="http://schemas.openxmlformats.org/officeDocument/2006/relationships/hyperlink" Target="http://pic.twitter.com/e33xkjq3v0" TargetMode="External"/><Relationship Id="rId1840" Type="http://schemas.openxmlformats.org/officeDocument/2006/relationships/hyperlink" Target="https://pbs.twimg.com/media/Dl9F_F3XoAAObzd.jpg" TargetMode="External"/><Relationship Id="rId1700" Type="http://schemas.openxmlformats.org/officeDocument/2006/relationships/hyperlink" Target="http://khamenei.ir/" TargetMode="External"/><Relationship Id="rId3598" Type="http://schemas.openxmlformats.org/officeDocument/2006/relationships/hyperlink" Target="https://t.me/Soleymanzadehadmin" TargetMode="External"/><Relationship Id="rId3458" Type="http://schemas.openxmlformats.org/officeDocument/2006/relationships/hyperlink" Target="https://pbs.twimg.com/media/DlrjA7wXcAASZ5h.jpg" TargetMode="External"/><Relationship Id="rId379" Type="http://schemas.openxmlformats.org/officeDocument/2006/relationships/hyperlink" Target="https://t.me/sefr_e_motlagh" TargetMode="External"/><Relationship Id="rId586" Type="http://schemas.openxmlformats.org/officeDocument/2006/relationships/hyperlink" Target="http://bit.ly/2wIa2gu" TargetMode="External"/><Relationship Id="rId793" Type="http://schemas.openxmlformats.org/officeDocument/2006/relationships/hyperlink" Target="http://forsan.news/" TargetMode="External"/><Relationship Id="rId2267" Type="http://schemas.openxmlformats.org/officeDocument/2006/relationships/hyperlink" Target="https://pbs.twimg.com/media/Dly6fUOVAAAqPIS.jpg" TargetMode="External"/><Relationship Id="rId2474" Type="http://schemas.openxmlformats.org/officeDocument/2006/relationships/hyperlink" Target="http://www.irna.ir/fa/News/82430717" TargetMode="External"/><Relationship Id="rId2681" Type="http://schemas.openxmlformats.org/officeDocument/2006/relationships/hyperlink" Target="https://pbs.twimg.com/media/DlwGdvgWwAAVF09.jpg" TargetMode="External"/><Relationship Id="rId3318" Type="http://schemas.openxmlformats.org/officeDocument/2006/relationships/hyperlink" Target="http://cineport.ir/" TargetMode="External"/><Relationship Id="rId3525" Type="http://schemas.openxmlformats.org/officeDocument/2006/relationships/hyperlink" Target="https://t.me/joinchat/AAAAAEJfv3Ktm40_Km9n6w" TargetMode="External"/><Relationship Id="rId239" Type="http://schemas.openxmlformats.org/officeDocument/2006/relationships/hyperlink" Target="https://pbs.twimg.com/media/DmUSWO9WsAAXuon.jpg" TargetMode="External"/><Relationship Id="rId446" Type="http://schemas.openxmlformats.org/officeDocument/2006/relationships/hyperlink" Target="https://pbs.twimg.com/media/DmRtNE6W4AEMPbG.jpg" TargetMode="External"/><Relationship Id="rId653" Type="http://schemas.openxmlformats.org/officeDocument/2006/relationships/hyperlink" Target="https://pbs.twimg.com/media/DmQJQrUX4AEzjod.jpg" TargetMode="External"/><Relationship Id="rId1076" Type="http://schemas.openxmlformats.org/officeDocument/2006/relationships/hyperlink" Target="https://telegram.me/harfbemanbot?start=MTAxODQ2Mzkz" TargetMode="External"/><Relationship Id="rId1283" Type="http://schemas.openxmlformats.org/officeDocument/2006/relationships/hyperlink" Target="http://stnews.ir/" TargetMode="External"/><Relationship Id="rId1490" Type="http://schemas.openxmlformats.org/officeDocument/2006/relationships/hyperlink" Target="http://www.kayhan.london/" TargetMode="External"/><Relationship Id="rId2127" Type="http://schemas.openxmlformats.org/officeDocument/2006/relationships/hyperlink" Target="http://dankoob.com/" TargetMode="External"/><Relationship Id="rId2334" Type="http://schemas.openxmlformats.org/officeDocument/2006/relationships/hyperlink" Target="https://www.facebook.com/iraneazadi" TargetMode="External"/><Relationship Id="rId306" Type="http://schemas.openxmlformats.org/officeDocument/2006/relationships/hyperlink" Target="https://www.instagram.com/sardareshgh313/" TargetMode="External"/><Relationship Id="rId860" Type="http://schemas.openxmlformats.org/officeDocument/2006/relationships/hyperlink" Target="https://pbs.twimg.com/media/DmOuT6-V4AAepcb.jpg" TargetMode="External"/><Relationship Id="rId1143" Type="http://schemas.openxmlformats.org/officeDocument/2006/relationships/hyperlink" Target="https://pbs.twimg.com/media/DmKdUTuW0AEyRt-.jpg" TargetMode="External"/><Relationship Id="rId2541" Type="http://schemas.openxmlformats.org/officeDocument/2006/relationships/hyperlink" Target="https://pbs.twimg.com/media/DlwpVpGX4AAkYOp.jpg" TargetMode="External"/><Relationship Id="rId513" Type="http://schemas.openxmlformats.org/officeDocument/2006/relationships/hyperlink" Target="http://pic.twitter.com/ZljJDtVx21" TargetMode="External"/><Relationship Id="rId720" Type="http://schemas.openxmlformats.org/officeDocument/2006/relationships/hyperlink" Target="https://www.instagram.com/samsam_1371/" TargetMode="External"/><Relationship Id="rId1350" Type="http://schemas.openxmlformats.org/officeDocument/2006/relationships/hyperlink" Target="https://pbs.twimg.com/media/DmGZWesXsAEY24M.jpg" TargetMode="External"/><Relationship Id="rId2401" Type="http://schemas.openxmlformats.org/officeDocument/2006/relationships/hyperlink" Target="https://pbs.twimg.com/media/DlxrmyvXgAADSEL.jpg" TargetMode="External"/><Relationship Id="rId1003" Type="http://schemas.openxmlformats.org/officeDocument/2006/relationships/hyperlink" Target="https://pbs.twimg.com/media/DmLsaPRWsAA5ENG.jpg" TargetMode="External"/><Relationship Id="rId1210" Type="http://schemas.openxmlformats.org/officeDocument/2006/relationships/hyperlink" Target="http://tn.ai/1819015" TargetMode="External"/><Relationship Id="rId3175" Type="http://schemas.openxmlformats.org/officeDocument/2006/relationships/hyperlink" Target="http://www.hosseinzafari.ir/" TargetMode="External"/><Relationship Id="rId3382" Type="http://schemas.openxmlformats.org/officeDocument/2006/relationships/hyperlink" Target="https://t.me/ZarandiehCity" TargetMode="External"/><Relationship Id="rId2191" Type="http://schemas.openxmlformats.org/officeDocument/2006/relationships/hyperlink" Target="https://pbs.twimg.com/media/Dl1Is9iXsAA0tJ1.jpg" TargetMode="External"/><Relationship Id="rId3035" Type="http://schemas.openxmlformats.org/officeDocument/2006/relationships/hyperlink" Target="http://www.maqami.blog.ir/" TargetMode="External"/><Relationship Id="rId3242" Type="http://schemas.openxmlformats.org/officeDocument/2006/relationships/hyperlink" Target="https://pbs.twimg.com/media/Dlsb8Q8X4AEuasr.jpg" TargetMode="External"/><Relationship Id="rId163" Type="http://schemas.openxmlformats.org/officeDocument/2006/relationships/hyperlink" Target="http://www.instagram.com/saeid.afsari" TargetMode="External"/><Relationship Id="rId370" Type="http://schemas.openxmlformats.org/officeDocument/2006/relationships/hyperlink" Target="http://www.ilna.ir/" TargetMode="External"/><Relationship Id="rId2051" Type="http://schemas.openxmlformats.org/officeDocument/2006/relationships/hyperlink" Target="https://pbs.twimg.com/media/Dl3mWcWUYAAC_MR.jpg" TargetMode="External"/><Relationship Id="rId3102" Type="http://schemas.openxmlformats.org/officeDocument/2006/relationships/hyperlink" Target="https://pbs.twimg.com/media/DltNfChXcAMv_71.jpg" TargetMode="External"/><Relationship Id="rId230" Type="http://schemas.openxmlformats.org/officeDocument/2006/relationships/hyperlink" Target="http://www.tasnimnews.com/" TargetMode="External"/><Relationship Id="rId2868" Type="http://schemas.openxmlformats.org/officeDocument/2006/relationships/hyperlink" Target="https://pbs.twimg.com/media/Dlvat2HXoAAF01_.jpg" TargetMode="External"/><Relationship Id="rId1677" Type="http://schemas.openxmlformats.org/officeDocument/2006/relationships/hyperlink" Target="http://www.etehadonline.com/" TargetMode="External"/><Relationship Id="rId1884" Type="http://schemas.openxmlformats.org/officeDocument/2006/relationships/hyperlink" Target="http://www.trt.net.tr/persian/trkhyh/2018/08/31/ry-ys-jmhwr-trkhyh-lm-dsht-khh-trkhyh-smnhhy-s-400-r-bh-zwdy-thwyl-khwhd-grft-1040807" TargetMode="External"/><Relationship Id="rId2728" Type="http://schemas.openxmlformats.org/officeDocument/2006/relationships/hyperlink" Target="https://pbs.twimg.com/media/DlvxjFgXgAAHQZH.jpg" TargetMode="External"/><Relationship Id="rId2935" Type="http://schemas.openxmlformats.org/officeDocument/2006/relationships/hyperlink" Target="https://pbs.twimg.com/media/DluB-QKX0AEBb-S.jpg" TargetMode="External"/><Relationship Id="rId907" Type="http://schemas.openxmlformats.org/officeDocument/2006/relationships/hyperlink" Target="http://www.icana.ir/Fa/News/401642" TargetMode="External"/><Relationship Id="rId1537" Type="http://schemas.openxmlformats.org/officeDocument/2006/relationships/hyperlink" Target="https://pbs.twimg.com/media/DmEVeHcXsAIFKh8.jpg" TargetMode="External"/><Relationship Id="rId1744" Type="http://schemas.openxmlformats.org/officeDocument/2006/relationships/hyperlink" Target="https://pbs.twimg.com/media/Dl_bIVXW4AAKZd9.jpg" TargetMode="External"/><Relationship Id="rId1951" Type="http://schemas.openxmlformats.org/officeDocument/2006/relationships/hyperlink" Target="http://www.ilna.ir/" TargetMode="External"/><Relationship Id="rId36" Type="http://schemas.openxmlformats.org/officeDocument/2006/relationships/hyperlink" Target="http://www.iribnews.ir/fa/news/2220969" TargetMode="External"/><Relationship Id="rId1604" Type="http://schemas.openxmlformats.org/officeDocument/2006/relationships/hyperlink" Target="http://pic.twitter.com/EQmHhVMi5s" TargetMode="External"/><Relationship Id="rId1811" Type="http://schemas.openxmlformats.org/officeDocument/2006/relationships/hyperlink" Target="http://www.etehadonline.com/" TargetMode="External"/><Relationship Id="rId3569" Type="http://schemas.openxmlformats.org/officeDocument/2006/relationships/hyperlink" Target="http://reba.ir/" TargetMode="External"/><Relationship Id="rId697" Type="http://schemas.openxmlformats.org/officeDocument/2006/relationships/hyperlink" Target="http://pic.twitter.com/8sqTPCPAij" TargetMode="External"/><Relationship Id="rId2378" Type="http://schemas.openxmlformats.org/officeDocument/2006/relationships/hyperlink" Target="http://www.rouhanimeter.com/" TargetMode="External"/><Relationship Id="rId3429" Type="http://schemas.openxmlformats.org/officeDocument/2006/relationships/hyperlink" Target="http://tejaratnews.com/" TargetMode="External"/><Relationship Id="rId1187" Type="http://schemas.openxmlformats.org/officeDocument/2006/relationships/hyperlink" Target="https://twitter.com/mersadirani/status/1036497453820911616" TargetMode="External"/><Relationship Id="rId2585" Type="http://schemas.openxmlformats.org/officeDocument/2006/relationships/hyperlink" Target="https://twitter.com/ReStart66th/status/1034726855818047490" TargetMode="External"/><Relationship Id="rId2792" Type="http://schemas.openxmlformats.org/officeDocument/2006/relationships/hyperlink" Target="http://eliyaomid.ir/" TargetMode="External"/><Relationship Id="rId3636" Type="http://schemas.openxmlformats.org/officeDocument/2006/relationships/hyperlink" Target="https://www.instagram.com/redintellects/" TargetMode="External"/><Relationship Id="rId557" Type="http://schemas.openxmlformats.org/officeDocument/2006/relationships/hyperlink" Target="https://pbs.twimg.com/media/DmQzVKYVAAAXp1g.jpg" TargetMode="External"/><Relationship Id="rId764" Type="http://schemas.openxmlformats.org/officeDocument/2006/relationships/hyperlink" Target="http://pic.twitter.com/Ccs64ZERL4" TargetMode="External"/><Relationship Id="rId971" Type="http://schemas.openxmlformats.org/officeDocument/2006/relationships/hyperlink" Target="https://pbs.twimg.com/media/DmMDJLkW0AAkoQP.jpg" TargetMode="External"/><Relationship Id="rId1394" Type="http://schemas.openxmlformats.org/officeDocument/2006/relationships/hyperlink" Target="https://pbs.twimg.com/media/DmFrwpMX0AAb69w.jpg" TargetMode="External"/><Relationship Id="rId2238" Type="http://schemas.openxmlformats.org/officeDocument/2006/relationships/hyperlink" Target="https://twitter.com/Reza_Shaban78/status/1034606860727472129" TargetMode="External"/><Relationship Id="rId2445" Type="http://schemas.openxmlformats.org/officeDocument/2006/relationships/hyperlink" Target="http://pic.twitter.com/gyvUJZYYGv" TargetMode="External"/><Relationship Id="rId2652" Type="http://schemas.openxmlformats.org/officeDocument/2006/relationships/hyperlink" Target="https://pbs.twimg.com/media/DlwOsB8WwAAN9_F.jpg" TargetMode="External"/><Relationship Id="rId417" Type="http://schemas.openxmlformats.org/officeDocument/2006/relationships/hyperlink" Target="https://iranhumanright.wordpress.com/" TargetMode="External"/><Relationship Id="rId624" Type="http://schemas.openxmlformats.org/officeDocument/2006/relationships/hyperlink" Target="http://farahan.blogsky.com/" TargetMode="External"/><Relationship Id="rId831" Type="http://schemas.openxmlformats.org/officeDocument/2006/relationships/hyperlink" Target="http://www.rouydad24.ir/" TargetMode="External"/><Relationship Id="rId1047" Type="http://schemas.openxmlformats.org/officeDocument/2006/relationships/hyperlink" Target="https://twitter.com/Rouhani_ir/status/483931418603827200" TargetMode="External"/><Relationship Id="rId1254" Type="http://schemas.openxmlformats.org/officeDocument/2006/relationships/hyperlink" Target="https://pbs.twimg.com/media/DmHZgNdV4AAtTsB.jpg" TargetMode="External"/><Relationship Id="rId1461" Type="http://schemas.openxmlformats.org/officeDocument/2006/relationships/hyperlink" Target="http://us.blastingnews.com/editorial-staff/mhedi-mahmoudi/" TargetMode="External"/><Relationship Id="rId2305" Type="http://schemas.openxmlformats.org/officeDocument/2006/relationships/hyperlink" Target="https://pbs.twimg.com/media/DlynyfyXoAAVlS1.jpg" TargetMode="External"/><Relationship Id="rId2512" Type="http://schemas.openxmlformats.org/officeDocument/2006/relationships/hyperlink" Target="http://farsi.khamenei.ir/" TargetMode="External"/><Relationship Id="rId1114" Type="http://schemas.openxmlformats.org/officeDocument/2006/relationships/hyperlink" Target="https://pbs.twimg.com/media/DmKvWZPV4AAArYg.jpg" TargetMode="External"/><Relationship Id="rId1321" Type="http://schemas.openxmlformats.org/officeDocument/2006/relationships/hyperlink" Target="http://akharinkhabar.ir/" TargetMode="External"/><Relationship Id="rId3079" Type="http://schemas.openxmlformats.org/officeDocument/2006/relationships/hyperlink" Target="http://hashtagban.com/" TargetMode="External"/><Relationship Id="rId3286" Type="http://schemas.openxmlformats.org/officeDocument/2006/relationships/hyperlink" Target="https://pbs.twimg.com/media/DlsNyc7XgAAt6EU.jpg" TargetMode="External"/><Relationship Id="rId3493" Type="http://schemas.openxmlformats.org/officeDocument/2006/relationships/hyperlink" Target="https://twitter.com/famil_door/status/1034333456761868288" TargetMode="External"/><Relationship Id="rId2095" Type="http://schemas.openxmlformats.org/officeDocument/2006/relationships/hyperlink" Target="http://pic.twitter.com/ecB1NZ29Hk" TargetMode="External"/><Relationship Id="rId3146" Type="http://schemas.openxmlformats.org/officeDocument/2006/relationships/hyperlink" Target="https://pbs.twimg.com/media/DltAV7VUUAAvQuU.jpg" TargetMode="External"/><Relationship Id="rId3353" Type="http://schemas.openxmlformats.org/officeDocument/2006/relationships/hyperlink" Target="https://pbs.twimg.com/media/Dlr_Jm6XoAAom8z.jpg" TargetMode="External"/><Relationship Id="rId274" Type="http://schemas.openxmlformats.org/officeDocument/2006/relationships/hyperlink" Target="https://pbs.twimg.com/media/DmUH6kXWwAEuwu2.jpg" TargetMode="External"/><Relationship Id="rId481" Type="http://schemas.openxmlformats.org/officeDocument/2006/relationships/hyperlink" Target="http://buff.ly/Q9jDB3" TargetMode="External"/><Relationship Id="rId2162" Type="http://schemas.openxmlformats.org/officeDocument/2006/relationships/hyperlink" Target="https://telegram.me/eterazat" TargetMode="External"/><Relationship Id="rId3006" Type="http://schemas.openxmlformats.org/officeDocument/2006/relationships/hyperlink" Target="http://eitaa.com/abuali_313" TargetMode="External"/><Relationship Id="rId3560" Type="http://schemas.openxmlformats.org/officeDocument/2006/relationships/hyperlink" Target="http://www.kosar3d.ir/" TargetMode="External"/><Relationship Id="rId134" Type="http://schemas.openxmlformats.org/officeDocument/2006/relationships/hyperlink" Target="https://pbs.twimg.com/media/DmUxzfFVAAEX9gh.jpg" TargetMode="External"/><Relationship Id="rId3213" Type="http://schemas.openxmlformats.org/officeDocument/2006/relationships/hyperlink" Target="http://aminkhosroshahi.com/" TargetMode="External"/><Relationship Id="rId3420" Type="http://schemas.openxmlformats.org/officeDocument/2006/relationships/hyperlink" Target="https://twitter.com/mah_sadeghi/status/1034077464966950912" TargetMode="External"/><Relationship Id="rId341" Type="http://schemas.openxmlformats.org/officeDocument/2006/relationships/hyperlink" Target="http://entekhab.ir/" TargetMode="External"/><Relationship Id="rId2022" Type="http://schemas.openxmlformats.org/officeDocument/2006/relationships/hyperlink" Target="http://cyberwarzone.com/" TargetMode="External"/><Relationship Id="rId2979" Type="http://schemas.openxmlformats.org/officeDocument/2006/relationships/hyperlink" Target="http://www.vatanemrooz.ir/" TargetMode="External"/><Relationship Id="rId201" Type="http://schemas.openxmlformats.org/officeDocument/2006/relationships/hyperlink" Target="http://pic.twitter.com/0EjwRxKn7E" TargetMode="External"/><Relationship Id="rId1788" Type="http://schemas.openxmlformats.org/officeDocument/2006/relationships/hyperlink" Target="http://www.iranenergy.news/" TargetMode="External"/><Relationship Id="rId1995" Type="http://schemas.openxmlformats.org/officeDocument/2006/relationships/hyperlink" Target="https://www.ilna.ir/fa/tiny/news-662438" TargetMode="External"/><Relationship Id="rId2839" Type="http://schemas.openxmlformats.org/officeDocument/2006/relationships/hyperlink" Target="https://pbs.twimg.com/media/DlvoFr5WwAIAiNO.jpg" TargetMode="External"/><Relationship Id="rId1648" Type="http://schemas.openxmlformats.org/officeDocument/2006/relationships/hyperlink" Target="http://newspaper.hamshahri.org/" TargetMode="External"/><Relationship Id="rId1508" Type="http://schemas.openxmlformats.org/officeDocument/2006/relationships/hyperlink" Target="https://pbs.twimg.com/media/DmEw2aqXsAA8AbV.jpg" TargetMode="External"/><Relationship Id="rId1855" Type="http://schemas.openxmlformats.org/officeDocument/2006/relationships/hyperlink" Target="http://majlisnameh.com/" TargetMode="External"/><Relationship Id="rId2906" Type="http://schemas.openxmlformats.org/officeDocument/2006/relationships/hyperlink" Target="https://twitter.com/SharghDaily/status/1034511736257347585" TargetMode="External"/><Relationship Id="rId3070" Type="http://schemas.openxmlformats.org/officeDocument/2006/relationships/hyperlink" Target="https://twitter.com/Hj_Petros/status/1034310470017146880" TargetMode="External"/><Relationship Id="rId1715" Type="http://schemas.openxmlformats.org/officeDocument/2006/relationships/hyperlink" Target="https://pbs.twimg.com/media/Dl_yOk7XcAA55ml.jpg" TargetMode="External"/><Relationship Id="rId1922" Type="http://schemas.openxmlformats.org/officeDocument/2006/relationships/hyperlink" Target="http://www.utiss.ir/" TargetMode="External"/><Relationship Id="rId2489" Type="http://schemas.openxmlformats.org/officeDocument/2006/relationships/hyperlink" Target="https://pbs.twimg.com/media/DlxBScfU0AAf6w-.jpg" TargetMode="External"/><Relationship Id="rId2696" Type="http://schemas.openxmlformats.org/officeDocument/2006/relationships/hyperlink" Target="https://pbs.twimg.com/media/DlwDXyVWwAAgR0b.jpg" TargetMode="External"/><Relationship Id="rId668" Type="http://schemas.openxmlformats.org/officeDocument/2006/relationships/hyperlink" Target="https://pbs.twimg.com/media/DmQDRAVXcAAPEN6.jpg" TargetMode="External"/><Relationship Id="rId875" Type="http://schemas.openxmlformats.org/officeDocument/2006/relationships/hyperlink" Target="http://expertshare.wordpress.com/" TargetMode="External"/><Relationship Id="rId1298" Type="http://schemas.openxmlformats.org/officeDocument/2006/relationships/hyperlink" Target="https://pbs.twimg.com/media/DmHBToaW4AASXgO.jpg" TargetMode="External"/><Relationship Id="rId2349" Type="http://schemas.openxmlformats.org/officeDocument/2006/relationships/hyperlink" Target="https://pbs.twimg.com/media/DlyQ_HiV4AEu5OD.jpg" TargetMode="External"/><Relationship Id="rId2556" Type="http://schemas.openxmlformats.org/officeDocument/2006/relationships/hyperlink" Target="http://www.iranintl.com/" TargetMode="External"/><Relationship Id="rId2763" Type="http://schemas.openxmlformats.org/officeDocument/2006/relationships/hyperlink" Target="http://pic.twitter.com/TmcwOupVJn" TargetMode="External"/><Relationship Id="rId2970" Type="http://schemas.openxmlformats.org/officeDocument/2006/relationships/hyperlink" Target="http://instagram.com/ww.w.mf547/" TargetMode="External"/><Relationship Id="rId3607" Type="http://schemas.openxmlformats.org/officeDocument/2006/relationships/hyperlink" Target="https://pbs.twimg.com/media/Dlq605rXoAAb1ih.jpg" TargetMode="External"/><Relationship Id="rId528" Type="http://schemas.openxmlformats.org/officeDocument/2006/relationships/hyperlink" Target="https://www.manoto.news/" TargetMode="External"/><Relationship Id="rId735" Type="http://schemas.openxmlformats.org/officeDocument/2006/relationships/hyperlink" Target="https://pbs.twimg.com/media/DmPlhCzXcAAeIK-.jpg" TargetMode="External"/><Relationship Id="rId942" Type="http://schemas.openxmlformats.org/officeDocument/2006/relationships/hyperlink" Target="http://www.pounezar.ir/" TargetMode="External"/><Relationship Id="rId1158" Type="http://schemas.openxmlformats.org/officeDocument/2006/relationships/hyperlink" Target="http://j-karimi.ir/" TargetMode="External"/><Relationship Id="rId1365" Type="http://schemas.openxmlformats.org/officeDocument/2006/relationships/hyperlink" Target="https://pbs.twimg.com/media/DmGHol9X4AUOLDk.jpg" TargetMode="External"/><Relationship Id="rId1572" Type="http://schemas.openxmlformats.org/officeDocument/2006/relationships/hyperlink" Target="https://pbs.twimg.com/media/DmCagPjUcAAfwcL.jpg" TargetMode="External"/><Relationship Id="rId2209" Type="http://schemas.openxmlformats.org/officeDocument/2006/relationships/hyperlink" Target="https://www.yjc.ir/00Ru34" TargetMode="External"/><Relationship Id="rId2416" Type="http://schemas.openxmlformats.org/officeDocument/2006/relationships/hyperlink" Target="https://pbs.twimg.com/media/DlxhzC9X4AIVyEe.jpg" TargetMode="External"/><Relationship Id="rId2623" Type="http://schemas.openxmlformats.org/officeDocument/2006/relationships/hyperlink" Target="https://twitter.com/BBCBastani/status/1034429233995702272" TargetMode="External"/><Relationship Id="rId1018" Type="http://schemas.openxmlformats.org/officeDocument/2006/relationships/hyperlink" Target="https://pbs.twimg.com/media/DmLlUyOWwAEXBRz.jpg" TargetMode="External"/><Relationship Id="rId1225" Type="http://schemas.openxmlformats.org/officeDocument/2006/relationships/hyperlink" Target="http://www.farsnews.com/" TargetMode="External"/><Relationship Id="rId1432" Type="http://schemas.openxmlformats.org/officeDocument/2006/relationships/hyperlink" Target="https://pbs.twimg.com/media/DmFWwVkU0AA1OZE.jpg" TargetMode="External"/><Relationship Id="rId2830" Type="http://schemas.openxmlformats.org/officeDocument/2006/relationships/hyperlink" Target="http://aryanavision.com/" TargetMode="External"/><Relationship Id="rId71" Type="http://schemas.openxmlformats.org/officeDocument/2006/relationships/hyperlink" Target="https://telegram.me/HarfBeManBot?start=NjQyMjQ5MzY3" TargetMode="External"/><Relationship Id="rId802" Type="http://schemas.openxmlformats.org/officeDocument/2006/relationships/hyperlink" Target="http://pic.twitter.com/ZZsBBrPckg" TargetMode="External"/><Relationship Id="rId3397" Type="http://schemas.openxmlformats.org/officeDocument/2006/relationships/hyperlink" Target="https://twitter.com/MBabaei4/status/1034311468999737344" TargetMode="External"/><Relationship Id="rId178" Type="http://schemas.openxmlformats.org/officeDocument/2006/relationships/hyperlink" Target="https://pbs.twimg.com/media/DmUizu6XsAA6tLD.jpg" TargetMode="External"/><Relationship Id="rId3257" Type="http://schemas.openxmlformats.org/officeDocument/2006/relationships/hyperlink" Target="https://t.me/joinchat/G25mDlGG35jt86XdV1By2g" TargetMode="External"/><Relationship Id="rId3464" Type="http://schemas.openxmlformats.org/officeDocument/2006/relationships/hyperlink" Target="https://pbs.twimg.com/media/DlriKSSXoAE71Pr.jpg" TargetMode="External"/><Relationship Id="rId385" Type="http://schemas.openxmlformats.org/officeDocument/2006/relationships/hyperlink" Target="https://pbs.twimg.com/media/DmTUsjBW0AAaNA9.jpg" TargetMode="External"/><Relationship Id="rId592" Type="http://schemas.openxmlformats.org/officeDocument/2006/relationships/hyperlink" Target="http://jahaneghtesad.com/" TargetMode="External"/><Relationship Id="rId2066" Type="http://schemas.openxmlformats.org/officeDocument/2006/relationships/hyperlink" Target="https://pbs.twimg.com/media/Dl3b9XAU4AAzygM.jpg" TargetMode="External"/><Relationship Id="rId2273" Type="http://schemas.openxmlformats.org/officeDocument/2006/relationships/hyperlink" Target="https://pbs.twimg.com/media/Dly57l-UUAACHfQ.jpg" TargetMode="External"/><Relationship Id="rId2480" Type="http://schemas.openxmlformats.org/officeDocument/2006/relationships/hyperlink" Target="http://www.khooger.com/" TargetMode="External"/><Relationship Id="rId3117" Type="http://schemas.openxmlformats.org/officeDocument/2006/relationships/hyperlink" Target="https://pbs.twimg.com/media/DltFsfoX0AIqgwA.jpg" TargetMode="External"/><Relationship Id="rId3324" Type="http://schemas.openxmlformats.org/officeDocument/2006/relationships/hyperlink" Target="http://www.tasnimnews.com/" TargetMode="External"/><Relationship Id="rId3531" Type="http://schemas.openxmlformats.org/officeDocument/2006/relationships/hyperlink" Target="https://pbs.twimg.com/media/DlrJnP5XgAECzRI.jpg" TargetMode="External"/><Relationship Id="rId245" Type="http://schemas.openxmlformats.org/officeDocument/2006/relationships/hyperlink" Target="https://twitter.com/Ahmad_dastaran/status/1037237926730653696" TargetMode="External"/><Relationship Id="rId452" Type="http://schemas.openxmlformats.org/officeDocument/2006/relationships/hyperlink" Target="https://twitter.com/P_Salahshouri/status/1036873560936079360" TargetMode="External"/><Relationship Id="rId1082" Type="http://schemas.openxmlformats.org/officeDocument/2006/relationships/hyperlink" Target="http://cyberwarzone.com/" TargetMode="External"/><Relationship Id="rId2133" Type="http://schemas.openxmlformats.org/officeDocument/2006/relationships/hyperlink" Target="http://us.blastingnews.com/editorial-staff/mhedi-mahmoudi/" TargetMode="External"/><Relationship Id="rId2340" Type="http://schemas.openxmlformats.org/officeDocument/2006/relationships/hyperlink" Target="http://t.me/iRezaFeizi" TargetMode="External"/><Relationship Id="rId105" Type="http://schemas.openxmlformats.org/officeDocument/2006/relationships/hyperlink" Target="https://pbs.twimg.com/media/DmU7eIGWwAALniT.jpg" TargetMode="External"/><Relationship Id="rId312" Type="http://schemas.openxmlformats.org/officeDocument/2006/relationships/hyperlink" Target="http://radiozamaneh.com/" TargetMode="External"/><Relationship Id="rId2200" Type="http://schemas.openxmlformats.org/officeDocument/2006/relationships/hyperlink" Target="http://www.psyop.blog.ir/" TargetMode="External"/><Relationship Id="rId1899" Type="http://schemas.openxmlformats.org/officeDocument/2006/relationships/hyperlink" Target="https://pbs.twimg.com/media/Dl70B3ZU8AE0mxA.jpg" TargetMode="External"/><Relationship Id="rId1759" Type="http://schemas.openxmlformats.org/officeDocument/2006/relationships/hyperlink" Target="http://tn.ai/1817060" TargetMode="External"/><Relationship Id="rId1966" Type="http://schemas.openxmlformats.org/officeDocument/2006/relationships/hyperlink" Target="http://www.rouhanimeter.com/" TargetMode="External"/><Relationship Id="rId3181" Type="http://schemas.openxmlformats.org/officeDocument/2006/relationships/hyperlink" Target="https://pbs.twimg.com/media/Dlsw6i-XoAA2O1O.jpg" TargetMode="External"/><Relationship Id="rId1619" Type="http://schemas.openxmlformats.org/officeDocument/2006/relationships/hyperlink" Target="http://www.farsnews.com/" TargetMode="External"/><Relationship Id="rId1826" Type="http://schemas.openxmlformats.org/officeDocument/2006/relationships/hyperlink" Target="https://pbs.twimg.com/media/Dl9X7GcX4AANgHR.jpg" TargetMode="External"/><Relationship Id="rId3041" Type="http://schemas.openxmlformats.org/officeDocument/2006/relationships/hyperlink" Target="https://pbs.twimg.com/media/DltZzyYXgAUnNV6.jpg" TargetMode="External"/><Relationship Id="rId779" Type="http://schemas.openxmlformats.org/officeDocument/2006/relationships/hyperlink" Target="https://twitter.com/padash_mr/status/1036899541444902912" TargetMode="External"/><Relationship Id="rId986" Type="http://schemas.openxmlformats.org/officeDocument/2006/relationships/hyperlink" Target="http://www.iribnews.ir/fa/news/2219325" TargetMode="External"/><Relationship Id="rId2667" Type="http://schemas.openxmlformats.org/officeDocument/2006/relationships/hyperlink" Target="https://pbs.twimg.com/media/DlwKRkiXsAAwOWA.jpg" TargetMode="External"/><Relationship Id="rId639" Type="http://schemas.openxmlformats.org/officeDocument/2006/relationships/hyperlink" Target="https://www.linkedin.com/in/charkhzarrin/" TargetMode="External"/><Relationship Id="rId1269" Type="http://schemas.openxmlformats.org/officeDocument/2006/relationships/hyperlink" Target="http://gooyeh-qom.com/" TargetMode="External"/><Relationship Id="rId1476" Type="http://schemas.openxmlformats.org/officeDocument/2006/relationships/hyperlink" Target="https://pbs.twimg.com/media/DmFBjnwXoAEoAvy.jpg" TargetMode="External"/><Relationship Id="rId2874" Type="http://schemas.openxmlformats.org/officeDocument/2006/relationships/hyperlink" Target="https://www.farsnews.com/news/13970605000296/%D8%B1%D9%88%D8%AD%D8%A7%D9%86%DB%8C-%D8%B3%D8%AE%D9%86%D8%B1%D8%A7%D9%86%DB%8C-%D8%AF%D8%B1-%D8%A7%D8%AC%D9%84%D8%A7%D8%B3%DB%8C%D9%87-%D8%A2%D8%AA%DB%8C-%D8%AE%D8%A8%D8%B1%DA%AF%D8%A7%D9%86-%D8%B1%D8%A7-%D9%86%D9%BE%D8%B0%DB%8C%D8%B1%D9%81%D8%AA-%D8%B1%D9%88%D8%B3%D8%A7%DB%8C-%D8%AF%D9%88-%D9%82%D9%88%D9%87-%D8%AF%DB%8C%DA%AF%D8%B1" TargetMode="External"/><Relationship Id="rId846" Type="http://schemas.openxmlformats.org/officeDocument/2006/relationships/hyperlink" Target="https://pbs.twimg.com/media/DmO0KY0XgAA02-i.jpg" TargetMode="External"/><Relationship Id="rId1129" Type="http://schemas.openxmlformats.org/officeDocument/2006/relationships/hyperlink" Target="http://www.zoomit.ir/" TargetMode="External"/><Relationship Id="rId1683" Type="http://schemas.openxmlformats.org/officeDocument/2006/relationships/hyperlink" Target="https://pbs.twimg.com/media/DmAWVt7WsAA8Hvr.jpg" TargetMode="External"/><Relationship Id="rId1890" Type="http://schemas.openxmlformats.org/officeDocument/2006/relationships/hyperlink" Target="https://pbs.twimg.com/media/Dl76mqbVsAAe5h5.jpg" TargetMode="External"/><Relationship Id="rId2527" Type="http://schemas.openxmlformats.org/officeDocument/2006/relationships/hyperlink" Target="http://instgrm.me/h_iphop" TargetMode="External"/><Relationship Id="rId2734" Type="http://schemas.openxmlformats.org/officeDocument/2006/relationships/hyperlink" Target="http://www.rouydad24.ir/" TargetMode="External"/><Relationship Id="rId2941" Type="http://schemas.openxmlformats.org/officeDocument/2006/relationships/hyperlink" Target="https://pbs.twimg.com/media/Dlt-YVbUYAAfqeM.jpg" TargetMode="External"/><Relationship Id="rId706" Type="http://schemas.openxmlformats.org/officeDocument/2006/relationships/hyperlink" Target="http://elpress.ir/" TargetMode="External"/><Relationship Id="rId913" Type="http://schemas.openxmlformats.org/officeDocument/2006/relationships/hyperlink" Target="https://twitter.com/hesamodin1/status/1036621703001133056" TargetMode="External"/><Relationship Id="rId1336" Type="http://schemas.openxmlformats.org/officeDocument/2006/relationships/hyperlink" Target="http://trtpersian.com/" TargetMode="External"/><Relationship Id="rId1543" Type="http://schemas.openxmlformats.org/officeDocument/2006/relationships/hyperlink" Target="http://sobhe-no.ir/" TargetMode="External"/><Relationship Id="rId1750" Type="http://schemas.openxmlformats.org/officeDocument/2006/relationships/hyperlink" Target="http://entekhab.ir/" TargetMode="External"/><Relationship Id="rId2801" Type="http://schemas.openxmlformats.org/officeDocument/2006/relationships/hyperlink" Target="http://ibena.ir/" TargetMode="External"/><Relationship Id="rId42" Type="http://schemas.openxmlformats.org/officeDocument/2006/relationships/hyperlink" Target="https://pbs.twimg.com/media/DmUDVoPWwAEhfKu.jpg" TargetMode="External"/><Relationship Id="rId1403" Type="http://schemas.openxmlformats.org/officeDocument/2006/relationships/hyperlink" Target="http://etehadonline.com/news/647989/" TargetMode="External"/><Relationship Id="rId1610" Type="http://schemas.openxmlformats.org/officeDocument/2006/relationships/hyperlink" Target="https://pbs.twimg.com/media/DmBttquXcAEQCgl.jpg" TargetMode="External"/><Relationship Id="rId3368" Type="http://schemas.openxmlformats.org/officeDocument/2006/relationships/hyperlink" Target="https://pbs.twimg.com/media/Dlr7q8oW0AAASy9.jpg" TargetMode="External"/><Relationship Id="rId3575" Type="http://schemas.openxmlformats.org/officeDocument/2006/relationships/hyperlink" Target="http://linkis.com/87554/7OG7D?808685" TargetMode="External"/><Relationship Id="rId289" Type="http://schemas.openxmlformats.org/officeDocument/2006/relationships/hyperlink" Target="https://pbs.twimg.com/media/DmUAiC1XsAEiU1P.jpg" TargetMode="External"/><Relationship Id="rId496" Type="http://schemas.openxmlformats.org/officeDocument/2006/relationships/hyperlink" Target="http://www.maqami.blog.ir/" TargetMode="External"/><Relationship Id="rId2177" Type="http://schemas.openxmlformats.org/officeDocument/2006/relationships/hyperlink" Target="https://twitter.com/khabar_fouri/status/1035049333815758848" TargetMode="External"/><Relationship Id="rId2384" Type="http://schemas.openxmlformats.org/officeDocument/2006/relationships/hyperlink" Target="https://pbs.twimg.com/media/Df_MkomXkAAgXV7.jpg" TargetMode="External"/><Relationship Id="rId2591" Type="http://schemas.openxmlformats.org/officeDocument/2006/relationships/hyperlink" Target="http://sobhe-no.ir/" TargetMode="External"/><Relationship Id="rId3228" Type="http://schemas.openxmlformats.org/officeDocument/2006/relationships/hyperlink" Target="http://a.cheshomi.profcms.um.ac.ir/" TargetMode="External"/><Relationship Id="rId3435" Type="http://schemas.openxmlformats.org/officeDocument/2006/relationships/hyperlink" Target="http://www.ghanoondaily.ir/" TargetMode="External"/><Relationship Id="rId3642" Type="http://schemas.openxmlformats.org/officeDocument/2006/relationships/hyperlink" Target="https://www.roozportal.com/" TargetMode="External"/><Relationship Id="rId149" Type="http://schemas.openxmlformats.org/officeDocument/2006/relationships/hyperlink" Target="http://etemaadonline.ir/content/230045" TargetMode="External"/><Relationship Id="rId356" Type="http://schemas.openxmlformats.org/officeDocument/2006/relationships/hyperlink" Target="https://pbs.twimg.com/media/DmTqkquWwAAHpYq.jpg" TargetMode="External"/><Relationship Id="rId563" Type="http://schemas.openxmlformats.org/officeDocument/2006/relationships/hyperlink" Target="https://www.instagram.com/tahlilsyasi/" TargetMode="External"/><Relationship Id="rId770" Type="http://schemas.openxmlformats.org/officeDocument/2006/relationships/hyperlink" Target="http://pic.twitter.com/Co9G5njaDF" TargetMode="External"/><Relationship Id="rId1193" Type="http://schemas.openxmlformats.org/officeDocument/2006/relationships/hyperlink" Target="https://twitter.com/hesamodin1/status/1036489852764782592" TargetMode="External"/><Relationship Id="rId2037" Type="http://schemas.openxmlformats.org/officeDocument/2006/relationships/hyperlink" Target="http://instagram.com/perfect.blossom" TargetMode="External"/><Relationship Id="rId2244" Type="http://schemas.openxmlformats.org/officeDocument/2006/relationships/hyperlink" Target="http://instagram.com/ehsanrastgar" TargetMode="External"/><Relationship Id="rId2451" Type="http://schemas.openxmlformats.org/officeDocument/2006/relationships/hyperlink" Target="https://twitter.com/liea_abnos/status/1034732403158384642" TargetMode="External"/><Relationship Id="rId216" Type="http://schemas.openxmlformats.org/officeDocument/2006/relationships/hyperlink" Target="http://entekhab.ir/" TargetMode="External"/><Relationship Id="rId423" Type="http://schemas.openxmlformats.org/officeDocument/2006/relationships/hyperlink" Target="http://t.me/arefsmart/" TargetMode="External"/><Relationship Id="rId1053" Type="http://schemas.openxmlformats.org/officeDocument/2006/relationships/hyperlink" Target="https://pbs.twimg.com/media/DmLLdsQX0AAm-b1.jpg" TargetMode="External"/><Relationship Id="rId1260" Type="http://schemas.openxmlformats.org/officeDocument/2006/relationships/hyperlink" Target="http://pic.twitter.com/9KrYov4t0L" TargetMode="External"/><Relationship Id="rId2104" Type="http://schemas.openxmlformats.org/officeDocument/2006/relationships/hyperlink" Target="https://twitter.com/Khamenei_fa/status/1034765384325496832" TargetMode="External"/><Relationship Id="rId3502" Type="http://schemas.openxmlformats.org/officeDocument/2006/relationships/hyperlink" Target="https://www.manoto.news/" TargetMode="External"/><Relationship Id="rId630" Type="http://schemas.openxmlformats.org/officeDocument/2006/relationships/hyperlink" Target="http://tn.ai/1820508" TargetMode="External"/><Relationship Id="rId2311" Type="http://schemas.openxmlformats.org/officeDocument/2006/relationships/hyperlink" Target="https://pbs.twimg.com/media/Dlyi9aDVsAABlcc.jpg" TargetMode="External"/><Relationship Id="rId1120" Type="http://schemas.openxmlformats.org/officeDocument/2006/relationships/hyperlink" Target="http://t.me/knaf_shoresh" TargetMode="External"/><Relationship Id="rId1937" Type="http://schemas.openxmlformats.org/officeDocument/2006/relationships/hyperlink" Target="https://pbs.twimg.com/media/Dl7ITl9WwAAqUWv.jpg" TargetMode="External"/><Relationship Id="rId3085" Type="http://schemas.openxmlformats.org/officeDocument/2006/relationships/hyperlink" Target="https://pbs.twimg.com/media/Dlr_htvW4AE3pwv.jpg" TargetMode="External"/><Relationship Id="rId3292" Type="http://schemas.openxmlformats.org/officeDocument/2006/relationships/hyperlink" Target="https://pbs.twimg.com/media/DlsNVrFXsAUFJZ-.jpg" TargetMode="External"/><Relationship Id="rId3152" Type="http://schemas.openxmlformats.org/officeDocument/2006/relationships/hyperlink" Target="https://pbs.twimg.com/media/Dls-_5KXoAAPe5O.jpg" TargetMode="External"/><Relationship Id="rId280" Type="http://schemas.openxmlformats.org/officeDocument/2006/relationships/hyperlink" Target="https://twitter.com/IRNA_1313/status/1037239467101315072" TargetMode="External"/><Relationship Id="rId3012" Type="http://schemas.openxmlformats.org/officeDocument/2006/relationships/hyperlink" Target="https://twitter.com/abmomeni/status/1034519886926688256" TargetMode="External"/><Relationship Id="rId140" Type="http://schemas.openxmlformats.org/officeDocument/2006/relationships/hyperlink" Target="http://pic.twitter.com/rZkhPVL6ti" TargetMode="External"/><Relationship Id="rId6" Type="http://schemas.openxmlformats.org/officeDocument/2006/relationships/hyperlink" Target="http://www.safa.persianblog.ir/" TargetMode="External"/><Relationship Id="rId2778" Type="http://schemas.openxmlformats.org/officeDocument/2006/relationships/hyperlink" Target="https://t.me/Muhammad_Haghjoo" TargetMode="External"/><Relationship Id="rId2985" Type="http://schemas.openxmlformats.org/officeDocument/2006/relationships/hyperlink" Target="https://t.me/its_bobby" TargetMode="External"/><Relationship Id="rId957" Type="http://schemas.openxmlformats.org/officeDocument/2006/relationships/hyperlink" Target="http://sobhe-no.ir/" TargetMode="External"/><Relationship Id="rId1587" Type="http://schemas.openxmlformats.org/officeDocument/2006/relationships/hyperlink" Target="https://www.instagram.com/mostafa.goldsmith" TargetMode="External"/><Relationship Id="rId1794" Type="http://schemas.openxmlformats.org/officeDocument/2006/relationships/hyperlink" Target="https://pbs.twimg.com/media/Dl-0HEvXsAYm4Of.jpg" TargetMode="External"/><Relationship Id="rId2638" Type="http://schemas.openxmlformats.org/officeDocument/2006/relationships/hyperlink" Target="http://bright.ze/" TargetMode="External"/><Relationship Id="rId2845" Type="http://schemas.openxmlformats.org/officeDocument/2006/relationships/hyperlink" Target="http://www.jamejamonline.ir/" TargetMode="External"/><Relationship Id="rId86" Type="http://schemas.openxmlformats.org/officeDocument/2006/relationships/hyperlink" Target="https://pbs.twimg.com/media/DmUYwLNXgAAzRUK.jpg" TargetMode="External"/><Relationship Id="rId817" Type="http://schemas.openxmlformats.org/officeDocument/2006/relationships/hyperlink" Target="https://t.me/emtedadnet/21111" TargetMode="External"/><Relationship Id="rId1447" Type="http://schemas.openxmlformats.org/officeDocument/2006/relationships/hyperlink" Target="https://pbs.twimg.com/media/DmFPxdwX0AAcK3J.jpg" TargetMode="External"/><Relationship Id="rId1654" Type="http://schemas.openxmlformats.org/officeDocument/2006/relationships/hyperlink" Target="http://tn.ai/1817602" TargetMode="External"/><Relationship Id="rId1861" Type="http://schemas.openxmlformats.org/officeDocument/2006/relationships/hyperlink" Target="http://www.iranthisway.com/" TargetMode="External"/><Relationship Id="rId2705" Type="http://schemas.openxmlformats.org/officeDocument/2006/relationships/hyperlink" Target="https://pbs.twimg.com/media/Dlv_fX6X4AEL6w8.jpg" TargetMode="External"/><Relationship Id="rId2912" Type="http://schemas.openxmlformats.org/officeDocument/2006/relationships/hyperlink" Target="https://pbs.twimg.com/media/DluTfNBXsAAEiUs.jpg" TargetMode="External"/><Relationship Id="rId1307" Type="http://schemas.openxmlformats.org/officeDocument/2006/relationships/hyperlink" Target="https://pbs.twimg.com/media/DmG5PNSW4AI_Amo.jpg" TargetMode="External"/><Relationship Id="rId1514" Type="http://schemas.openxmlformats.org/officeDocument/2006/relationships/hyperlink" Target="https://telegram.me/HarfBeManBot?start=NzEyMDU2MjU" TargetMode="External"/><Relationship Id="rId1721" Type="http://schemas.openxmlformats.org/officeDocument/2006/relationships/hyperlink" Target="https://fa.persiadigest.com/article/2795/%D8%B1%D9%88%D8%B2%D9%86%D8%A7%D9%85%D9%87-%DA%86%D8%A7%D9%BE-%D9%85%D8%B4%D9%87%D8%AF-%D8%A7%D8%B2-%D8%B1%D9%88%D8%AD%D8%A7%D9%86%DB%8C-%D8%AE%D9%88%D8%A7%D8%B3%D8%AA-%D8%A7%D8%B3%D8%AA%D8%B9%D9%81%D8%A7-%D8%AF%D9%87%D8%AF" TargetMode="External"/><Relationship Id="rId13" Type="http://schemas.openxmlformats.org/officeDocument/2006/relationships/hyperlink" Target="https://www.manoto.news/" TargetMode="External"/><Relationship Id="rId3479" Type="http://schemas.openxmlformats.org/officeDocument/2006/relationships/hyperlink" Target="http://pic.twitter.com/k4jnRgP6PC" TargetMode="External"/><Relationship Id="rId2288" Type="http://schemas.openxmlformats.org/officeDocument/2006/relationships/hyperlink" Target="https://pbs.twimg.com/media/Dlyu2nHXsAAYvTv.jpg" TargetMode="External"/><Relationship Id="rId2495" Type="http://schemas.openxmlformats.org/officeDocument/2006/relationships/hyperlink" Target="https://www.facebook.com/a.mazaheri" TargetMode="External"/><Relationship Id="rId3339" Type="http://schemas.openxmlformats.org/officeDocument/2006/relationships/hyperlink" Target="http://abolfazl.ramazani.db/" TargetMode="External"/><Relationship Id="rId467" Type="http://schemas.openxmlformats.org/officeDocument/2006/relationships/hyperlink" Target="https://pbs.twimg.com/media/DmRl5oEXcAUc6sl.jpg" TargetMode="External"/><Relationship Id="rId1097" Type="http://schemas.openxmlformats.org/officeDocument/2006/relationships/hyperlink" Target="https://pbs.twimg.com/media/DmK42lwXcAAY1O4.jpg" TargetMode="External"/><Relationship Id="rId2148" Type="http://schemas.openxmlformats.org/officeDocument/2006/relationships/hyperlink" Target="https://pbs.twimg.com/media/Dl2EpM2WwAE98SW.jpg" TargetMode="External"/><Relationship Id="rId3546" Type="http://schemas.openxmlformats.org/officeDocument/2006/relationships/hyperlink" Target="http://telewebion.com/" TargetMode="External"/><Relationship Id="rId674" Type="http://schemas.openxmlformats.org/officeDocument/2006/relationships/hyperlink" Target="https://www.goodreads.com/user/show/27097301-ali-ammari" TargetMode="External"/><Relationship Id="rId881" Type="http://schemas.openxmlformats.org/officeDocument/2006/relationships/hyperlink" Target="http://alef.ir/news/3970613032.html" TargetMode="External"/><Relationship Id="rId2355" Type="http://schemas.openxmlformats.org/officeDocument/2006/relationships/hyperlink" Target="http://www.physicsandphilosophy.blogfa.com/" TargetMode="External"/><Relationship Id="rId2562" Type="http://schemas.openxmlformats.org/officeDocument/2006/relationships/hyperlink" Target="https://www.instagram.com/p/BnDud1hH5f6/?utm_source=ig_twitter_share&amp;igshid=aj1mywijegap" TargetMode="External"/><Relationship Id="rId3406" Type="http://schemas.openxmlformats.org/officeDocument/2006/relationships/hyperlink" Target="https://pbs.twimg.com/media/DlrvmMKX4AAtTve.jpg" TargetMode="External"/><Relationship Id="rId3613" Type="http://schemas.openxmlformats.org/officeDocument/2006/relationships/hyperlink" Target="http://pic.twitter.com/lSCNQf2ZbX" TargetMode="External"/><Relationship Id="rId327" Type="http://schemas.openxmlformats.org/officeDocument/2006/relationships/hyperlink" Target="https://pbs.twimg.com/media/DmT1gApWwAACAQD.jpg" TargetMode="External"/><Relationship Id="rId534" Type="http://schemas.openxmlformats.org/officeDocument/2006/relationships/hyperlink" Target="https://pbs.twimg.com/media/DmRDm1VXcAMwD1h.jpg" TargetMode="External"/><Relationship Id="rId741" Type="http://schemas.openxmlformats.org/officeDocument/2006/relationships/hyperlink" Target="https://www.manoto.news/" TargetMode="External"/><Relationship Id="rId1164" Type="http://schemas.openxmlformats.org/officeDocument/2006/relationships/hyperlink" Target="https://twitter.com/behrouz18356770/status/1036306918036459521" TargetMode="External"/><Relationship Id="rId1371" Type="http://schemas.openxmlformats.org/officeDocument/2006/relationships/hyperlink" Target="http://www.yjc.ir/fa/news/6653686/%D8%B1%D9%88%D8%B2%D9%86%D8%A7%D9%85%D9%87-%DA%86%DB%8C%D9%86%DB%8C-%D8%A2%DB%8C%D8%A7-%D8%B1%D8%A6%DB%8C%D8%B3%E2%80%8C%D8%AC%D9%85%D9%87%D9%88%D8%B1-%DA%A9%D8%B1%D9%87-%D8%AC%D9%86%D9%88%D8%A8%DB%8C-%D8%A8%D8%A7-%D8%AF%D9%88%D8%B3%D8%AA%DB%8C-%D9%85%D8%A7%D9%86%D9%86%D8%AF-%D8%AA%D8%B1%D8%A7%D9%85%D9%BE-%D8%A8%D9%87-%D8%AF%D8%B4%D9%85%D9%86-%D9%86%DB%8C%D8%A7%D8%B2-%D8%AF%D8%A7%D8%B1%D8%AF" TargetMode="External"/><Relationship Id="rId2008" Type="http://schemas.openxmlformats.org/officeDocument/2006/relationships/hyperlink" Target="https://pbs.twimg.com/media/Dl4mQElX4AEfYMG.jpg" TargetMode="External"/><Relationship Id="rId2215" Type="http://schemas.openxmlformats.org/officeDocument/2006/relationships/hyperlink" Target="https://pbs.twimg.com/media/Dl0xAyEXsAARLUO.jpg" TargetMode="External"/><Relationship Id="rId2422" Type="http://schemas.openxmlformats.org/officeDocument/2006/relationships/hyperlink" Target="https://pbs.twimg.com/media/DlxejsjU0AEr-6S.jpg" TargetMode="External"/><Relationship Id="rId601" Type="http://schemas.openxmlformats.org/officeDocument/2006/relationships/hyperlink" Target="https://pbs.twimg.com/media/DmQbdwFXcAIUtOl.jpg" TargetMode="External"/><Relationship Id="rId1024" Type="http://schemas.openxmlformats.org/officeDocument/2006/relationships/hyperlink" Target="http://pic.twitter.com/8MERt3jcur" TargetMode="External"/><Relationship Id="rId1231" Type="http://schemas.openxmlformats.org/officeDocument/2006/relationships/hyperlink" Target="https://taaoo.ir/" TargetMode="External"/><Relationship Id="rId3196" Type="http://schemas.openxmlformats.org/officeDocument/2006/relationships/hyperlink" Target="https://pbs.twimg.com/media/DlspJs5W4AIR1TN.jpg" TargetMode="External"/><Relationship Id="rId3056" Type="http://schemas.openxmlformats.org/officeDocument/2006/relationships/hyperlink" Target="https://pbs.twimg.com/media/DltXYFlW0AAtnPq.jpg" TargetMode="External"/><Relationship Id="rId3263" Type="http://schemas.openxmlformats.org/officeDocument/2006/relationships/hyperlink" Target="https://t.me/HarfBeManBot?start=MzUxMzcwODA5" TargetMode="External"/><Relationship Id="rId3470" Type="http://schemas.openxmlformats.org/officeDocument/2006/relationships/hyperlink" Target="http://instagram.com/mahdi.m_61" TargetMode="External"/><Relationship Id="rId184" Type="http://schemas.openxmlformats.org/officeDocument/2006/relationships/hyperlink" Target="https://pbs.twimg.com/media/Dau2NhQXkAAIKE9.jpg" TargetMode="External"/><Relationship Id="rId391" Type="http://schemas.openxmlformats.org/officeDocument/2006/relationships/hyperlink" Target="http://mohammad.gh/" TargetMode="External"/><Relationship Id="rId1908" Type="http://schemas.openxmlformats.org/officeDocument/2006/relationships/hyperlink" Target="https://pbs.twimg.com/media/Dl7o3LSU0AEJu06.jpg" TargetMode="External"/><Relationship Id="rId2072" Type="http://schemas.openxmlformats.org/officeDocument/2006/relationships/hyperlink" Target="https://t.me/HarfBeManBot?start=NDQ0NDY5NzM" TargetMode="External"/><Relationship Id="rId3123" Type="http://schemas.openxmlformats.org/officeDocument/2006/relationships/hyperlink" Target="https://pbs.twimg.com/media/DltEyN1WwAAfwo_.jpg" TargetMode="External"/><Relationship Id="rId251" Type="http://schemas.openxmlformats.org/officeDocument/2006/relationships/hyperlink" Target="http://pic.twitter.com/gCoiIlwCAt" TargetMode="External"/><Relationship Id="rId3330" Type="http://schemas.openxmlformats.org/officeDocument/2006/relationships/hyperlink" Target="https://pbs.twimg.com/media/DlsBWUXW4AAJ_54.jpg" TargetMode="External"/><Relationship Id="rId2889" Type="http://schemas.openxmlformats.org/officeDocument/2006/relationships/hyperlink" Target="https://pbs.twimg.com/media/DlvCtwLXsAAlRlR.jpg" TargetMode="External"/><Relationship Id="rId111" Type="http://schemas.openxmlformats.org/officeDocument/2006/relationships/hyperlink" Target="https://twitter.com/Plusboy7916/status/1036335947837853696" TargetMode="External"/><Relationship Id="rId1698" Type="http://schemas.openxmlformats.org/officeDocument/2006/relationships/hyperlink" Target="https://t.me/amitanha" TargetMode="External"/><Relationship Id="rId2749" Type="http://schemas.openxmlformats.org/officeDocument/2006/relationships/hyperlink" Target="https://pbs.twimg.com/media/Dlv4mIfX0AAnBMp.jpg" TargetMode="External"/><Relationship Id="rId2956" Type="http://schemas.openxmlformats.org/officeDocument/2006/relationships/hyperlink" Target="https://pbs.twimg.com/media/Dlt1uNTUUAAZMga.jpg" TargetMode="External"/><Relationship Id="rId928" Type="http://schemas.openxmlformats.org/officeDocument/2006/relationships/hyperlink" Target="https://aminsabeti.net/" TargetMode="External"/><Relationship Id="rId1558" Type="http://schemas.openxmlformats.org/officeDocument/2006/relationships/hyperlink" Target="http://www.ilna.ir/" TargetMode="External"/><Relationship Id="rId1765" Type="http://schemas.openxmlformats.org/officeDocument/2006/relationships/hyperlink" Target="http://www.khabarfoori.com/" TargetMode="External"/><Relationship Id="rId2609" Type="http://schemas.openxmlformats.org/officeDocument/2006/relationships/hyperlink" Target="https://www.ilna.ir/fa/tiny/news-662423" TargetMode="External"/><Relationship Id="rId57" Type="http://schemas.openxmlformats.org/officeDocument/2006/relationships/hyperlink" Target="https://pbs.twimg.com/media/DmVQ-5sW0AE7S0Z.jpg" TargetMode="External"/><Relationship Id="rId1418" Type="http://schemas.openxmlformats.org/officeDocument/2006/relationships/hyperlink" Target="https://pbs.twimg.com/media/DmFdZ86U0AEn0pX.jpg" TargetMode="External"/><Relationship Id="rId1972" Type="http://schemas.openxmlformats.org/officeDocument/2006/relationships/hyperlink" Target="http://pic.twitter.com/UPl7ceDYf8" TargetMode="External"/><Relationship Id="rId2816" Type="http://schemas.openxmlformats.org/officeDocument/2006/relationships/hyperlink" Target="https://pbs.twimg.com/media/DlvsxlBWwAEFHkT.jpg" TargetMode="External"/><Relationship Id="rId1625" Type="http://schemas.openxmlformats.org/officeDocument/2006/relationships/hyperlink" Target="http://cyberwarzone.com/" TargetMode="External"/><Relationship Id="rId1832" Type="http://schemas.openxmlformats.org/officeDocument/2006/relationships/hyperlink" Target="https://twitter.com/Hasanshahi22/status/1035601259259023360" TargetMode="External"/><Relationship Id="rId2399" Type="http://schemas.openxmlformats.org/officeDocument/2006/relationships/hyperlink" Target="https://pbs.twimg.com/media/Dlxsu7WU0AEwkev.jpg" TargetMode="External"/><Relationship Id="rId578" Type="http://schemas.openxmlformats.org/officeDocument/2006/relationships/hyperlink" Target="http://instagram.com/javad_izadi" TargetMode="External"/><Relationship Id="rId785" Type="http://schemas.openxmlformats.org/officeDocument/2006/relationships/hyperlink" Target="http://hadipiri.ir/" TargetMode="External"/><Relationship Id="rId992" Type="http://schemas.openxmlformats.org/officeDocument/2006/relationships/hyperlink" Target="http://pic.twitter.com/eueXdta1kV" TargetMode="External"/><Relationship Id="rId2259" Type="http://schemas.openxmlformats.org/officeDocument/2006/relationships/hyperlink" Target="https://pbs.twimg.com/media/DlxE_GQWwAAGCQn.jpg" TargetMode="External"/><Relationship Id="rId2466" Type="http://schemas.openxmlformats.org/officeDocument/2006/relationships/hyperlink" Target="https://telegram.me/HarfBeManBot?start=MTg5NjYxNTQ4" TargetMode="External"/><Relationship Id="rId2673" Type="http://schemas.openxmlformats.org/officeDocument/2006/relationships/hyperlink" Target="https://pbs.twimg.com/media/DlsF04_WsAEZouZ.jpg" TargetMode="External"/><Relationship Id="rId2880" Type="http://schemas.openxmlformats.org/officeDocument/2006/relationships/hyperlink" Target="https://pbs.twimg.com/media/DlvUBAFX4AA6vAl.jpg" TargetMode="External"/><Relationship Id="rId3517" Type="http://schemas.openxmlformats.org/officeDocument/2006/relationships/hyperlink" Target="http://facebook.com/asmaerfanifar" TargetMode="External"/><Relationship Id="rId438" Type="http://schemas.openxmlformats.org/officeDocument/2006/relationships/hyperlink" Target="https://pbs.twimg.com/media/DmRzKF7UYAAiir9.jpg" TargetMode="External"/><Relationship Id="rId645" Type="http://schemas.openxmlformats.org/officeDocument/2006/relationships/hyperlink" Target="http://pic.twitter.com/J57AkbdgFw" TargetMode="External"/><Relationship Id="rId852" Type="http://schemas.openxmlformats.org/officeDocument/2006/relationships/hyperlink" Target="http://www.eghtesadonline.com/" TargetMode="External"/><Relationship Id="rId1068" Type="http://schemas.openxmlformats.org/officeDocument/2006/relationships/hyperlink" Target="https://pbs.twimg.com/media/DmLGMCPWwAAPx2E.jpg" TargetMode="External"/><Relationship Id="rId1275" Type="http://schemas.openxmlformats.org/officeDocument/2006/relationships/hyperlink" Target="https://pbs.twimg.com/media/DmHLe2wW0AUIYdi.jpg" TargetMode="External"/><Relationship Id="rId1482" Type="http://schemas.openxmlformats.org/officeDocument/2006/relationships/hyperlink" Target="https://pbs.twimg.com/media/DmE-0maW0AA9jNq.jpg" TargetMode="External"/><Relationship Id="rId2119" Type="http://schemas.openxmlformats.org/officeDocument/2006/relationships/hyperlink" Target="https://pbs.twimg.com/media/Dl2gIzqXoAo_5Z9.jpg" TargetMode="External"/><Relationship Id="rId2326" Type="http://schemas.openxmlformats.org/officeDocument/2006/relationships/hyperlink" Target="https://pbs.twimg.com/media/DlyYTW1W4AIgbxg.jpg" TargetMode="External"/><Relationship Id="rId2533" Type="http://schemas.openxmlformats.org/officeDocument/2006/relationships/hyperlink" Target="http://t.me/meysammottei" TargetMode="External"/><Relationship Id="rId2740" Type="http://schemas.openxmlformats.org/officeDocument/2006/relationships/hyperlink" Target="https://www.yjc.ir/00Rtmj" TargetMode="External"/><Relationship Id="rId505" Type="http://schemas.openxmlformats.org/officeDocument/2006/relationships/hyperlink" Target="https://pbs.twimg.com/media/DmRORjoW0AI_-iY.jpg" TargetMode="External"/><Relationship Id="rId712" Type="http://schemas.openxmlformats.org/officeDocument/2006/relationships/hyperlink" Target="https://twitter.com/mowlaverdi/status/864816930129162242" TargetMode="External"/><Relationship Id="rId1135" Type="http://schemas.openxmlformats.org/officeDocument/2006/relationships/hyperlink" Target="https://pbs.twimg.com/media/DmKgpu6U0AA-1P1.jpg" TargetMode="External"/><Relationship Id="rId1342" Type="http://schemas.openxmlformats.org/officeDocument/2006/relationships/hyperlink" Target="https://www.instagram.com/mostafa.goldsmith" TargetMode="External"/><Relationship Id="rId1202" Type="http://schemas.openxmlformats.org/officeDocument/2006/relationships/hyperlink" Target="https://pbs.twimg.com/media/DmJv-4VU0AAL39p.jpg" TargetMode="External"/><Relationship Id="rId2600" Type="http://schemas.openxmlformats.org/officeDocument/2006/relationships/hyperlink" Target="https://pbs.twimg.com/media/DlwXt8EWsAAZ5_x.jpg" TargetMode="External"/><Relationship Id="rId3167" Type="http://schemas.openxmlformats.org/officeDocument/2006/relationships/hyperlink" Target="https://pbs.twimg.com/media/Dls1h_9XsAAvDZn.jpg" TargetMode="External"/><Relationship Id="rId295" Type="http://schemas.openxmlformats.org/officeDocument/2006/relationships/hyperlink" Target="http://reba.ir/" TargetMode="External"/><Relationship Id="rId3374" Type="http://schemas.openxmlformats.org/officeDocument/2006/relationships/hyperlink" Target="https://t.me/Rashidgermi" TargetMode="External"/><Relationship Id="rId3581" Type="http://schemas.openxmlformats.org/officeDocument/2006/relationships/hyperlink" Target="http://tn.ai/1814217" TargetMode="External"/><Relationship Id="rId2183" Type="http://schemas.openxmlformats.org/officeDocument/2006/relationships/hyperlink" Target="https://article.mojahedin.org/i/" TargetMode="External"/><Relationship Id="rId2390" Type="http://schemas.openxmlformats.org/officeDocument/2006/relationships/hyperlink" Target="https://pbs.twimg.com/media/DkegT1KWsAAJJvN.jpg" TargetMode="External"/><Relationship Id="rId3027" Type="http://schemas.openxmlformats.org/officeDocument/2006/relationships/hyperlink" Target="https://twitter.com/rezasedaghattt/status/1034521501666553858" TargetMode="External"/><Relationship Id="rId3234" Type="http://schemas.openxmlformats.org/officeDocument/2006/relationships/hyperlink" Target="http://gaho-bi-gah.blogspot.com/" TargetMode="External"/><Relationship Id="rId3441" Type="http://schemas.openxmlformats.org/officeDocument/2006/relationships/hyperlink" Target="http://pic.twitter.com/OELFIWh49b" TargetMode="External"/><Relationship Id="rId155" Type="http://schemas.openxmlformats.org/officeDocument/2006/relationships/hyperlink" Target="http://fandogh.cloud/" TargetMode="External"/><Relationship Id="rId362" Type="http://schemas.openxmlformats.org/officeDocument/2006/relationships/hyperlink" Target="https://twitter.com/jskojabadi/status/1036996022055129088" TargetMode="External"/><Relationship Id="rId2043" Type="http://schemas.openxmlformats.org/officeDocument/2006/relationships/hyperlink" Target="http://fb.com/Freedom.Messenger" TargetMode="External"/><Relationship Id="rId2250" Type="http://schemas.openxmlformats.org/officeDocument/2006/relationships/hyperlink" Target="https://pbs.twimg.com/media/DlzOwLJX0AMK9Bd.jpg" TargetMode="External"/><Relationship Id="rId3301" Type="http://schemas.openxmlformats.org/officeDocument/2006/relationships/hyperlink" Target="https://pbs.twimg.com/media/DlsMVaRWwAE2AI3.jpg" TargetMode="External"/><Relationship Id="rId222" Type="http://schemas.openxmlformats.org/officeDocument/2006/relationships/hyperlink" Target="http://pic.twitter.com/sysYraLAdl" TargetMode="External"/><Relationship Id="rId2110" Type="http://schemas.openxmlformats.org/officeDocument/2006/relationships/hyperlink" Target="https://pbs.twimg.com/media/Dl2o811W4AMaCz2.jpg" TargetMode="External"/><Relationship Id="rId1669" Type="http://schemas.openxmlformats.org/officeDocument/2006/relationships/hyperlink" Target="https://www.isna.ir/news/97061004595/" TargetMode="External"/><Relationship Id="rId1876" Type="http://schemas.openxmlformats.org/officeDocument/2006/relationships/hyperlink" Target="http://www.dabirimehr.ir/" TargetMode="External"/><Relationship Id="rId2927" Type="http://schemas.openxmlformats.org/officeDocument/2006/relationships/hyperlink" Target="https://telegram.me/harfbzanbot?start=07EeNj5" TargetMode="External"/><Relationship Id="rId3091" Type="http://schemas.openxmlformats.org/officeDocument/2006/relationships/hyperlink" Target="https://twitter.com/Smr_firoozi/status/1034491706828369920" TargetMode="External"/><Relationship Id="rId1529" Type="http://schemas.openxmlformats.org/officeDocument/2006/relationships/hyperlink" Target="http://www.trt.net.tr/persian/mntqh/2018/09/02/nmyndh-jdyd-szmn-mll-dr-rq-t-yyn-shd-1041415" TargetMode="External"/><Relationship Id="rId1736" Type="http://schemas.openxmlformats.org/officeDocument/2006/relationships/hyperlink" Target="https://pbs.twimg.com/media/Dl_g6vbXsAEQiwr.jpg" TargetMode="External"/><Relationship Id="rId1943" Type="http://schemas.openxmlformats.org/officeDocument/2006/relationships/hyperlink" Target="https://twitter.com/mohyeddin_farsi/status/1035473669831712768" TargetMode="External"/><Relationship Id="rId28" Type="http://schemas.openxmlformats.org/officeDocument/2006/relationships/hyperlink" Target="https://www.ilna.ir/fa/tiny/news-665316" TargetMode="External"/><Relationship Id="rId1803" Type="http://schemas.openxmlformats.org/officeDocument/2006/relationships/hyperlink" Target="https://pbs.twimg.com/media/Dl-pygMXoAArOLv.jpg" TargetMode="External"/><Relationship Id="rId689" Type="http://schemas.openxmlformats.org/officeDocument/2006/relationships/hyperlink" Target="https://twitter.com/DR_FRANKESHTEIN?s=09" TargetMode="External"/><Relationship Id="rId896" Type="http://schemas.openxmlformats.org/officeDocument/2006/relationships/hyperlink" Target="https://t.me/nameisehsan" TargetMode="External"/><Relationship Id="rId2577" Type="http://schemas.openxmlformats.org/officeDocument/2006/relationships/hyperlink" Target="https://pbs.twimg.com/media/DlwYGaZWwAEQjXd.jpg" TargetMode="External"/><Relationship Id="rId2784" Type="http://schemas.openxmlformats.org/officeDocument/2006/relationships/hyperlink" Target="http://pic.twitter.com/akUXjZHO3q" TargetMode="External"/><Relationship Id="rId3628" Type="http://schemas.openxmlformats.org/officeDocument/2006/relationships/hyperlink" Target="http://pic.twitter.com/WY6oIilsaU" TargetMode="External"/><Relationship Id="rId549" Type="http://schemas.openxmlformats.org/officeDocument/2006/relationships/hyperlink" Target="https://pbs.twimg.com/media/DmQ56cmX0AAzhW0.jpg" TargetMode="External"/><Relationship Id="rId756" Type="http://schemas.openxmlformats.org/officeDocument/2006/relationships/hyperlink" Target="http://pic.twitter.com/J57AkbdgFw" TargetMode="External"/><Relationship Id="rId1179" Type="http://schemas.openxmlformats.org/officeDocument/2006/relationships/hyperlink" Target="https://pbs.twimg.com/media/DmKEHxfXgAAwV-b.jpg" TargetMode="External"/><Relationship Id="rId1386" Type="http://schemas.openxmlformats.org/officeDocument/2006/relationships/hyperlink" Target="http://www.tasnimnews.com/" TargetMode="External"/><Relationship Id="rId1593" Type="http://schemas.openxmlformats.org/officeDocument/2006/relationships/hyperlink" Target="https://plus.google.com/+MahmoodAgahi" TargetMode="External"/><Relationship Id="rId2437" Type="http://schemas.openxmlformats.org/officeDocument/2006/relationships/hyperlink" Target="https://t.me/biosarchive" TargetMode="External"/><Relationship Id="rId2991" Type="http://schemas.openxmlformats.org/officeDocument/2006/relationships/hyperlink" Target="https://pbs.twimg.com/media/DltqTbGXsAEyu0u.jpg" TargetMode="External"/><Relationship Id="rId409" Type="http://schemas.openxmlformats.org/officeDocument/2006/relationships/hyperlink" Target="http://pic.twitter.com/J57AkbdgFw" TargetMode="External"/><Relationship Id="rId963" Type="http://schemas.openxmlformats.org/officeDocument/2006/relationships/hyperlink" Target="https://telegram.me/harfbemanbot?start=ODc3MzQ1NzA" TargetMode="External"/><Relationship Id="rId1039" Type="http://schemas.openxmlformats.org/officeDocument/2006/relationships/hyperlink" Target="https://twitter.com/ZiaNabavi1/status/1036594222202318849" TargetMode="External"/><Relationship Id="rId1246" Type="http://schemas.openxmlformats.org/officeDocument/2006/relationships/hyperlink" Target="https://twitter.com/Peyman4835/status/1036364421554216961" TargetMode="External"/><Relationship Id="rId2644" Type="http://schemas.openxmlformats.org/officeDocument/2006/relationships/hyperlink" Target="https://taaoo.ir/" TargetMode="External"/><Relationship Id="rId2851" Type="http://schemas.openxmlformats.org/officeDocument/2006/relationships/hyperlink" Target="http://www.tasnimnews.com/" TargetMode="External"/><Relationship Id="rId92" Type="http://schemas.openxmlformats.org/officeDocument/2006/relationships/hyperlink" Target="https://t.me/ammarmaleki" TargetMode="External"/><Relationship Id="rId616" Type="http://schemas.openxmlformats.org/officeDocument/2006/relationships/hyperlink" Target="https://twitter.com/P_Salahshouri/status/1036873560936079360" TargetMode="External"/><Relationship Id="rId823" Type="http://schemas.openxmlformats.org/officeDocument/2006/relationships/hyperlink" Target="http://www.jjtvn.ir/" TargetMode="External"/><Relationship Id="rId1453" Type="http://schemas.openxmlformats.org/officeDocument/2006/relationships/hyperlink" Target="https://pbs.twimg.com/media/DmFJADnUwAArPer.jpg" TargetMode="External"/><Relationship Id="rId1660" Type="http://schemas.openxmlformats.org/officeDocument/2006/relationships/hyperlink" Target="http://www.adelkhani.ir/" TargetMode="External"/><Relationship Id="rId2504" Type="http://schemas.openxmlformats.org/officeDocument/2006/relationships/hyperlink" Target="https://pbs.twimg.com/media/Dlw8eZbVAAEIvm-.jpg" TargetMode="External"/><Relationship Id="rId2711" Type="http://schemas.openxmlformats.org/officeDocument/2006/relationships/hyperlink" Target="http://www.tasnimnews.com/" TargetMode="External"/><Relationship Id="rId1106" Type="http://schemas.openxmlformats.org/officeDocument/2006/relationships/hyperlink" Target="https://telegram.me/HarfBeManBot?start=NzEyMDU2MjU" TargetMode="External"/><Relationship Id="rId1313" Type="http://schemas.openxmlformats.org/officeDocument/2006/relationships/hyperlink" Target="https://pbs.twimg.com/media/DmGzgjUXsAAyuVs.jpg" TargetMode="External"/><Relationship Id="rId1520" Type="http://schemas.openxmlformats.org/officeDocument/2006/relationships/hyperlink" Target="https://pbs.twimg.com/media/DmEizrbXsAEt_-i.jpg" TargetMode="External"/><Relationship Id="rId3278" Type="http://schemas.openxmlformats.org/officeDocument/2006/relationships/hyperlink" Target="https://pbs.twimg.com/media/DlsPIHeWwAAHWND.jpg" TargetMode="External"/><Relationship Id="rId3485" Type="http://schemas.openxmlformats.org/officeDocument/2006/relationships/hyperlink" Target="http://www.nikru.ir/" TargetMode="External"/><Relationship Id="rId199" Type="http://schemas.openxmlformats.org/officeDocument/2006/relationships/hyperlink" Target="http://www.soheilzarrinkelk.com/" TargetMode="External"/><Relationship Id="rId2087" Type="http://schemas.openxmlformats.org/officeDocument/2006/relationships/hyperlink" Target="http://pic.twitter.com/3n5Q0R91rH" TargetMode="External"/><Relationship Id="rId2294" Type="http://schemas.openxmlformats.org/officeDocument/2006/relationships/hyperlink" Target="http://www.iranwtc.org/" TargetMode="External"/><Relationship Id="rId3138" Type="http://schemas.openxmlformats.org/officeDocument/2006/relationships/hyperlink" Target="https://telegram.me/HarfBeManBot?start=MTA3ODkyMDEy" TargetMode="External"/><Relationship Id="rId3345" Type="http://schemas.openxmlformats.org/officeDocument/2006/relationships/hyperlink" Target="http://www.ahmadpour.net/" TargetMode="External"/><Relationship Id="rId3552" Type="http://schemas.openxmlformats.org/officeDocument/2006/relationships/hyperlink" Target="https://pbs.twimg.com/media/DlrIJh5V4AAWK3H.jpg" TargetMode="External"/><Relationship Id="rId266" Type="http://schemas.openxmlformats.org/officeDocument/2006/relationships/hyperlink" Target="https://pbs.twimg.com/media/DmUKP86XgAA_AOC.jpg" TargetMode="External"/><Relationship Id="rId473" Type="http://schemas.openxmlformats.org/officeDocument/2006/relationships/hyperlink" Target="https://pbs.twimg.com/media/DmRidcCWwAIcg3F.jpg" TargetMode="External"/><Relationship Id="rId680" Type="http://schemas.openxmlformats.org/officeDocument/2006/relationships/hyperlink" Target="http://sapp.ir/alefhamim" TargetMode="External"/><Relationship Id="rId2154" Type="http://schemas.openxmlformats.org/officeDocument/2006/relationships/hyperlink" Target="https://twitter.com/IRNA_1313/status/1034799517332332546" TargetMode="External"/><Relationship Id="rId2361" Type="http://schemas.openxmlformats.org/officeDocument/2006/relationships/hyperlink" Target="https://pbs.twimg.com/media/DlyNAjAXsAAR76A.jpg" TargetMode="External"/><Relationship Id="rId3205" Type="http://schemas.openxmlformats.org/officeDocument/2006/relationships/hyperlink" Target="http://daarvh.blogfa.com/" TargetMode="External"/><Relationship Id="rId3412" Type="http://schemas.openxmlformats.org/officeDocument/2006/relationships/hyperlink" Target="https://pbs.twimg.com/media/DlrvCiwXoAIoyR8.jpg" TargetMode="External"/><Relationship Id="rId126" Type="http://schemas.openxmlformats.org/officeDocument/2006/relationships/hyperlink" Target="https://pbs.twimg.com/media/DmUzmKVX0AAqQTM.jpg" TargetMode="External"/><Relationship Id="rId333" Type="http://schemas.openxmlformats.org/officeDocument/2006/relationships/hyperlink" Target="http://www.ilna.ir/" TargetMode="External"/><Relationship Id="rId540" Type="http://schemas.openxmlformats.org/officeDocument/2006/relationships/hyperlink" Target="https://pbs.twimg.com/media/DmQ-3AQW0AAagKG.jpg" TargetMode="External"/><Relationship Id="rId1170" Type="http://schemas.openxmlformats.org/officeDocument/2006/relationships/hyperlink" Target="https://pbs.twimg.com/media/DmKQ2ypX0AEyGfv.jpg" TargetMode="External"/><Relationship Id="rId2014" Type="http://schemas.openxmlformats.org/officeDocument/2006/relationships/hyperlink" Target="https://pbs.twimg.com/media/Dl4UtalW4AUx8jA.jpg" TargetMode="External"/><Relationship Id="rId2221" Type="http://schemas.openxmlformats.org/officeDocument/2006/relationships/hyperlink" Target="https://pbs.twimg.com/media/Dl0dX42WwAAwg_m.jpg" TargetMode="External"/><Relationship Id="rId1030" Type="http://schemas.openxmlformats.org/officeDocument/2006/relationships/hyperlink" Target="http://pic.twitter.com/jCLvude2Ca" TargetMode="External"/><Relationship Id="rId400" Type="http://schemas.openxmlformats.org/officeDocument/2006/relationships/hyperlink" Target="https://t.me/Taghadom" TargetMode="External"/><Relationship Id="rId1987" Type="http://schemas.openxmlformats.org/officeDocument/2006/relationships/hyperlink" Target="https://pbs.twimg.com/media/Dl6MXIDXoAADVC0.jpg" TargetMode="External"/><Relationship Id="rId1847" Type="http://schemas.openxmlformats.org/officeDocument/2006/relationships/hyperlink" Target="https://twitter.com/yaminpour/status/1035514258468028416" TargetMode="External"/><Relationship Id="rId1707" Type="http://schemas.openxmlformats.org/officeDocument/2006/relationships/hyperlink" Target="http://www.eghtesadonline.com/" TargetMode="External"/><Relationship Id="rId3062" Type="http://schemas.openxmlformats.org/officeDocument/2006/relationships/hyperlink" Target="https://pbs.twimg.com/media/DltSzC0W4AQPyTY.jpg" TargetMode="External"/><Relationship Id="rId190" Type="http://schemas.openxmlformats.org/officeDocument/2006/relationships/hyperlink" Target="https://pbs.twimg.com/media/DmUepDVWwAEbo9Q.jpg" TargetMode="External"/><Relationship Id="rId1914" Type="http://schemas.openxmlformats.org/officeDocument/2006/relationships/hyperlink" Target="https://pbs.twimg.com/media/Dl7kU9iU8AUPsy9.jpg" TargetMode="External"/><Relationship Id="rId2688" Type="http://schemas.openxmlformats.org/officeDocument/2006/relationships/hyperlink" Target="https://pbs.twimg.com/media/DlwFOSvXgAAitVU.jpg" TargetMode="External"/><Relationship Id="rId2895" Type="http://schemas.openxmlformats.org/officeDocument/2006/relationships/hyperlink" Target="https://pbs.twimg.com/media/DluxURqXoAIz_Ge.jpg" TargetMode="External"/><Relationship Id="rId867" Type="http://schemas.openxmlformats.org/officeDocument/2006/relationships/hyperlink" Target="https://pbs.twimg.com/media/DmOqC0dWsAA6Xpu.jpg" TargetMode="External"/><Relationship Id="rId1497" Type="http://schemas.openxmlformats.org/officeDocument/2006/relationships/hyperlink" Target="https://twitter.com/tp4_ir/status/1033990605381296129" TargetMode="External"/><Relationship Id="rId2548" Type="http://schemas.openxmlformats.org/officeDocument/2006/relationships/hyperlink" Target="http://www.bpi.ir/" TargetMode="External"/><Relationship Id="rId2755" Type="http://schemas.openxmlformats.org/officeDocument/2006/relationships/hyperlink" Target="http://novincinema.com/" TargetMode="External"/><Relationship Id="rId2962" Type="http://schemas.openxmlformats.org/officeDocument/2006/relationships/hyperlink" Target="http://instagram.com/hvafa1983" TargetMode="External"/><Relationship Id="rId727" Type="http://schemas.openxmlformats.org/officeDocument/2006/relationships/hyperlink" Target="https://about.me/saberbostaniasl" TargetMode="External"/><Relationship Id="rId934" Type="http://schemas.openxmlformats.org/officeDocument/2006/relationships/hyperlink" Target="https://pbs.twimg.com/media/DmMke8GX4AU9eDQ.jpg" TargetMode="External"/><Relationship Id="rId1357" Type="http://schemas.openxmlformats.org/officeDocument/2006/relationships/hyperlink" Target="http://pic.twitter.com/hla49ehyMq" TargetMode="External"/><Relationship Id="rId1564" Type="http://schemas.openxmlformats.org/officeDocument/2006/relationships/hyperlink" Target="https://pbs.twimg.com/media/DmD3FokXgAAJgVm.jpg" TargetMode="External"/><Relationship Id="rId1771" Type="http://schemas.openxmlformats.org/officeDocument/2006/relationships/hyperlink" Target="http://nabaapress.ir/?option=com_k2&amp;view=item&amp;id=2189" TargetMode="External"/><Relationship Id="rId2408" Type="http://schemas.openxmlformats.org/officeDocument/2006/relationships/hyperlink" Target="https://pbs.twimg.com/media/Dlv_fX6X4AEL6w8.jpg" TargetMode="External"/><Relationship Id="rId2615" Type="http://schemas.openxmlformats.org/officeDocument/2006/relationships/hyperlink" Target="http://www.jamejamonline.ir/" TargetMode="External"/><Relationship Id="rId2822" Type="http://schemas.openxmlformats.org/officeDocument/2006/relationships/hyperlink" Target="http://radiozamaneh.com/" TargetMode="External"/><Relationship Id="rId63" Type="http://schemas.openxmlformats.org/officeDocument/2006/relationships/hyperlink" Target="https://pbs.twimg.com/media/DmVOtkTW4AYRVz8.jpg" TargetMode="External"/><Relationship Id="rId1217" Type="http://schemas.openxmlformats.org/officeDocument/2006/relationships/hyperlink" Target="http://www.khabarfoori.com/" TargetMode="External"/><Relationship Id="rId1424" Type="http://schemas.openxmlformats.org/officeDocument/2006/relationships/hyperlink" Target="https://twitter.com/ahmadkaramad/status/1035784529145995266" TargetMode="External"/><Relationship Id="rId1631" Type="http://schemas.openxmlformats.org/officeDocument/2006/relationships/hyperlink" Target="http://akharinkhabar.com/Pages/News.aspx?id=4556518" TargetMode="External"/><Relationship Id="rId3389" Type="http://schemas.openxmlformats.org/officeDocument/2006/relationships/hyperlink" Target="https://t.me/Ashkanrezaei93" TargetMode="External"/><Relationship Id="rId3596" Type="http://schemas.openxmlformats.org/officeDocument/2006/relationships/hyperlink" Target="http://instagram.com/hedieaghapour" TargetMode="External"/><Relationship Id="rId2198" Type="http://schemas.openxmlformats.org/officeDocument/2006/relationships/hyperlink" Target="https://pbs.twimg.com/media/Dl06-VWXsAA06Jt.jpg" TargetMode="External"/><Relationship Id="rId3249" Type="http://schemas.openxmlformats.org/officeDocument/2006/relationships/hyperlink" Target="https://pbs.twimg.com/media/DlsaZEmW0AE_v94.jpg" TargetMode="External"/><Relationship Id="rId3456" Type="http://schemas.openxmlformats.org/officeDocument/2006/relationships/hyperlink" Target="https://pbs.twimg.com/media/DlrjGvWWwAAQlwJ.jpg" TargetMode="External"/><Relationship Id="rId377" Type="http://schemas.openxmlformats.org/officeDocument/2006/relationships/hyperlink" Target="https://twitter.com/rez65bah/status/1036931198654836739" TargetMode="External"/><Relationship Id="rId584" Type="http://schemas.openxmlformats.org/officeDocument/2006/relationships/hyperlink" Target="https://pbs.twimg.com/media/DmQh-UxX0AAd4j9.jpg" TargetMode="External"/><Relationship Id="rId2058" Type="http://schemas.openxmlformats.org/officeDocument/2006/relationships/hyperlink" Target="https://coiniran.com/cryptos-in-irans-parliament/" TargetMode="External"/><Relationship Id="rId2265" Type="http://schemas.openxmlformats.org/officeDocument/2006/relationships/hyperlink" Target="https://unikanews.com/" TargetMode="External"/><Relationship Id="rId3109" Type="http://schemas.openxmlformats.org/officeDocument/2006/relationships/hyperlink" Target="https://pbs.twimg.com/media/DltM8NvXcAAFFVs.jpg" TargetMode="External"/><Relationship Id="rId237" Type="http://schemas.openxmlformats.org/officeDocument/2006/relationships/hyperlink" Target="https://pbs.twimg.com/media/DmUTI2EWsAAk5sw.jpg" TargetMode="External"/><Relationship Id="rId791" Type="http://schemas.openxmlformats.org/officeDocument/2006/relationships/hyperlink" Target="http://alifatehi.com/" TargetMode="External"/><Relationship Id="rId1074" Type="http://schemas.openxmlformats.org/officeDocument/2006/relationships/hyperlink" Target="https://hra-news.org/" TargetMode="External"/><Relationship Id="rId2472" Type="http://schemas.openxmlformats.org/officeDocument/2006/relationships/hyperlink" Target="http://www.iranntv.com/" TargetMode="External"/><Relationship Id="rId3316" Type="http://schemas.openxmlformats.org/officeDocument/2006/relationships/hyperlink" Target="https://twitter.com/mehrnews_fa/status/1034374032144171012" TargetMode="External"/><Relationship Id="rId3523" Type="http://schemas.openxmlformats.org/officeDocument/2006/relationships/hyperlink" Target="https://twitter.com/safirfilm_ir/status/1034129172497612801" TargetMode="External"/><Relationship Id="rId444" Type="http://schemas.openxmlformats.org/officeDocument/2006/relationships/hyperlink" Target="https://pbs.twimg.com/media/DmRvQ0HWwAAH5KY.jpg" TargetMode="External"/><Relationship Id="rId651" Type="http://schemas.openxmlformats.org/officeDocument/2006/relationships/hyperlink" Target="https://pbs.twimg.com/media/DmLf2PbXcAECgwH.png" TargetMode="External"/><Relationship Id="rId1281" Type="http://schemas.openxmlformats.org/officeDocument/2006/relationships/hyperlink" Target="http://sarshar.org/" TargetMode="External"/><Relationship Id="rId2125" Type="http://schemas.openxmlformats.org/officeDocument/2006/relationships/hyperlink" Target="https://twitter.com/031esf/status/1035147180783362050" TargetMode="External"/><Relationship Id="rId2332" Type="http://schemas.openxmlformats.org/officeDocument/2006/relationships/hyperlink" Target="https://goo.gl/YOsYlV" TargetMode="External"/><Relationship Id="rId304" Type="http://schemas.openxmlformats.org/officeDocument/2006/relationships/hyperlink" Target="https://www.instagram.com/p/BnVZJ0FlPSb/?utm_source=ig_twitter_share&amp;igshid=5xrj2iygdlcy" TargetMode="External"/><Relationship Id="rId511" Type="http://schemas.openxmlformats.org/officeDocument/2006/relationships/hyperlink" Target="https://hra-news.org/" TargetMode="External"/><Relationship Id="rId1141" Type="http://schemas.openxmlformats.org/officeDocument/2006/relationships/hyperlink" Target="http://pic.twitter.com/iTh5oYfTC5" TargetMode="External"/><Relationship Id="rId1001" Type="http://schemas.openxmlformats.org/officeDocument/2006/relationships/hyperlink" Target="https://pbs.twimg.com/media/DmLta3iXgAAb5XH.jpg" TargetMode="External"/><Relationship Id="rId1958" Type="http://schemas.openxmlformats.org/officeDocument/2006/relationships/hyperlink" Target="http://pic.twitter.com/qwazQsPfAo" TargetMode="External"/><Relationship Id="rId3173" Type="http://schemas.openxmlformats.org/officeDocument/2006/relationships/hyperlink" Target="https://pbs.twimg.com/media/Dlsz2FlW4AA6Rq9.jpg" TargetMode="External"/><Relationship Id="rId3380" Type="http://schemas.openxmlformats.org/officeDocument/2006/relationships/hyperlink" Target="http://novincinema.com/" TargetMode="External"/><Relationship Id="rId1818" Type="http://schemas.openxmlformats.org/officeDocument/2006/relationships/hyperlink" Target="https://www.instagram.com/m.s.r72/" TargetMode="External"/><Relationship Id="rId3033" Type="http://schemas.openxmlformats.org/officeDocument/2006/relationships/hyperlink" Target="https://www.instagram.com/arminshokri" TargetMode="External"/><Relationship Id="rId3240" Type="http://schemas.openxmlformats.org/officeDocument/2006/relationships/hyperlink" Target="https://pbs.twimg.com/media/Dlsb_xqW0AEveqK.jpg" TargetMode="External"/><Relationship Id="rId161" Type="http://schemas.openxmlformats.org/officeDocument/2006/relationships/hyperlink" Target="https://www.instagram.com/meysam.farahi67/" TargetMode="External"/><Relationship Id="rId2799" Type="http://schemas.openxmlformats.org/officeDocument/2006/relationships/hyperlink" Target="https://www.instagram.com/hosseiining/" TargetMode="External"/><Relationship Id="rId3100" Type="http://schemas.openxmlformats.org/officeDocument/2006/relationships/hyperlink" Target="http://iranshahrig.com/" TargetMode="External"/><Relationship Id="rId978" Type="http://schemas.openxmlformats.org/officeDocument/2006/relationships/hyperlink" Target="http://aa.com.tr/fa" TargetMode="External"/><Relationship Id="rId2659" Type="http://schemas.openxmlformats.org/officeDocument/2006/relationships/hyperlink" Target="http://t.me/radioomidtr" TargetMode="External"/><Relationship Id="rId2866" Type="http://schemas.openxmlformats.org/officeDocument/2006/relationships/hyperlink" Target="http://pic.twitter.com/ljg1zidfNJ" TargetMode="External"/><Relationship Id="rId838" Type="http://schemas.openxmlformats.org/officeDocument/2006/relationships/hyperlink" Target="http://sarmashghnews.com/" TargetMode="External"/><Relationship Id="rId1468" Type="http://schemas.openxmlformats.org/officeDocument/2006/relationships/hyperlink" Target="http://yon.ir/EITAS" TargetMode="External"/><Relationship Id="rId1675" Type="http://schemas.openxmlformats.org/officeDocument/2006/relationships/hyperlink" Target="http://www.tasnimnews.com/" TargetMode="External"/><Relationship Id="rId1882" Type="http://schemas.openxmlformats.org/officeDocument/2006/relationships/hyperlink" Target="https://pbs.twimg.com/media/Dl8Le7XUwAAuEdd.jpg" TargetMode="External"/><Relationship Id="rId2519" Type="http://schemas.openxmlformats.org/officeDocument/2006/relationships/hyperlink" Target="https://pbs.twimg.com/media/Dlw3iUHWwAEZT4m.jpg" TargetMode="External"/><Relationship Id="rId2726" Type="http://schemas.openxmlformats.org/officeDocument/2006/relationships/hyperlink" Target="https://easternmiddle.wordpress.com/" TargetMode="External"/><Relationship Id="rId1328" Type="http://schemas.openxmlformats.org/officeDocument/2006/relationships/hyperlink" Target="http://t.me/knaf_shoresh" TargetMode="External"/><Relationship Id="rId1535" Type="http://schemas.openxmlformats.org/officeDocument/2006/relationships/hyperlink" Target="http://www.ibena.ir/" TargetMode="External"/><Relationship Id="rId2933" Type="http://schemas.openxmlformats.org/officeDocument/2006/relationships/hyperlink" Target="https://telegram.me/HarfBeManBot?start=NTI3OTc2ODU0" TargetMode="External"/><Relationship Id="rId905" Type="http://schemas.openxmlformats.org/officeDocument/2006/relationships/hyperlink" Target="http://icana.ir/" TargetMode="External"/><Relationship Id="rId1742" Type="http://schemas.openxmlformats.org/officeDocument/2006/relationships/hyperlink" Target="https://t.me/amitanha" TargetMode="External"/><Relationship Id="rId34" Type="http://schemas.openxmlformats.org/officeDocument/2006/relationships/hyperlink" Target="https://pbs.twimg.com/media/DmVX58BXsAA5si4.jpg" TargetMode="External"/><Relationship Id="rId1602" Type="http://schemas.openxmlformats.org/officeDocument/2006/relationships/hyperlink" Target="http://pahlevanihamed.tumblr.com/" TargetMode="External"/><Relationship Id="rId3567" Type="http://schemas.openxmlformats.org/officeDocument/2006/relationships/hyperlink" Target="http://www.sobhemahallat.ir/" TargetMode="External"/><Relationship Id="rId488" Type="http://schemas.openxmlformats.org/officeDocument/2006/relationships/hyperlink" Target="https://twitter.com/Farhad63693277/status/1037016432888823808" TargetMode="External"/><Relationship Id="rId695" Type="http://schemas.openxmlformats.org/officeDocument/2006/relationships/hyperlink" Target="https://t.me/Nashenastel_bot?start=u570047539" TargetMode="External"/><Relationship Id="rId2169" Type="http://schemas.openxmlformats.org/officeDocument/2006/relationships/hyperlink" Target="http://sepehrhn.com/" TargetMode="External"/><Relationship Id="rId2376" Type="http://schemas.openxmlformats.org/officeDocument/2006/relationships/hyperlink" Target="https://rouhanimeter.com/2018/08/rouhani-jobs/" TargetMode="External"/><Relationship Id="rId2583" Type="http://schemas.openxmlformats.org/officeDocument/2006/relationships/hyperlink" Target="https://pbs.twimg.com/media/DlwZ5pBXgAA41YF.jpg" TargetMode="External"/><Relationship Id="rId2790" Type="http://schemas.openxmlformats.org/officeDocument/2006/relationships/hyperlink" Target="https://pbs.twimg.com/media/DlvwwmgXcAAkfZC.jpg" TargetMode="External"/><Relationship Id="rId3427" Type="http://schemas.openxmlformats.org/officeDocument/2006/relationships/hyperlink" Target="http://instagram.com/sadeqi_ir" TargetMode="External"/><Relationship Id="rId3634" Type="http://schemas.openxmlformats.org/officeDocument/2006/relationships/hyperlink" Target="http://t.me/aghamohsen72" TargetMode="External"/><Relationship Id="rId348" Type="http://schemas.openxmlformats.org/officeDocument/2006/relationships/hyperlink" Target="https://twitter.com/duman_ir/status/1037073145059000321" TargetMode="External"/><Relationship Id="rId555" Type="http://schemas.openxmlformats.org/officeDocument/2006/relationships/hyperlink" Target="https://telegram.me/HarfBeManBot?start=MTY3NjU3ODEx" TargetMode="External"/><Relationship Id="rId762" Type="http://schemas.openxmlformats.org/officeDocument/2006/relationships/hyperlink" Target="http://pic.twitter.com/T2PJypXbtY" TargetMode="External"/><Relationship Id="rId1185" Type="http://schemas.openxmlformats.org/officeDocument/2006/relationships/hyperlink" Target="https://pbs.twimg.com/media/DmJ_TYkXcAACrcY.jpg" TargetMode="External"/><Relationship Id="rId1392" Type="http://schemas.openxmlformats.org/officeDocument/2006/relationships/hyperlink" Target="http://t.me/SISYPH_0" TargetMode="External"/><Relationship Id="rId2029" Type="http://schemas.openxmlformats.org/officeDocument/2006/relationships/hyperlink" Target="https://pbs.twimg.com/media/Dl4D4H_UYAAleuX.jpg" TargetMode="External"/><Relationship Id="rId2236" Type="http://schemas.openxmlformats.org/officeDocument/2006/relationships/hyperlink" Target="https://www.isna.ir/news/97060803932" TargetMode="External"/><Relationship Id="rId2443" Type="http://schemas.openxmlformats.org/officeDocument/2006/relationships/hyperlink" Target="https://twitter.com/DaryaKavoos/status/1034579031029678080" TargetMode="External"/><Relationship Id="rId2650" Type="http://schemas.openxmlformats.org/officeDocument/2006/relationships/hyperlink" Target="https://pbs.twimg.com/media/DlwPV3TXcAAGy7k.jpg" TargetMode="External"/><Relationship Id="rId208" Type="http://schemas.openxmlformats.org/officeDocument/2006/relationships/hyperlink" Target="https://telegram.me/iranAzadie" TargetMode="External"/><Relationship Id="rId415" Type="http://schemas.openxmlformats.org/officeDocument/2006/relationships/hyperlink" Target="https://www.jamaran.ir/%D8%A8%D8%AE%D8%B4-%D9%BE%D8%B1%D9%88%D9%81%D8%A7%DB%8C%D9%84-182/1004925-%D9%86%D9%87%D8%A7%D8%AF%D9%87%D8%A7%DB%8C-%D9%86%D8%B8%D8%A7%D9%85%DB%8C-%D8%A8%D9%87-%D9%BE%D8%A7%D8%AF%DA%AF%D8%A7%D9%86-%D9%87%D8%A7-%D8%A8%D8%B1%DA%AF%D8%B1%D8%AF%D9%86%D8%AF-%D8%A2%D9%82%D8%A7%DB%8C-%D8%B1%DB%8C%DB%8C%D8%B3-%D8%AC%D9%85%D9%87%D9%88%D8%B1-%D8%A8%D8%A7-%D8%A7%D8%A8%D8%B1-%D8%A8%D8%AD%D8%B1%D8%A7%D9%86-%D9%87%D8%A7-%D8%AF%D8%B1%DA%AF%DB%8C%D8%B1%DB%8C%D9%85-%D9%87%D9%85%D9%87-%D9%87%D9%85-%D9%85%DB%8C-%D8%AF%D8%A7%D9%86%D9%86%D8%AF-%D9%81%DB%8C%D9%84%D9%85" TargetMode="External"/><Relationship Id="rId622" Type="http://schemas.openxmlformats.org/officeDocument/2006/relationships/hyperlink" Target="https://twitter.com/P_Salahshouri/status/1036873560936079360" TargetMode="External"/><Relationship Id="rId1045" Type="http://schemas.openxmlformats.org/officeDocument/2006/relationships/hyperlink" Target="https://pbs.twimg.com/media/DmLVAyMW4AA3-4v.jpg" TargetMode="External"/><Relationship Id="rId1252" Type="http://schemas.openxmlformats.org/officeDocument/2006/relationships/hyperlink" Target="http://pic.twitter.com/cjindtxsLD" TargetMode="External"/><Relationship Id="rId2303" Type="http://schemas.openxmlformats.org/officeDocument/2006/relationships/hyperlink" Target="https://twitter.com/mehdixr/status/1000108486066429952" TargetMode="External"/><Relationship Id="rId2510" Type="http://schemas.openxmlformats.org/officeDocument/2006/relationships/hyperlink" Target="https://telegram.me/harfbzanbot?start=j0dZd8q" TargetMode="External"/><Relationship Id="rId1112" Type="http://schemas.openxmlformats.org/officeDocument/2006/relationships/hyperlink" Target="http://newspaper.hamshahri.org/" TargetMode="External"/><Relationship Id="rId3077" Type="http://schemas.openxmlformats.org/officeDocument/2006/relationships/hyperlink" Target="https://hashtagban.com/" TargetMode="External"/><Relationship Id="rId3284" Type="http://schemas.openxmlformats.org/officeDocument/2006/relationships/hyperlink" Target="https://pbs.twimg.com/media/DlsOWTTUUAAkJAD.jpg" TargetMode="External"/><Relationship Id="rId1929" Type="http://schemas.openxmlformats.org/officeDocument/2006/relationships/hyperlink" Target="http://www.paydarplastic.com/" TargetMode="External"/><Relationship Id="rId2093" Type="http://schemas.openxmlformats.org/officeDocument/2006/relationships/hyperlink" Target="http://cyberwarzone.com/" TargetMode="External"/><Relationship Id="rId3491" Type="http://schemas.openxmlformats.org/officeDocument/2006/relationships/hyperlink" Target="http://inestagram.com/paper.tulip" TargetMode="External"/><Relationship Id="rId3144" Type="http://schemas.openxmlformats.org/officeDocument/2006/relationships/hyperlink" Target="http://pic.twitter.com/bJCwg05Ovr" TargetMode="External"/><Relationship Id="rId3351" Type="http://schemas.openxmlformats.org/officeDocument/2006/relationships/hyperlink" Target="https://twitter.com/simayazaditv/status/1034316761292853248" TargetMode="External"/><Relationship Id="rId272" Type="http://schemas.openxmlformats.org/officeDocument/2006/relationships/hyperlink" Target="http://www.islamshia.org/" TargetMode="External"/><Relationship Id="rId2160" Type="http://schemas.openxmlformats.org/officeDocument/2006/relationships/hyperlink" Target="https://www.facebook.com/a.mazaheri" TargetMode="External"/><Relationship Id="rId3004" Type="http://schemas.openxmlformats.org/officeDocument/2006/relationships/hyperlink" Target="https://pbs.twimg.com/media/DltljcIXgAErWd1.jpg" TargetMode="External"/><Relationship Id="rId3211" Type="http://schemas.openxmlformats.org/officeDocument/2006/relationships/hyperlink" Target="http://www.rouhanimeter.com/" TargetMode="External"/><Relationship Id="rId132" Type="http://schemas.openxmlformats.org/officeDocument/2006/relationships/hyperlink" Target="http://www.etehadonline.com/" TargetMode="External"/><Relationship Id="rId2020" Type="http://schemas.openxmlformats.org/officeDocument/2006/relationships/hyperlink" Target="http://cyberwarzone.com/" TargetMode="External"/><Relationship Id="rId1579" Type="http://schemas.openxmlformats.org/officeDocument/2006/relationships/hyperlink" Target="http://pic.twitter.com/XJJNJQWYra" TargetMode="External"/><Relationship Id="rId2977" Type="http://schemas.openxmlformats.org/officeDocument/2006/relationships/hyperlink" Target="http://aassak13.ir/" TargetMode="External"/><Relationship Id="rId949" Type="http://schemas.openxmlformats.org/officeDocument/2006/relationships/hyperlink" Target="http://www.instagram.com/marjan_tohidi/" TargetMode="External"/><Relationship Id="rId1786" Type="http://schemas.openxmlformats.org/officeDocument/2006/relationships/hyperlink" Target="http://www.ilna.ir/" TargetMode="External"/><Relationship Id="rId1993" Type="http://schemas.openxmlformats.org/officeDocument/2006/relationships/hyperlink" Target="https://pbs.twimg.com/media/Dl5-CmyXcAAO2qK.jpg" TargetMode="External"/><Relationship Id="rId2837" Type="http://schemas.openxmlformats.org/officeDocument/2006/relationships/hyperlink" Target="http://rasad.ir/" TargetMode="External"/><Relationship Id="rId78" Type="http://schemas.openxmlformats.org/officeDocument/2006/relationships/hyperlink" Target="http://t.me/rezavahidzadeh" TargetMode="External"/><Relationship Id="rId809" Type="http://schemas.openxmlformats.org/officeDocument/2006/relationships/hyperlink" Target="https://pbs.twimg.com/media/DmPKbUaW0AATg4q.jpg" TargetMode="External"/><Relationship Id="rId1439" Type="http://schemas.openxmlformats.org/officeDocument/2006/relationships/hyperlink" Target="https://pbs.twimg.com/media/DmA5ZVyU8AAdr5K.jpg" TargetMode="External"/><Relationship Id="rId1646" Type="http://schemas.openxmlformats.org/officeDocument/2006/relationships/hyperlink" Target="https://pbs.twimg.com/media/DmA82IvVAAALIp4.jpg" TargetMode="External"/><Relationship Id="rId1853" Type="http://schemas.openxmlformats.org/officeDocument/2006/relationships/hyperlink" Target="http://alifatehi.com/" TargetMode="External"/><Relationship Id="rId2904" Type="http://schemas.openxmlformats.org/officeDocument/2006/relationships/hyperlink" Target="http://www.almahdyoon.org/" TargetMode="External"/><Relationship Id="rId1506" Type="http://schemas.openxmlformats.org/officeDocument/2006/relationships/hyperlink" Target="http://www.tasnimnews.com/" TargetMode="External"/><Relationship Id="rId1713" Type="http://schemas.openxmlformats.org/officeDocument/2006/relationships/hyperlink" Target="http://www.a-rezaei.com/" TargetMode="External"/><Relationship Id="rId1920" Type="http://schemas.openxmlformats.org/officeDocument/2006/relationships/hyperlink" Target="http://www.etemadonline.com/" TargetMode="External"/><Relationship Id="rId599" Type="http://schemas.openxmlformats.org/officeDocument/2006/relationships/hyperlink" Target="https://www.tir.ir/" TargetMode="External"/><Relationship Id="rId2487" Type="http://schemas.openxmlformats.org/officeDocument/2006/relationships/hyperlink" Target="https://www.facebook.com/DastNeveshte.Hamid.Taheri" TargetMode="External"/><Relationship Id="rId2694" Type="http://schemas.openxmlformats.org/officeDocument/2006/relationships/hyperlink" Target="http://pic.twitter.com/Ku77Xa1Qsw" TargetMode="External"/><Relationship Id="rId3538" Type="http://schemas.openxmlformats.org/officeDocument/2006/relationships/hyperlink" Target="https://twitter.com/AbbasHeydari/status/1034352550735216641" TargetMode="External"/><Relationship Id="rId459" Type="http://schemas.openxmlformats.org/officeDocument/2006/relationships/hyperlink" Target="https://twitter.com/eranico_com/status/1037066666126000129" TargetMode="External"/><Relationship Id="rId666" Type="http://schemas.openxmlformats.org/officeDocument/2006/relationships/hyperlink" Target="http://wp.me/16Gro" TargetMode="External"/><Relationship Id="rId873" Type="http://schemas.openxmlformats.org/officeDocument/2006/relationships/hyperlink" Target="https://pbs.twimg.com/media/DmOjB2WWwAAapxK.jpg" TargetMode="External"/><Relationship Id="rId1089" Type="http://schemas.openxmlformats.org/officeDocument/2006/relationships/hyperlink" Target="http://bit.ly/2NHZRPs" TargetMode="External"/><Relationship Id="rId1296" Type="http://schemas.openxmlformats.org/officeDocument/2006/relationships/hyperlink" Target="https://pbs.twimg.com/media/DmHDCWvX4AYyG9j.jpg" TargetMode="External"/><Relationship Id="rId2347" Type="http://schemas.openxmlformats.org/officeDocument/2006/relationships/hyperlink" Target="http://pic.twitter.com/YyrWGgC7oC" TargetMode="External"/><Relationship Id="rId2554" Type="http://schemas.openxmlformats.org/officeDocument/2006/relationships/hyperlink" Target="http://sharghdaily.ir/" TargetMode="External"/><Relationship Id="rId319" Type="http://schemas.openxmlformats.org/officeDocument/2006/relationships/hyperlink" Target="http://pic.twitter.com/J57AkbdgFw" TargetMode="External"/><Relationship Id="rId526" Type="http://schemas.openxmlformats.org/officeDocument/2006/relationships/hyperlink" Target="http://pic.twitter.com/j79kSakh9p" TargetMode="External"/><Relationship Id="rId1156" Type="http://schemas.openxmlformats.org/officeDocument/2006/relationships/hyperlink" Target="http://pic.twitter.com/dXSbiGbLEp" TargetMode="External"/><Relationship Id="rId1363" Type="http://schemas.openxmlformats.org/officeDocument/2006/relationships/hyperlink" Target="https://pbs.twimg.com/media/DmGKZMcWwAEvcN_.jpg" TargetMode="External"/><Relationship Id="rId2207" Type="http://schemas.openxmlformats.org/officeDocument/2006/relationships/hyperlink" Target="http://us.blastingnews.com/editorial-staff/mhedi-mahmoudi/" TargetMode="External"/><Relationship Id="rId2761" Type="http://schemas.openxmlformats.org/officeDocument/2006/relationships/hyperlink" Target="https://pbs.twimg.com/media/Dlv2RVbX4AAlLLc.jpg" TargetMode="External"/><Relationship Id="rId3605" Type="http://schemas.openxmlformats.org/officeDocument/2006/relationships/hyperlink" Target="https://twitter.com/hossien67/status/1034301182322167809" TargetMode="External"/><Relationship Id="rId733" Type="http://schemas.openxmlformats.org/officeDocument/2006/relationships/hyperlink" Target="https://pbs.twimg.com/media/DmOTwPzXoAEmYbo.jpg" TargetMode="External"/><Relationship Id="rId940" Type="http://schemas.openxmlformats.org/officeDocument/2006/relationships/hyperlink" Target="http://facebook.com/alireza.alipour.319" TargetMode="External"/><Relationship Id="rId1016" Type="http://schemas.openxmlformats.org/officeDocument/2006/relationships/hyperlink" Target="http://www.telegram.me/tanzistansialism" TargetMode="External"/><Relationship Id="rId1570" Type="http://schemas.openxmlformats.org/officeDocument/2006/relationships/hyperlink" Target="https://pbs.twimg.com/media/DmCqfFrXgAAjFTJ.jpg" TargetMode="External"/><Relationship Id="rId2414" Type="http://schemas.openxmlformats.org/officeDocument/2006/relationships/hyperlink" Target="http://pic.twitter.com/T8VaeOoDjg" TargetMode="External"/><Relationship Id="rId2621" Type="http://schemas.openxmlformats.org/officeDocument/2006/relationships/hyperlink" Target="http://jalal.ad/" TargetMode="External"/><Relationship Id="rId800" Type="http://schemas.openxmlformats.org/officeDocument/2006/relationships/hyperlink" Target="http://irezad.ir/" TargetMode="External"/><Relationship Id="rId1223" Type="http://schemas.openxmlformats.org/officeDocument/2006/relationships/hyperlink" Target="http://pic.twitter.com/ypQGHLRKv1" TargetMode="External"/><Relationship Id="rId1430" Type="http://schemas.openxmlformats.org/officeDocument/2006/relationships/hyperlink" Target="https://t.me/mehdi_rostampour/8469" TargetMode="External"/><Relationship Id="rId3188" Type="http://schemas.openxmlformats.org/officeDocument/2006/relationships/hyperlink" Target="http://www.islamshia.org/" TargetMode="External"/><Relationship Id="rId3395" Type="http://schemas.openxmlformats.org/officeDocument/2006/relationships/hyperlink" Target="http://t.me/pastonews" TargetMode="External"/><Relationship Id="rId3048" Type="http://schemas.openxmlformats.org/officeDocument/2006/relationships/hyperlink" Target="http://www.instagram.com/salavatialireza.e/" TargetMode="External"/><Relationship Id="rId3255" Type="http://schemas.openxmlformats.org/officeDocument/2006/relationships/hyperlink" Target="https://twitter.com/mohamadsalimi69/status/1034151047051337729" TargetMode="External"/><Relationship Id="rId3462" Type="http://schemas.openxmlformats.org/officeDocument/2006/relationships/hyperlink" Target="http://www.lotmag.ir/" TargetMode="External"/><Relationship Id="rId176" Type="http://schemas.openxmlformats.org/officeDocument/2006/relationships/hyperlink" Target="https://pbs.twimg.com/media/DmUkTOTXcAAPPV0.jpg" TargetMode="External"/><Relationship Id="rId383" Type="http://schemas.openxmlformats.org/officeDocument/2006/relationships/hyperlink" Target="https://pbs.twimg.com/media/DmTVQbxXgAAsrUi.jpg" TargetMode="External"/><Relationship Id="rId590" Type="http://schemas.openxmlformats.org/officeDocument/2006/relationships/hyperlink" Target="https://www.facebook.com/siavash.ardalan" TargetMode="External"/><Relationship Id="rId2064" Type="http://schemas.openxmlformats.org/officeDocument/2006/relationships/hyperlink" Target="http://sarzaminjavid.com/" TargetMode="External"/><Relationship Id="rId2271" Type="http://schemas.openxmlformats.org/officeDocument/2006/relationships/hyperlink" Target="http://pic.twitter.com/vNheKqc177" TargetMode="External"/><Relationship Id="rId3115" Type="http://schemas.openxmlformats.org/officeDocument/2006/relationships/hyperlink" Target="http://kosar.ka/" TargetMode="External"/><Relationship Id="rId3322" Type="http://schemas.openxmlformats.org/officeDocument/2006/relationships/hyperlink" Target="http://tn.ai/1814581" TargetMode="External"/><Relationship Id="rId243" Type="http://schemas.openxmlformats.org/officeDocument/2006/relationships/hyperlink" Target="https://pbs.twimg.com/media/DmUOXlTXoAAkddO.jpg" TargetMode="External"/><Relationship Id="rId450" Type="http://schemas.openxmlformats.org/officeDocument/2006/relationships/hyperlink" Target="http://www.iranntv.com/" TargetMode="External"/><Relationship Id="rId1080" Type="http://schemas.openxmlformats.org/officeDocument/2006/relationships/hyperlink" Target="https://instagram.com/_u/muhammad.bagher.fa/" TargetMode="External"/><Relationship Id="rId2131" Type="http://schemas.openxmlformats.org/officeDocument/2006/relationships/hyperlink" Target="https://pbs.twimg.com/media/Dl2TRfkWwAEZjtx.jpg" TargetMode="External"/><Relationship Id="rId103" Type="http://schemas.openxmlformats.org/officeDocument/2006/relationships/hyperlink" Target="https://t.me/Eslahatnews" TargetMode="External"/><Relationship Id="rId310" Type="http://schemas.openxmlformats.org/officeDocument/2006/relationships/hyperlink" Target="https://www.radiozamaneh.com/410800" TargetMode="External"/><Relationship Id="rId1897" Type="http://schemas.openxmlformats.org/officeDocument/2006/relationships/hyperlink" Target="https://pbs.twimg.com/media/Dl700YSUYAAo43a.jpg" TargetMode="External"/><Relationship Id="rId2948" Type="http://schemas.openxmlformats.org/officeDocument/2006/relationships/hyperlink" Target="http://pic.twitter.com/8L5cwX1Q4m" TargetMode="External"/><Relationship Id="rId1757" Type="http://schemas.openxmlformats.org/officeDocument/2006/relationships/hyperlink" Target="https://pbs.twimg.com/media/Dl_O8ERXgAAR7Ko.jpg" TargetMode="External"/><Relationship Id="rId1964" Type="http://schemas.openxmlformats.org/officeDocument/2006/relationships/hyperlink" Target="https://rouhanimeter.com/2018/08/rouhani-jobs/" TargetMode="External"/><Relationship Id="rId2808" Type="http://schemas.openxmlformats.org/officeDocument/2006/relationships/hyperlink" Target="http://instagram.com/aliakbar_moslehi" TargetMode="External"/><Relationship Id="rId49" Type="http://schemas.openxmlformats.org/officeDocument/2006/relationships/hyperlink" Target="https://www.facebook.com/victoria.azad/videos/10217086864193435/" TargetMode="External"/><Relationship Id="rId1617" Type="http://schemas.openxmlformats.org/officeDocument/2006/relationships/hyperlink" Target="https://twitter.com/FarsNews_Agency/status/1035892794995425281" TargetMode="External"/><Relationship Id="rId1824" Type="http://schemas.openxmlformats.org/officeDocument/2006/relationships/hyperlink" Target="http://www.mabdesigner.com/" TargetMode="External"/><Relationship Id="rId2598" Type="http://schemas.openxmlformats.org/officeDocument/2006/relationships/hyperlink" Target="https://www.t.me/ramin_fakhari" TargetMode="External"/><Relationship Id="rId3649" Type="http://schemas.openxmlformats.org/officeDocument/2006/relationships/hyperlink" Target="https://t.me/iNashenas_Bot?start=292970808" TargetMode="External"/><Relationship Id="rId777" Type="http://schemas.openxmlformats.org/officeDocument/2006/relationships/hyperlink" Target="http://instagram.com/maj_021" TargetMode="External"/><Relationship Id="rId984" Type="http://schemas.openxmlformats.org/officeDocument/2006/relationships/hyperlink" Target="https://www.linkedin.com/in/charkhzarrin/" TargetMode="External"/><Relationship Id="rId2458" Type="http://schemas.openxmlformats.org/officeDocument/2006/relationships/hyperlink" Target="http://eliyaomid.ir/" TargetMode="External"/><Relationship Id="rId2665" Type="http://schemas.openxmlformats.org/officeDocument/2006/relationships/hyperlink" Target="http://eitaa.com/abuali_313" TargetMode="External"/><Relationship Id="rId2872" Type="http://schemas.openxmlformats.org/officeDocument/2006/relationships/hyperlink" Target="https://pbs.twimg.com/media/DlvYVjiU4AA2YaC.jpg" TargetMode="External"/><Relationship Id="rId3509" Type="http://schemas.openxmlformats.org/officeDocument/2006/relationships/hyperlink" Target="http://pic.twitter.com/xprF7WlMT7" TargetMode="External"/><Relationship Id="rId637" Type="http://schemas.openxmlformats.org/officeDocument/2006/relationships/hyperlink" Target="http://www.tasnimnews.com/" TargetMode="External"/><Relationship Id="rId844" Type="http://schemas.openxmlformats.org/officeDocument/2006/relationships/hyperlink" Target="http://talaangor.ir/" TargetMode="External"/><Relationship Id="rId1267" Type="http://schemas.openxmlformats.org/officeDocument/2006/relationships/hyperlink" Target="https://pbs.twimg.com/media/DmHRwjeXoAI3oLM.jpg" TargetMode="External"/><Relationship Id="rId1474" Type="http://schemas.openxmlformats.org/officeDocument/2006/relationships/hyperlink" Target="https://pbs.twimg.com/media/DmFBzQFX4AEbuDt.jpg" TargetMode="External"/><Relationship Id="rId1681" Type="http://schemas.openxmlformats.org/officeDocument/2006/relationships/hyperlink" Target="http://t.me/pastonews" TargetMode="External"/><Relationship Id="rId2318" Type="http://schemas.openxmlformats.org/officeDocument/2006/relationships/hyperlink" Target="https://twitter.com/A_Raefipour/status/1034388202772148225" TargetMode="External"/><Relationship Id="rId2525" Type="http://schemas.openxmlformats.org/officeDocument/2006/relationships/hyperlink" Target="https://pbs.twimg.com/media/Dlw2JkRWwAEyb94.jpg" TargetMode="External"/><Relationship Id="rId2732" Type="http://schemas.openxmlformats.org/officeDocument/2006/relationships/hyperlink" Target="https://pbs.twimg.com/media/Dlv64duXoAE6_LF.jpg" TargetMode="External"/><Relationship Id="rId704" Type="http://schemas.openxmlformats.org/officeDocument/2006/relationships/hyperlink" Target="http://instagram.com/behnam_allami" TargetMode="External"/><Relationship Id="rId911" Type="http://schemas.openxmlformats.org/officeDocument/2006/relationships/hyperlink" Target="https://pbs.twimg.com/media/DmLXmz_XsAEhX4W.jpg" TargetMode="External"/><Relationship Id="rId1127" Type="http://schemas.openxmlformats.org/officeDocument/2006/relationships/hyperlink" Target="https://twitter.com/313Forat/status/1036258350625947649" TargetMode="External"/><Relationship Id="rId1334" Type="http://schemas.openxmlformats.org/officeDocument/2006/relationships/hyperlink" Target="http://newspaper.hamshahri.org/" TargetMode="External"/><Relationship Id="rId1541" Type="http://schemas.openxmlformats.org/officeDocument/2006/relationships/hyperlink" Target="http://www.rouhanimeter.com/" TargetMode="External"/><Relationship Id="rId40" Type="http://schemas.openxmlformats.org/officeDocument/2006/relationships/hyperlink" Target="http://www.ilna.ir/" TargetMode="External"/><Relationship Id="rId1401" Type="http://schemas.openxmlformats.org/officeDocument/2006/relationships/hyperlink" Target="http://www.mohammadhamidi.ir/" TargetMode="External"/><Relationship Id="rId3299" Type="http://schemas.openxmlformats.org/officeDocument/2006/relationships/hyperlink" Target="http://www.khabarfoori.com/" TargetMode="External"/><Relationship Id="rId3159" Type="http://schemas.openxmlformats.org/officeDocument/2006/relationships/hyperlink" Target="https://goo.gl/7F2aN6" TargetMode="External"/><Relationship Id="rId3366" Type="http://schemas.openxmlformats.org/officeDocument/2006/relationships/hyperlink" Target="https://twitter.com/A_Raefipour/status/1034388202772148225" TargetMode="External"/><Relationship Id="rId3573" Type="http://schemas.openxmlformats.org/officeDocument/2006/relationships/hyperlink" Target="https://pbs.twimg.com/media/Dlq9CLyXcAACMRM.jpg" TargetMode="External"/><Relationship Id="rId287" Type="http://schemas.openxmlformats.org/officeDocument/2006/relationships/hyperlink" Target="https://pbs.twimg.com/media/DmUCYCuWwAEM7oy.jpg" TargetMode="External"/><Relationship Id="rId494" Type="http://schemas.openxmlformats.org/officeDocument/2006/relationships/hyperlink" Target="https://pbs.twimg.com/media/DmRTXfpX4AAtp5t.jpg" TargetMode="External"/><Relationship Id="rId2175" Type="http://schemas.openxmlformats.org/officeDocument/2006/relationships/hyperlink" Target="http://t.me/saviorr313" TargetMode="External"/><Relationship Id="rId2382" Type="http://schemas.openxmlformats.org/officeDocument/2006/relationships/hyperlink" Target="https://www.manoto.news/" TargetMode="External"/><Relationship Id="rId3019" Type="http://schemas.openxmlformats.org/officeDocument/2006/relationships/hyperlink" Target="http://instagram.com/aliakbar_moslehi" TargetMode="External"/><Relationship Id="rId3226" Type="http://schemas.openxmlformats.org/officeDocument/2006/relationships/hyperlink" Target="http://pic.twitter.com/z2AfSsRCrO" TargetMode="External"/><Relationship Id="rId147" Type="http://schemas.openxmlformats.org/officeDocument/2006/relationships/hyperlink" Target="https://twitter.com/A_Raefipour/status/1036613896327647234" TargetMode="External"/><Relationship Id="rId354" Type="http://schemas.openxmlformats.org/officeDocument/2006/relationships/hyperlink" Target="http://pic.twitter.com/3kKuNtQKCC" TargetMode="External"/><Relationship Id="rId1191" Type="http://schemas.openxmlformats.org/officeDocument/2006/relationships/hyperlink" Target="https://pbs.twimg.com/media/DmJ1cMjX4AEmXU8.jpg" TargetMode="External"/><Relationship Id="rId2035" Type="http://schemas.openxmlformats.org/officeDocument/2006/relationships/hyperlink" Target="https://www.ilna.ir/fa/tiny/news-662508" TargetMode="External"/><Relationship Id="rId3433" Type="http://schemas.openxmlformats.org/officeDocument/2006/relationships/hyperlink" Target="https://pbs.twimg.com/media/Dlrk5oGW0AIgO88.jpg" TargetMode="External"/><Relationship Id="rId3640" Type="http://schemas.openxmlformats.org/officeDocument/2006/relationships/hyperlink" Target="http://instagram.com/sadafsamimisereshki" TargetMode="External"/><Relationship Id="rId561" Type="http://schemas.openxmlformats.org/officeDocument/2006/relationships/hyperlink" Target="https://pbs.twimg.com/media/DmQwmYmU8AAYFjc.jpg" TargetMode="External"/><Relationship Id="rId2242" Type="http://schemas.openxmlformats.org/officeDocument/2006/relationships/hyperlink" Target="https://www.theatlantic.com/international/archive/2018/08/china-pathologizing-uighur-muslims-mental-illness/568525/" TargetMode="External"/><Relationship Id="rId3500" Type="http://schemas.openxmlformats.org/officeDocument/2006/relationships/hyperlink" Target="https://t.me/Nashenastel_bot?start=u570047539" TargetMode="External"/><Relationship Id="rId214" Type="http://schemas.openxmlformats.org/officeDocument/2006/relationships/hyperlink" Target="https://pbs.twimg.com/media/DmUYbiqX4AEHKQo.jpg" TargetMode="External"/><Relationship Id="rId421" Type="http://schemas.openxmlformats.org/officeDocument/2006/relationships/hyperlink" Target="https://pbs.twimg.com/media/DmSArmZW0AA4O7Q.jpg" TargetMode="External"/><Relationship Id="rId1051" Type="http://schemas.openxmlformats.org/officeDocument/2006/relationships/hyperlink" Target="http://mehrnews.com/news/4392341" TargetMode="External"/><Relationship Id="rId2102" Type="http://schemas.openxmlformats.org/officeDocument/2006/relationships/hyperlink" Target="https://www.youtube.com/watch?v=k8WlerPKY04" TargetMode="External"/><Relationship Id="rId1868" Type="http://schemas.openxmlformats.org/officeDocument/2006/relationships/hyperlink" Target="https://pbs.twimg.com/media/Dl8bdndW4AEjPVj.jpg" TargetMode="External"/><Relationship Id="rId2919" Type="http://schemas.openxmlformats.org/officeDocument/2006/relationships/hyperlink" Target="https://twitter.com/hesamodin1/status/1034368948496740352" TargetMode="External"/><Relationship Id="rId3083" Type="http://schemas.openxmlformats.org/officeDocument/2006/relationships/hyperlink" Target="https://pbs.twimg.com/media/DltP9fAX4AAMgDc.jpg" TargetMode="External"/><Relationship Id="rId3290" Type="http://schemas.openxmlformats.org/officeDocument/2006/relationships/hyperlink" Target="http://www.iranintl.com/" TargetMode="External"/><Relationship Id="rId1728" Type="http://schemas.openxmlformats.org/officeDocument/2006/relationships/hyperlink" Target="https://www.facebook.com/amirrkalhor" TargetMode="External"/><Relationship Id="rId1935" Type="http://schemas.openxmlformats.org/officeDocument/2006/relationships/hyperlink" Target="https://pbs.twimg.com/media/Dl7KUZaXsAAFLnk.jpg" TargetMode="External"/><Relationship Id="rId3150" Type="http://schemas.openxmlformats.org/officeDocument/2006/relationships/hyperlink" Target="https://www.instagram.com/m.sadegh.k.93/" TargetMode="External"/><Relationship Id="rId3010" Type="http://schemas.openxmlformats.org/officeDocument/2006/relationships/hyperlink" Target="https://twitter.com/hamidrasaee/status/1034420046402076672" TargetMode="External"/><Relationship Id="rId4" Type="http://schemas.openxmlformats.org/officeDocument/2006/relationships/hyperlink" Target="https://twitter.com/ariya_love777/status/1037084484506505216" TargetMode="External"/><Relationship Id="rId888" Type="http://schemas.openxmlformats.org/officeDocument/2006/relationships/hyperlink" Target="http://pic.twitter.com/AKhGzAloLM" TargetMode="External"/><Relationship Id="rId2569" Type="http://schemas.openxmlformats.org/officeDocument/2006/relationships/hyperlink" Target="https://pbs.twimg.com/media/DlwRR8iUcAAztqD.jpg" TargetMode="External"/><Relationship Id="rId2776" Type="http://schemas.openxmlformats.org/officeDocument/2006/relationships/hyperlink" Target="https://bit.ly/2Ms0gIf" TargetMode="External"/><Relationship Id="rId2983" Type="http://schemas.openxmlformats.org/officeDocument/2006/relationships/hyperlink" Target="http://instagram.com/ww.w.mf547/" TargetMode="External"/><Relationship Id="rId748" Type="http://schemas.openxmlformats.org/officeDocument/2006/relationships/hyperlink" Target="https://pbs.twimg.com/media/DmPgfEzW0AEyQdy.jpg" TargetMode="External"/><Relationship Id="rId955" Type="http://schemas.openxmlformats.org/officeDocument/2006/relationships/hyperlink" Target="https://twitter.com/nakeesaa/status/1036685774396293121" TargetMode="External"/><Relationship Id="rId1378" Type="http://schemas.openxmlformats.org/officeDocument/2006/relationships/hyperlink" Target="http://werg.ir/" TargetMode="External"/><Relationship Id="rId1585" Type="http://schemas.openxmlformats.org/officeDocument/2006/relationships/hyperlink" Target="https://www.instagram.com/mostafa.goldsmith" TargetMode="External"/><Relationship Id="rId1792" Type="http://schemas.openxmlformats.org/officeDocument/2006/relationships/hyperlink" Target="http://www.ibena.ir/news/90640/" TargetMode="External"/><Relationship Id="rId2429" Type="http://schemas.openxmlformats.org/officeDocument/2006/relationships/hyperlink" Target="https://pbs.twimg.com/media/DlxZaVHU4AU46Fa.jpg" TargetMode="External"/><Relationship Id="rId2636" Type="http://schemas.openxmlformats.org/officeDocument/2006/relationships/hyperlink" Target="https://twitter.com/mah_sadeghi/status/1034502042897842177" TargetMode="External"/><Relationship Id="rId2843" Type="http://schemas.openxmlformats.org/officeDocument/2006/relationships/hyperlink" Target="https://pbs.twimg.com/media/Dlvl9PtWsAAY9y2.jpg" TargetMode="External"/><Relationship Id="rId84" Type="http://schemas.openxmlformats.org/officeDocument/2006/relationships/hyperlink" Target="https://www.aparat.com/rezamahmoudi.79" TargetMode="External"/><Relationship Id="rId608" Type="http://schemas.openxmlformats.org/officeDocument/2006/relationships/hyperlink" Target="http://fa.euronews.com/2018/09/03/journalist-and-economic-expert-saeed-leilaz-talks-iran-economy-in-exclusive-interview" TargetMode="External"/><Relationship Id="rId815" Type="http://schemas.openxmlformats.org/officeDocument/2006/relationships/hyperlink" Target="http://pic.twitter.com/BBfeCoHsEL" TargetMode="External"/><Relationship Id="rId1238" Type="http://schemas.openxmlformats.org/officeDocument/2006/relationships/hyperlink" Target="http://www.sadeghimoghadam.ir/" TargetMode="External"/><Relationship Id="rId1445" Type="http://schemas.openxmlformats.org/officeDocument/2006/relationships/hyperlink" Target="http://daarvh.blogfa.com/" TargetMode="External"/><Relationship Id="rId1652" Type="http://schemas.openxmlformats.org/officeDocument/2006/relationships/hyperlink" Target="http://cyberwarzone.com/" TargetMode="External"/><Relationship Id="rId1305" Type="http://schemas.openxmlformats.org/officeDocument/2006/relationships/hyperlink" Target="https://pbs.twimg.com/media/DmG6AAtXgAAQm34.jpg" TargetMode="External"/><Relationship Id="rId2703" Type="http://schemas.openxmlformats.org/officeDocument/2006/relationships/hyperlink" Target="http://forsategoftan.wordpress.com/" TargetMode="External"/><Relationship Id="rId2910" Type="http://schemas.openxmlformats.org/officeDocument/2006/relationships/hyperlink" Target="https://twitter.com/A_Raefipour/status/1034388202772148225" TargetMode="External"/><Relationship Id="rId1512" Type="http://schemas.openxmlformats.org/officeDocument/2006/relationships/hyperlink" Target="http://pic.twitter.com/TeOXFqkFQN" TargetMode="External"/><Relationship Id="rId11" Type="http://schemas.openxmlformats.org/officeDocument/2006/relationships/hyperlink" Target="https://pbs.twimg.com/media/DmUlKmIXoAAkq8Q.jpg" TargetMode="External"/><Relationship Id="rId398" Type="http://schemas.openxmlformats.org/officeDocument/2006/relationships/hyperlink" Target="http://t.me/knaf_shoresh" TargetMode="External"/><Relationship Id="rId2079" Type="http://schemas.openxmlformats.org/officeDocument/2006/relationships/hyperlink" Target="https://pbs.twimg.com/media/Dl3UZWAX0AEAhDV.jpg" TargetMode="External"/><Relationship Id="rId3477" Type="http://schemas.openxmlformats.org/officeDocument/2006/relationships/hyperlink" Target="https://telegram.me/harfbemanbot?start=NzE0MzUxMTA" TargetMode="External"/><Relationship Id="rId2286" Type="http://schemas.openxmlformats.org/officeDocument/2006/relationships/hyperlink" Target="https://pbs.twimg.com/media/Dlyv9euXcAEwGqS.jpg" TargetMode="External"/><Relationship Id="rId2493" Type="http://schemas.openxmlformats.org/officeDocument/2006/relationships/hyperlink" Target="https://pbs.twimg.com/media/Dlw-20bUwAEaNY2.jpg" TargetMode="External"/><Relationship Id="rId3337" Type="http://schemas.openxmlformats.org/officeDocument/2006/relationships/hyperlink" Target="https://pbs.twimg.com/media/DlsAfCoW0AEE9hn.jpg" TargetMode="External"/><Relationship Id="rId3544" Type="http://schemas.openxmlformats.org/officeDocument/2006/relationships/hyperlink" Target="http://www.radiofarda.com/" TargetMode="External"/><Relationship Id="rId258" Type="http://schemas.openxmlformats.org/officeDocument/2006/relationships/hyperlink" Target="https://pbs.twimg.com/media/DmULPH5W4AA2Ps0.jpg" TargetMode="External"/><Relationship Id="rId465" Type="http://schemas.openxmlformats.org/officeDocument/2006/relationships/hyperlink" Target="http://pic.twitter.com/h0lcua68Zt" TargetMode="External"/><Relationship Id="rId672" Type="http://schemas.openxmlformats.org/officeDocument/2006/relationships/hyperlink" Target="http://icana.ir/" TargetMode="External"/><Relationship Id="rId1095" Type="http://schemas.openxmlformats.org/officeDocument/2006/relationships/hyperlink" Target="https://pbs.twimg.com/media/DmK5WK4WsAYgURm.jpg" TargetMode="External"/><Relationship Id="rId2146" Type="http://schemas.openxmlformats.org/officeDocument/2006/relationships/hyperlink" Target="http://yon.ir/wwbKZ" TargetMode="External"/><Relationship Id="rId2353" Type="http://schemas.openxmlformats.org/officeDocument/2006/relationships/hyperlink" Target="https://pbs.twimg.com/media/DlyPDP8UUAAGg6o.jpg" TargetMode="External"/><Relationship Id="rId2560" Type="http://schemas.openxmlformats.org/officeDocument/2006/relationships/hyperlink" Target="http://fa.trend.az/news/politics/2571496.html" TargetMode="External"/><Relationship Id="rId3404" Type="http://schemas.openxmlformats.org/officeDocument/2006/relationships/hyperlink" Target="https://pbs.twimg.com/media/Dlrl4P_WsAICsrO.jpg" TargetMode="External"/><Relationship Id="rId3611" Type="http://schemas.openxmlformats.org/officeDocument/2006/relationships/hyperlink" Target="https://t.me/HezarAshraf" TargetMode="External"/><Relationship Id="rId118" Type="http://schemas.openxmlformats.org/officeDocument/2006/relationships/hyperlink" Target="https://twitter.com/A_Raefipour/status/1036613896327647234" TargetMode="External"/><Relationship Id="rId325" Type="http://schemas.openxmlformats.org/officeDocument/2006/relationships/hyperlink" Target="https://pbs.twimg.com/media/DmT1qb8XcAAS_nM.jpg" TargetMode="External"/><Relationship Id="rId532" Type="http://schemas.openxmlformats.org/officeDocument/2006/relationships/hyperlink" Target="https://twitter.com/seyyedhamid71/status/1036975684021760001" TargetMode="External"/><Relationship Id="rId1162" Type="http://schemas.openxmlformats.org/officeDocument/2006/relationships/hyperlink" Target="https://pbs.twimg.com/media/DmKT-KFW4AAHpt8.jpg" TargetMode="External"/><Relationship Id="rId2006" Type="http://schemas.openxmlformats.org/officeDocument/2006/relationships/hyperlink" Target="https://pbs.twimg.com/media/Dl4uPkqXoAA5In9.jpg" TargetMode="External"/><Relationship Id="rId2213" Type="http://schemas.openxmlformats.org/officeDocument/2006/relationships/hyperlink" Target="https://pbs.twimg.com/media/Dl0zr4AWsAAO_tR.jpg" TargetMode="External"/><Relationship Id="rId2420" Type="http://schemas.openxmlformats.org/officeDocument/2006/relationships/hyperlink" Target="https://roozportal.com/?p=17429" TargetMode="External"/><Relationship Id="rId1022" Type="http://schemas.openxmlformats.org/officeDocument/2006/relationships/hyperlink" Target="https://pbs.twimg.com/media/DmLmPNxW4AMwsqZ.jpg" TargetMode="External"/><Relationship Id="rId1979" Type="http://schemas.openxmlformats.org/officeDocument/2006/relationships/hyperlink" Target="https://pbs.twimg.com/media/Dl6UHXBXoAAvpRW.jpg" TargetMode="External"/><Relationship Id="rId3194" Type="http://schemas.openxmlformats.org/officeDocument/2006/relationships/hyperlink" Target="https://pbs.twimg.com/media/DlspMPLWsAEK2on.jpg" TargetMode="External"/><Relationship Id="rId1839" Type="http://schemas.openxmlformats.org/officeDocument/2006/relationships/hyperlink" Target="https://twitter.com/Hamid9351/status/1035622993609850886" TargetMode="External"/><Relationship Id="rId3054" Type="http://schemas.openxmlformats.org/officeDocument/2006/relationships/hyperlink" Target="https://hra-news.org/" TargetMode="External"/><Relationship Id="rId182" Type="http://schemas.openxmlformats.org/officeDocument/2006/relationships/hyperlink" Target="https://www.tir.ir/" TargetMode="External"/><Relationship Id="rId1906" Type="http://schemas.openxmlformats.org/officeDocument/2006/relationships/hyperlink" Target="https://www.facebook.com/profile.php?id=100007275618254" TargetMode="External"/><Relationship Id="rId3261" Type="http://schemas.openxmlformats.org/officeDocument/2006/relationships/hyperlink" Target="http://pic.twitter.com/ynnwSdOrFk" TargetMode="External"/><Relationship Id="rId2070" Type="http://schemas.openxmlformats.org/officeDocument/2006/relationships/hyperlink" Target="https://pbs.twimg.com/media/Dl3JDDPX0AA1uF9.jpg" TargetMode="External"/><Relationship Id="rId3121" Type="http://schemas.openxmlformats.org/officeDocument/2006/relationships/hyperlink" Target="http://pic.twitter.com/n4St9S2mS7" TargetMode="External"/><Relationship Id="rId999" Type="http://schemas.openxmlformats.org/officeDocument/2006/relationships/hyperlink" Target="http://pana.ir/" TargetMode="External"/><Relationship Id="rId2887" Type="http://schemas.openxmlformats.org/officeDocument/2006/relationships/hyperlink" Target="https://pbs.twimg.com/media/DlvFPx1XsAEaB5_.jpg" TargetMode="External"/><Relationship Id="rId859" Type="http://schemas.openxmlformats.org/officeDocument/2006/relationships/hyperlink" Target="https://www.ilna.ir/fa/tiny/news-664513" TargetMode="External"/><Relationship Id="rId1489" Type="http://schemas.openxmlformats.org/officeDocument/2006/relationships/hyperlink" Target="https://pbs.twimg.com/media/Dl_urKKXoAAqA6I.jpg" TargetMode="External"/><Relationship Id="rId1696" Type="http://schemas.openxmlformats.org/officeDocument/2006/relationships/hyperlink" Target="http://pic.twitter.com/xbWb47mKRq" TargetMode="External"/><Relationship Id="rId1349" Type="http://schemas.openxmlformats.org/officeDocument/2006/relationships/hyperlink" Target="http://www.ilna.ir/" TargetMode="External"/><Relationship Id="rId2747" Type="http://schemas.openxmlformats.org/officeDocument/2006/relationships/hyperlink" Target="https://pbs.twimg.com/media/Dlv4g_QU0AA7hnz.jpg" TargetMode="External"/><Relationship Id="rId2954" Type="http://schemas.openxmlformats.org/officeDocument/2006/relationships/hyperlink" Target="https://pbs.twimg.com/media/Dlt5GjFXoAATC4i.jpg" TargetMode="External"/><Relationship Id="rId719" Type="http://schemas.openxmlformats.org/officeDocument/2006/relationships/hyperlink" Target="https://pbs.twimg.com/media/DmPt139UUAANYVI.jpg" TargetMode="External"/><Relationship Id="rId926" Type="http://schemas.openxmlformats.org/officeDocument/2006/relationships/hyperlink" Target="http://instagram.com/h_hamidi313" TargetMode="External"/><Relationship Id="rId1556" Type="http://schemas.openxmlformats.org/officeDocument/2006/relationships/hyperlink" Target="https://www.ilna.ir/fa/tiny/news-663168" TargetMode="External"/><Relationship Id="rId1763" Type="http://schemas.openxmlformats.org/officeDocument/2006/relationships/hyperlink" Target="http://www.alef.ir/" TargetMode="External"/><Relationship Id="rId1970" Type="http://schemas.openxmlformats.org/officeDocument/2006/relationships/hyperlink" Target="https://pbs.twimg.com/media/Dl6estHXcAAfedB.jpg" TargetMode="External"/><Relationship Id="rId2607" Type="http://schemas.openxmlformats.org/officeDocument/2006/relationships/hyperlink" Target="https://pbs.twimg.com/media/DlwXAJmXoAEkaZu.jpg" TargetMode="External"/><Relationship Id="rId2814" Type="http://schemas.openxmlformats.org/officeDocument/2006/relationships/hyperlink" Target="https://coiniran.com/president-comments-on-cryptos/" TargetMode="External"/><Relationship Id="rId55" Type="http://schemas.openxmlformats.org/officeDocument/2006/relationships/hyperlink" Target="https://pbs.twimg.com/media/DmUmvfcX4AEurCZ.jpg" TargetMode="External"/><Relationship Id="rId1209" Type="http://schemas.openxmlformats.org/officeDocument/2006/relationships/hyperlink" Target="https://www.instagram.com/p/BnQP59Hg3Sz/?utm_source=ig_twitter_share&amp;igshid=k99zfsk09461" TargetMode="External"/><Relationship Id="rId1416" Type="http://schemas.openxmlformats.org/officeDocument/2006/relationships/hyperlink" Target="https://twitter.com/farsinews3" TargetMode="External"/><Relationship Id="rId1623" Type="http://schemas.openxmlformats.org/officeDocument/2006/relationships/hyperlink" Target="http://peyghamesoroosh.parsiblog.com/" TargetMode="External"/><Relationship Id="rId1830" Type="http://schemas.openxmlformats.org/officeDocument/2006/relationships/hyperlink" Target="http://pic.twitter.com/k48Ov1TQ0E" TargetMode="External"/><Relationship Id="rId3588" Type="http://schemas.openxmlformats.org/officeDocument/2006/relationships/hyperlink" Target="http://www.ibena.ir/" TargetMode="External"/><Relationship Id="rId2397" Type="http://schemas.openxmlformats.org/officeDocument/2006/relationships/hyperlink" Target="http://pic.twitter.com/WMBxFycTn5" TargetMode="External"/><Relationship Id="rId3448" Type="http://schemas.openxmlformats.org/officeDocument/2006/relationships/hyperlink" Target="https://pbs.twimg.com/media/DlqPkHRXgAAlx9T.jpg" TargetMode="External"/><Relationship Id="rId369" Type="http://schemas.openxmlformats.org/officeDocument/2006/relationships/hyperlink" Target="https://pbs.twimg.com/media/DmTgwNrX4AAnR4B.jpg" TargetMode="External"/><Relationship Id="rId576" Type="http://schemas.openxmlformats.org/officeDocument/2006/relationships/hyperlink" Target="https://twitter.com/nakeesaa/status/1036685774396293121" TargetMode="External"/><Relationship Id="rId783" Type="http://schemas.openxmlformats.org/officeDocument/2006/relationships/hyperlink" Target="http://persian.euronews.com/" TargetMode="External"/><Relationship Id="rId990" Type="http://schemas.openxmlformats.org/officeDocument/2006/relationships/hyperlink" Target="http://www.instagram.com/xrohanix" TargetMode="External"/><Relationship Id="rId2257" Type="http://schemas.openxmlformats.org/officeDocument/2006/relationships/hyperlink" Target="https://pbs.twimg.com/media/DlzFFv6W4AgLAYV.jpg" TargetMode="External"/><Relationship Id="rId2464" Type="http://schemas.openxmlformats.org/officeDocument/2006/relationships/hyperlink" Target="http://www.farsnews.com/" TargetMode="External"/><Relationship Id="rId2671" Type="http://schemas.openxmlformats.org/officeDocument/2006/relationships/hyperlink" Target="https://twitter.com/mah_sadeghi/status/1034502042897842177" TargetMode="External"/><Relationship Id="rId3308" Type="http://schemas.openxmlformats.org/officeDocument/2006/relationships/hyperlink" Target="https://pbs.twimg.com/media/DlsLuDhW0AAp9tF.jpg" TargetMode="External"/><Relationship Id="rId3515" Type="http://schemas.openxmlformats.org/officeDocument/2006/relationships/hyperlink" Target="https://twitter.com/hesamodin1/status/1034331340311810048" TargetMode="External"/><Relationship Id="rId229" Type="http://schemas.openxmlformats.org/officeDocument/2006/relationships/hyperlink" Target="https://pbs.twimg.com/media/DmUUZgYWsAEVN45.jpg" TargetMode="External"/><Relationship Id="rId436" Type="http://schemas.openxmlformats.org/officeDocument/2006/relationships/hyperlink" Target="https://youtu.be/EX7HIOEM_-0" TargetMode="External"/><Relationship Id="rId643" Type="http://schemas.openxmlformats.org/officeDocument/2006/relationships/hyperlink" Target="http://www.utiss.ir/" TargetMode="External"/><Relationship Id="rId1066" Type="http://schemas.openxmlformats.org/officeDocument/2006/relationships/hyperlink" Target="https://hra-news.org/" TargetMode="External"/><Relationship Id="rId1273" Type="http://schemas.openxmlformats.org/officeDocument/2006/relationships/hyperlink" Target="https://pbs.twimg.com/media/DmHNJEyX0AInqV8.jpg" TargetMode="External"/><Relationship Id="rId1480" Type="http://schemas.openxmlformats.org/officeDocument/2006/relationships/hyperlink" Target="https://pbs.twimg.com/media/DmE_AsEXsAEYaRY.jpg" TargetMode="External"/><Relationship Id="rId2117" Type="http://schemas.openxmlformats.org/officeDocument/2006/relationships/hyperlink" Target="http://sepah_agha.blogfa.com/" TargetMode="External"/><Relationship Id="rId2324" Type="http://schemas.openxmlformats.org/officeDocument/2006/relationships/hyperlink" Target="https://pbs.twimg.com/media/DlyZLEPW0AA2tA9.jpg" TargetMode="External"/><Relationship Id="rId850" Type="http://schemas.openxmlformats.org/officeDocument/2006/relationships/hyperlink" Target="http://filter_shod_n.bar.com/" TargetMode="External"/><Relationship Id="rId1133" Type="http://schemas.openxmlformats.org/officeDocument/2006/relationships/hyperlink" Target="http://cyberwarzone.com/" TargetMode="External"/><Relationship Id="rId2531" Type="http://schemas.openxmlformats.org/officeDocument/2006/relationships/hyperlink" Target="https://www.majazi.ir/" TargetMode="External"/><Relationship Id="rId503" Type="http://schemas.openxmlformats.org/officeDocument/2006/relationships/hyperlink" Target="https://pbs.twimg.com/media/DmRP_n0X0AI5vpI.jpg" TargetMode="External"/><Relationship Id="rId710" Type="http://schemas.openxmlformats.org/officeDocument/2006/relationships/hyperlink" Target="http://pic.twitter.com/pwVEvAVi24" TargetMode="External"/><Relationship Id="rId1340" Type="http://schemas.openxmlformats.org/officeDocument/2006/relationships/hyperlink" Target="https://pbs.twimg.com/media/DmGdT-gW4AADSUa.jpg" TargetMode="External"/><Relationship Id="rId3098" Type="http://schemas.openxmlformats.org/officeDocument/2006/relationships/hyperlink" Target="http://pic.twitter.com/Ie0OzRs34S" TargetMode="External"/><Relationship Id="rId1200" Type="http://schemas.openxmlformats.org/officeDocument/2006/relationships/hyperlink" Target="https://pbs.twimg.com/media/DmJw2fdVsAEa0Nl.jpg" TargetMode="External"/><Relationship Id="rId3165" Type="http://schemas.openxmlformats.org/officeDocument/2006/relationships/hyperlink" Target="http://www.kiosktheband.com/" TargetMode="External"/><Relationship Id="rId3372" Type="http://schemas.openxmlformats.org/officeDocument/2006/relationships/hyperlink" Target="https://pbs.twimg.com/media/Dlr7H53XsAE0VLU.jpg" TargetMode="External"/><Relationship Id="rId293" Type="http://schemas.openxmlformats.org/officeDocument/2006/relationships/hyperlink" Target="http://pic.twitter.com/Dym7EoJTV3" TargetMode="External"/><Relationship Id="rId2181" Type="http://schemas.openxmlformats.org/officeDocument/2006/relationships/hyperlink" Target="https://pbs.twimg.com/media/Dl1TAQiVAAAAcnP.jpg" TargetMode="External"/><Relationship Id="rId3025" Type="http://schemas.openxmlformats.org/officeDocument/2006/relationships/hyperlink" Target="https://t.me/simorgh31" TargetMode="External"/><Relationship Id="rId3232" Type="http://schemas.openxmlformats.org/officeDocument/2006/relationships/hyperlink" Target="http://tebeslami.net/" TargetMode="External"/><Relationship Id="rId153" Type="http://schemas.openxmlformats.org/officeDocument/2006/relationships/hyperlink" Target="https://pbs.twimg.com/media/DmUrhPDV4AA4apP.jpg" TargetMode="External"/><Relationship Id="rId360" Type="http://schemas.openxmlformats.org/officeDocument/2006/relationships/hyperlink" Target="http://mubuc.blog.ir/" TargetMode="External"/><Relationship Id="rId2041" Type="http://schemas.openxmlformats.org/officeDocument/2006/relationships/hyperlink" Target="https://pbs.twimg.com/media/Dl31s1nWsAAOePG.jpg" TargetMode="External"/><Relationship Id="rId220" Type="http://schemas.openxmlformats.org/officeDocument/2006/relationships/hyperlink" Target="https://twitter.com/sabaazarpeik/status/854048414719385600" TargetMode="External"/><Relationship Id="rId2998" Type="http://schemas.openxmlformats.org/officeDocument/2006/relationships/hyperlink" Target="https://twitter.com/a_gholhaki/status/1034312756944621568" TargetMode="External"/><Relationship Id="rId2858" Type="http://schemas.openxmlformats.org/officeDocument/2006/relationships/hyperlink" Target="http://www.globalcity.blogfa.com/" TargetMode="External"/><Relationship Id="rId99" Type="http://schemas.openxmlformats.org/officeDocument/2006/relationships/hyperlink" Target="https://pbs.twimg.com/media/DmU_-qLW0AESN6W.jpg" TargetMode="External"/><Relationship Id="rId1667" Type="http://schemas.openxmlformats.org/officeDocument/2006/relationships/hyperlink" Target="http://www.mitfirm.org/" TargetMode="External"/><Relationship Id="rId1874" Type="http://schemas.openxmlformats.org/officeDocument/2006/relationships/hyperlink" Target="http://milad.nekofar.com/" TargetMode="External"/><Relationship Id="rId2718" Type="http://schemas.openxmlformats.org/officeDocument/2006/relationships/hyperlink" Target="http://www.instagram.com/nourajfri" TargetMode="External"/><Relationship Id="rId2925" Type="http://schemas.openxmlformats.org/officeDocument/2006/relationships/hyperlink" Target="http://www.almahdyoon.co/" TargetMode="External"/><Relationship Id="rId1527" Type="http://schemas.openxmlformats.org/officeDocument/2006/relationships/hyperlink" Target="http://www.tasnimnews.com/" TargetMode="External"/><Relationship Id="rId1734" Type="http://schemas.openxmlformats.org/officeDocument/2006/relationships/hyperlink" Target="https://pbs.twimg.com/media/Dl_i4IsXcAACfG8.jpg" TargetMode="External"/><Relationship Id="rId1941" Type="http://schemas.openxmlformats.org/officeDocument/2006/relationships/hyperlink" Target="https://pbs.twimg.com/media/Dl7AUWAWsAEuwHQ.jpg" TargetMode="External"/><Relationship Id="rId26" Type="http://schemas.openxmlformats.org/officeDocument/2006/relationships/hyperlink" Target="https://twitter.com/ariya_love777/status/1037084484506505216" TargetMode="External"/><Relationship Id="rId1801" Type="http://schemas.openxmlformats.org/officeDocument/2006/relationships/hyperlink" Target="http://www.tasnimnews.com/" TargetMode="External"/><Relationship Id="rId3559" Type="http://schemas.openxmlformats.org/officeDocument/2006/relationships/hyperlink" Target="https://pbs.twimg.com/media/DlrH90kXoAAwgy-.jpg" TargetMode="External"/><Relationship Id="rId687" Type="http://schemas.openxmlformats.org/officeDocument/2006/relationships/hyperlink" Target="http://pic.twitter.com/J57AkbdgFw" TargetMode="External"/><Relationship Id="rId2368" Type="http://schemas.openxmlformats.org/officeDocument/2006/relationships/hyperlink" Target="https://pbs.twimg.com/media/DlyEHqxXsAEbzuJ.jpg" TargetMode="External"/><Relationship Id="rId894" Type="http://schemas.openxmlformats.org/officeDocument/2006/relationships/hyperlink" Target="http://t.me/ghalam_e_tiz" TargetMode="External"/><Relationship Id="rId1177" Type="http://schemas.openxmlformats.org/officeDocument/2006/relationships/hyperlink" Target="http://pic.twitter.com/PZNdEd1m76" TargetMode="External"/><Relationship Id="rId2575" Type="http://schemas.openxmlformats.org/officeDocument/2006/relationships/hyperlink" Target="https://pbs.twimg.com/media/Dlv-8-2WsAIGvh1.jpg" TargetMode="External"/><Relationship Id="rId2782" Type="http://schemas.openxmlformats.org/officeDocument/2006/relationships/hyperlink" Target="https://pbs.twimg.com/media/DlvxjFgXgAAHQZH.jpg" TargetMode="External"/><Relationship Id="rId3419" Type="http://schemas.openxmlformats.org/officeDocument/2006/relationships/hyperlink" Target="https://pbs.twimg.com/media/DlrueG-XsAEeS5I.jpg" TargetMode="External"/><Relationship Id="rId3626" Type="http://schemas.openxmlformats.org/officeDocument/2006/relationships/hyperlink" Target="https://www.facebook.com/ehsan.ramezanian" TargetMode="External"/><Relationship Id="rId547" Type="http://schemas.openxmlformats.org/officeDocument/2006/relationships/hyperlink" Target="https://pbs.twimg.com/media/DmQ7TRbXoAEvuqY.jpg" TargetMode="External"/><Relationship Id="rId754" Type="http://schemas.openxmlformats.org/officeDocument/2006/relationships/hyperlink" Target="https://pbs.twimg.com/media/DmPUZLdXoAAOiuS.jpg" TargetMode="External"/><Relationship Id="rId961" Type="http://schemas.openxmlformats.org/officeDocument/2006/relationships/hyperlink" Target="https://pbs.twimg.com/media/DmMKNP1XcAAeVRp.jpg" TargetMode="External"/><Relationship Id="rId1384" Type="http://schemas.openxmlformats.org/officeDocument/2006/relationships/hyperlink" Target="https://www.instagram.com/ceyed_ir" TargetMode="External"/><Relationship Id="rId1591" Type="http://schemas.openxmlformats.org/officeDocument/2006/relationships/hyperlink" Target="http://www.iranintl.com/" TargetMode="External"/><Relationship Id="rId2228" Type="http://schemas.openxmlformats.org/officeDocument/2006/relationships/hyperlink" Target="https://pbs.twimg.com/media/Dl0M1Q8X4AAW2n6.jpg" TargetMode="External"/><Relationship Id="rId2435" Type="http://schemas.openxmlformats.org/officeDocument/2006/relationships/hyperlink" Target="http://instagram.com/thisisalirostami" TargetMode="External"/><Relationship Id="rId2642" Type="http://schemas.openxmlformats.org/officeDocument/2006/relationships/hyperlink" Target="http://werg.ir/" TargetMode="External"/><Relationship Id="rId90" Type="http://schemas.openxmlformats.org/officeDocument/2006/relationships/hyperlink" Target="https://pbs.twimg.com/media/DmVEN7pWwAEgnbQ.jpg" TargetMode="External"/><Relationship Id="rId407" Type="http://schemas.openxmlformats.org/officeDocument/2006/relationships/hyperlink" Target="http://www.iranwtc.org/" TargetMode="External"/><Relationship Id="rId614" Type="http://schemas.openxmlformats.org/officeDocument/2006/relationships/hyperlink" Target="http://newspaper.hamshahri.org/" TargetMode="External"/><Relationship Id="rId821" Type="http://schemas.openxmlformats.org/officeDocument/2006/relationships/hyperlink" Target="http://radiozamaneh.com/" TargetMode="External"/><Relationship Id="rId1037" Type="http://schemas.openxmlformats.org/officeDocument/2006/relationships/hyperlink" Target="http://pic.twitter.com/kJaVvYBxkT" TargetMode="External"/><Relationship Id="rId1244" Type="http://schemas.openxmlformats.org/officeDocument/2006/relationships/hyperlink" Target="https://pbs.twimg.com/media/DmHuYCFX0AA9CQJ.jpg" TargetMode="External"/><Relationship Id="rId1451" Type="http://schemas.openxmlformats.org/officeDocument/2006/relationships/hyperlink" Target="http://www.ibena.ir/" TargetMode="External"/><Relationship Id="rId2502" Type="http://schemas.openxmlformats.org/officeDocument/2006/relationships/hyperlink" Target="https://pbs.twimg.com/media/Dlw9bSDW0AARAy2.jpg" TargetMode="External"/><Relationship Id="rId1104" Type="http://schemas.openxmlformats.org/officeDocument/2006/relationships/hyperlink" Target="https://www.ilna.ir/fa/tiny/news-663806" TargetMode="External"/><Relationship Id="rId1311" Type="http://schemas.openxmlformats.org/officeDocument/2006/relationships/hyperlink" Target="http://www.goftogoonews.com/" TargetMode="External"/><Relationship Id="rId3069" Type="http://schemas.openxmlformats.org/officeDocument/2006/relationships/hyperlink" Target="https://pbs.twimg.com/media/DltRie6WwAIwvQZ.jpg" TargetMode="External"/><Relationship Id="rId3276" Type="http://schemas.openxmlformats.org/officeDocument/2006/relationships/hyperlink" Target="https://telegram.me/harfbemanbot?start=MTM3MDk0MjAy" TargetMode="External"/><Relationship Id="rId3483" Type="http://schemas.openxmlformats.org/officeDocument/2006/relationships/hyperlink" Target="http://www.nikru.ir/16956-/6.html" TargetMode="External"/><Relationship Id="rId197" Type="http://schemas.openxmlformats.org/officeDocument/2006/relationships/hyperlink" Target="http://pic.twitter.com/l1JE2BAdQo" TargetMode="External"/><Relationship Id="rId2085" Type="http://schemas.openxmlformats.org/officeDocument/2006/relationships/hyperlink" Target="https://pbs.twimg.com/media/Dl3RfG-W4AMbUyN.jpg" TargetMode="External"/><Relationship Id="rId2292" Type="http://schemas.openxmlformats.org/officeDocument/2006/relationships/hyperlink" Target="http://facebook.com/ebi.tarkeshi.94" TargetMode="External"/><Relationship Id="rId3136" Type="http://schemas.openxmlformats.org/officeDocument/2006/relationships/hyperlink" Target="https://pbs.twimg.com/media/DltCsxSU0AEImLa.jpg" TargetMode="External"/><Relationship Id="rId3343" Type="http://schemas.openxmlformats.org/officeDocument/2006/relationships/hyperlink" Target="https://pbs.twimg.com/media/Dlr_2ryXcAAzA0Q.jpg" TargetMode="External"/><Relationship Id="rId264" Type="http://schemas.openxmlformats.org/officeDocument/2006/relationships/hyperlink" Target="http://ble.im/Fars_Plus" TargetMode="External"/><Relationship Id="rId471" Type="http://schemas.openxmlformats.org/officeDocument/2006/relationships/hyperlink" Target="http://pic.twitter.com/azBVh7pjyR" TargetMode="External"/><Relationship Id="rId2152" Type="http://schemas.openxmlformats.org/officeDocument/2006/relationships/hyperlink" Target="https://pbs.twimg.com/media/Dl1-iRYXgAAA6sM.jpg" TargetMode="External"/><Relationship Id="rId3550" Type="http://schemas.openxmlformats.org/officeDocument/2006/relationships/hyperlink" Target="https://youtu.be/wWgCHaLmfnI" TargetMode="External"/><Relationship Id="rId124" Type="http://schemas.openxmlformats.org/officeDocument/2006/relationships/hyperlink" Target="http://www.rouydad24.ir/" TargetMode="External"/><Relationship Id="rId3203" Type="http://schemas.openxmlformats.org/officeDocument/2006/relationships/hyperlink" Target="http://cyberwarzone.com/" TargetMode="External"/><Relationship Id="rId3410" Type="http://schemas.openxmlformats.org/officeDocument/2006/relationships/hyperlink" Target="https://article.mojahedin.org/id/7c47f3a7-8c56-4c3f-8fc2-26fd050154a0" TargetMode="External"/><Relationship Id="rId331" Type="http://schemas.openxmlformats.org/officeDocument/2006/relationships/hyperlink" Target="https://www.ilna.ir/fa/tiny/news-663393" TargetMode="External"/><Relationship Id="rId2012" Type="http://schemas.openxmlformats.org/officeDocument/2006/relationships/hyperlink" Target="http://roomana.ir/" TargetMode="External"/><Relationship Id="rId2969" Type="http://schemas.openxmlformats.org/officeDocument/2006/relationships/hyperlink" Target="https://pbs.twimg.com/media/Dls1fknW0AAwBMH.jpg" TargetMode="External"/><Relationship Id="rId1778" Type="http://schemas.openxmlformats.org/officeDocument/2006/relationships/hyperlink" Target="https://asre-eghtesad.com/" TargetMode="External"/><Relationship Id="rId1985" Type="http://schemas.openxmlformats.org/officeDocument/2006/relationships/hyperlink" Target="https://pbs.twimg.com/media/Dl6NUb5XgAASvgK.jpg" TargetMode="External"/><Relationship Id="rId2829" Type="http://schemas.openxmlformats.org/officeDocument/2006/relationships/hyperlink" Target="https://pbs.twimg.com/media/DlvqI0eW0AAtXhG.jpg" TargetMode="External"/><Relationship Id="rId1638" Type="http://schemas.openxmlformats.org/officeDocument/2006/relationships/hyperlink" Target="https://twitter.com/keramati013/status/1035669174406791168" TargetMode="External"/><Relationship Id="rId1845" Type="http://schemas.openxmlformats.org/officeDocument/2006/relationships/hyperlink" Target="https://pbs.twimg.com/media/Dl8--KSXsAALre5.jpg" TargetMode="External"/><Relationship Id="rId3060" Type="http://schemas.openxmlformats.org/officeDocument/2006/relationships/hyperlink" Target="https://pbs.twimg.com/media/DltTOMmW4AA5McD.jpg" TargetMode="External"/><Relationship Id="rId1705" Type="http://schemas.openxmlformats.org/officeDocument/2006/relationships/hyperlink" Target="https://pbs.twimg.com/media/Dl_6vW-U4AAoqJp.jpg" TargetMode="External"/><Relationship Id="rId1912" Type="http://schemas.openxmlformats.org/officeDocument/2006/relationships/hyperlink" Target="http://www.maqami.blog.ir/" TargetMode="External"/><Relationship Id="rId798" Type="http://schemas.openxmlformats.org/officeDocument/2006/relationships/hyperlink" Target="https://pbs.twimg.com/media/DmPPB8cUcAEj0IE.jpg" TargetMode="External"/><Relationship Id="rId2479" Type="http://schemas.openxmlformats.org/officeDocument/2006/relationships/hyperlink" Target="https://shenoto.com/Corner" TargetMode="External"/><Relationship Id="rId2686" Type="http://schemas.openxmlformats.org/officeDocument/2006/relationships/hyperlink" Target="https://pbs.twimg.com/media/DlwF1fmUUAA1aju.jpg" TargetMode="External"/><Relationship Id="rId2893" Type="http://schemas.openxmlformats.org/officeDocument/2006/relationships/hyperlink" Target="https://pbs.twimg.com/media/Dlu8GbYW0AUubP8.jpg" TargetMode="External"/><Relationship Id="rId658" Type="http://schemas.openxmlformats.org/officeDocument/2006/relationships/hyperlink" Target="https://pbs.twimg.com/media/DmQG4e8XgAE5xtG.jpg" TargetMode="External"/><Relationship Id="rId865" Type="http://schemas.openxmlformats.org/officeDocument/2006/relationships/hyperlink" Target="https://pbs.twimg.com/media/DmOsCgQVAAEuQNz.jpg" TargetMode="External"/><Relationship Id="rId1288" Type="http://schemas.openxmlformats.org/officeDocument/2006/relationships/hyperlink" Target="https://pbs.twimg.com/media/DmHFRi4XcAEhUsH.jpg" TargetMode="External"/><Relationship Id="rId1495" Type="http://schemas.openxmlformats.org/officeDocument/2006/relationships/hyperlink" Target="https://pbs.twimg.com/media/DmE0CX7UwAUXXdU.jpg" TargetMode="External"/><Relationship Id="rId2339" Type="http://schemas.openxmlformats.org/officeDocument/2006/relationships/hyperlink" Target="https://pbs.twimg.com/media/DlyUQ4KXsAE4CYd.jpg" TargetMode="External"/><Relationship Id="rId2546" Type="http://schemas.openxmlformats.org/officeDocument/2006/relationships/hyperlink" Target="http://www.radiofarda.com/" TargetMode="External"/><Relationship Id="rId2753" Type="http://schemas.openxmlformats.org/officeDocument/2006/relationships/hyperlink" Target="http://www.eghtesadonline.com/" TargetMode="External"/><Relationship Id="rId2960" Type="http://schemas.openxmlformats.org/officeDocument/2006/relationships/hyperlink" Target="http://instagram.com/ebfou" TargetMode="External"/><Relationship Id="rId518" Type="http://schemas.openxmlformats.org/officeDocument/2006/relationships/hyperlink" Target="https://twitter.com/rouhani_ir/status/483931418603827200?s=21" TargetMode="External"/><Relationship Id="rId725" Type="http://schemas.openxmlformats.org/officeDocument/2006/relationships/hyperlink" Target="https://pbs.twimg.com/media/DmPrSwfXsAMBELP.jpg" TargetMode="External"/><Relationship Id="rId932" Type="http://schemas.openxmlformats.org/officeDocument/2006/relationships/hyperlink" Target="https://pbs.twimg.com/media/DmMkfU7XoAI15-D.jpg" TargetMode="External"/><Relationship Id="rId1148" Type="http://schemas.openxmlformats.org/officeDocument/2006/relationships/hyperlink" Target="https://twitter.com/Tahlilgaran/status/1036561742661332993" TargetMode="External"/><Relationship Id="rId1355" Type="http://schemas.openxmlformats.org/officeDocument/2006/relationships/hyperlink" Target="https://www.instagram.com/mostafa.goldsmith" TargetMode="External"/><Relationship Id="rId1562" Type="http://schemas.openxmlformats.org/officeDocument/2006/relationships/hyperlink" Target="http://www.mehrnews.com/" TargetMode="External"/><Relationship Id="rId2406" Type="http://schemas.openxmlformats.org/officeDocument/2006/relationships/hyperlink" Target="https://pbs.twimg.com/media/Dlxn6_6WwAAAkwp.jpg" TargetMode="External"/><Relationship Id="rId2613" Type="http://schemas.openxmlformats.org/officeDocument/2006/relationships/hyperlink" Target="http://pic.twitter.com/jffYINGS3a" TargetMode="External"/><Relationship Id="rId1008" Type="http://schemas.openxmlformats.org/officeDocument/2006/relationships/hyperlink" Target="https://twitter.com/aminimedia_ir/status/1034542162912919553" TargetMode="External"/><Relationship Id="rId1215" Type="http://schemas.openxmlformats.org/officeDocument/2006/relationships/hyperlink" Target="http://rezvane.blog.ir/" TargetMode="External"/><Relationship Id="rId1422" Type="http://schemas.openxmlformats.org/officeDocument/2006/relationships/hyperlink" Target="https://pbs.twimg.com/media/DmFaZ4rXoAAQCzQ.jpg" TargetMode="External"/><Relationship Id="rId2820" Type="http://schemas.openxmlformats.org/officeDocument/2006/relationships/hyperlink" Target="https://www.radiozamaneh.com/409774" TargetMode="External"/><Relationship Id="rId61" Type="http://schemas.openxmlformats.org/officeDocument/2006/relationships/hyperlink" Target="https://pbs.twimg.com/media/DmVO-bnXgAEvmPm.jpg" TargetMode="External"/><Relationship Id="rId3387" Type="http://schemas.openxmlformats.org/officeDocument/2006/relationships/hyperlink" Target="https://pbs.twimg.com/media/DlrtIhSVsAAJj5A.jpg" TargetMode="External"/><Relationship Id="rId2196" Type="http://schemas.openxmlformats.org/officeDocument/2006/relationships/hyperlink" Target="https://pbs.twimg.com/media/Dl1BvGvX0AAWSkG.png" TargetMode="External"/><Relationship Id="rId3594" Type="http://schemas.openxmlformats.org/officeDocument/2006/relationships/hyperlink" Target="https://pbs.twimg.com/media/Dlq7nsSW0AAehs8.jpg" TargetMode="External"/><Relationship Id="rId168" Type="http://schemas.openxmlformats.org/officeDocument/2006/relationships/hyperlink" Target="http://roshangari.ir/" TargetMode="External"/><Relationship Id="rId3247" Type="http://schemas.openxmlformats.org/officeDocument/2006/relationships/hyperlink" Target="http://pic.twitter.com/TRkkynX7R5" TargetMode="External"/><Relationship Id="rId3454" Type="http://schemas.openxmlformats.org/officeDocument/2006/relationships/hyperlink" Target="http://seyedezatollahrashmi.wordpress.com/" TargetMode="External"/><Relationship Id="rId375" Type="http://schemas.openxmlformats.org/officeDocument/2006/relationships/hyperlink" Target="https://pbs.twimg.com/media/DmTdk5FW4AAQxnV.jpg" TargetMode="External"/><Relationship Id="rId582" Type="http://schemas.openxmlformats.org/officeDocument/2006/relationships/hyperlink" Target="https://pbs.twimg.com/media/DmQjG3yX4AE1-6_.jpg" TargetMode="External"/><Relationship Id="rId2056" Type="http://schemas.openxmlformats.org/officeDocument/2006/relationships/hyperlink" Target="http://www.facebook.com/Siasat.Zadegan?ref=tn_tinyman" TargetMode="External"/><Relationship Id="rId2263" Type="http://schemas.openxmlformats.org/officeDocument/2006/relationships/hyperlink" Target="http://www.nigc.ir/Portal/Home/" TargetMode="External"/><Relationship Id="rId2470" Type="http://schemas.openxmlformats.org/officeDocument/2006/relationships/hyperlink" Target="http://www.ilna.ir/" TargetMode="External"/><Relationship Id="rId3107" Type="http://schemas.openxmlformats.org/officeDocument/2006/relationships/hyperlink" Target="https://about.me/MoeinQ" TargetMode="External"/><Relationship Id="rId3314" Type="http://schemas.openxmlformats.org/officeDocument/2006/relationships/hyperlink" Target="https://t.me/vahidi4" TargetMode="External"/><Relationship Id="rId3521" Type="http://schemas.openxmlformats.org/officeDocument/2006/relationships/hyperlink" Target="https://pbs.twimg.com/media/DlrJ5GEX4AI3mY8.jpg" TargetMode="External"/><Relationship Id="rId235" Type="http://schemas.openxmlformats.org/officeDocument/2006/relationships/hyperlink" Target="http://pic.twitter.com/g8okmIcwzr" TargetMode="External"/><Relationship Id="rId442" Type="http://schemas.openxmlformats.org/officeDocument/2006/relationships/hyperlink" Target="http://instagram.com/amirsajaadian" TargetMode="External"/><Relationship Id="rId1072" Type="http://schemas.openxmlformats.org/officeDocument/2006/relationships/hyperlink" Target="https://pbs.twimg.com/media/DmLEJnkW0AAC_sM.jpg" TargetMode="External"/><Relationship Id="rId2123" Type="http://schemas.openxmlformats.org/officeDocument/2006/relationships/hyperlink" Target="https://pbs.twimg.com/media/Dl2ekj_WwAAOt3M.jpg" TargetMode="External"/><Relationship Id="rId2330" Type="http://schemas.openxmlformats.org/officeDocument/2006/relationships/hyperlink" Target="http://pic.twitter.com/DbyKZWbFhX" TargetMode="External"/><Relationship Id="rId302" Type="http://schemas.openxmlformats.org/officeDocument/2006/relationships/hyperlink" Target="https://pbs.twimg.com/media/DmT8_VXWwAAuIz2.jpg" TargetMode="External"/><Relationship Id="rId1889" Type="http://schemas.openxmlformats.org/officeDocument/2006/relationships/hyperlink" Target="https://pbs.twimg.com/media/Dl7_F1SWsAMqcJ9.jpg" TargetMode="External"/><Relationship Id="rId1749" Type="http://schemas.openxmlformats.org/officeDocument/2006/relationships/hyperlink" Target="https://pbs.twimg.com/media/Dl_UfaNXcAAtbGe.jpg" TargetMode="External"/><Relationship Id="rId1956" Type="http://schemas.openxmlformats.org/officeDocument/2006/relationships/hyperlink" Target="http://fb.com/Freedom.Messenger" TargetMode="External"/><Relationship Id="rId3171" Type="http://schemas.openxmlformats.org/officeDocument/2006/relationships/hyperlink" Target="https://twitter.com/hesamodin1/status/1034368948496740352" TargetMode="External"/><Relationship Id="rId1609" Type="http://schemas.openxmlformats.org/officeDocument/2006/relationships/hyperlink" Target="http://www.10darsad.ir/" TargetMode="External"/><Relationship Id="rId1816" Type="http://schemas.openxmlformats.org/officeDocument/2006/relationships/hyperlink" Target="https://twitter.com/mah_sadeghi/status/1035456267463151616" TargetMode="External"/><Relationship Id="rId3031" Type="http://schemas.openxmlformats.org/officeDocument/2006/relationships/hyperlink" Target="http://pic.twitter.com/Lng5LYc4BB" TargetMode="External"/><Relationship Id="rId2797" Type="http://schemas.openxmlformats.org/officeDocument/2006/relationships/hyperlink" Target="https://pbs.twimg.com/media/DlvvTitX0AAh-Ow.jpg" TargetMode="External"/><Relationship Id="rId769" Type="http://schemas.openxmlformats.org/officeDocument/2006/relationships/hyperlink" Target="http://pic.twitter.com/J57AkbdgFw" TargetMode="External"/><Relationship Id="rId976" Type="http://schemas.openxmlformats.org/officeDocument/2006/relationships/hyperlink" Target="http://v.aa.com.tr/1245497" TargetMode="External"/><Relationship Id="rId1399" Type="http://schemas.openxmlformats.org/officeDocument/2006/relationships/hyperlink" Target="http://www.farsnews.com/" TargetMode="External"/><Relationship Id="rId2657" Type="http://schemas.openxmlformats.org/officeDocument/2006/relationships/hyperlink" Target="http://mirzamohammadi.blogfa.com/" TargetMode="External"/><Relationship Id="rId629" Type="http://schemas.openxmlformats.org/officeDocument/2006/relationships/hyperlink" Target="https://telegram.me/joinchat/AyqAoT4TA85sCQ8vyOMN4w" TargetMode="External"/><Relationship Id="rId1259" Type="http://schemas.openxmlformats.org/officeDocument/2006/relationships/hyperlink" Target="https://twitter.com/sam1kia/status/1036343464366166018" TargetMode="External"/><Relationship Id="rId1466" Type="http://schemas.openxmlformats.org/officeDocument/2006/relationships/hyperlink" Target="http://www.mojnews.com/fa/tiny/news-241186" TargetMode="External"/><Relationship Id="rId2864" Type="http://schemas.openxmlformats.org/officeDocument/2006/relationships/hyperlink" Target="https://pbs.twimg.com/media/DlveAZLWwAAw5bl.jpg" TargetMode="External"/><Relationship Id="rId836" Type="http://schemas.openxmlformats.org/officeDocument/2006/relationships/hyperlink" Target="https://pbs.twimg.com/media/DmO8ASIXgAApnEx.jpg" TargetMode="External"/><Relationship Id="rId1119" Type="http://schemas.openxmlformats.org/officeDocument/2006/relationships/hyperlink" Target="http://www.baraabari.com/" TargetMode="External"/><Relationship Id="rId1673" Type="http://schemas.openxmlformats.org/officeDocument/2006/relationships/hyperlink" Target="http://tn.ai/1817447" TargetMode="External"/><Relationship Id="rId1880" Type="http://schemas.openxmlformats.org/officeDocument/2006/relationships/hyperlink" Target="https://pbs.twimg.com/media/Dl8L19oXoAAFftn.jpg" TargetMode="External"/><Relationship Id="rId2517" Type="http://schemas.openxmlformats.org/officeDocument/2006/relationships/hyperlink" Target="https://pbs.twimg.com/media/Dlw4Sy3VAAAqcdz.jpg" TargetMode="External"/><Relationship Id="rId2724" Type="http://schemas.openxmlformats.org/officeDocument/2006/relationships/hyperlink" Target="https://pbs.twimg.com/media/Dlv7tmpXcAA0QhM.jpg" TargetMode="External"/><Relationship Id="rId2931" Type="http://schemas.openxmlformats.org/officeDocument/2006/relationships/hyperlink" Target="https://www.isna.ir/news/97060603124/" TargetMode="External"/><Relationship Id="rId903" Type="http://schemas.openxmlformats.org/officeDocument/2006/relationships/hyperlink" Target="http://www.icana.ir/Fa/News/401662" TargetMode="External"/><Relationship Id="rId1326" Type="http://schemas.openxmlformats.org/officeDocument/2006/relationships/hyperlink" Target="https://pbs.twimg.com/media/DmGp2UfXcAAMFW9.jpg" TargetMode="External"/><Relationship Id="rId1533" Type="http://schemas.openxmlformats.org/officeDocument/2006/relationships/hyperlink" Target="https://telegram.me/dar2delbot?start=send_g5vR4e" TargetMode="External"/><Relationship Id="rId1740" Type="http://schemas.openxmlformats.org/officeDocument/2006/relationships/hyperlink" Target="https://pbs.twimg.com/media/Dl_eTIcWsAELt-y.jpg" TargetMode="External"/><Relationship Id="rId32" Type="http://schemas.openxmlformats.org/officeDocument/2006/relationships/hyperlink" Target="https://pbs.twimg.com/media/DmVaFvDXcAAKCQA.jpg" TargetMode="External"/><Relationship Id="rId1600" Type="http://schemas.openxmlformats.org/officeDocument/2006/relationships/hyperlink" Target="https://twitter.com/khoshbakht_a/status/1035956997764444165" TargetMode="External"/><Relationship Id="rId3498" Type="http://schemas.openxmlformats.org/officeDocument/2006/relationships/hyperlink" Target="https://pbs.twimg.com/media/DlrWO1zWwAAVqC2.jpg" TargetMode="External"/><Relationship Id="rId3358" Type="http://schemas.openxmlformats.org/officeDocument/2006/relationships/hyperlink" Target="https://pbs.twimg.com/media/Dlr9jYeUYAA_PFD.jpg" TargetMode="External"/><Relationship Id="rId3565" Type="http://schemas.openxmlformats.org/officeDocument/2006/relationships/hyperlink" Target="http://t.me/roohallahtwitte" TargetMode="External"/><Relationship Id="rId279" Type="http://schemas.openxmlformats.org/officeDocument/2006/relationships/hyperlink" Target="http://maitham.blogfa.com/" TargetMode="External"/><Relationship Id="rId486" Type="http://schemas.openxmlformats.org/officeDocument/2006/relationships/hyperlink" Target="http://pic.twitter.com/qfNS6PdeHv" TargetMode="External"/><Relationship Id="rId693" Type="http://schemas.openxmlformats.org/officeDocument/2006/relationships/hyperlink" Target="https://pbs.twimg.com/media/DmP6zkZWwAAlhT8.jpg" TargetMode="External"/><Relationship Id="rId2167" Type="http://schemas.openxmlformats.org/officeDocument/2006/relationships/hyperlink" Target="https://pbs.twimg.com/media/Dl1mrDzX0AA_spw.jpg" TargetMode="External"/><Relationship Id="rId2374" Type="http://schemas.openxmlformats.org/officeDocument/2006/relationships/hyperlink" Target="https://twitter.com/Khamenei_fa/status/1034765384325496832" TargetMode="External"/><Relationship Id="rId2581" Type="http://schemas.openxmlformats.org/officeDocument/2006/relationships/hyperlink" Target="https://www.manoto.news/" TargetMode="External"/><Relationship Id="rId3218" Type="http://schemas.openxmlformats.org/officeDocument/2006/relationships/hyperlink" Target="https://pbs.twimg.com/media/Dlsj25cU0AIlDD1.jpg" TargetMode="External"/><Relationship Id="rId3425" Type="http://schemas.openxmlformats.org/officeDocument/2006/relationships/hyperlink" Target="https://www.instagram.com/p/BnBQySKlb43/?utm_source=ig_twitter_share&amp;igshid=pc0u5oimguew" TargetMode="External"/><Relationship Id="rId3632" Type="http://schemas.openxmlformats.org/officeDocument/2006/relationships/hyperlink" Target="http://pahlevanihamed.tumblr.com/" TargetMode="External"/><Relationship Id="rId139" Type="http://schemas.openxmlformats.org/officeDocument/2006/relationships/hyperlink" Target="https://twitter.com/AlinejadMasih/status/1037235849438605314" TargetMode="External"/><Relationship Id="rId346" Type="http://schemas.openxmlformats.org/officeDocument/2006/relationships/hyperlink" Target="https://pbs.twimg.com/media/DmTtBsBXcAElLM8.jpg" TargetMode="External"/><Relationship Id="rId553" Type="http://schemas.openxmlformats.org/officeDocument/2006/relationships/hyperlink" Target="https://pbs.twimg.com/media/DmQ23RHW4AE8HT0.jpg" TargetMode="External"/><Relationship Id="rId760" Type="http://schemas.openxmlformats.org/officeDocument/2006/relationships/hyperlink" Target="https://twitter.com/rezaebadizade/status/995634886445711360" TargetMode="External"/><Relationship Id="rId1183" Type="http://schemas.openxmlformats.org/officeDocument/2006/relationships/hyperlink" Target="https://pbs.twimg.com/media/DmKCWn9XoAEHc89.jpg" TargetMode="External"/><Relationship Id="rId1390" Type="http://schemas.openxmlformats.org/officeDocument/2006/relationships/hyperlink" Target="https://pbs.twimg.com/media/DmFuy38X4AE8Jeb.jpg" TargetMode="External"/><Relationship Id="rId2027" Type="http://schemas.openxmlformats.org/officeDocument/2006/relationships/hyperlink" Target="https://twitter.com/zoheiriran/status/1035215055644766208" TargetMode="External"/><Relationship Id="rId2234" Type="http://schemas.openxmlformats.org/officeDocument/2006/relationships/hyperlink" Target="https://iranintl.com/%D8%A7%DB%8C%D8%B1%D8%A7%D9%86/%C2%AB%D9%86%D8%B8%D8%A7%D9%85%D9%90%C2%BB-%D8%B9%D8%B2%DB%8C%D8%B2%D8%AA%D8%B1-%D8%A7%D8%B2-%C2%AB%D9%81%D8%B1%D8%B2%D9%86%D8%AF%C2%BB-%D9%88-%D8%A7%D9%86%D8%AA%D8%B8%D8%A7%D8%B1-%D8%B9%D8%A8%D8%AB-%D8%A7%D9%81%D8%B4%D8%A7%DA%AF%D8%B1%DB%8C-%D8%B1%D9%88%D8%AD%D8%A7%D9%86%DB%8C" TargetMode="External"/><Relationship Id="rId2441" Type="http://schemas.openxmlformats.org/officeDocument/2006/relationships/hyperlink" Target="http://instagram.com/mahdi.m_61" TargetMode="External"/><Relationship Id="rId206" Type="http://schemas.openxmlformats.org/officeDocument/2006/relationships/hyperlink" Target="https://pbs.twimg.com/media/DmT5vgXXcAAgjOB.jpg" TargetMode="External"/><Relationship Id="rId413" Type="http://schemas.openxmlformats.org/officeDocument/2006/relationships/hyperlink" Target="https://pbs.twimg.com/media/DmSJXh4W4AAOJ46.jpg" TargetMode="External"/><Relationship Id="rId1043" Type="http://schemas.openxmlformats.org/officeDocument/2006/relationships/hyperlink" Target="https://pbs.twimg.com/media/DmLXMhEXgAEa_St.jpg" TargetMode="External"/><Relationship Id="rId620" Type="http://schemas.openxmlformats.org/officeDocument/2006/relationships/hyperlink" Target="http://facebook.com/asmaerfanifar" TargetMode="External"/><Relationship Id="rId1250" Type="http://schemas.openxmlformats.org/officeDocument/2006/relationships/hyperlink" Target="https://www.instagram.com/amirwit" TargetMode="External"/><Relationship Id="rId2301" Type="http://schemas.openxmlformats.org/officeDocument/2006/relationships/hyperlink" Target="https://pbs.twimg.com/media/Dlruq2-W0AARNWG.jpg" TargetMode="External"/><Relationship Id="rId1110" Type="http://schemas.openxmlformats.org/officeDocument/2006/relationships/hyperlink" Target="https://twitter.com/EhsanBodaghi/status/1036509057140572160" TargetMode="External"/><Relationship Id="rId1927" Type="http://schemas.openxmlformats.org/officeDocument/2006/relationships/hyperlink" Target="https://twitter.com/nakeesaa/status/1035147117667540992" TargetMode="External"/><Relationship Id="rId3075" Type="http://schemas.openxmlformats.org/officeDocument/2006/relationships/hyperlink" Target="https://t.me/naslefateh" TargetMode="External"/><Relationship Id="rId3282" Type="http://schemas.openxmlformats.org/officeDocument/2006/relationships/hyperlink" Target="https://twitter.com/d_papillonn/status/1031496326306037760" TargetMode="External"/><Relationship Id="rId2091" Type="http://schemas.openxmlformats.org/officeDocument/2006/relationships/hyperlink" Target="https://pbs.twimg.com/media/Dl3LxoKXsAIN7-0.jpg" TargetMode="External"/><Relationship Id="rId3142" Type="http://schemas.openxmlformats.org/officeDocument/2006/relationships/hyperlink" Target="https://pbs.twimg.com/media/DltA-N5XsAIJeRk.jpg" TargetMode="External"/><Relationship Id="rId270" Type="http://schemas.openxmlformats.org/officeDocument/2006/relationships/hyperlink" Target="http://instagram.com/mrezaa1211" TargetMode="External"/><Relationship Id="rId3002" Type="http://schemas.openxmlformats.org/officeDocument/2006/relationships/hyperlink" Target="https://twitter.com/EsmaeiliParviz/status/1034469472487321600" TargetMode="External"/><Relationship Id="rId130" Type="http://schemas.openxmlformats.org/officeDocument/2006/relationships/hyperlink" Target="https://pbs.twimg.com/media/DmUzCy_W4AAF5U5.jpg" TargetMode="External"/><Relationship Id="rId2768" Type="http://schemas.openxmlformats.org/officeDocument/2006/relationships/hyperlink" Target="https://pbs.twimg.com/media/DlvzKxqWwAApSjM.jpg" TargetMode="External"/><Relationship Id="rId2975" Type="http://schemas.openxmlformats.org/officeDocument/2006/relationships/hyperlink" Target="https://pbs.twimg.com/media/Dltw3gaW0AI6lDh.jpg" TargetMode="External"/><Relationship Id="rId947" Type="http://schemas.openxmlformats.org/officeDocument/2006/relationships/hyperlink" Target="http://instagram.com/mohsenahmadi.photo" TargetMode="External"/><Relationship Id="rId1577" Type="http://schemas.openxmlformats.org/officeDocument/2006/relationships/hyperlink" Target="https://pbs.twimg.com/media/DmCTR8FX0AA3C0f.jpg" TargetMode="External"/><Relationship Id="rId1784" Type="http://schemas.openxmlformats.org/officeDocument/2006/relationships/hyperlink" Target="https://www.ilna.ir/fa/tiny/news-662542" TargetMode="External"/><Relationship Id="rId1991" Type="http://schemas.openxmlformats.org/officeDocument/2006/relationships/hyperlink" Target="https://pbs.twimg.com/media/Dl6CI8jX0AAT-tO.jpg" TargetMode="External"/><Relationship Id="rId2628" Type="http://schemas.openxmlformats.org/officeDocument/2006/relationships/hyperlink" Target="https://pbs.twimg.com/media/DlwUJ_6XcAEbkqu.jpg" TargetMode="External"/><Relationship Id="rId2835" Type="http://schemas.openxmlformats.org/officeDocument/2006/relationships/hyperlink" Target="http://www.tp4.ir/" TargetMode="External"/><Relationship Id="rId76" Type="http://schemas.openxmlformats.org/officeDocument/2006/relationships/hyperlink" Target="http://pic.twitter.com/D0t9EOxabJ" TargetMode="External"/><Relationship Id="rId807" Type="http://schemas.openxmlformats.org/officeDocument/2006/relationships/hyperlink" Target="http://www.tasnimnews.com/" TargetMode="External"/><Relationship Id="rId1437" Type="http://schemas.openxmlformats.org/officeDocument/2006/relationships/hyperlink" Target="https://pbs.twimg.com/media/DmFT3z3W4AA67il.jpg" TargetMode="External"/><Relationship Id="rId1644" Type="http://schemas.openxmlformats.org/officeDocument/2006/relationships/hyperlink" Target="https://www.instagram.com/m.s.r72/" TargetMode="External"/><Relationship Id="rId1851" Type="http://schemas.openxmlformats.org/officeDocument/2006/relationships/hyperlink" Target="https://pbs.twimg.com/media/Dl82CZbXcAAH3HP.jpg" TargetMode="External"/><Relationship Id="rId2902" Type="http://schemas.openxmlformats.org/officeDocument/2006/relationships/hyperlink" Target="https://www.instagram.com/munzzz/" TargetMode="External"/><Relationship Id="rId1504" Type="http://schemas.openxmlformats.org/officeDocument/2006/relationships/hyperlink" Target="http://tn.ai/1818317" TargetMode="External"/><Relationship Id="rId1711" Type="http://schemas.openxmlformats.org/officeDocument/2006/relationships/hyperlink" Target="https://telegram.me/harfbzanbot?start=o5PKbg" TargetMode="External"/><Relationship Id="rId3469" Type="http://schemas.openxmlformats.org/officeDocument/2006/relationships/hyperlink" Target="https://pbs.twimg.com/media/DlrYdtBW4AUTy5i.jpg" TargetMode="External"/><Relationship Id="rId597" Type="http://schemas.openxmlformats.org/officeDocument/2006/relationships/hyperlink" Target="https://t.me/NEWS365/84959" TargetMode="External"/><Relationship Id="rId2278" Type="http://schemas.openxmlformats.org/officeDocument/2006/relationships/hyperlink" Target="https://twitter.com/eslahghera/status/1034890832900308992" TargetMode="External"/><Relationship Id="rId2485" Type="http://schemas.openxmlformats.org/officeDocument/2006/relationships/hyperlink" Target="http://t.me/radioomidtr" TargetMode="External"/><Relationship Id="rId3329" Type="http://schemas.openxmlformats.org/officeDocument/2006/relationships/hyperlink" Target="http://fanoosedu.ir/" TargetMode="External"/><Relationship Id="rId457" Type="http://schemas.openxmlformats.org/officeDocument/2006/relationships/hyperlink" Target="https://twitter.com/farsnews_agency/status/1036895904161247232" TargetMode="External"/><Relationship Id="rId1087" Type="http://schemas.openxmlformats.org/officeDocument/2006/relationships/hyperlink" Target="https://pbs.twimg.com/media/DmK7pRgVAAAVTe6.jpg" TargetMode="External"/><Relationship Id="rId1294" Type="http://schemas.openxmlformats.org/officeDocument/2006/relationships/hyperlink" Target="https://pbs.twimg.com/media/DmHCY_TU0AA2gH6.jpg" TargetMode="External"/><Relationship Id="rId2138" Type="http://schemas.openxmlformats.org/officeDocument/2006/relationships/hyperlink" Target="https://twitter.com/pessarbad/status/1034683425431674880" TargetMode="External"/><Relationship Id="rId2692" Type="http://schemas.openxmlformats.org/officeDocument/2006/relationships/hyperlink" Target="https://pbs.twimg.com/media/DlwE30KVAAACMBw.jpg" TargetMode="External"/><Relationship Id="rId3536" Type="http://schemas.openxmlformats.org/officeDocument/2006/relationships/hyperlink" Target="https://twitter.com/Sasar_S/status/1034358864660058118" TargetMode="External"/><Relationship Id="rId664" Type="http://schemas.openxmlformats.org/officeDocument/2006/relationships/hyperlink" Target="https://pbs.twimg.com/media/DmP58KPXsAARN6A.jpg" TargetMode="External"/><Relationship Id="rId871" Type="http://schemas.openxmlformats.org/officeDocument/2006/relationships/hyperlink" Target="https://pbs.twimg.com/media/DmOkZ7QWsAIw8MF.jpg" TargetMode="External"/><Relationship Id="rId2345" Type="http://schemas.openxmlformats.org/officeDocument/2006/relationships/hyperlink" Target="http://filter_shod_n.bar.com/" TargetMode="External"/><Relationship Id="rId2552" Type="http://schemas.openxmlformats.org/officeDocument/2006/relationships/hyperlink" Target="https://pbs.twimg.com/media/Dlwj162W0AASJST.jpg" TargetMode="External"/><Relationship Id="rId3603" Type="http://schemas.openxmlformats.org/officeDocument/2006/relationships/hyperlink" Target="https://pbs.twimg.com/media/Dlq7Jv-W4AARU67.jpg" TargetMode="External"/><Relationship Id="rId317" Type="http://schemas.openxmlformats.org/officeDocument/2006/relationships/hyperlink" Target="http://www.ibena.ir/" TargetMode="External"/><Relationship Id="rId524" Type="http://schemas.openxmlformats.org/officeDocument/2006/relationships/hyperlink" Target="http://pic.twitter.com/kxo1M9uroz" TargetMode="External"/><Relationship Id="rId731" Type="http://schemas.openxmlformats.org/officeDocument/2006/relationships/hyperlink" Target="https://twitter.com/Rouhani_ir/status/483931418603827200" TargetMode="External"/><Relationship Id="rId1154" Type="http://schemas.openxmlformats.org/officeDocument/2006/relationships/hyperlink" Target="https://pbs.twimg.com/media/DmKY4bcXcAYLPEB.jpg" TargetMode="External"/><Relationship Id="rId1361" Type="http://schemas.openxmlformats.org/officeDocument/2006/relationships/hyperlink" Target="https://pbs.twimg.com/media/DmGK0nrW4AIEmID.jpg" TargetMode="External"/><Relationship Id="rId2205" Type="http://schemas.openxmlformats.org/officeDocument/2006/relationships/hyperlink" Target="https://pbs.twimg.com/media/DlyTw1FX4AIItGx.jpg" TargetMode="External"/><Relationship Id="rId2412" Type="http://schemas.openxmlformats.org/officeDocument/2006/relationships/hyperlink" Target="https://twitter.com/yaghma_fashkham/status/1034777875617120257" TargetMode="External"/><Relationship Id="rId1014" Type="http://schemas.openxmlformats.org/officeDocument/2006/relationships/hyperlink" Target="http://miis.sf/" TargetMode="External"/><Relationship Id="rId1221" Type="http://schemas.openxmlformats.org/officeDocument/2006/relationships/hyperlink" Target="https://pbs.twimg.com/media/DmJZeJgX4AE_VAR.jpg" TargetMode="External"/><Relationship Id="rId3186" Type="http://schemas.openxmlformats.org/officeDocument/2006/relationships/hyperlink" Target="https://pbs.twimg.com/media/DlsusdKW4AEehYV.jpg" TargetMode="External"/><Relationship Id="rId3393" Type="http://schemas.openxmlformats.org/officeDocument/2006/relationships/hyperlink" Target="https://pbs.twimg.com/media/DlrxMYPX0AA_YHx.jpg" TargetMode="External"/><Relationship Id="rId3046" Type="http://schemas.openxmlformats.org/officeDocument/2006/relationships/hyperlink" Target="https://twitter.com/behzad_bh/status/1034512251334602752" TargetMode="External"/><Relationship Id="rId3253" Type="http://schemas.openxmlformats.org/officeDocument/2006/relationships/hyperlink" Target="https://pbs.twimg.com/media/DlsaIrKW4AIlpZu.jpg" TargetMode="External"/><Relationship Id="rId3460" Type="http://schemas.openxmlformats.org/officeDocument/2006/relationships/hyperlink" Target="https://pbs.twimg.com/media/DlriJPXV4AAhEjV.jpg" TargetMode="External"/><Relationship Id="rId174" Type="http://schemas.openxmlformats.org/officeDocument/2006/relationships/hyperlink" Target="https://pbs.twimg.com/media/DmUlVVqXsAAUABX.jpg" TargetMode="External"/><Relationship Id="rId381" Type="http://schemas.openxmlformats.org/officeDocument/2006/relationships/hyperlink" Target="https://pbs.twimg.com/media/DmTXOWNX0AAmUYR.jpg" TargetMode="External"/><Relationship Id="rId2062" Type="http://schemas.openxmlformats.org/officeDocument/2006/relationships/hyperlink" Target="https://twitter.com/toos_tahmasebi/status/1033701961038610433" TargetMode="External"/><Relationship Id="rId3113" Type="http://schemas.openxmlformats.org/officeDocument/2006/relationships/hyperlink" Target="http://instagram.com/reza.rahimii_" TargetMode="External"/><Relationship Id="rId241" Type="http://schemas.openxmlformats.org/officeDocument/2006/relationships/hyperlink" Target="https://pbs.twimg.com/media/DmURaI1XoAAjWUx.jpg" TargetMode="External"/><Relationship Id="rId3320" Type="http://schemas.openxmlformats.org/officeDocument/2006/relationships/hyperlink" Target="http://www.iranintl.com/" TargetMode="External"/><Relationship Id="rId2879" Type="http://schemas.openxmlformats.org/officeDocument/2006/relationships/hyperlink" Target="https://pbs.twimg.com/media/DlvUKs-XsAAG9qC.jpg" TargetMode="External"/><Relationship Id="rId101" Type="http://schemas.openxmlformats.org/officeDocument/2006/relationships/hyperlink" Target="https://pbs.twimg.com/media/DmU-8mDXcAAQN8n.jpg" TargetMode="External"/><Relationship Id="rId1688" Type="http://schemas.openxmlformats.org/officeDocument/2006/relationships/hyperlink" Target="https://pbs.twimg.com/media/DmAP7_lXsAA8KLk.jpg" TargetMode="External"/><Relationship Id="rId1895" Type="http://schemas.openxmlformats.org/officeDocument/2006/relationships/hyperlink" Target="https://pbs.twimg.com/media/Dl59hhdXgAIBABx.jpg" TargetMode="External"/><Relationship Id="rId2739" Type="http://schemas.openxmlformats.org/officeDocument/2006/relationships/hyperlink" Target="https://pbs.twimg.com/media/Dlv5myGXgAEbRkQ.jpg" TargetMode="External"/><Relationship Id="rId2946" Type="http://schemas.openxmlformats.org/officeDocument/2006/relationships/hyperlink" Target="https://twitter.com/hasanasadiz/status/1034532244235399168" TargetMode="External"/><Relationship Id="rId918" Type="http://schemas.openxmlformats.org/officeDocument/2006/relationships/hyperlink" Target="https://pbs.twimg.com/media/DmNbS3EXoAIqNXo.jpg" TargetMode="External"/><Relationship Id="rId1548" Type="http://schemas.openxmlformats.org/officeDocument/2006/relationships/hyperlink" Target="http://www.tasnimnews.com/" TargetMode="External"/><Relationship Id="rId1755" Type="http://schemas.openxmlformats.org/officeDocument/2006/relationships/hyperlink" Target="http://pic.twitter.com/RzSr1hMG2p" TargetMode="External"/><Relationship Id="rId1408" Type="http://schemas.openxmlformats.org/officeDocument/2006/relationships/hyperlink" Target="http://ble.im/Fars_Plus" TargetMode="External"/><Relationship Id="rId1962" Type="http://schemas.openxmlformats.org/officeDocument/2006/relationships/hyperlink" Target="https://aminsabeti.net/1392/06/why-elimination-of-the-internet-censorship-in-iran-is-a-joke/" TargetMode="External"/><Relationship Id="rId2806" Type="http://schemas.openxmlformats.org/officeDocument/2006/relationships/hyperlink" Target="https://pbs.twimg.com/media/DlvuD_MXgAADZkX.jpg" TargetMode="External"/><Relationship Id="rId47" Type="http://schemas.openxmlformats.org/officeDocument/2006/relationships/hyperlink" Target="https://pbs.twimg.com/media/DmVT1LCXsAA1-pr.jpg" TargetMode="External"/><Relationship Id="rId1615" Type="http://schemas.openxmlformats.org/officeDocument/2006/relationships/hyperlink" Target="http://cyberwarzone.com/" TargetMode="External"/><Relationship Id="rId1822" Type="http://schemas.openxmlformats.org/officeDocument/2006/relationships/hyperlink" Target="https://pbs.twimg.com/media/Dl9qc_BW4AEghU_.jpg" TargetMode="External"/><Relationship Id="rId2389" Type="http://schemas.openxmlformats.org/officeDocument/2006/relationships/hyperlink" Target="https://twitter.com/ali_akbari_ilya/status/1028967313733771264" TargetMode="External"/><Relationship Id="rId2596" Type="http://schemas.openxmlformats.org/officeDocument/2006/relationships/hyperlink" Target="https://pbs.twimg.com/media/DlwPWUeUYAA41Nj.jpg" TargetMode="External"/><Relationship Id="rId3647" Type="http://schemas.openxmlformats.org/officeDocument/2006/relationships/hyperlink" Target="https://pbs.twimg.com/media/DlqtyKgWsAAjWXc.jpg" TargetMode="External"/><Relationship Id="rId568" Type="http://schemas.openxmlformats.org/officeDocument/2006/relationships/hyperlink" Target="http://peyman.apps-1and1.net/" TargetMode="External"/><Relationship Id="rId775" Type="http://schemas.openxmlformats.org/officeDocument/2006/relationships/hyperlink" Target="https://pbs.twimg.com/media/DmPXOK7W4AAxOIn.jpg" TargetMode="External"/><Relationship Id="rId982" Type="http://schemas.openxmlformats.org/officeDocument/2006/relationships/hyperlink" Target="http://iranfreedom.org/fa/" TargetMode="External"/><Relationship Id="rId1198" Type="http://schemas.openxmlformats.org/officeDocument/2006/relationships/hyperlink" Target="https://pbs.twimg.com/media/DmJx2L6W0AASrTl.jpg" TargetMode="External"/><Relationship Id="rId2249" Type="http://schemas.openxmlformats.org/officeDocument/2006/relationships/hyperlink" Target="https://www.instagram.com/vakilulroaya" TargetMode="External"/><Relationship Id="rId2456" Type="http://schemas.openxmlformats.org/officeDocument/2006/relationships/hyperlink" Target="http://khabarfarsi.com/u/58781271?utm_source=khabarfarsi_channel&amp;utm_medium=twitter&amp;utm_campaign=hodhod" TargetMode="External"/><Relationship Id="rId2663" Type="http://schemas.openxmlformats.org/officeDocument/2006/relationships/hyperlink" Target="http://ilamiyan.ir/" TargetMode="External"/><Relationship Id="rId2870" Type="http://schemas.openxmlformats.org/officeDocument/2006/relationships/hyperlink" Target="https://sapp.ir/khamenei_ir" TargetMode="External"/><Relationship Id="rId3507" Type="http://schemas.openxmlformats.org/officeDocument/2006/relationships/hyperlink" Target="http://instagram.com/roohollah.zam" TargetMode="External"/><Relationship Id="rId428" Type="http://schemas.openxmlformats.org/officeDocument/2006/relationships/hyperlink" Target="https://pbs.twimg.com/media/DmR61RcUYAAS2_7.jpg" TargetMode="External"/><Relationship Id="rId635" Type="http://schemas.openxmlformats.org/officeDocument/2006/relationships/hyperlink" Target="https://www.sazinco.ir/" TargetMode="External"/><Relationship Id="rId842" Type="http://schemas.openxmlformats.org/officeDocument/2006/relationships/hyperlink" Target="https://t.me/amitanha" TargetMode="External"/><Relationship Id="rId1058" Type="http://schemas.openxmlformats.org/officeDocument/2006/relationships/hyperlink" Target="https://pbs.twimg.com/media/DmLKLSUXsAErYWg.jpg" TargetMode="External"/><Relationship Id="rId1265" Type="http://schemas.openxmlformats.org/officeDocument/2006/relationships/hyperlink" Target="https://twitter.com/asoupar/status/1035941755915526145" TargetMode="External"/><Relationship Id="rId1472" Type="http://schemas.openxmlformats.org/officeDocument/2006/relationships/hyperlink" Target="http://plus.google.com/+fatemehdanaei" TargetMode="External"/><Relationship Id="rId2109" Type="http://schemas.openxmlformats.org/officeDocument/2006/relationships/hyperlink" Target="http://www.irannc.org/" TargetMode="External"/><Relationship Id="rId2316" Type="http://schemas.openxmlformats.org/officeDocument/2006/relationships/hyperlink" Target="https://pbs.twimg.com/media/Dlyg6HjXgAQvgTv.jpg" TargetMode="External"/><Relationship Id="rId2523" Type="http://schemas.openxmlformats.org/officeDocument/2006/relationships/hyperlink" Target="https://t.me/IranAzadie/29489" TargetMode="External"/><Relationship Id="rId2730" Type="http://schemas.openxmlformats.org/officeDocument/2006/relationships/hyperlink" Target="https://pbs.twimg.com/media/Dlv677WU8AAeYC4.jpg" TargetMode="External"/><Relationship Id="rId702" Type="http://schemas.openxmlformats.org/officeDocument/2006/relationships/hyperlink" Target="https://twitter.com/P_Salahshouri/status/1036873560936079360" TargetMode="External"/><Relationship Id="rId1125" Type="http://schemas.openxmlformats.org/officeDocument/2006/relationships/hyperlink" Target="https://pbs.twimg.com/media/DmKkJCuXsAAC7xn.jpg" TargetMode="External"/><Relationship Id="rId1332" Type="http://schemas.openxmlformats.org/officeDocument/2006/relationships/hyperlink" Target="https://pbs.twimg.com/media/DmGidj3W0AATjsZ.jpg" TargetMode="External"/><Relationship Id="rId3297" Type="http://schemas.openxmlformats.org/officeDocument/2006/relationships/hyperlink" Target="http://instagram.com/mohammadqomi" TargetMode="External"/><Relationship Id="rId3157" Type="http://schemas.openxmlformats.org/officeDocument/2006/relationships/hyperlink" Target="https://pbs.twimg.com/media/Dls30d1WsAASEzv.jpg" TargetMode="External"/><Relationship Id="rId285" Type="http://schemas.openxmlformats.org/officeDocument/2006/relationships/hyperlink" Target="https://www.instagram.com/p/BnVfLOhFVDP/?utm_source=ig_twitter_share&amp;igshid=urwy58j2psn7" TargetMode="External"/><Relationship Id="rId3364" Type="http://schemas.openxmlformats.org/officeDocument/2006/relationships/hyperlink" Target="http://www.magham.blogfa.com/" TargetMode="External"/><Relationship Id="rId3571" Type="http://schemas.openxmlformats.org/officeDocument/2006/relationships/hyperlink" Target="http://khabarfoori.com/detail/553987" TargetMode="External"/><Relationship Id="rId492" Type="http://schemas.openxmlformats.org/officeDocument/2006/relationships/hyperlink" Target="https://pbs.twimg.com/media/DmRUehEXoAE8cw0.jpg" TargetMode="External"/><Relationship Id="rId2173" Type="http://schemas.openxmlformats.org/officeDocument/2006/relationships/hyperlink" Target="http://www.mohammadaghasi.ir/" TargetMode="External"/><Relationship Id="rId2380" Type="http://schemas.openxmlformats.org/officeDocument/2006/relationships/hyperlink" Target="https://pbs.twimg.com/media/Dlx3KlkWwAA3tVx.jpg" TargetMode="External"/><Relationship Id="rId3017" Type="http://schemas.openxmlformats.org/officeDocument/2006/relationships/hyperlink" Target="http://pic.twitter.com/1ed4xQrcDB" TargetMode="External"/><Relationship Id="rId3224" Type="http://schemas.openxmlformats.org/officeDocument/2006/relationships/hyperlink" Target="https://twitter.com/ArjNegar/status/1034455330355380224" TargetMode="External"/><Relationship Id="rId3431" Type="http://schemas.openxmlformats.org/officeDocument/2006/relationships/hyperlink" Target="https://pbs.twimg.com/media/DlrlCCxW4AAeEDx.jpg" TargetMode="External"/><Relationship Id="rId145" Type="http://schemas.openxmlformats.org/officeDocument/2006/relationships/hyperlink" Target="http://pic.twitter.com/xlCYVubMsm" TargetMode="External"/><Relationship Id="rId352" Type="http://schemas.openxmlformats.org/officeDocument/2006/relationships/hyperlink" Target="https://pbs.twimg.com/media/DmTryBkX4AA4Et5.jpg" TargetMode="External"/><Relationship Id="rId2033" Type="http://schemas.openxmlformats.org/officeDocument/2006/relationships/hyperlink" Target="http://www.iranntv.com/" TargetMode="External"/><Relationship Id="rId2240" Type="http://schemas.openxmlformats.org/officeDocument/2006/relationships/hyperlink" Target="https://www.facebook.com/pakeshadi/videos/870422796487538/" TargetMode="External"/><Relationship Id="rId212" Type="http://schemas.openxmlformats.org/officeDocument/2006/relationships/hyperlink" Target="https://twitter.com/DR_FRANKESHTEIN/status/1037229165974626304" TargetMode="External"/><Relationship Id="rId1799" Type="http://schemas.openxmlformats.org/officeDocument/2006/relationships/hyperlink" Target="http://tn.ai/1816838" TargetMode="External"/><Relationship Id="rId2100" Type="http://schemas.openxmlformats.org/officeDocument/2006/relationships/hyperlink" Target="https://www.alef.ir/news/3970608025.html" TargetMode="External"/><Relationship Id="rId1659" Type="http://schemas.openxmlformats.org/officeDocument/2006/relationships/hyperlink" Target="http://cyberwarzone.com/" TargetMode="External"/><Relationship Id="rId1866" Type="http://schemas.openxmlformats.org/officeDocument/2006/relationships/hyperlink" Target="https://pbs.twimg.com/media/Dl8d0ZtXsAMxokT.jpg" TargetMode="External"/><Relationship Id="rId2917" Type="http://schemas.openxmlformats.org/officeDocument/2006/relationships/hyperlink" Target="https://twitter.com/Entekhab_News/status/1034304448879845376" TargetMode="External"/><Relationship Id="rId3081" Type="http://schemas.openxmlformats.org/officeDocument/2006/relationships/hyperlink" Target="https://twitter.com/omidiaanhossein/status/1032635649747288064" TargetMode="External"/><Relationship Id="rId1519" Type="http://schemas.openxmlformats.org/officeDocument/2006/relationships/hyperlink" Target="https://pbs.twimg.com/media/DmEmgdKXgAETUb5.jpg" TargetMode="External"/><Relationship Id="rId1726" Type="http://schemas.openxmlformats.org/officeDocument/2006/relationships/hyperlink" Target="http://iccima.ir/" TargetMode="External"/><Relationship Id="rId1933" Type="http://schemas.openxmlformats.org/officeDocument/2006/relationships/hyperlink" Target="https://pbs.twimg.com/media/Dl7Nyx2XgAAE570.jpg" TargetMode="External"/><Relationship Id="rId18" Type="http://schemas.openxmlformats.org/officeDocument/2006/relationships/hyperlink" Target="http://smbhosseini.ir/" TargetMode="External"/><Relationship Id="rId679" Type="http://schemas.openxmlformats.org/officeDocument/2006/relationships/hyperlink" Target="https://pbs.twimg.com/media/DmPyv6iXoAAubYC.jpg" TargetMode="External"/><Relationship Id="rId886" Type="http://schemas.openxmlformats.org/officeDocument/2006/relationships/hyperlink" Target="http://www.ilna.ir/" TargetMode="External"/><Relationship Id="rId2567" Type="http://schemas.openxmlformats.org/officeDocument/2006/relationships/hyperlink" Target="https://www.aparat.com/v/k4guX" TargetMode="External"/><Relationship Id="rId2774" Type="http://schemas.openxmlformats.org/officeDocument/2006/relationships/hyperlink" Target="https://pbs.twimg.com/media/DlvyvdJXcAAhnwo.jpg" TargetMode="External"/><Relationship Id="rId3618" Type="http://schemas.openxmlformats.org/officeDocument/2006/relationships/hyperlink" Target="https://pbs.twimg.com/media/Dlq6rL8WsAALjOf.jpg" TargetMode="External"/><Relationship Id="rId2" Type="http://schemas.openxmlformats.org/officeDocument/2006/relationships/hyperlink" Target="https://pbs.twimg.com/media/DmVoeYlUwAArAvV.jpg" TargetMode="External"/><Relationship Id="rId539" Type="http://schemas.openxmlformats.org/officeDocument/2006/relationships/hyperlink" Target="http://t.me/NEWS365/84959" TargetMode="External"/><Relationship Id="rId746" Type="http://schemas.openxmlformats.org/officeDocument/2006/relationships/hyperlink" Target="http://pic.twitter.com/VXXMcI0WuQ" TargetMode="External"/><Relationship Id="rId1169" Type="http://schemas.openxmlformats.org/officeDocument/2006/relationships/hyperlink" Target="https://t.me/asreeghtesad/24385" TargetMode="External"/><Relationship Id="rId1376" Type="http://schemas.openxmlformats.org/officeDocument/2006/relationships/hyperlink" Target="https://pbs.twimg.com/media/DmF9t5EWwAAO-LX.jpg" TargetMode="External"/><Relationship Id="rId1583" Type="http://schemas.openxmlformats.org/officeDocument/2006/relationships/hyperlink" Target="https://pbs.twimg.com/media/DmCPS-IX0AUJDqc.jpg" TargetMode="External"/><Relationship Id="rId2427" Type="http://schemas.openxmlformats.org/officeDocument/2006/relationships/hyperlink" Target="https://pbs.twimg.com/media/DlxbUzyWsAA6Gbn.jpg" TargetMode="External"/><Relationship Id="rId2981" Type="http://schemas.openxmlformats.org/officeDocument/2006/relationships/hyperlink" Target="http://www.vatanemrooz.ir/" TargetMode="External"/><Relationship Id="rId953" Type="http://schemas.openxmlformats.org/officeDocument/2006/relationships/hyperlink" Target="http://te.me/CyberEmotion" TargetMode="External"/><Relationship Id="rId1029" Type="http://schemas.openxmlformats.org/officeDocument/2006/relationships/hyperlink" Target="http://entekhab.ir/" TargetMode="External"/><Relationship Id="rId1236" Type="http://schemas.openxmlformats.org/officeDocument/2006/relationships/hyperlink" Target="https://pbs.twimg.com/media/DmIqfjiUwAAdJ5L.jpg" TargetMode="External"/><Relationship Id="rId1790" Type="http://schemas.openxmlformats.org/officeDocument/2006/relationships/hyperlink" Target="http://www.iranenergy.news/" TargetMode="External"/><Relationship Id="rId2634" Type="http://schemas.openxmlformats.org/officeDocument/2006/relationships/hyperlink" Target="https://pbs.twimg.com/media/DlwSCtUW0AE5UGk.jpg" TargetMode="External"/><Relationship Id="rId2841" Type="http://schemas.openxmlformats.org/officeDocument/2006/relationships/hyperlink" Target="https://pbs.twimg.com/media/DlvnDU9XgAEkM2G.jpg" TargetMode="External"/><Relationship Id="rId82" Type="http://schemas.openxmlformats.org/officeDocument/2006/relationships/hyperlink" Target="https://pbs.twimg.com/media/DmVHRrrXoAAUm96.jpg" TargetMode="External"/><Relationship Id="rId606" Type="http://schemas.openxmlformats.org/officeDocument/2006/relationships/hyperlink" Target="https://pbs.twimg.com/media/DmQY3UEW4AgVyRy.jpg" TargetMode="External"/><Relationship Id="rId813" Type="http://schemas.openxmlformats.org/officeDocument/2006/relationships/hyperlink" Target="https://pbs.twimg.com/media/DmPI9cqV4AAtpSG.jpg" TargetMode="External"/><Relationship Id="rId1443" Type="http://schemas.openxmlformats.org/officeDocument/2006/relationships/hyperlink" Target="http://t.me/hamidrezahabibi_313" TargetMode="External"/><Relationship Id="rId1650" Type="http://schemas.openxmlformats.org/officeDocument/2006/relationships/hyperlink" Target="https://www.mehrnews.com/photo/4387223" TargetMode="External"/><Relationship Id="rId2701" Type="http://schemas.openxmlformats.org/officeDocument/2006/relationships/hyperlink" Target="http://eranico.com/" TargetMode="External"/><Relationship Id="rId1303" Type="http://schemas.openxmlformats.org/officeDocument/2006/relationships/hyperlink" Target="https://twitter.com/rahimporazghadi/status/1036310167934197761" TargetMode="External"/><Relationship Id="rId1510" Type="http://schemas.openxmlformats.org/officeDocument/2006/relationships/hyperlink" Target="http://www.almahdyoon.co/" TargetMode="External"/><Relationship Id="rId3268" Type="http://schemas.openxmlformats.org/officeDocument/2006/relationships/hyperlink" Target="https://twitter.com/hesamodin1/status/1034367573700300800" TargetMode="External"/><Relationship Id="rId3475" Type="http://schemas.openxmlformats.org/officeDocument/2006/relationships/hyperlink" Target="http://tlg.me/alireza_pir" TargetMode="External"/><Relationship Id="rId189" Type="http://schemas.openxmlformats.org/officeDocument/2006/relationships/hyperlink" Target="http://rookhsat.blogfa.com/" TargetMode="External"/><Relationship Id="rId396" Type="http://schemas.openxmlformats.org/officeDocument/2006/relationships/hyperlink" Target="http://t.me/knaf_shoresh" TargetMode="External"/><Relationship Id="rId2077" Type="http://schemas.openxmlformats.org/officeDocument/2006/relationships/hyperlink" Target="https://pbs.twimg.com/media/Dl3TM0LV4AAJEVk.jpg" TargetMode="External"/><Relationship Id="rId2284" Type="http://schemas.openxmlformats.org/officeDocument/2006/relationships/hyperlink" Target="https://pbs.twimg.com/media/DlyTw1FX4AIItGx.jpg" TargetMode="External"/><Relationship Id="rId2491" Type="http://schemas.openxmlformats.org/officeDocument/2006/relationships/hyperlink" Target="https://twitter.com/beeman93397010/status/1034677298946031616" TargetMode="External"/><Relationship Id="rId3128" Type="http://schemas.openxmlformats.org/officeDocument/2006/relationships/hyperlink" Target="https://pbs.twimg.com/media/DltEZChXoAUFz9U.jpg" TargetMode="External"/><Relationship Id="rId3335" Type="http://schemas.openxmlformats.org/officeDocument/2006/relationships/hyperlink" Target="http://www.shokrinia.ir/" TargetMode="External"/><Relationship Id="rId3542" Type="http://schemas.openxmlformats.org/officeDocument/2006/relationships/hyperlink" Target="http://www.tasnimnews.com/" TargetMode="External"/><Relationship Id="rId256" Type="http://schemas.openxmlformats.org/officeDocument/2006/relationships/hyperlink" Target="http://fatemeh.af/" TargetMode="External"/><Relationship Id="rId463" Type="http://schemas.openxmlformats.org/officeDocument/2006/relationships/hyperlink" Target="http://linkedin.com/in/pantea-mohebi-zanganeh-69a02731" TargetMode="External"/><Relationship Id="rId670" Type="http://schemas.openxmlformats.org/officeDocument/2006/relationships/hyperlink" Target="http://www.icana.ir/Fa/News/401819" TargetMode="External"/><Relationship Id="rId1093" Type="http://schemas.openxmlformats.org/officeDocument/2006/relationships/hyperlink" Target="http://pic.twitter.com/52VlnCg3lz" TargetMode="External"/><Relationship Id="rId2144" Type="http://schemas.openxmlformats.org/officeDocument/2006/relationships/hyperlink" Target="https://pbs.twimg.com/media/Dl2HqJYX0AAsiBn.jpg" TargetMode="External"/><Relationship Id="rId2351" Type="http://schemas.openxmlformats.org/officeDocument/2006/relationships/hyperlink" Target="https://pbs.twimg.com/media/DlyQlraWsAEclBS.jpg" TargetMode="External"/><Relationship Id="rId3402" Type="http://schemas.openxmlformats.org/officeDocument/2006/relationships/hyperlink" Target="http://www.radiofarda.com/" TargetMode="External"/><Relationship Id="rId116" Type="http://schemas.openxmlformats.org/officeDocument/2006/relationships/hyperlink" Target="https://www.facebook.com/profile.php?id=100007275618254" TargetMode="External"/><Relationship Id="rId323" Type="http://schemas.openxmlformats.org/officeDocument/2006/relationships/hyperlink" Target="https://www.instagram.com/p/BnVZJ0FlPSb/?utm_source=ig_twitter_share&amp;igshid=1halw34c0c7jq" TargetMode="External"/><Relationship Id="rId530" Type="http://schemas.openxmlformats.org/officeDocument/2006/relationships/hyperlink" Target="https://t.me/shoarnevis419" TargetMode="External"/><Relationship Id="rId1160" Type="http://schemas.openxmlformats.org/officeDocument/2006/relationships/hyperlink" Target="http://t.me/knaf_shoresh" TargetMode="External"/><Relationship Id="rId2004" Type="http://schemas.openxmlformats.org/officeDocument/2006/relationships/hyperlink" Target="http://azadie.ir/" TargetMode="External"/><Relationship Id="rId2211" Type="http://schemas.openxmlformats.org/officeDocument/2006/relationships/hyperlink" Target="http://www.yjc.ir/" TargetMode="External"/><Relationship Id="rId1020" Type="http://schemas.openxmlformats.org/officeDocument/2006/relationships/hyperlink" Target="http://pic.twitter.com/u3wbdGNZcc" TargetMode="External"/><Relationship Id="rId1977" Type="http://schemas.openxmlformats.org/officeDocument/2006/relationships/hyperlink" Target="https://pbs.twimg.com/media/Dl6VLTYWwAAX0tB.jpg" TargetMode="External"/><Relationship Id="rId1837" Type="http://schemas.openxmlformats.org/officeDocument/2006/relationships/hyperlink" Target="https://twitter.com/safir_313/status/1035491853636956161" TargetMode="External"/><Relationship Id="rId3192" Type="http://schemas.openxmlformats.org/officeDocument/2006/relationships/hyperlink" Target="https://pbs.twimg.com/media/DlspT-JX4AArpbA.jpg" TargetMode="External"/><Relationship Id="rId3052" Type="http://schemas.openxmlformats.org/officeDocument/2006/relationships/hyperlink" Target="https://www.hra-news.org/articles/a-361/?tg_rhash=22a41dd9689763" TargetMode="External"/><Relationship Id="rId180" Type="http://schemas.openxmlformats.org/officeDocument/2006/relationships/hyperlink" Target="http://pic.twitter.com/GWp0Tlqc3G" TargetMode="External"/><Relationship Id="rId1904" Type="http://schemas.openxmlformats.org/officeDocument/2006/relationships/hyperlink" Target="http://www.instagram.com/sabaghi_as" TargetMode="External"/><Relationship Id="rId997" Type="http://schemas.openxmlformats.org/officeDocument/2006/relationships/hyperlink" Target="http://jahaneghtesad.com/" TargetMode="External"/><Relationship Id="rId2678" Type="http://schemas.openxmlformats.org/officeDocument/2006/relationships/hyperlink" Target="http://mirzamohammadi.blogfa.com/" TargetMode="External"/><Relationship Id="rId2885" Type="http://schemas.openxmlformats.org/officeDocument/2006/relationships/hyperlink" Target="http://facebook.com/ariadoustt" TargetMode="External"/><Relationship Id="rId857" Type="http://schemas.openxmlformats.org/officeDocument/2006/relationships/hyperlink" Target="http://farahan.blogsky.com/" TargetMode="External"/><Relationship Id="rId1487" Type="http://schemas.openxmlformats.org/officeDocument/2006/relationships/hyperlink" Target="http://pic.twitter.com/PdRWF7fZHx" TargetMode="External"/><Relationship Id="rId1694" Type="http://schemas.openxmlformats.org/officeDocument/2006/relationships/hyperlink" Target="http://www.kayhan.london/" TargetMode="External"/><Relationship Id="rId2538" Type="http://schemas.openxmlformats.org/officeDocument/2006/relationships/hyperlink" Target="https://pbs.twimg.com/media/DlwtC8WXsAARvYb.jpg" TargetMode="External"/><Relationship Id="rId2745" Type="http://schemas.openxmlformats.org/officeDocument/2006/relationships/hyperlink" Target="https://pbs.twimg.com/media/Dlv4lNAW4AAYTVe.jpg" TargetMode="External"/><Relationship Id="rId2952" Type="http://schemas.openxmlformats.org/officeDocument/2006/relationships/hyperlink" Target="https://pbs.twimg.com/media/Dlt5deIWsAAmhGi.jpg" TargetMode="External"/><Relationship Id="rId717" Type="http://schemas.openxmlformats.org/officeDocument/2006/relationships/hyperlink" Target="http://pic.twitter.com/J57AkbdgFw" TargetMode="External"/><Relationship Id="rId924" Type="http://schemas.openxmlformats.org/officeDocument/2006/relationships/hyperlink" Target="https://pbs.twimg.com/media/DmMprG3XoAIjJk0.jpg" TargetMode="External"/><Relationship Id="rId1347" Type="http://schemas.openxmlformats.org/officeDocument/2006/relationships/hyperlink" Target="https://www.ilna.ir/fa/tiny/news-663948" TargetMode="External"/><Relationship Id="rId1554" Type="http://schemas.openxmlformats.org/officeDocument/2006/relationships/hyperlink" Target="http://www.khabaronline.ir/" TargetMode="External"/><Relationship Id="rId1761" Type="http://schemas.openxmlformats.org/officeDocument/2006/relationships/hyperlink" Target="http://www.tasnimnews.com/" TargetMode="External"/><Relationship Id="rId2605" Type="http://schemas.openxmlformats.org/officeDocument/2006/relationships/hyperlink" Target="http://www.ilna.ir/" TargetMode="External"/><Relationship Id="rId2812" Type="http://schemas.openxmlformats.org/officeDocument/2006/relationships/hyperlink" Target="https://pbs.twimg.com/media/DlvtjMfX4AAWSpv.jpg" TargetMode="External"/><Relationship Id="rId53" Type="http://schemas.openxmlformats.org/officeDocument/2006/relationships/hyperlink" Target="https://www.instagram.com/r.u.islamic_com/" TargetMode="External"/><Relationship Id="rId1207" Type="http://schemas.openxmlformats.org/officeDocument/2006/relationships/hyperlink" Target="https://pbs.twimg.com/media/DmJlo5mUwAYsWY4.jpg" TargetMode="External"/><Relationship Id="rId1414" Type="http://schemas.openxmlformats.org/officeDocument/2006/relationships/hyperlink" Target="https://kokchapress.com/%d8%ac%d8%b0%d8%a8-%d8%b9%d8%a7%d9%84%d9%85%d8%a7%d9%86-%d8%af%db%8c%d9%86-%d8%a8%d8%b1%d8%a7%db%8c-%d8%aa%d8%af%d8%b1%db%8c%d8%b3-%d8%af%d8%b1-%d9%85%da%a9%d8%aa%d8%a8%e2%80%8c%d9%87%d8%a7/" TargetMode="External"/><Relationship Id="rId1621" Type="http://schemas.openxmlformats.org/officeDocument/2006/relationships/hyperlink" Target="http://cyberwarzone.com/" TargetMode="External"/><Relationship Id="rId3379" Type="http://schemas.openxmlformats.org/officeDocument/2006/relationships/hyperlink" Target="https://pbs.twimg.com/media/DlrzT06WwAECf0q.jpg" TargetMode="External"/><Relationship Id="rId3586" Type="http://schemas.openxmlformats.org/officeDocument/2006/relationships/hyperlink" Target="https://pbs.twimg.com/media/Dlq72dIWsAEUv4j.jpg" TargetMode="External"/><Relationship Id="rId2188" Type="http://schemas.openxmlformats.org/officeDocument/2006/relationships/hyperlink" Target="https://pbs.twimg.com/media/Dl1KHBOWwAEF6g9.jpg" TargetMode="External"/><Relationship Id="rId2395" Type="http://schemas.openxmlformats.org/officeDocument/2006/relationships/hyperlink" Target="http://instagram.com/shoma.rasane" TargetMode="External"/><Relationship Id="rId3239" Type="http://schemas.openxmlformats.org/officeDocument/2006/relationships/hyperlink" Target="https://pbs.twimg.com/media/DlscPADXsAEPNzT.jpg" TargetMode="External"/><Relationship Id="rId3446" Type="http://schemas.openxmlformats.org/officeDocument/2006/relationships/hyperlink" Target="https://pbs.twimg.com/media/Dlrjtw4X4AEkvBm.jpg" TargetMode="External"/><Relationship Id="rId367" Type="http://schemas.openxmlformats.org/officeDocument/2006/relationships/hyperlink" Target="http://www.ilna.ir/" TargetMode="External"/><Relationship Id="rId574" Type="http://schemas.openxmlformats.org/officeDocument/2006/relationships/hyperlink" Target="https://twitter.com/FarsNews_Agency/status/1036895904161247232" TargetMode="External"/><Relationship Id="rId2048" Type="http://schemas.openxmlformats.org/officeDocument/2006/relationships/hyperlink" Target="https://pbs.twimg.com/media/Dl3u0KoW4AYy3Js.jpg" TargetMode="External"/><Relationship Id="rId2255" Type="http://schemas.openxmlformats.org/officeDocument/2006/relationships/hyperlink" Target="https://www.instagram.com/vakilulroaya" TargetMode="External"/><Relationship Id="rId227" Type="http://schemas.openxmlformats.org/officeDocument/2006/relationships/hyperlink" Target="http://fb.com/Freedom.Messenger" TargetMode="External"/><Relationship Id="rId781" Type="http://schemas.openxmlformats.org/officeDocument/2006/relationships/hyperlink" Target="https://bit.ly/2CghwML" TargetMode="External"/><Relationship Id="rId2462" Type="http://schemas.openxmlformats.org/officeDocument/2006/relationships/hyperlink" Target="https://twitter.com/FarsNews_Agency/status/1034691385599946752" TargetMode="External"/><Relationship Id="rId3306" Type="http://schemas.openxmlformats.org/officeDocument/2006/relationships/hyperlink" Target="http://sogol.pn/" TargetMode="External"/><Relationship Id="rId3513" Type="http://schemas.openxmlformats.org/officeDocument/2006/relationships/hyperlink" Target="https://pbs.twimg.com/media/DlrKu-fXsAAM1IE.jpg" TargetMode="External"/><Relationship Id="rId434" Type="http://schemas.openxmlformats.org/officeDocument/2006/relationships/hyperlink" Target="http://pic.twitter.com/AlPQKB7eFH" TargetMode="External"/><Relationship Id="rId641" Type="http://schemas.openxmlformats.org/officeDocument/2006/relationships/hyperlink" Target="http://www.icinema.ir/" TargetMode="External"/><Relationship Id="rId1064" Type="http://schemas.openxmlformats.org/officeDocument/2006/relationships/hyperlink" Target="http://pana.ir/" TargetMode="External"/><Relationship Id="rId1271" Type="http://schemas.openxmlformats.org/officeDocument/2006/relationships/hyperlink" Target="http://sayedalireza_behbahani.ir/" TargetMode="External"/><Relationship Id="rId2115" Type="http://schemas.openxmlformats.org/officeDocument/2006/relationships/hyperlink" Target="https://pbs.twimg.com/media/Dl2lnwyWwAE--ht.jpg" TargetMode="External"/><Relationship Id="rId2322" Type="http://schemas.openxmlformats.org/officeDocument/2006/relationships/hyperlink" Target="https://pbs.twimg.com/media/DlyZ2qMW0AEDVlm.jpg" TargetMode="External"/><Relationship Id="rId501" Type="http://schemas.openxmlformats.org/officeDocument/2006/relationships/hyperlink" Target="https://pbs.twimg.com/media/DmRRusbWsAE73mm.jpg" TargetMode="External"/><Relationship Id="rId1131" Type="http://schemas.openxmlformats.org/officeDocument/2006/relationships/hyperlink" Target="https://pbs.twimg.com/media/DmKh2BmW0AErvc1.jpg" TargetMode="External"/><Relationship Id="rId3096" Type="http://schemas.openxmlformats.org/officeDocument/2006/relationships/hyperlink" Target="http://www.khabarfoori.com/" TargetMode="External"/><Relationship Id="rId1948" Type="http://schemas.openxmlformats.org/officeDocument/2006/relationships/hyperlink" Target="http://instagram.com/omidsalek/" TargetMode="External"/><Relationship Id="rId3163" Type="http://schemas.openxmlformats.org/officeDocument/2006/relationships/hyperlink" Target="http://cyberwarzone.com/" TargetMode="External"/><Relationship Id="rId3370" Type="http://schemas.openxmlformats.org/officeDocument/2006/relationships/hyperlink" Target="http://www.irvds.net/" TargetMode="External"/><Relationship Id="rId291" Type="http://schemas.openxmlformats.org/officeDocument/2006/relationships/hyperlink" Target="https://pbs.twimg.com/media/DmT_j9qXcAAaiy9.jpg" TargetMode="External"/><Relationship Id="rId1808" Type="http://schemas.openxmlformats.org/officeDocument/2006/relationships/hyperlink" Target="https://twitter.com/saramosavi8/status/1035731186604113920" TargetMode="External"/><Relationship Id="rId3023" Type="http://schemas.openxmlformats.org/officeDocument/2006/relationships/hyperlink" Target="https://pbs.twimg.com/media/DlteEW5X0AMUtwQ.jpg" TargetMode="External"/><Relationship Id="rId151" Type="http://schemas.openxmlformats.org/officeDocument/2006/relationships/hyperlink" Target="https://pbs.twimg.com/media/DmUril3X4AEDz4X.jpg" TargetMode="External"/><Relationship Id="rId3230" Type="http://schemas.openxmlformats.org/officeDocument/2006/relationships/hyperlink" Target="https://pbs.twimg.com/media/Dlsg7-nWsAEG7Zr.jpg" TargetMode="External"/><Relationship Id="rId2789" Type="http://schemas.openxmlformats.org/officeDocument/2006/relationships/hyperlink" Target="http://eliyaomid.ir/" TargetMode="External"/><Relationship Id="rId2996" Type="http://schemas.openxmlformats.org/officeDocument/2006/relationships/hyperlink" Target="http://t.me/sarafi_iranian_isparta" TargetMode="External"/><Relationship Id="rId968" Type="http://schemas.openxmlformats.org/officeDocument/2006/relationships/hyperlink" Target="http://www.telegram.me/tanzistansialism" TargetMode="External"/><Relationship Id="rId1598" Type="http://schemas.openxmlformats.org/officeDocument/2006/relationships/hyperlink" Target="http://pic.twitter.com/dssxBF3fY7" TargetMode="External"/><Relationship Id="rId2649" Type="http://schemas.openxmlformats.org/officeDocument/2006/relationships/hyperlink" Target="http://ayandeh.blog.ir/" TargetMode="External"/><Relationship Id="rId2856" Type="http://schemas.openxmlformats.org/officeDocument/2006/relationships/hyperlink" Target="https://pbs.twimg.com/media/DlvhzIGW4AALGtJ.jpg" TargetMode="External"/><Relationship Id="rId97" Type="http://schemas.openxmlformats.org/officeDocument/2006/relationships/hyperlink" Target="http://www.fanousnews.com/" TargetMode="External"/><Relationship Id="rId828" Type="http://schemas.openxmlformats.org/officeDocument/2006/relationships/hyperlink" Target="https://twitter.com/SaeedHatami85/status/1036684384034799617" TargetMode="External"/><Relationship Id="rId1458" Type="http://schemas.openxmlformats.org/officeDocument/2006/relationships/hyperlink" Target="https://www.t.me/ramin_fakhari" TargetMode="External"/><Relationship Id="rId1665" Type="http://schemas.openxmlformats.org/officeDocument/2006/relationships/hyperlink" Target="http://cyberwarzone.com/" TargetMode="External"/><Relationship Id="rId1872" Type="http://schemas.openxmlformats.org/officeDocument/2006/relationships/hyperlink" Target="https://pbs.twimg.com/media/Dl7sdHDW0AAAlI3.jpg" TargetMode="External"/><Relationship Id="rId2509" Type="http://schemas.openxmlformats.org/officeDocument/2006/relationships/hyperlink" Target="https://pbs.twimg.com/media/Dlw5_2wX0AIFDsS.jpg" TargetMode="External"/><Relationship Id="rId2716" Type="http://schemas.openxmlformats.org/officeDocument/2006/relationships/hyperlink" Target="https://pbs.twimg.com/media/DlrpN_sXcAA9xwx.jpg" TargetMode="External"/><Relationship Id="rId1318" Type="http://schemas.openxmlformats.org/officeDocument/2006/relationships/hyperlink" Target="http://akharinkhabar.ir/politics/4559620" TargetMode="External"/><Relationship Id="rId1525" Type="http://schemas.openxmlformats.org/officeDocument/2006/relationships/hyperlink" Target="http://tn.ai/1818095" TargetMode="External"/><Relationship Id="rId2923" Type="http://schemas.openxmlformats.org/officeDocument/2006/relationships/hyperlink" Target="http://cyberwarzone.com/" TargetMode="External"/><Relationship Id="rId1732" Type="http://schemas.openxmlformats.org/officeDocument/2006/relationships/hyperlink" Target="http://www.tasnimnews.com/" TargetMode="External"/><Relationship Id="rId24" Type="http://schemas.openxmlformats.org/officeDocument/2006/relationships/hyperlink" Target="https://pbs.twimg.com/media/DmVdq7DW4AE4yKs.jpg" TargetMode="External"/><Relationship Id="rId2299" Type="http://schemas.openxmlformats.org/officeDocument/2006/relationships/hyperlink" Target="https://mshaghad.wordpress.com/" TargetMode="External"/><Relationship Id="rId3557" Type="http://schemas.openxmlformats.org/officeDocument/2006/relationships/hyperlink" Target="http://www.ravanpezeshk51.blogsky.com/" TargetMode="External"/><Relationship Id="rId478" Type="http://schemas.openxmlformats.org/officeDocument/2006/relationships/hyperlink" Target="https://pbs.twimg.com/media/DmRhT9iW4AAkupX.jpg" TargetMode="External"/><Relationship Id="rId685" Type="http://schemas.openxmlformats.org/officeDocument/2006/relationships/hyperlink" Target="https://pbs.twimg.com/media/DmP-B9UXsAE8U2I.jpg" TargetMode="External"/><Relationship Id="rId892" Type="http://schemas.openxmlformats.org/officeDocument/2006/relationships/hyperlink" Target="http://www.payamema.ir/" TargetMode="External"/><Relationship Id="rId2159" Type="http://schemas.openxmlformats.org/officeDocument/2006/relationships/hyperlink" Target="https://pbs.twimg.com/media/Dl1zLR-XoAIwfln.jpg" TargetMode="External"/><Relationship Id="rId2366" Type="http://schemas.openxmlformats.org/officeDocument/2006/relationships/hyperlink" Target="https://pbs.twimg.com/media/DlyJGgeWsAAEk3a.jpg" TargetMode="External"/><Relationship Id="rId2573" Type="http://schemas.openxmlformats.org/officeDocument/2006/relationships/hyperlink" Target="https://pbs.twimg.com/media/DlwdzBWX4AAXYCT.jpg" TargetMode="External"/><Relationship Id="rId2780" Type="http://schemas.openxmlformats.org/officeDocument/2006/relationships/hyperlink" Target="https://www.facebook.com/iraneazadi" TargetMode="External"/><Relationship Id="rId3417" Type="http://schemas.openxmlformats.org/officeDocument/2006/relationships/hyperlink" Target="https://pbs.twimg.com/media/Dlruq2-W0AARNWG.jpg" TargetMode="External"/><Relationship Id="rId3624" Type="http://schemas.openxmlformats.org/officeDocument/2006/relationships/hyperlink" Target="https://twitter.com/alaneyre1/status/948202174097625091" TargetMode="External"/><Relationship Id="rId338" Type="http://schemas.openxmlformats.org/officeDocument/2006/relationships/hyperlink" Target="http://t.me/@pourhashemi_ali" TargetMode="External"/><Relationship Id="rId545" Type="http://schemas.openxmlformats.org/officeDocument/2006/relationships/hyperlink" Target="https://t.me/eranico_com/35790" TargetMode="External"/><Relationship Id="rId752" Type="http://schemas.openxmlformats.org/officeDocument/2006/relationships/hyperlink" Target="https://www.jamaran.ir/%D8%A8%D8%AE%D8%B4-%D9%BE%D8%B1%D9%88%D9%81%D8%A7%DB%8C%D9%84-182/1004925-%D9%86%D9%87%D8%A7%D8%AF%D9%87%D8%A7%DB%8C-%D9%86%D8%B8%D8%A7%D9%85%DB%8C-%D8%A8%D9%87-%D9%BE%D8%A7%D8%AF%DA%AF%D8%A7%D9%86-%D9%87%D8%A7-%D8%A8%D8%B1%DA%AF%D8%B1%D8%AF%D9%86%D8%AF-%D8%A2%D9%82%D8%A7%DB%8C-%D8%B1%DB%8C%DB%8C%D8%B3-%D8%AC%D9%85%D9%87%D9%88%D8%B1-%D8%A8%D8%A7-%D8%A7%D8%A8%D8%B1-%D8%A8%D8%AD%D8%B1%D8%A7%D9%86-%D9%87%D8%A7-%D8%AF%D8%B1%DA%AF%DB%8C%D8%B1%DB%8C%D9%85-%D9%87%D9%85%D9%87-%D9%87%D9%85-%D9%85%DB%8C-%D8%AF%D8%A7%D9%86%D9%86%D8%AF-%D9%81%DB%8C%D9%84%D9%85" TargetMode="External"/><Relationship Id="rId1175" Type="http://schemas.openxmlformats.org/officeDocument/2006/relationships/hyperlink" Target="https://pbs.twimg.com/media/DmKF0_2XcAE3ouo.jpg" TargetMode="External"/><Relationship Id="rId1382" Type="http://schemas.openxmlformats.org/officeDocument/2006/relationships/hyperlink" Target="https://twitter.com/JeanValjean65/status/1036147335770849280" TargetMode="External"/><Relationship Id="rId2019" Type="http://schemas.openxmlformats.org/officeDocument/2006/relationships/hyperlink" Target="https://pbs.twimg.com/media/Dl4QYBfX4AEK5xF.jpg" TargetMode="External"/><Relationship Id="rId2226" Type="http://schemas.openxmlformats.org/officeDocument/2006/relationships/hyperlink" Target="http://instagram.com/ehsanrastgar" TargetMode="External"/><Relationship Id="rId2433" Type="http://schemas.openxmlformats.org/officeDocument/2006/relationships/hyperlink" Target="https://pbs.twimg.com/media/DlxWgBjW0AArIKt.jpg" TargetMode="External"/><Relationship Id="rId2640" Type="http://schemas.openxmlformats.org/officeDocument/2006/relationships/hyperlink" Target="https://twitter.com/siamakfarid/status/1034716074506379265" TargetMode="External"/><Relationship Id="rId405" Type="http://schemas.openxmlformats.org/officeDocument/2006/relationships/hyperlink" Target="http://yon.ir/cuVEa" TargetMode="External"/><Relationship Id="rId612" Type="http://schemas.openxmlformats.org/officeDocument/2006/relationships/hyperlink" Target="http://instagram.com/hasan_alinezhaad" TargetMode="External"/><Relationship Id="rId1035" Type="http://schemas.openxmlformats.org/officeDocument/2006/relationships/hyperlink" Target="https://goo.gl/7F2aN6" TargetMode="External"/><Relationship Id="rId1242" Type="http://schemas.openxmlformats.org/officeDocument/2006/relationships/hyperlink" Target="https://pbs.twimg.com/media/DmHzIpEW0AY3xH3.jpg" TargetMode="External"/><Relationship Id="rId2500" Type="http://schemas.openxmlformats.org/officeDocument/2006/relationships/hyperlink" Target="http://farsnews.com/politics/defense" TargetMode="External"/><Relationship Id="rId1102" Type="http://schemas.openxmlformats.org/officeDocument/2006/relationships/hyperlink" Target="https://pbs.twimg.com/media/DmKz4iGVAAIVgKE.jpg" TargetMode="External"/><Relationship Id="rId3067" Type="http://schemas.openxmlformats.org/officeDocument/2006/relationships/hyperlink" Target="https://pbs.twimg.com/media/DltRjVeXgAEwu3G.jpg" TargetMode="External"/><Relationship Id="rId3274" Type="http://schemas.openxmlformats.org/officeDocument/2006/relationships/hyperlink" Target="https://pbs.twimg.com/media/DlsPZnHVAAE3m1s.jpg" TargetMode="External"/><Relationship Id="rId195" Type="http://schemas.openxmlformats.org/officeDocument/2006/relationships/hyperlink" Target="http://mmoeeni14.blogspot.com/" TargetMode="External"/><Relationship Id="rId1919" Type="http://schemas.openxmlformats.org/officeDocument/2006/relationships/hyperlink" Target="http://etemaadonline.ir/content/227477" TargetMode="External"/><Relationship Id="rId3481" Type="http://schemas.openxmlformats.org/officeDocument/2006/relationships/hyperlink" Target="https://t.me/AliNasriTelegram" TargetMode="External"/><Relationship Id="rId2083" Type="http://schemas.openxmlformats.org/officeDocument/2006/relationships/hyperlink" Target="http://pic.twitter.com/UbjFrupCBt" TargetMode="External"/><Relationship Id="rId2290" Type="http://schemas.openxmlformats.org/officeDocument/2006/relationships/hyperlink" Target="https://twitter.com/bbcpersian/status/1034442393813045253" TargetMode="External"/><Relationship Id="rId3134" Type="http://schemas.openxmlformats.org/officeDocument/2006/relationships/hyperlink" Target="https://twitter.com/yjcagency/status/1034479368503021575" TargetMode="External"/><Relationship Id="rId3341" Type="http://schemas.openxmlformats.org/officeDocument/2006/relationships/hyperlink" Target="https://pbs.twimg.com/media/DlsAJjRXcAAYAxA.jpg" TargetMode="External"/><Relationship Id="rId262" Type="http://schemas.openxmlformats.org/officeDocument/2006/relationships/hyperlink" Target="https://pbs.twimg.com/media/DmT7pF7XsAE7zkO.jpg" TargetMode="External"/><Relationship Id="rId2150" Type="http://schemas.openxmlformats.org/officeDocument/2006/relationships/hyperlink" Target="http://www.facebook.com/Siasat.Zadegan?ref=tn_tinyman" TargetMode="External"/><Relationship Id="rId3201" Type="http://schemas.openxmlformats.org/officeDocument/2006/relationships/hyperlink" Target="https://www.manoto.news/" TargetMode="External"/><Relationship Id="rId122" Type="http://schemas.openxmlformats.org/officeDocument/2006/relationships/hyperlink" Target="http://pic.twitter.com/rab8VUg8ru" TargetMode="External"/><Relationship Id="rId2010" Type="http://schemas.openxmlformats.org/officeDocument/2006/relationships/hyperlink" Target="https://iranwire.com/fa/features/27447" TargetMode="External"/><Relationship Id="rId1569" Type="http://schemas.openxmlformats.org/officeDocument/2006/relationships/hyperlink" Target="http://asrema.blog.ir/" TargetMode="External"/><Relationship Id="rId2967" Type="http://schemas.openxmlformats.org/officeDocument/2006/relationships/hyperlink" Target="https://pbs.twimg.com/media/Dlty3BWXoAAc2R9.jpg" TargetMode="External"/><Relationship Id="rId939" Type="http://schemas.openxmlformats.org/officeDocument/2006/relationships/hyperlink" Target="https://pbs.twimg.com/media/DmMbAIdXcAAY4W0.jpg" TargetMode="External"/><Relationship Id="rId1776" Type="http://schemas.openxmlformats.org/officeDocument/2006/relationships/hyperlink" Target="https://t.me/asreeghtesad/24289" TargetMode="External"/><Relationship Id="rId1983" Type="http://schemas.openxmlformats.org/officeDocument/2006/relationships/hyperlink" Target="https://pbs.twimg.com/media/Dl6QZEeW0AAM8eZ.jpg" TargetMode="External"/><Relationship Id="rId2827" Type="http://schemas.openxmlformats.org/officeDocument/2006/relationships/hyperlink" Target="https://pbs.twimg.com/media/DlvrSBWXcAAsTCO.jpg" TargetMode="External"/><Relationship Id="rId68" Type="http://schemas.openxmlformats.org/officeDocument/2006/relationships/hyperlink" Target="http://instagram.com/l0ckedinsynd" TargetMode="External"/><Relationship Id="rId1429" Type="http://schemas.openxmlformats.org/officeDocument/2006/relationships/hyperlink" Target="https://www.manoto.news/" TargetMode="External"/><Relationship Id="rId1636" Type="http://schemas.openxmlformats.org/officeDocument/2006/relationships/hyperlink" Target="https://pbs.twimg.com/media/DmBJld5XsAAUm3N.jpg" TargetMode="External"/><Relationship Id="rId1843" Type="http://schemas.openxmlformats.org/officeDocument/2006/relationships/hyperlink" Target="https://hra-news.org/" TargetMode="External"/><Relationship Id="rId1703" Type="http://schemas.openxmlformats.org/officeDocument/2006/relationships/hyperlink" Target="https://www.instagram.com/hachal.haft/" TargetMode="External"/><Relationship Id="rId1910" Type="http://schemas.openxmlformats.org/officeDocument/2006/relationships/hyperlink" Target="http://t.me/PmUnkwonBot?start=u_16LIDV" TargetMode="External"/><Relationship Id="rId589" Type="http://schemas.openxmlformats.org/officeDocument/2006/relationships/hyperlink" Target="http://pic.twitter.com/J57AkbdgFw" TargetMode="External"/><Relationship Id="rId796" Type="http://schemas.openxmlformats.org/officeDocument/2006/relationships/hyperlink" Target="https://pbs.twimg.com/media/DmPQBT5W0AEV2bi.jpg" TargetMode="External"/><Relationship Id="rId2477" Type="http://schemas.openxmlformats.org/officeDocument/2006/relationships/hyperlink" Target="https://pbs.twimg.com/media/DlxGYCvXsAACxkZ.jpg" TargetMode="External"/><Relationship Id="rId2684" Type="http://schemas.openxmlformats.org/officeDocument/2006/relationships/hyperlink" Target="https://pbs.twimg.com/media/DlwF8cTXsAEB1Ag.jpg" TargetMode="External"/><Relationship Id="rId3528" Type="http://schemas.openxmlformats.org/officeDocument/2006/relationships/hyperlink" Target="https://t.me/trenditter" TargetMode="External"/><Relationship Id="rId449" Type="http://schemas.openxmlformats.org/officeDocument/2006/relationships/hyperlink" Target="http://pic.twitter.com/0TxlUro6V7" TargetMode="External"/><Relationship Id="rId656" Type="http://schemas.openxmlformats.org/officeDocument/2006/relationships/hyperlink" Target="https://pbs.twimg.com/media/DmQIVRvU4AUqtPL.jpg" TargetMode="External"/><Relationship Id="rId863" Type="http://schemas.openxmlformats.org/officeDocument/2006/relationships/hyperlink" Target="http://telegram.me/omidpouraziz" TargetMode="External"/><Relationship Id="rId1079" Type="http://schemas.openxmlformats.org/officeDocument/2006/relationships/hyperlink" Target="https://pbs.twimg.com/media/DmK_-xbUcAEmuEq.jpg" TargetMode="External"/><Relationship Id="rId1286" Type="http://schemas.openxmlformats.org/officeDocument/2006/relationships/hyperlink" Target="https://pbs.twimg.com/media/DmHGMh0W4AAkNmv.jpg" TargetMode="External"/><Relationship Id="rId1493" Type="http://schemas.openxmlformats.org/officeDocument/2006/relationships/hyperlink" Target="https://pbs.twimg.com/media/DmE2ZATXcAAu2X3.jpg" TargetMode="External"/><Relationship Id="rId2337" Type="http://schemas.openxmlformats.org/officeDocument/2006/relationships/hyperlink" Target="https://pbs.twimg.com/media/DlyVo3oXcAAk39b.jpg" TargetMode="External"/><Relationship Id="rId2544" Type="http://schemas.openxmlformats.org/officeDocument/2006/relationships/hyperlink" Target="https://pbs.twimg.com/media/DlwolvhXgAErmi3.jpg" TargetMode="External"/><Relationship Id="rId2891" Type="http://schemas.openxmlformats.org/officeDocument/2006/relationships/hyperlink" Target="http://pic.twitter.com/3npTKYLcvo" TargetMode="External"/><Relationship Id="rId309" Type="http://schemas.openxmlformats.org/officeDocument/2006/relationships/hyperlink" Target="https://www.instagram.com/sardareshgh313/" TargetMode="External"/><Relationship Id="rId516" Type="http://schemas.openxmlformats.org/officeDocument/2006/relationships/hyperlink" Target="http://pic.twitter.com/J57AkbdgFw" TargetMode="External"/><Relationship Id="rId1146" Type="http://schemas.openxmlformats.org/officeDocument/2006/relationships/hyperlink" Target="http://pic.twitter.com/0ghc63xKYJ" TargetMode="External"/><Relationship Id="rId2751" Type="http://schemas.openxmlformats.org/officeDocument/2006/relationships/hyperlink" Target="https://pbs.twimg.com/media/Dlv4Sj1V4AA6PXm.jpg" TargetMode="External"/><Relationship Id="rId723" Type="http://schemas.openxmlformats.org/officeDocument/2006/relationships/hyperlink" Target="https://pbs.twimg.com/media/DmPsl8KX4AEihQO.jpg" TargetMode="External"/><Relationship Id="rId930" Type="http://schemas.openxmlformats.org/officeDocument/2006/relationships/hyperlink" Target="https://pbs.twimg.com/media/DmK48gjWsAAM9xy.jpg" TargetMode="External"/><Relationship Id="rId1006" Type="http://schemas.openxmlformats.org/officeDocument/2006/relationships/hyperlink" Target="https://roozportal.com/?p=17549" TargetMode="External"/><Relationship Id="rId1353" Type="http://schemas.openxmlformats.org/officeDocument/2006/relationships/hyperlink" Target="http://yeniyol.wordpress.com/" TargetMode="External"/><Relationship Id="rId1560" Type="http://schemas.openxmlformats.org/officeDocument/2006/relationships/hyperlink" Target="http://www.yjc.ir/" TargetMode="External"/><Relationship Id="rId2404" Type="http://schemas.openxmlformats.org/officeDocument/2006/relationships/hyperlink" Target="https://hesamfatemi.blogspot.nl/" TargetMode="External"/><Relationship Id="rId2611" Type="http://schemas.openxmlformats.org/officeDocument/2006/relationships/hyperlink" Target="http://www.ilna.ir/" TargetMode="External"/><Relationship Id="rId1213" Type="http://schemas.openxmlformats.org/officeDocument/2006/relationships/hyperlink" Target="https://pbs.twimg.com/media/DmJdAtAU8AICKvO.jpg" TargetMode="External"/><Relationship Id="rId1420" Type="http://schemas.openxmlformats.org/officeDocument/2006/relationships/hyperlink" Target="http://pic.twitter.com/EaQGvVxiZy" TargetMode="External"/><Relationship Id="rId3178" Type="http://schemas.openxmlformats.org/officeDocument/2006/relationships/hyperlink" Target="http://instagram.com/majidrezaei.83" TargetMode="External"/><Relationship Id="rId3385" Type="http://schemas.openxmlformats.org/officeDocument/2006/relationships/hyperlink" Target="http://pic.twitter.com/LJGxN2McIo" TargetMode="External"/><Relationship Id="rId3592" Type="http://schemas.openxmlformats.org/officeDocument/2006/relationships/hyperlink" Target="https://pbs.twimg.com/media/Dlq7m_vXgAA7gUt.jpg" TargetMode="External"/><Relationship Id="rId2194" Type="http://schemas.openxmlformats.org/officeDocument/2006/relationships/hyperlink" Target="https://pbs.twimg.com/media/DlxE_GQWwAAGCQn.jpg" TargetMode="External"/><Relationship Id="rId3038" Type="http://schemas.openxmlformats.org/officeDocument/2006/relationships/hyperlink" Target="https://pbs.twimg.com/media/DltaVwUW0AAwGVq.jpg" TargetMode="External"/><Relationship Id="rId3245" Type="http://schemas.openxmlformats.org/officeDocument/2006/relationships/hyperlink" Target="https://favstar.fm/t/926953831224791040" TargetMode="External"/><Relationship Id="rId3452" Type="http://schemas.openxmlformats.org/officeDocument/2006/relationships/hyperlink" Target="https://pbs.twimg.com/media/DlrbekSUYAApD3D.jpg" TargetMode="External"/><Relationship Id="rId166" Type="http://schemas.openxmlformats.org/officeDocument/2006/relationships/hyperlink" Target="http://www.tasnimnews.com/" TargetMode="External"/><Relationship Id="rId373" Type="http://schemas.openxmlformats.org/officeDocument/2006/relationships/hyperlink" Target="http://www.jamejamonline.ir/" TargetMode="External"/><Relationship Id="rId580" Type="http://schemas.openxmlformats.org/officeDocument/2006/relationships/hyperlink" Target="https://pbs.twimg.com/media/DmQGgeXXcAIXjjz.jpg" TargetMode="External"/><Relationship Id="rId2054" Type="http://schemas.openxmlformats.org/officeDocument/2006/relationships/hyperlink" Target="https://pbs.twimg.com/media/Dl3jNUlWsAAsTWm.jpg" TargetMode="External"/><Relationship Id="rId2261" Type="http://schemas.openxmlformats.org/officeDocument/2006/relationships/hyperlink" Target="https://pbs.twimg.com/media/DlzBUkyWsAALLcP.jpg" TargetMode="External"/><Relationship Id="rId3105" Type="http://schemas.openxmlformats.org/officeDocument/2006/relationships/hyperlink" Target="https://www.instagram.com/im.sepehr/" TargetMode="External"/><Relationship Id="rId3312" Type="http://schemas.openxmlformats.org/officeDocument/2006/relationships/hyperlink" Target="https://pbs.twimg.com/media/DlsK_q3VsAAMLu3.jpg" TargetMode="External"/><Relationship Id="rId233" Type="http://schemas.openxmlformats.org/officeDocument/2006/relationships/hyperlink" Target="https://twitter.com/Kadkhodaee_ir/status/1037222243309379585" TargetMode="External"/><Relationship Id="rId440" Type="http://schemas.openxmlformats.org/officeDocument/2006/relationships/hyperlink" Target="http://pic.twitter.com/YwuRmHTiWK" TargetMode="External"/><Relationship Id="rId1070" Type="http://schemas.openxmlformats.org/officeDocument/2006/relationships/hyperlink" Target="https://pbs.twimg.com/media/DmLEiwsXcAAEitj.jpg" TargetMode="External"/><Relationship Id="rId2121" Type="http://schemas.openxmlformats.org/officeDocument/2006/relationships/hyperlink" Target="https://pbs.twimg.com/media/Dl2fK0lXsAAQEMy.jpg" TargetMode="External"/><Relationship Id="rId300" Type="http://schemas.openxmlformats.org/officeDocument/2006/relationships/hyperlink" Target="https://pbs.twimg.com/media/DmT9OtFXoAA2gQw.jpg" TargetMode="External"/><Relationship Id="rId1887" Type="http://schemas.openxmlformats.org/officeDocument/2006/relationships/hyperlink" Target="https://pbs.twimg.com/media/Dl8DzqQW4AAIOr7.jpg" TargetMode="External"/><Relationship Id="rId2938" Type="http://schemas.openxmlformats.org/officeDocument/2006/relationships/hyperlink" Target="https://pbs.twimg.com/media/Dlt_tmOUcAApbDk.jpg" TargetMode="External"/><Relationship Id="rId1747" Type="http://schemas.openxmlformats.org/officeDocument/2006/relationships/hyperlink" Target="https://pbs.twimg.com/media/Dl_UgDCXsAAjMvT.jpg" TargetMode="External"/><Relationship Id="rId1954" Type="http://schemas.openxmlformats.org/officeDocument/2006/relationships/hyperlink" Target="https://twitter.com/sefidchian/status/1035185398694207488" TargetMode="External"/><Relationship Id="rId39" Type="http://schemas.openxmlformats.org/officeDocument/2006/relationships/hyperlink" Target="https://pbs.twimg.com/media/DmVWadUV4AAs6N1.jpg" TargetMode="External"/><Relationship Id="rId1607" Type="http://schemas.openxmlformats.org/officeDocument/2006/relationships/hyperlink" Target="https://pbs.twimg.com/media/DmBuPxuX4AEkPWe.jpg" TargetMode="External"/><Relationship Id="rId1814" Type="http://schemas.openxmlformats.org/officeDocument/2006/relationships/hyperlink" Target="https://pbs.twimg.com/media/Dl-eVhFX0AA6g_V.jpg" TargetMode="External"/><Relationship Id="rId2588" Type="http://schemas.openxmlformats.org/officeDocument/2006/relationships/hyperlink" Target="https://www.manoto.news/" TargetMode="External"/><Relationship Id="rId1397" Type="http://schemas.openxmlformats.org/officeDocument/2006/relationships/hyperlink" Target="https://pbs.twimg.com/media/DmFp75KW4AIbAck.jpg" TargetMode="External"/><Relationship Id="rId2795" Type="http://schemas.openxmlformats.org/officeDocument/2006/relationships/hyperlink" Target="https://pbs.twimg.com/media/Dlvv_6nX0AAKsdZ.jpg" TargetMode="External"/><Relationship Id="rId3639" Type="http://schemas.openxmlformats.org/officeDocument/2006/relationships/hyperlink" Target="https://pbs.twimg.com/media/DlquBTHW0AAG4El.jpg" TargetMode="External"/><Relationship Id="rId767" Type="http://schemas.openxmlformats.org/officeDocument/2006/relationships/hyperlink" Target="https://pbs.twimg.com/media/DmMm0PTXoAMcCpk.jpg" TargetMode="External"/><Relationship Id="rId974" Type="http://schemas.openxmlformats.org/officeDocument/2006/relationships/hyperlink" Target="https://pbs.twimg.com/media/DmMCBN0W0AAJhH9.jpg" TargetMode="External"/><Relationship Id="rId2448" Type="http://schemas.openxmlformats.org/officeDocument/2006/relationships/hyperlink" Target="https://pbs.twimg.com/media/DlxQw6_X0AEEr0f.jpg" TargetMode="External"/><Relationship Id="rId2655" Type="http://schemas.openxmlformats.org/officeDocument/2006/relationships/hyperlink" Target="http://www.hadisharifi.ir/" TargetMode="External"/><Relationship Id="rId2862" Type="http://schemas.openxmlformats.org/officeDocument/2006/relationships/hyperlink" Target="https://pbs.twimg.com/media/DlvgSSIWwAAo2ku.jpg" TargetMode="External"/><Relationship Id="rId627" Type="http://schemas.openxmlformats.org/officeDocument/2006/relationships/hyperlink" Target="https://pbs.twimg.com/media/DmQQM1WWwAExB4I.jpg" TargetMode="External"/><Relationship Id="rId834" Type="http://schemas.openxmlformats.org/officeDocument/2006/relationships/hyperlink" Target="http://instagram.com/mbphpu_pv" TargetMode="External"/><Relationship Id="rId1257" Type="http://schemas.openxmlformats.org/officeDocument/2006/relationships/hyperlink" Target="http://yon.ir/4lHPE" TargetMode="External"/><Relationship Id="rId1464" Type="http://schemas.openxmlformats.org/officeDocument/2006/relationships/hyperlink" Target="http://adelbarkam.ir/" TargetMode="External"/><Relationship Id="rId1671" Type="http://schemas.openxmlformats.org/officeDocument/2006/relationships/hyperlink" Target="https://twitter.com/shirankhorasani/status/1010809753377918976" TargetMode="External"/><Relationship Id="rId2308" Type="http://schemas.openxmlformats.org/officeDocument/2006/relationships/hyperlink" Target="http://pic.twitter.com/K1wbOzl1O7" TargetMode="External"/><Relationship Id="rId2515" Type="http://schemas.openxmlformats.org/officeDocument/2006/relationships/hyperlink" Target="https://pbs.twimg.com/media/Dlv4Sj1V4AA6PXm.jpg" TargetMode="External"/><Relationship Id="rId2722" Type="http://schemas.openxmlformats.org/officeDocument/2006/relationships/hyperlink" Target="http://www.ntne.ir/" TargetMode="External"/><Relationship Id="rId901" Type="http://schemas.openxmlformats.org/officeDocument/2006/relationships/hyperlink" Target="http://www.ilna.ir/" TargetMode="External"/><Relationship Id="rId1117" Type="http://schemas.openxmlformats.org/officeDocument/2006/relationships/hyperlink" Target="http://instagram.com/mahdihadavandkhani" TargetMode="External"/><Relationship Id="rId1324" Type="http://schemas.openxmlformats.org/officeDocument/2006/relationships/hyperlink" Target="https://pbs.twimg.com/media/DmGs0YzW4AAOaCY.jpg" TargetMode="External"/><Relationship Id="rId1531" Type="http://schemas.openxmlformats.org/officeDocument/2006/relationships/hyperlink" Target="https://twitter.com/ali_rajabi/status/1035281791366639617" TargetMode="External"/><Relationship Id="rId30" Type="http://schemas.openxmlformats.org/officeDocument/2006/relationships/hyperlink" Target="https://pbs.twimg.com/media/DmVa7nDWsAEZE3f.jpg" TargetMode="External"/><Relationship Id="rId3289" Type="http://schemas.openxmlformats.org/officeDocument/2006/relationships/hyperlink" Target="http://pic.twitter.com/97yMJF9rN4" TargetMode="External"/><Relationship Id="rId3496" Type="http://schemas.openxmlformats.org/officeDocument/2006/relationships/hyperlink" Target="https://pbs.twimg.com/media/DlrVsE_WsAUP49M.jpg" TargetMode="External"/><Relationship Id="rId2098" Type="http://schemas.openxmlformats.org/officeDocument/2006/relationships/hyperlink" Target="http://t.me/iizaadii" TargetMode="External"/><Relationship Id="rId3149" Type="http://schemas.openxmlformats.org/officeDocument/2006/relationships/hyperlink" Target="https://twitter.com/khabar_fouri/status/1034486569778987008" TargetMode="External"/><Relationship Id="rId3356" Type="http://schemas.openxmlformats.org/officeDocument/2006/relationships/hyperlink" Target="https://t.me/nameisehsan" TargetMode="External"/><Relationship Id="rId3563" Type="http://schemas.openxmlformats.org/officeDocument/2006/relationships/hyperlink" Target="https://twitter.com/aamir_rafiei/status/1034358312404430848" TargetMode="External"/><Relationship Id="rId277" Type="http://schemas.openxmlformats.org/officeDocument/2006/relationships/hyperlink" Target="https://twitter.com/nakeesaa/status/1036685774396293121" TargetMode="External"/><Relationship Id="rId484" Type="http://schemas.openxmlformats.org/officeDocument/2006/relationships/hyperlink" Target="http://arsam-m.blogspot.com/" TargetMode="External"/><Relationship Id="rId2165" Type="http://schemas.openxmlformats.org/officeDocument/2006/relationships/hyperlink" Target="https://twitter.com/ta_eslahgara/status/1035099069012738049" TargetMode="External"/><Relationship Id="rId3009" Type="http://schemas.openxmlformats.org/officeDocument/2006/relationships/hyperlink" Target="https://pbs.twimg.com/media/DlthnyUW4AADnFV.jpg" TargetMode="External"/><Relationship Id="rId3216" Type="http://schemas.openxmlformats.org/officeDocument/2006/relationships/hyperlink" Target="http://www.mahlooji.ir/" TargetMode="External"/><Relationship Id="rId137" Type="http://schemas.openxmlformats.org/officeDocument/2006/relationships/hyperlink" Target="https://twitter.com/Tahlilgaran/status/1037285686225891328" TargetMode="External"/><Relationship Id="rId344" Type="http://schemas.openxmlformats.org/officeDocument/2006/relationships/hyperlink" Target="https://pbs.twimg.com/media/DmTuI8-W0AA3ynl.jpg" TargetMode="External"/><Relationship Id="rId691" Type="http://schemas.openxmlformats.org/officeDocument/2006/relationships/hyperlink" Target="http://instagram.com/mahtab.gholizadeh" TargetMode="External"/><Relationship Id="rId2025" Type="http://schemas.openxmlformats.org/officeDocument/2006/relationships/hyperlink" Target="https://pbs.twimg.com/media/Dl4KpBjX0AAg5-S.jpg" TargetMode="External"/><Relationship Id="rId2372" Type="http://schemas.openxmlformats.org/officeDocument/2006/relationships/hyperlink" Target="https://instagram.com/ebrahimeskafi" TargetMode="External"/><Relationship Id="rId3423" Type="http://schemas.openxmlformats.org/officeDocument/2006/relationships/hyperlink" Target="https://www.instagram.com/erfan__sayadi/" TargetMode="External"/><Relationship Id="rId3630" Type="http://schemas.openxmlformats.org/officeDocument/2006/relationships/hyperlink" Target="https://t.me/Mahmoud_Pop" TargetMode="External"/><Relationship Id="rId551" Type="http://schemas.openxmlformats.org/officeDocument/2006/relationships/hyperlink" Target="https://pbs.twimg.com/media/DmQ5VEtXoAA7LDh.jpg" TargetMode="External"/><Relationship Id="rId1181" Type="http://schemas.openxmlformats.org/officeDocument/2006/relationships/hyperlink" Target="https://pbs.twimg.com/media/DmKB-RhW4AAXTAL.jpg" TargetMode="External"/><Relationship Id="rId2232" Type="http://schemas.openxmlformats.org/officeDocument/2006/relationships/hyperlink" Target="http://pic.twitter.com/kVuECeAFv5" TargetMode="External"/><Relationship Id="rId204" Type="http://schemas.openxmlformats.org/officeDocument/2006/relationships/hyperlink" Target="http://instagram.com/maral.arhami" TargetMode="External"/><Relationship Id="rId411" Type="http://schemas.openxmlformats.org/officeDocument/2006/relationships/hyperlink" Target="https://twitter.com/Esi20200/status/1037001101046890496" TargetMode="External"/><Relationship Id="rId1041" Type="http://schemas.openxmlformats.org/officeDocument/2006/relationships/hyperlink" Target="http://www.afshinazizi.ir/" TargetMode="External"/><Relationship Id="rId1998" Type="http://schemas.openxmlformats.org/officeDocument/2006/relationships/hyperlink" Target="https://www.instagram.com/p/BnIcGoeFVf8/?utm_source=ig_twitter_share&amp;igshid=znp8p4hj46yd" TargetMode="External"/><Relationship Id="rId1858" Type="http://schemas.openxmlformats.org/officeDocument/2006/relationships/hyperlink" Target="https://goo.gl/PRDRwx" TargetMode="External"/><Relationship Id="rId2909" Type="http://schemas.openxmlformats.org/officeDocument/2006/relationships/hyperlink" Target="http://pic.twitter.com/lDQFhvNITV" TargetMode="External"/><Relationship Id="rId3073" Type="http://schemas.openxmlformats.org/officeDocument/2006/relationships/hyperlink" Target="http://www.hajfathi.ir/" TargetMode="External"/><Relationship Id="rId3280" Type="http://schemas.openxmlformats.org/officeDocument/2006/relationships/hyperlink" Target="https://pbs.twimg.com/media/DlsO9dgXoAAzPoZ.jpg" TargetMode="External"/><Relationship Id="rId1718" Type="http://schemas.openxmlformats.org/officeDocument/2006/relationships/hyperlink" Target="http://tn.ai/1817186" TargetMode="External"/><Relationship Id="rId1925" Type="http://schemas.openxmlformats.org/officeDocument/2006/relationships/hyperlink" Target="http://eranico.com/" TargetMode="External"/><Relationship Id="rId3140" Type="http://schemas.openxmlformats.org/officeDocument/2006/relationships/hyperlink" Target="http://falahatifarhad.ir/" TargetMode="External"/><Relationship Id="rId2699" Type="http://schemas.openxmlformats.org/officeDocument/2006/relationships/hyperlink" Target="http://manoto.news/" TargetMode="External"/><Relationship Id="rId3000" Type="http://schemas.openxmlformats.org/officeDocument/2006/relationships/hyperlink" Target="https://telegram.me/harfbemanbot?start=NzQwMDQ1MTc" TargetMode="External"/><Relationship Id="rId878" Type="http://schemas.openxmlformats.org/officeDocument/2006/relationships/hyperlink" Target="http://entekhab.ir/" TargetMode="External"/><Relationship Id="rId2559" Type="http://schemas.openxmlformats.org/officeDocument/2006/relationships/hyperlink" Target="https://t.me/Tell4Me_bot?start=355669521" TargetMode="External"/><Relationship Id="rId2766" Type="http://schemas.openxmlformats.org/officeDocument/2006/relationships/hyperlink" Target="http://www.farsnews.com/" TargetMode="External"/><Relationship Id="rId2973" Type="http://schemas.openxmlformats.org/officeDocument/2006/relationships/hyperlink" Target="https://telegram.me/harfbzanbot?start=07EeNj5" TargetMode="External"/><Relationship Id="rId738" Type="http://schemas.openxmlformats.org/officeDocument/2006/relationships/hyperlink" Target="https://twitter.com/tahlilgaran/status/1036908719009869827" TargetMode="External"/><Relationship Id="rId945" Type="http://schemas.openxmlformats.org/officeDocument/2006/relationships/hyperlink" Target="https://pbs.twimg.com/media/DmMVbQXWwAA3VNC.jpg" TargetMode="External"/><Relationship Id="rId1368" Type="http://schemas.openxmlformats.org/officeDocument/2006/relationships/hyperlink" Target="https://youtu.be/3XwIEJ1PqoE" TargetMode="External"/><Relationship Id="rId1575" Type="http://schemas.openxmlformats.org/officeDocument/2006/relationships/hyperlink" Target="http://pic.twitter.com/17b2uRJPHd" TargetMode="External"/><Relationship Id="rId1782" Type="http://schemas.openxmlformats.org/officeDocument/2006/relationships/hyperlink" Target="https://pbs.twimg.com/media/Dl-9_DJUwAANfOe.jpg" TargetMode="External"/><Relationship Id="rId2419" Type="http://schemas.openxmlformats.org/officeDocument/2006/relationships/hyperlink" Target="https://twitter.com/Pardis1998/status/1034340328369741824" TargetMode="External"/><Relationship Id="rId2626" Type="http://schemas.openxmlformats.org/officeDocument/2006/relationships/hyperlink" Target="https://pbs.twimg.com/media/DlwUrN5XoAAp30c.jpg" TargetMode="External"/><Relationship Id="rId2833" Type="http://schemas.openxmlformats.org/officeDocument/2006/relationships/hyperlink" Target="http://about.me/mohammad.tashackori" TargetMode="External"/><Relationship Id="rId74" Type="http://schemas.openxmlformats.org/officeDocument/2006/relationships/hyperlink" Target="https://t.me/Nashenastel_bot?start=u43958207" TargetMode="External"/><Relationship Id="rId805" Type="http://schemas.openxmlformats.org/officeDocument/2006/relationships/hyperlink" Target="https://pbs.twimg.com/media/DmPGln8XsAAxRPi.jpg" TargetMode="External"/><Relationship Id="rId1228" Type="http://schemas.openxmlformats.org/officeDocument/2006/relationships/hyperlink" Target="http://www.ilna.ir/" TargetMode="External"/><Relationship Id="rId1435" Type="http://schemas.openxmlformats.org/officeDocument/2006/relationships/hyperlink" Target="http://newspaper.hamshahri.org/" TargetMode="External"/><Relationship Id="rId1642" Type="http://schemas.openxmlformats.org/officeDocument/2006/relationships/hyperlink" Target="https://pbs.twimg.com/media/DmBC8taW0AA683z.jpg" TargetMode="External"/><Relationship Id="rId2900" Type="http://schemas.openxmlformats.org/officeDocument/2006/relationships/hyperlink" Target="https://twitter.com/DaryaKavoos/status/1034579031029678080" TargetMode="External"/><Relationship Id="rId1502" Type="http://schemas.openxmlformats.org/officeDocument/2006/relationships/hyperlink" Target="https://pbs.twimg.com/media/DmExx_iWsAA1SNF.jpg" TargetMode="External"/><Relationship Id="rId388" Type="http://schemas.openxmlformats.org/officeDocument/2006/relationships/hyperlink" Target="http://instagran.com/hoseinazarpira" TargetMode="External"/><Relationship Id="rId2069" Type="http://schemas.openxmlformats.org/officeDocument/2006/relationships/hyperlink" Target="https://twitter.com/Kaleme/status/1035204547818516480" TargetMode="External"/><Relationship Id="rId3467" Type="http://schemas.openxmlformats.org/officeDocument/2006/relationships/hyperlink" Target="http://instagram.com/textgraphy2018" TargetMode="External"/><Relationship Id="rId595" Type="http://schemas.openxmlformats.org/officeDocument/2006/relationships/hyperlink" Target="https://pbs.twimg.com/media/DmQeIhCX0AEGrkg.jpg" TargetMode="External"/><Relationship Id="rId2276" Type="http://schemas.openxmlformats.org/officeDocument/2006/relationships/hyperlink" Target="https://pbs.twimg.com/media/Dly3JZ0XcAArn23.jpg" TargetMode="External"/><Relationship Id="rId2483" Type="http://schemas.openxmlformats.org/officeDocument/2006/relationships/hyperlink" Target="https://www.tir.ir/" TargetMode="External"/><Relationship Id="rId2690" Type="http://schemas.openxmlformats.org/officeDocument/2006/relationships/hyperlink" Target="https://twitter.com/simayazaditv/status/1034401494475399169" TargetMode="External"/><Relationship Id="rId3327" Type="http://schemas.openxmlformats.org/officeDocument/2006/relationships/hyperlink" Target="https://www.sazinco.ir/" TargetMode="External"/><Relationship Id="rId3534" Type="http://schemas.openxmlformats.org/officeDocument/2006/relationships/hyperlink" Target="https://twitter.com/hesamodin1/status/1034331340311810048?s=19" TargetMode="External"/><Relationship Id="rId248" Type="http://schemas.openxmlformats.org/officeDocument/2006/relationships/hyperlink" Target="http://pic.twitter.com/ITJYpe4xuU" TargetMode="External"/><Relationship Id="rId455" Type="http://schemas.openxmlformats.org/officeDocument/2006/relationships/hyperlink" Target="https://www.mehrnews.com/photo/4394078/" TargetMode="External"/><Relationship Id="rId662" Type="http://schemas.openxmlformats.org/officeDocument/2006/relationships/hyperlink" Target="https://t.me/joinchat/AAAAAEC229U5bljMI7X7MQ" TargetMode="External"/><Relationship Id="rId1085" Type="http://schemas.openxmlformats.org/officeDocument/2006/relationships/hyperlink" Target="https://twitter.com/padash_mr/status/1036577605183524864" TargetMode="External"/><Relationship Id="rId1292" Type="http://schemas.openxmlformats.org/officeDocument/2006/relationships/hyperlink" Target="https://twitter.com/divanen44/status/1036310531630686214" TargetMode="External"/><Relationship Id="rId2136" Type="http://schemas.openxmlformats.org/officeDocument/2006/relationships/hyperlink" Target="https://sapp.ir/mohammadi.mahdi" TargetMode="External"/><Relationship Id="rId2343" Type="http://schemas.openxmlformats.org/officeDocument/2006/relationships/hyperlink" Target="http://www.a-rezaei.com/" TargetMode="External"/><Relationship Id="rId2550" Type="http://schemas.openxmlformats.org/officeDocument/2006/relationships/hyperlink" Target="http://www.khabarfoori.com/" TargetMode="External"/><Relationship Id="rId3601" Type="http://schemas.openxmlformats.org/officeDocument/2006/relationships/hyperlink" Target="https://pbs.twimg.com/media/Dlq7V9jW0AADtu0.jpg" TargetMode="External"/><Relationship Id="rId108" Type="http://schemas.openxmlformats.org/officeDocument/2006/relationships/hyperlink" Target="http://houshyaree.com/" TargetMode="External"/><Relationship Id="rId315" Type="http://schemas.openxmlformats.org/officeDocument/2006/relationships/hyperlink" Target="http://ibena.ir/" TargetMode="External"/><Relationship Id="rId522" Type="http://schemas.openxmlformats.org/officeDocument/2006/relationships/hyperlink" Target="https://pbs.twimg.com/media/DmRHJQiWsAAYKWx.jpg" TargetMode="External"/><Relationship Id="rId1152" Type="http://schemas.openxmlformats.org/officeDocument/2006/relationships/hyperlink" Target="http://www.ilna.ir/" TargetMode="External"/><Relationship Id="rId2203" Type="http://schemas.openxmlformats.org/officeDocument/2006/relationships/hyperlink" Target="http://iranfreedom.org/fa/" TargetMode="External"/><Relationship Id="rId2410" Type="http://schemas.openxmlformats.org/officeDocument/2006/relationships/hyperlink" Target="https://pbs.twimg.com/media/DlxnDsYXgAEBsCj.jpg" TargetMode="External"/><Relationship Id="rId1012" Type="http://schemas.openxmlformats.org/officeDocument/2006/relationships/hyperlink" Target="http://www.facebook.com/mohsenbayatzanjani" TargetMode="External"/><Relationship Id="rId1969" Type="http://schemas.openxmlformats.org/officeDocument/2006/relationships/hyperlink" Target="https://twitter.com/AadamEbneHavva/status/1034048147637592064" TargetMode="External"/><Relationship Id="rId3184" Type="http://schemas.openxmlformats.org/officeDocument/2006/relationships/hyperlink" Target="https://twitter.com/pooriya_fazel68/status/1034441275238436864" TargetMode="External"/><Relationship Id="rId1829" Type="http://schemas.openxmlformats.org/officeDocument/2006/relationships/hyperlink" Target="http://instagram.com/mahtab.gholizadeh" TargetMode="External"/><Relationship Id="rId3391" Type="http://schemas.openxmlformats.org/officeDocument/2006/relationships/hyperlink" Target="https://pbs.twimg.com/media/DlrxtegWsAAwlln.jpg" TargetMode="External"/><Relationship Id="rId3044" Type="http://schemas.openxmlformats.org/officeDocument/2006/relationships/hyperlink" Target="https://pbs.twimg.com/media/Dlssfo-WsAAc1pR.jpg" TargetMode="External"/><Relationship Id="rId3251" Type="http://schemas.openxmlformats.org/officeDocument/2006/relationships/hyperlink" Target="http://t.me/aligholhaky" TargetMode="External"/><Relationship Id="rId172" Type="http://schemas.openxmlformats.org/officeDocument/2006/relationships/hyperlink" Target="https://pbs.twimg.com/media/DmUlsTgXsAE3Rws.jpg" TargetMode="External"/><Relationship Id="rId2060" Type="http://schemas.openxmlformats.org/officeDocument/2006/relationships/hyperlink" Target="http://www.coiniran.com/" TargetMode="External"/><Relationship Id="rId3111" Type="http://schemas.openxmlformats.org/officeDocument/2006/relationships/hyperlink" Target="https://pbs.twimg.com/media/DltMQc7U0AAPayv.jpg" TargetMode="External"/><Relationship Id="rId989" Type="http://schemas.openxmlformats.org/officeDocument/2006/relationships/hyperlink" Target="https://pbs.twimg.com/media/DmL3uJIU8AIVm4_.jpg" TargetMode="External"/><Relationship Id="rId2877" Type="http://schemas.openxmlformats.org/officeDocument/2006/relationships/hyperlink" Target="http://www.ibena.ir/news/905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6022"/>
  <sheetViews>
    <sheetView tabSelected="1" workbookViewId="0">
      <pane ySplit="1" topLeftCell="A2" activePane="bottomLeft" state="frozen"/>
      <selection pane="bottomLeft" sqref="A1:XFD1"/>
    </sheetView>
  </sheetViews>
  <sheetFormatPr defaultColWidth="14.453125" defaultRowHeight="15.75" customHeight="1"/>
  <cols>
    <col min="1" max="1" width="15.26953125" style="1" customWidth="1"/>
    <col min="2" max="2" width="14.453125" style="1"/>
    <col min="3" max="3" width="16.26953125" style="1" customWidth="1"/>
    <col min="4" max="4" width="41.54296875" style="1" customWidth="1"/>
    <col min="5" max="5" width="17.7265625" style="1" customWidth="1"/>
    <col min="6" max="9" width="16.08984375" style="1" customWidth="1"/>
    <col min="10" max="14" width="11.08984375" style="1" customWidth="1"/>
    <col min="15" max="15" width="14.453125" style="1"/>
    <col min="16" max="16" width="34.26953125" style="1" customWidth="1"/>
    <col min="17" max="17" width="19.7265625" style="1" customWidth="1"/>
    <col min="18" max="19" width="12" style="1" customWidth="1"/>
    <col min="20" max="16384" width="14.453125" style="1"/>
  </cols>
  <sheetData>
    <row r="1" spans="1:19" ht="29.25" customHeight="1">
      <c r="A1" s="17" t="s">
        <v>16551</v>
      </c>
      <c r="B1" s="15" t="s">
        <v>16550</v>
      </c>
      <c r="C1" s="15" t="s">
        <v>16549</v>
      </c>
      <c r="D1" s="16" t="s">
        <v>16548</v>
      </c>
      <c r="E1" s="15" t="s">
        <v>16547</v>
      </c>
      <c r="F1" s="15" t="s">
        <v>16546</v>
      </c>
      <c r="G1" s="15" t="s">
        <v>16545</v>
      </c>
      <c r="H1" s="15" t="s">
        <v>16538</v>
      </c>
      <c r="I1" s="15" t="s">
        <v>16544</v>
      </c>
      <c r="J1" s="15" t="s">
        <v>16543</v>
      </c>
      <c r="K1" s="15" t="s">
        <v>16542</v>
      </c>
      <c r="L1" s="15" t="s">
        <v>16541</v>
      </c>
      <c r="M1" s="15" t="s">
        <v>16540</v>
      </c>
      <c r="N1" s="15" t="s">
        <v>16539</v>
      </c>
      <c r="O1" s="15" t="s">
        <v>16538</v>
      </c>
      <c r="P1" s="16" t="s">
        <v>16537</v>
      </c>
      <c r="Q1" s="15" t="s">
        <v>16536</v>
      </c>
      <c r="R1" s="15" t="s">
        <v>16535</v>
      </c>
      <c r="S1" s="15" t="s">
        <v>16534</v>
      </c>
    </row>
    <row r="2" spans="1:19" ht="20">
      <c r="A2" s="8">
        <v>43348.804236111115</v>
      </c>
      <c r="B2" s="11" t="str">
        <f>HYPERLINK("https://twitter.com/masoroosh","@masoroosh")</f>
        <v>@masoroosh</v>
      </c>
      <c r="C2" s="6" t="s">
        <v>12249</v>
      </c>
      <c r="D2" s="5" t="s">
        <v>16533</v>
      </c>
      <c r="E2" s="9" t="str">
        <f>HYPERLINK("https://twitter.com/masoroosh/status/1037351671498768385","1037351671498768385")</f>
        <v>1037351671498768385</v>
      </c>
      <c r="F2" s="4"/>
      <c r="G2" s="4"/>
      <c r="H2" s="4"/>
      <c r="I2" s="10" t="str">
        <f>HYPERLINK("http://twitter.com/download/android","Twitter for Android")</f>
        <v>Twitter for Android</v>
      </c>
      <c r="J2" s="2">
        <v>39</v>
      </c>
      <c r="K2" s="2">
        <v>69</v>
      </c>
      <c r="L2" s="2">
        <v>0</v>
      </c>
      <c r="M2" s="2"/>
      <c r="N2" s="8">
        <v>42183.254062499997</v>
      </c>
      <c r="O2" s="4" t="s">
        <v>773</v>
      </c>
      <c r="P2" s="3"/>
      <c r="Q2" s="4"/>
      <c r="R2" s="4"/>
      <c r="S2" s="9" t="str">
        <f>HYPERLINK("https://pbs.twimg.com/profile_images/1011210298961940482/KrAI3wva.jpg","View")</f>
        <v>View</v>
      </c>
    </row>
    <row r="3" spans="1:19" ht="30">
      <c r="A3" s="8">
        <v>43348.803460648152</v>
      </c>
      <c r="B3" s="11" t="str">
        <f>HYPERLINK("https://twitter.com/HejabBartar","@HejabBartar")</f>
        <v>@HejabBartar</v>
      </c>
      <c r="C3" s="6" t="s">
        <v>16532</v>
      </c>
      <c r="D3" s="5" t="s">
        <v>15334</v>
      </c>
      <c r="E3" s="9" t="str">
        <f>HYPERLINK("https://twitter.com/HejabBartar/status/1037351391629660160","1037351391629660160")</f>
        <v>1037351391629660160</v>
      </c>
      <c r="F3" s="4"/>
      <c r="G3" s="10" t="s">
        <v>16531</v>
      </c>
      <c r="H3" s="4"/>
      <c r="I3" s="10" t="str">
        <f>HYPERLINK("http://twitter.com/download/android","Twitter for Android")</f>
        <v>Twitter for Android</v>
      </c>
      <c r="J3" s="2">
        <v>170</v>
      </c>
      <c r="K3" s="2">
        <v>320</v>
      </c>
      <c r="L3" s="2">
        <v>0</v>
      </c>
      <c r="M3" s="2"/>
      <c r="N3" s="8">
        <v>43299.446689814809</v>
      </c>
      <c r="O3" s="4"/>
      <c r="P3" s="3"/>
      <c r="Q3" s="4"/>
      <c r="R3" s="4"/>
      <c r="S3" s="9" t="str">
        <f>HYPERLINK("https://pbs.twimg.com/profile_images/1036210313413242881/2N9Y-Aad.jpg","View")</f>
        <v>View</v>
      </c>
    </row>
    <row r="4" spans="1:19" ht="12.5">
      <c r="A4" s="8">
        <v>43348.803356481483</v>
      </c>
      <c r="B4" s="11" t="str">
        <f>HYPERLINK("https://twitter.com/baahaar_m","@baahaar_m")</f>
        <v>@baahaar_m</v>
      </c>
      <c r="C4" s="6" t="s">
        <v>16530</v>
      </c>
      <c r="D4" s="5" t="s">
        <v>16529</v>
      </c>
      <c r="E4" s="9" t="str">
        <f>HYPERLINK("https://twitter.com/baahaar_m/status/1037351352991735809","1037351352991735809")</f>
        <v>1037351352991735809</v>
      </c>
      <c r="F4" s="4"/>
      <c r="G4" s="4"/>
      <c r="H4" s="4"/>
      <c r="I4" s="10" t="str">
        <f>HYPERLINK("http://twitter.com/download/iphone","Twitter for iPhone")</f>
        <v>Twitter for iPhone</v>
      </c>
      <c r="J4" s="2">
        <v>668</v>
      </c>
      <c r="K4" s="2">
        <v>363</v>
      </c>
      <c r="L4" s="2">
        <v>7</v>
      </c>
      <c r="M4" s="2"/>
      <c r="N4" s="8">
        <v>41554.479745370372</v>
      </c>
      <c r="O4" s="4" t="s">
        <v>133</v>
      </c>
      <c r="P4" s="3" t="s">
        <v>16528</v>
      </c>
      <c r="Q4" s="4"/>
      <c r="R4" s="4"/>
      <c r="S4" s="9" t="str">
        <f>HYPERLINK("https://pbs.twimg.com/profile_images/906599658759364608/sUnmUzjc.jpg","View")</f>
        <v>View</v>
      </c>
    </row>
    <row r="5" spans="1:19" ht="40">
      <c r="A5" s="8">
        <v>43348.803043981483</v>
      </c>
      <c r="B5" s="11" t="str">
        <f>HYPERLINK("https://twitter.com/rojajafari6","@rojajafari6")</f>
        <v>@rojajafari6</v>
      </c>
      <c r="C5" s="6" t="s">
        <v>16527</v>
      </c>
      <c r="D5" s="5" t="s">
        <v>16526</v>
      </c>
      <c r="E5" s="9" t="str">
        <f>HYPERLINK("https://twitter.com/rojajafari6/status/1037351242354372611","1037351242354372611")</f>
        <v>1037351242354372611</v>
      </c>
      <c r="F5" s="4"/>
      <c r="G5" s="4"/>
      <c r="H5" s="4"/>
      <c r="I5" s="10" t="str">
        <f>HYPERLINK("http://twitter.com/download/android","Twitter for Android")</f>
        <v>Twitter for Android</v>
      </c>
      <c r="J5" s="2">
        <v>392</v>
      </c>
      <c r="K5" s="2">
        <v>269</v>
      </c>
      <c r="L5" s="2">
        <v>2</v>
      </c>
      <c r="M5" s="2"/>
      <c r="N5" s="8">
        <v>43037.833402777775</v>
      </c>
      <c r="O5" s="4" t="s">
        <v>16525</v>
      </c>
      <c r="P5" s="3" t="s">
        <v>16524</v>
      </c>
      <c r="Q5" s="4"/>
      <c r="R5" s="4"/>
      <c r="S5" s="9" t="str">
        <f>HYPERLINK("https://pbs.twimg.com/profile_images/1035200607307685889/yqxYSsxC.jpg","View")</f>
        <v>View</v>
      </c>
    </row>
    <row r="6" spans="1:19" ht="12.5">
      <c r="A6" s="8">
        <v>43348.80059027778</v>
      </c>
      <c r="B6" s="11" t="str">
        <f>HYPERLINK("https://twitter.com/sheikh_alef","@sheikh_alef")</f>
        <v>@sheikh_alef</v>
      </c>
      <c r="C6" s="6" t="s">
        <v>16523</v>
      </c>
      <c r="D6" s="5" t="s">
        <v>16522</v>
      </c>
      <c r="E6" s="9" t="str">
        <f>HYPERLINK("https://twitter.com/sheikh_alef/status/1037350351400124421","1037350351400124421")</f>
        <v>1037350351400124421</v>
      </c>
      <c r="F6" s="4"/>
      <c r="G6" s="4"/>
      <c r="H6" s="4"/>
      <c r="I6" s="10" t="str">
        <f>HYPERLINK("http://twitter.com/download/iphone","Twitter for iPhone")</f>
        <v>Twitter for iPhone</v>
      </c>
      <c r="J6" s="2">
        <v>1113</v>
      </c>
      <c r="K6" s="2">
        <v>51</v>
      </c>
      <c r="L6" s="2">
        <v>6</v>
      </c>
      <c r="M6" s="2"/>
      <c r="N6" s="8">
        <v>43251.153923611113</v>
      </c>
      <c r="O6" s="4" t="s">
        <v>16521</v>
      </c>
      <c r="P6" s="3" t="s">
        <v>16520</v>
      </c>
      <c r="Q6" s="4"/>
      <c r="R6" s="4"/>
      <c r="S6" s="9" t="str">
        <f>HYPERLINK("https://pbs.twimg.com/profile_images/1036252987067314176/0uFkAXdj.jpg","View")</f>
        <v>View</v>
      </c>
    </row>
    <row r="7" spans="1:19" ht="30">
      <c r="A7" s="8">
        <v>43348.800127314811</v>
      </c>
      <c r="B7" s="11" t="str">
        <f>HYPERLINK("https://twitter.com/GaryyWolff","@GaryyWolff")</f>
        <v>@GaryyWolff</v>
      </c>
      <c r="C7" s="6" t="s">
        <v>16519</v>
      </c>
      <c r="D7" s="5" t="s">
        <v>16518</v>
      </c>
      <c r="E7" s="9" t="str">
        <f>HYPERLINK("https://twitter.com/GaryyWolff/status/1037350185624469504","1037350185624469504")</f>
        <v>1037350185624469504</v>
      </c>
      <c r="F7" s="4"/>
      <c r="G7" s="10" t="s">
        <v>16517</v>
      </c>
      <c r="H7" s="4"/>
      <c r="I7" s="10" t="str">
        <f>HYPERLINK("http://twitter.com/download/android","Twitter for Android")</f>
        <v>Twitter for Android</v>
      </c>
      <c r="J7" s="2">
        <v>47</v>
      </c>
      <c r="K7" s="2">
        <v>64</v>
      </c>
      <c r="L7" s="2">
        <v>0</v>
      </c>
      <c r="M7" s="2"/>
      <c r="N7" s="8">
        <v>42466.383136574077</v>
      </c>
      <c r="O7" s="4"/>
      <c r="P7" s="3" t="s">
        <v>16516</v>
      </c>
      <c r="Q7" s="4"/>
      <c r="R7" s="4"/>
      <c r="S7" s="9" t="str">
        <f>HYPERLINK("https://pbs.twimg.com/profile_images/1035232820703191042/Vy6hsc-j.jpg","View")</f>
        <v>View</v>
      </c>
    </row>
    <row r="8" spans="1:19" ht="20">
      <c r="A8" s="8">
        <v>43348.797465277778</v>
      </c>
      <c r="B8" s="11" t="str">
        <f>HYPERLINK("https://twitter.com/Fred2996581146","@Fred2996581146")</f>
        <v>@Fred2996581146</v>
      </c>
      <c r="C8" s="6" t="s">
        <v>16515</v>
      </c>
      <c r="D8" s="5" t="s">
        <v>16514</v>
      </c>
      <c r="E8" s="9" t="str">
        <f>HYPERLINK("https://twitter.com/Fred2996581146/status/1037349217881268224","1037349217881268224")</f>
        <v>1037349217881268224</v>
      </c>
      <c r="F8" s="4"/>
      <c r="G8" s="4"/>
      <c r="H8" s="4"/>
      <c r="I8" s="10" t="str">
        <f>HYPERLINK("http://twitter.com/download/android","Twitter for Android")</f>
        <v>Twitter for Android</v>
      </c>
      <c r="J8" s="2">
        <v>12</v>
      </c>
      <c r="K8" s="2">
        <v>74</v>
      </c>
      <c r="L8" s="2">
        <v>0</v>
      </c>
      <c r="M8" s="2"/>
      <c r="N8" s="8">
        <v>43334.517141203702</v>
      </c>
      <c r="O8" s="4" t="s">
        <v>133</v>
      </c>
      <c r="P8" s="3"/>
      <c r="Q8" s="4"/>
      <c r="R8" s="4"/>
      <c r="S8" s="9" t="str">
        <f>HYPERLINK("https://pbs.twimg.com/profile_images/1036703185715585024/ZkMQMEBo.jpg","View")</f>
        <v>View</v>
      </c>
    </row>
    <row r="9" spans="1:19" ht="20">
      <c r="A9" s="8">
        <v>43348.7972337963</v>
      </c>
      <c r="B9" s="11" t="str">
        <f>HYPERLINK("https://twitter.com/Zeynab11509173","@Zeynab11509173")</f>
        <v>@Zeynab11509173</v>
      </c>
      <c r="C9" s="6" t="s">
        <v>16513</v>
      </c>
      <c r="D9" s="5" t="s">
        <v>16512</v>
      </c>
      <c r="E9" s="9" t="str">
        <f>HYPERLINK("https://twitter.com/Zeynab11509173/status/1037349134100058113","1037349134100058113")</f>
        <v>1037349134100058113</v>
      </c>
      <c r="F9" s="4"/>
      <c r="G9" s="4"/>
      <c r="H9" s="4"/>
      <c r="I9" s="10" t="str">
        <f>HYPERLINK("http://twitter.com/download/iphone","Twitter for iPhone")</f>
        <v>Twitter for iPhone</v>
      </c>
      <c r="J9" s="2">
        <v>19</v>
      </c>
      <c r="K9" s="2">
        <v>66</v>
      </c>
      <c r="L9" s="2">
        <v>0</v>
      </c>
      <c r="M9" s="2"/>
      <c r="N9" s="8">
        <v>42665.065972222219</v>
      </c>
      <c r="O9" s="4" t="s">
        <v>16511</v>
      </c>
      <c r="P9" s="3" t="s">
        <v>16510</v>
      </c>
      <c r="Q9" s="4"/>
      <c r="R9" s="4"/>
      <c r="S9" s="9" t="str">
        <f>HYPERLINK("https://pbs.twimg.com/profile_images/790549109526634496/vGtbVEuE.jpg","View")</f>
        <v>View</v>
      </c>
    </row>
    <row r="10" spans="1:19" ht="40">
      <c r="A10" s="8">
        <v>43348.796712962961</v>
      </c>
      <c r="B10" s="11" t="str">
        <f>HYPERLINK("https://twitter.com/erfan_shaigan","@erfan_shaigan")</f>
        <v>@erfan_shaigan</v>
      </c>
      <c r="C10" s="6" t="s">
        <v>7103</v>
      </c>
      <c r="D10" s="5" t="s">
        <v>16509</v>
      </c>
      <c r="E10" s="9" t="str">
        <f>HYPERLINK("https://twitter.com/erfan_shaigan/status/1037348946363002881","1037348946363002881")</f>
        <v>1037348946363002881</v>
      </c>
      <c r="F10" s="4"/>
      <c r="G10" s="10" t="s">
        <v>16508</v>
      </c>
      <c r="H10" s="4"/>
      <c r="I10" s="10" t="str">
        <f>HYPERLINK("http://twitter.com/download/android","Twitter for Android")</f>
        <v>Twitter for Android</v>
      </c>
      <c r="J10" s="2">
        <v>37</v>
      </c>
      <c r="K10" s="2">
        <v>14</v>
      </c>
      <c r="L10" s="2">
        <v>0</v>
      </c>
      <c r="M10" s="2"/>
      <c r="N10" s="8">
        <v>43125.7581712963</v>
      </c>
      <c r="O10" s="4"/>
      <c r="P10" s="3" t="s">
        <v>7100</v>
      </c>
      <c r="Q10" s="4"/>
      <c r="R10" s="4"/>
      <c r="S10" s="9" t="str">
        <f>HYPERLINK("https://pbs.twimg.com/profile_images/988174125016363010/Q-Lh3WpG.jpg","View")</f>
        <v>View</v>
      </c>
    </row>
    <row r="11" spans="1:19" ht="40">
      <c r="A11" s="8">
        <v>43348.796307870369</v>
      </c>
      <c r="B11" s="11" t="str">
        <f>HYPERLINK("https://twitter.com/aref_b14","@aref_b14")</f>
        <v>@aref_b14</v>
      </c>
      <c r="C11" s="6" t="s">
        <v>16507</v>
      </c>
      <c r="D11" s="5" t="s">
        <v>16506</v>
      </c>
      <c r="E11" s="9" t="str">
        <f>HYPERLINK("https://twitter.com/aref_b14/status/1037348799121960960","1037348799121960960")</f>
        <v>1037348799121960960</v>
      </c>
      <c r="F11" s="10" t="s">
        <v>16407</v>
      </c>
      <c r="G11" s="10" t="s">
        <v>14734</v>
      </c>
      <c r="H11" s="4"/>
      <c r="I11" s="10" t="str">
        <f>HYPERLINK("http://twitter.com/download/android","Twitter for Android")</f>
        <v>Twitter for Android</v>
      </c>
      <c r="J11" s="2">
        <v>1178</v>
      </c>
      <c r="K11" s="2">
        <v>1041</v>
      </c>
      <c r="L11" s="2">
        <v>9</v>
      </c>
      <c r="M11" s="2"/>
      <c r="N11" s="8">
        <v>40793.061944444446</v>
      </c>
      <c r="O11" s="4" t="s">
        <v>16505</v>
      </c>
      <c r="P11" s="3" t="s">
        <v>16504</v>
      </c>
      <c r="Q11" s="10" t="s">
        <v>16503</v>
      </c>
      <c r="R11" s="4"/>
      <c r="S11" s="9" t="str">
        <f>HYPERLINK("https://pbs.twimg.com/profile_images/980367273960574976/GsuVdwco.jpg","View")</f>
        <v>View</v>
      </c>
    </row>
    <row r="12" spans="1:19" ht="30">
      <c r="A12" s="8">
        <v>43348.796226851853</v>
      </c>
      <c r="B12" s="11" t="str">
        <f>HYPERLINK("https://twitter.com/abas_otadi","@abas_otadi")</f>
        <v>@abas_otadi</v>
      </c>
      <c r="C12" s="6" t="s">
        <v>16502</v>
      </c>
      <c r="D12" s="5" t="s">
        <v>16501</v>
      </c>
      <c r="E12" s="9" t="str">
        <f>HYPERLINK("https://twitter.com/abas_otadi/status/1037348769304600577","1037348769304600577")</f>
        <v>1037348769304600577</v>
      </c>
      <c r="F12" s="4"/>
      <c r="G12" s="4"/>
      <c r="H12" s="4"/>
      <c r="I12" s="10" t="str">
        <f>HYPERLINK("http://twitter.com/download/android","Twitter for Android")</f>
        <v>Twitter for Android</v>
      </c>
      <c r="J12" s="2">
        <v>9</v>
      </c>
      <c r="K12" s="2">
        <v>15</v>
      </c>
      <c r="L12" s="2">
        <v>0</v>
      </c>
      <c r="M12" s="2"/>
      <c r="N12" s="8">
        <v>42867.819907407407</v>
      </c>
      <c r="O12" s="4" t="s">
        <v>34</v>
      </c>
      <c r="P12" s="3" t="s">
        <v>16500</v>
      </c>
      <c r="Q12" s="4"/>
      <c r="R12" s="4"/>
      <c r="S12" s="9" t="str">
        <f>HYPERLINK("https://pbs.twimg.com/profile_images/1012228424369410048/Ura7igHu.jpg","View")</f>
        <v>View</v>
      </c>
    </row>
    <row r="13" spans="1:19" ht="30">
      <c r="A13" s="8">
        <v>43348.795694444445</v>
      </c>
      <c r="B13" s="11" t="str">
        <f>HYPERLINK("https://twitter.com/mohammad_j69","@mohammad_j69")</f>
        <v>@mohammad_j69</v>
      </c>
      <c r="C13" s="6" t="s">
        <v>8103</v>
      </c>
      <c r="D13" s="5" t="s">
        <v>16499</v>
      </c>
      <c r="E13" s="9" t="str">
        <f>HYPERLINK("https://twitter.com/mohammad_j69/status/1037348577704636416","1037348577704636416")</f>
        <v>1037348577704636416</v>
      </c>
      <c r="F13" s="4"/>
      <c r="G13" s="4"/>
      <c r="H13" s="4"/>
      <c r="I13" s="10" t="str">
        <f>HYPERLINK("http://twitter.com/download/android","Twitter for Android")</f>
        <v>Twitter for Android</v>
      </c>
      <c r="J13" s="2">
        <v>406</v>
      </c>
      <c r="K13" s="2">
        <v>425</v>
      </c>
      <c r="L13" s="2">
        <v>0</v>
      </c>
      <c r="M13" s="2"/>
      <c r="N13" s="8">
        <v>43245.093796296293</v>
      </c>
      <c r="O13" s="4" t="s">
        <v>16498</v>
      </c>
      <c r="P13" s="3" t="s">
        <v>16497</v>
      </c>
      <c r="Q13" s="4"/>
      <c r="R13" s="4"/>
      <c r="S13" s="9" t="str">
        <f>HYPERLINK("https://pbs.twimg.com/profile_images/1012822866293870593/LFlR2nH8.jpg","View")</f>
        <v>View</v>
      </c>
    </row>
    <row r="14" spans="1:19" ht="50">
      <c r="A14" s="8">
        <v>43348.795011574075</v>
      </c>
      <c r="B14" s="11" t="str">
        <f>HYPERLINK("https://twitter.com/alistar7715","@alistar7715")</f>
        <v>@alistar7715</v>
      </c>
      <c r="C14" s="6" t="s">
        <v>16496</v>
      </c>
      <c r="D14" s="5" t="s">
        <v>16495</v>
      </c>
      <c r="E14" s="9" t="str">
        <f>HYPERLINK("https://twitter.com/alistar7715/status/1037348330228146177","1037348330228146177")</f>
        <v>1037348330228146177</v>
      </c>
      <c r="F14" s="10" t="s">
        <v>16494</v>
      </c>
      <c r="G14" s="4"/>
      <c r="H14" s="4"/>
      <c r="I14" s="10" t="str">
        <f>HYPERLINK("http://twitter.com","Twitter Web Client")</f>
        <v>Twitter Web Client</v>
      </c>
      <c r="J14" s="2">
        <v>41</v>
      </c>
      <c r="K14" s="2">
        <v>82</v>
      </c>
      <c r="L14" s="2">
        <v>0</v>
      </c>
      <c r="M14" s="2"/>
      <c r="N14" s="8">
        <v>43004.716550925921</v>
      </c>
      <c r="O14" s="4" t="s">
        <v>133</v>
      </c>
      <c r="P14" s="3" t="s">
        <v>16493</v>
      </c>
      <c r="Q14" s="4"/>
      <c r="R14" s="4"/>
      <c r="S14" s="9" t="str">
        <f>HYPERLINK("https://pbs.twimg.com/profile_images/1036124236195213312/OgepqoHD.jpg","View")</f>
        <v>View</v>
      </c>
    </row>
    <row r="15" spans="1:19" ht="30">
      <c r="A15" s="8">
        <v>43348.793900462959</v>
      </c>
      <c r="B15" s="11" t="str">
        <f>HYPERLINK("https://twitter.com/khorshidi_rad","@khorshidi_rad")</f>
        <v>@khorshidi_rad</v>
      </c>
      <c r="C15" s="6" t="s">
        <v>4300</v>
      </c>
      <c r="D15" s="5" t="s">
        <v>16492</v>
      </c>
      <c r="E15" s="9" t="str">
        <f>HYPERLINK("https://twitter.com/khorshidi_rad/status/1037347927994388480","1037347927994388480")</f>
        <v>1037347927994388480</v>
      </c>
      <c r="F15" s="4"/>
      <c r="G15" s="4"/>
      <c r="H15" s="4"/>
      <c r="I15" s="10" t="str">
        <f>HYPERLINK("https://mobile.twitter.com","Twitter Lite")</f>
        <v>Twitter Lite</v>
      </c>
      <c r="J15" s="2">
        <v>197</v>
      </c>
      <c r="K15" s="2">
        <v>155</v>
      </c>
      <c r="L15" s="2">
        <v>0</v>
      </c>
      <c r="M15" s="2"/>
      <c r="N15" s="8">
        <v>42799.993564814809</v>
      </c>
      <c r="O15" s="4"/>
      <c r="P15" s="3" t="s">
        <v>4298</v>
      </c>
      <c r="Q15" s="4"/>
      <c r="R15" s="4"/>
      <c r="S15" s="9" t="str">
        <f>HYPERLINK("https://pbs.twimg.com/profile_images/1036335649920622592/Zf4tK755.jpg","View")</f>
        <v>View</v>
      </c>
    </row>
    <row r="16" spans="1:19" ht="20">
      <c r="A16" s="8">
        <v>43348.789583333331</v>
      </c>
      <c r="B16" s="11" t="str">
        <f>HYPERLINK("https://twitter.com/FalahatiSaeed","@FalahatiSaeed")</f>
        <v>@FalahatiSaeed</v>
      </c>
      <c r="C16" s="6" t="s">
        <v>16491</v>
      </c>
      <c r="D16" s="5" t="s">
        <v>16490</v>
      </c>
      <c r="E16" s="9" t="str">
        <f>HYPERLINK("https://twitter.com/FalahatiSaeed/status/1037346361098887168","1037346361098887168")</f>
        <v>1037346361098887168</v>
      </c>
      <c r="F16" s="4"/>
      <c r="G16" s="4"/>
      <c r="H16" s="4"/>
      <c r="I16" s="10" t="str">
        <f>HYPERLINK("http://twitter.com/download/iphone","Twitter for iPhone")</f>
        <v>Twitter for iPhone</v>
      </c>
      <c r="J16" s="2">
        <v>12</v>
      </c>
      <c r="K16" s="2">
        <v>15</v>
      </c>
      <c r="L16" s="2">
        <v>0</v>
      </c>
      <c r="M16" s="2"/>
      <c r="N16" s="8">
        <v>43216.587905092594</v>
      </c>
      <c r="O16" s="4" t="s">
        <v>16489</v>
      </c>
      <c r="P16" s="3" t="s">
        <v>16488</v>
      </c>
      <c r="Q16" s="4"/>
      <c r="R16" s="4"/>
      <c r="S16" s="9" t="str">
        <f>HYPERLINK("https://pbs.twimg.com/profile_images/1016685117937455104/wqHNFWEW.jpg","View")</f>
        <v>View</v>
      </c>
    </row>
    <row r="17" spans="1:19" ht="30">
      <c r="A17" s="8">
        <v>43348.786851851852</v>
      </c>
      <c r="B17" s="11" t="str">
        <f>HYPERLINK("https://twitter.com/Raeiyat","@Raeiyat")</f>
        <v>@Raeiyat</v>
      </c>
      <c r="C17" s="6" t="s">
        <v>16487</v>
      </c>
      <c r="D17" s="5" t="s">
        <v>16486</v>
      </c>
      <c r="E17" s="9" t="str">
        <f>HYPERLINK("https://twitter.com/Raeiyat/status/1037345374300790784","1037345374300790784")</f>
        <v>1037345374300790784</v>
      </c>
      <c r="F17" s="4"/>
      <c r="G17" s="4"/>
      <c r="H17" s="4"/>
      <c r="I17" s="10" t="str">
        <f>HYPERLINK("http://twitter.com/download/android","Twitter for Android")</f>
        <v>Twitter for Android</v>
      </c>
      <c r="J17" s="2">
        <v>99</v>
      </c>
      <c r="K17" s="2">
        <v>238</v>
      </c>
      <c r="L17" s="2">
        <v>0</v>
      </c>
      <c r="M17" s="2"/>
      <c r="N17" s="8">
        <v>42699.812615740739</v>
      </c>
      <c r="O17" s="4" t="s">
        <v>34</v>
      </c>
      <c r="P17" s="3" t="s">
        <v>16485</v>
      </c>
      <c r="Q17" s="4"/>
      <c r="R17" s="4"/>
      <c r="S17" s="9" t="str">
        <f>HYPERLINK("https://pbs.twimg.com/profile_images/965655370906636288/7O89QkUz.jpg","View")</f>
        <v>View</v>
      </c>
    </row>
    <row r="18" spans="1:19" ht="20">
      <c r="A18" s="8">
        <v>43348.786481481482</v>
      </c>
      <c r="B18" s="11" t="str">
        <f>HYPERLINK("https://twitter.com/eqbal_zarrin","@eqbal_zarrin")</f>
        <v>@eqbal_zarrin</v>
      </c>
      <c r="C18" s="6" t="s">
        <v>8867</v>
      </c>
      <c r="D18" s="5" t="s">
        <v>16484</v>
      </c>
      <c r="E18" s="9" t="str">
        <f>HYPERLINK("https://twitter.com/eqbal_zarrin/status/1037345238749274113","1037345238749274113")</f>
        <v>1037345238749274113</v>
      </c>
      <c r="F18" s="4"/>
      <c r="G18" s="4"/>
      <c r="H18" s="4"/>
      <c r="I18" s="10" t="str">
        <f>HYPERLINK("https://mobile.twitter.com","Twitter Lite")</f>
        <v>Twitter Lite</v>
      </c>
      <c r="J18" s="2">
        <v>227</v>
      </c>
      <c r="K18" s="2">
        <v>242</v>
      </c>
      <c r="L18" s="2">
        <v>0</v>
      </c>
      <c r="M18" s="2"/>
      <c r="N18" s="8">
        <v>43183.840856481482</v>
      </c>
      <c r="O18" s="4" t="s">
        <v>104</v>
      </c>
      <c r="P18" s="3" t="s">
        <v>8865</v>
      </c>
      <c r="Q18" s="4"/>
      <c r="R18" s="4"/>
      <c r="S18" s="9" t="str">
        <f>HYPERLINK("https://pbs.twimg.com/profile_images/1019337860745519104/7OUejWJJ.jpg","View")</f>
        <v>View</v>
      </c>
    </row>
    <row r="19" spans="1:19" ht="20">
      <c r="A19" s="8">
        <v>43348.786076388889</v>
      </c>
      <c r="B19" s="11" t="str">
        <f>HYPERLINK("https://twitter.com/Feri13720","@Feri13720")</f>
        <v>@Feri13720</v>
      </c>
      <c r="C19" s="6" t="s">
        <v>9919</v>
      </c>
      <c r="D19" s="5" t="s">
        <v>16483</v>
      </c>
      <c r="E19" s="9" t="str">
        <f>HYPERLINK("https://twitter.com/Feri13720/status/1037345092871380992","1037345092871380992")</f>
        <v>1037345092871380992</v>
      </c>
      <c r="F19" s="4"/>
      <c r="G19" s="4"/>
      <c r="H19" s="4"/>
      <c r="I19" s="10" t="str">
        <f>HYPERLINK("http://twitter.com/download/android","Twitter for Android")</f>
        <v>Twitter for Android</v>
      </c>
      <c r="J19" s="2">
        <v>418</v>
      </c>
      <c r="K19" s="2">
        <v>1021</v>
      </c>
      <c r="L19" s="2">
        <v>0</v>
      </c>
      <c r="M19" s="2"/>
      <c r="N19" s="8">
        <v>43310.489328703705</v>
      </c>
      <c r="O19" s="4" t="s">
        <v>9917</v>
      </c>
      <c r="P19" s="3" t="s">
        <v>9916</v>
      </c>
      <c r="Q19" s="4"/>
      <c r="R19" s="4"/>
      <c r="S19" s="9" t="str">
        <f>HYPERLINK("https://pbs.twimg.com/profile_images/1023473723024842752/Ed2qa3k3.jpg","View")</f>
        <v>View</v>
      </c>
    </row>
    <row r="20" spans="1:19" ht="20">
      <c r="A20" s="8">
        <v>43348.785949074074</v>
      </c>
      <c r="B20" s="11" t="str">
        <f>HYPERLINK("https://twitter.com/HanifeHossein","@HanifeHossein")</f>
        <v>@HanifeHossein</v>
      </c>
      <c r="C20" s="6" t="s">
        <v>16482</v>
      </c>
      <c r="D20" s="5" t="s">
        <v>16481</v>
      </c>
      <c r="E20" s="9" t="str">
        <f>HYPERLINK("https://twitter.com/HanifeHossein/status/1037345046150885376","1037345046150885376")</f>
        <v>1037345046150885376</v>
      </c>
      <c r="F20" s="4"/>
      <c r="G20" s="4"/>
      <c r="H20" s="4"/>
      <c r="I20" s="10" t="str">
        <f>HYPERLINK("http://twitter.com","Twitter Web Client")</f>
        <v>Twitter Web Client</v>
      </c>
      <c r="J20" s="2">
        <v>3</v>
      </c>
      <c r="K20" s="2">
        <v>55</v>
      </c>
      <c r="L20" s="2">
        <v>0</v>
      </c>
      <c r="M20" s="2"/>
      <c r="N20" s="8">
        <v>43329.395266203705</v>
      </c>
      <c r="O20" s="4"/>
      <c r="P20" s="3"/>
      <c r="Q20" s="4"/>
      <c r="R20" s="4"/>
      <c r="S20" s="9" t="str">
        <f>HYPERLINK("https://pbs.twimg.com/profile_images/1030321117960065024/3Yh3bWD7.jpg","View")</f>
        <v>View</v>
      </c>
    </row>
    <row r="21" spans="1:19" ht="20">
      <c r="A21" s="8">
        <v>43348.785266203704</v>
      </c>
      <c r="B21" s="11" t="str">
        <f>HYPERLINK("https://twitter.com/K1omidi","@K1omidi")</f>
        <v>@K1omidi</v>
      </c>
      <c r="C21" s="6" t="s">
        <v>16148</v>
      </c>
      <c r="D21" s="5" t="s">
        <v>13331</v>
      </c>
      <c r="E21" s="9" t="str">
        <f>HYPERLINK("https://twitter.com/K1omidi/status/1037344797550424064","1037344797550424064")</f>
        <v>1037344797550424064</v>
      </c>
      <c r="F21" s="4"/>
      <c r="G21" s="4"/>
      <c r="H21" s="4"/>
      <c r="I21" s="10" t="str">
        <f>HYPERLINK("https://mobofa.com","Mobofa")</f>
        <v>Mobofa</v>
      </c>
      <c r="J21" s="2">
        <v>6</v>
      </c>
      <c r="K21" s="2">
        <v>34</v>
      </c>
      <c r="L21" s="2">
        <v>0</v>
      </c>
      <c r="M21" s="2"/>
      <c r="N21" s="8">
        <v>43228.735671296294</v>
      </c>
      <c r="O21" s="4"/>
      <c r="P21" s="3"/>
      <c r="Q21" s="4"/>
      <c r="R21" s="4"/>
      <c r="S21" s="9" t="str">
        <f>HYPERLINK("https://pbs.twimg.com/profile_images/995286106567520257/F9ncJrup.jpg","View")</f>
        <v>View</v>
      </c>
    </row>
    <row r="22" spans="1:19" ht="20">
      <c r="A22" s="8">
        <v>43348.784953703704</v>
      </c>
      <c r="B22" s="11" t="str">
        <f>HYPERLINK("https://twitter.com/mehranliberal","@mehranliberal")</f>
        <v>@mehranliberal</v>
      </c>
      <c r="C22" s="6" t="s">
        <v>15956</v>
      </c>
      <c r="D22" s="5" t="s">
        <v>13331</v>
      </c>
      <c r="E22" s="9" t="str">
        <f>HYPERLINK("https://twitter.com/mehranliberal/status/1037344683566018561","1037344683566018561")</f>
        <v>1037344683566018561</v>
      </c>
      <c r="F22" s="4"/>
      <c r="G22" s="4"/>
      <c r="H22" s="4"/>
      <c r="I22" s="10" t="str">
        <f>HYPERLINK("https://mobofa.com","Mobofa")</f>
        <v>Mobofa</v>
      </c>
      <c r="J22" s="2">
        <v>0</v>
      </c>
      <c r="K22" s="2">
        <v>1</v>
      </c>
      <c r="L22" s="2">
        <v>0</v>
      </c>
      <c r="M22" s="2"/>
      <c r="N22" s="8">
        <v>43230.625439814816</v>
      </c>
      <c r="O22" s="4"/>
      <c r="P22" s="3"/>
      <c r="Q22" s="4"/>
      <c r="R22" s="4"/>
      <c r="S22" s="2" t="s">
        <v>155</v>
      </c>
    </row>
    <row r="23" spans="1:19" ht="20">
      <c r="A23" s="8">
        <v>43348.784849537042</v>
      </c>
      <c r="B23" s="11" t="str">
        <f>HYPERLINK("https://twitter.com/khalili5959","@khalili5959")</f>
        <v>@khalili5959</v>
      </c>
      <c r="C23" s="6" t="s">
        <v>16480</v>
      </c>
      <c r="D23" s="5" t="s">
        <v>16479</v>
      </c>
      <c r="E23" s="9" t="str">
        <f>HYPERLINK("https://twitter.com/khalili5959/status/1037344649252401153","1037344649252401153")</f>
        <v>1037344649252401153</v>
      </c>
      <c r="F23" s="4"/>
      <c r="G23" s="10" t="s">
        <v>16478</v>
      </c>
      <c r="H23" s="4"/>
      <c r="I23" s="10" t="str">
        <f>HYPERLINK("http://twitter.com/download/android","Twitter for Android")</f>
        <v>Twitter for Android</v>
      </c>
      <c r="J23" s="2">
        <v>16</v>
      </c>
      <c r="K23" s="2">
        <v>33</v>
      </c>
      <c r="L23" s="2">
        <v>0</v>
      </c>
      <c r="M23" s="2"/>
      <c r="N23" s="8">
        <v>43225.578159722223</v>
      </c>
      <c r="O23" s="4"/>
      <c r="P23" s="3"/>
      <c r="Q23" s="4"/>
      <c r="R23" s="4"/>
      <c r="S23" s="9" t="str">
        <f>HYPERLINK("https://pbs.twimg.com/profile_images/1037336881447489544/KeU-tHQV.jpg","View")</f>
        <v>View</v>
      </c>
    </row>
    <row r="24" spans="1:19" ht="30">
      <c r="A24" s="8">
        <v>43348.784317129626</v>
      </c>
      <c r="B24" s="11" t="str">
        <f>HYPERLINK("https://twitter.com/zohre_rah","@zohre_rah")</f>
        <v>@zohre_rah</v>
      </c>
      <c r="C24" s="6" t="s">
        <v>16477</v>
      </c>
      <c r="D24" s="5" t="s">
        <v>16476</v>
      </c>
      <c r="E24" s="9" t="str">
        <f>HYPERLINK("https://twitter.com/zohre_rah/status/1037344453311307776","1037344453311307776")</f>
        <v>1037344453311307776</v>
      </c>
      <c r="F24" s="4"/>
      <c r="G24" s="4"/>
      <c r="H24" s="4"/>
      <c r="I24" s="10" t="str">
        <f>HYPERLINK("http://twitter.com/download/iphone","Twitter for iPhone")</f>
        <v>Twitter for iPhone</v>
      </c>
      <c r="J24" s="2">
        <v>108</v>
      </c>
      <c r="K24" s="2">
        <v>18</v>
      </c>
      <c r="L24" s="2">
        <v>0</v>
      </c>
      <c r="M24" s="2"/>
      <c r="N24" s="8">
        <v>41938.671018518522</v>
      </c>
      <c r="O24" s="4"/>
      <c r="P24" s="3" t="s">
        <v>16475</v>
      </c>
      <c r="Q24" s="4"/>
      <c r="R24" s="4"/>
      <c r="S24" s="9" t="str">
        <f>HYPERLINK("https://pbs.twimg.com/profile_images/641704235264966656/Dwl4AyR5.jpg","View")</f>
        <v>View</v>
      </c>
    </row>
    <row r="25" spans="1:19" ht="40">
      <c r="A25" s="8">
        <v>43348.784074074079</v>
      </c>
      <c r="B25" s="11" t="str">
        <f>HYPERLINK("https://twitter.com/mysamcivil","@mysamcivil")</f>
        <v>@mysamcivil</v>
      </c>
      <c r="C25" s="6" t="s">
        <v>14044</v>
      </c>
      <c r="D25" s="5" t="s">
        <v>16474</v>
      </c>
      <c r="E25" s="9" t="str">
        <f>HYPERLINK("https://twitter.com/mysamcivil/status/1037344366614867969","1037344366614867969")</f>
        <v>1037344366614867969</v>
      </c>
      <c r="F25" s="4"/>
      <c r="G25" s="4"/>
      <c r="H25" s="4"/>
      <c r="I25" s="10" t="str">
        <f>HYPERLINK("http://twitter.com/download/android","Twitter for Android")</f>
        <v>Twitter for Android</v>
      </c>
      <c r="J25" s="2">
        <v>444</v>
      </c>
      <c r="K25" s="2">
        <v>503</v>
      </c>
      <c r="L25" s="2">
        <v>1</v>
      </c>
      <c r="M25" s="2"/>
      <c r="N25" s="8">
        <v>42982.73537037037</v>
      </c>
      <c r="O25" s="4" t="s">
        <v>5369</v>
      </c>
      <c r="P25" s="3" t="s">
        <v>14042</v>
      </c>
      <c r="Q25" s="4"/>
      <c r="R25" s="4"/>
      <c r="S25" s="9" t="str">
        <f>HYPERLINK("https://pbs.twimg.com/profile_images/1036917611563339776/tVUOlGjv.jpg","View")</f>
        <v>View</v>
      </c>
    </row>
    <row r="26" spans="1:19" ht="20">
      <c r="A26" s="8">
        <v>43348.783217592594</v>
      </c>
      <c r="B26" s="11" t="str">
        <f>HYPERLINK("https://twitter.com/vahidfaghihi59","@vahidfaghihi59")</f>
        <v>@vahidfaghihi59</v>
      </c>
      <c r="C26" s="6" t="s">
        <v>16473</v>
      </c>
      <c r="D26" s="5" t="s">
        <v>16472</v>
      </c>
      <c r="E26" s="9" t="str">
        <f>HYPERLINK("https://twitter.com/vahidfaghihi59/status/1037344057415151616","1037344057415151616")</f>
        <v>1037344057415151616</v>
      </c>
      <c r="F26" s="4"/>
      <c r="G26" s="4"/>
      <c r="H26" s="4"/>
      <c r="I26" s="10" t="str">
        <f>HYPERLINK("http://twitter.com/download/android","Twitter for Android")</f>
        <v>Twitter for Android</v>
      </c>
      <c r="J26" s="2">
        <v>536</v>
      </c>
      <c r="K26" s="2">
        <v>348</v>
      </c>
      <c r="L26" s="2">
        <v>0</v>
      </c>
      <c r="M26" s="2"/>
      <c r="N26" s="8">
        <v>42856.081504629634</v>
      </c>
      <c r="O26" s="4" t="s">
        <v>16471</v>
      </c>
      <c r="P26" s="3" t="s">
        <v>16470</v>
      </c>
      <c r="Q26" s="10" t="s">
        <v>16469</v>
      </c>
      <c r="R26" s="4"/>
      <c r="S26" s="9" t="str">
        <f>HYPERLINK("https://pbs.twimg.com/profile_images/1032095910279479297/H3CuGHdB.jpg","View")</f>
        <v>View</v>
      </c>
    </row>
    <row r="27" spans="1:19" ht="70">
      <c r="A27" s="8">
        <v>43348.782789351855</v>
      </c>
      <c r="B27" s="11" t="str">
        <f>HYPERLINK("https://twitter.com/ParsiSepand","@ParsiSepand")</f>
        <v>@ParsiSepand</v>
      </c>
      <c r="C27" s="6" t="s">
        <v>15902</v>
      </c>
      <c r="D27" s="5" t="s">
        <v>16468</v>
      </c>
      <c r="E27" s="9" t="str">
        <f>HYPERLINK("https://twitter.com/ParsiSepand/status/1037343902049751040","1037343902049751040")</f>
        <v>1037343902049751040</v>
      </c>
      <c r="F27" s="10" t="s">
        <v>16467</v>
      </c>
      <c r="G27" s="10" t="s">
        <v>16466</v>
      </c>
      <c r="H27" s="4"/>
      <c r="I27" s="10" t="str">
        <f>HYPERLINK("http://twitter.com/download/android","Twitter for Android")</f>
        <v>Twitter for Android</v>
      </c>
      <c r="J27" s="2">
        <v>18</v>
      </c>
      <c r="K27" s="2">
        <v>159</v>
      </c>
      <c r="L27" s="2">
        <v>0</v>
      </c>
      <c r="M27" s="2"/>
      <c r="N27" s="8">
        <v>43341.563750000001</v>
      </c>
      <c r="O27" s="4"/>
      <c r="P27" s="3" t="s">
        <v>15899</v>
      </c>
      <c r="Q27" s="4"/>
      <c r="R27" s="4"/>
      <c r="S27" s="9" t="str">
        <f>HYPERLINK("https://pbs.twimg.com/profile_images/1034730399493173249/KFcuhZUA.jpg","View")</f>
        <v>View</v>
      </c>
    </row>
    <row r="28" spans="1:19" ht="30">
      <c r="A28" s="8">
        <v>43348.782581018517</v>
      </c>
      <c r="B28" s="11" t="str">
        <f>HYPERLINK("https://twitter.com/ata_afs","@ata_afs")</f>
        <v>@ata_afs</v>
      </c>
      <c r="C28" s="6" t="s">
        <v>1217</v>
      </c>
      <c r="D28" s="5" t="s">
        <v>16465</v>
      </c>
      <c r="E28" s="9" t="str">
        <f>HYPERLINK("https://twitter.com/ata_afs/status/1037343826275225602","1037343826275225602")</f>
        <v>1037343826275225602</v>
      </c>
      <c r="F28" s="10" t="s">
        <v>16464</v>
      </c>
      <c r="G28" s="4"/>
      <c r="H28" s="4"/>
      <c r="I28" s="10" t="str">
        <f>HYPERLINK("http://twitter.com/download/iphone","Twitter for iPhone")</f>
        <v>Twitter for iPhone</v>
      </c>
      <c r="J28" s="2">
        <v>384</v>
      </c>
      <c r="K28" s="2">
        <v>699</v>
      </c>
      <c r="L28" s="2">
        <v>0</v>
      </c>
      <c r="M28" s="2"/>
      <c r="N28" s="8">
        <v>41833.536099537036</v>
      </c>
      <c r="O28" s="4" t="s">
        <v>34</v>
      </c>
      <c r="P28" s="3" t="s">
        <v>1213</v>
      </c>
      <c r="Q28" s="4"/>
      <c r="R28" s="4"/>
      <c r="S28" s="9" t="str">
        <f>HYPERLINK("https://pbs.twimg.com/profile_images/958374868008960000/IRXSv5-C.jpg","View")</f>
        <v>View</v>
      </c>
    </row>
    <row r="29" spans="1:19" ht="40">
      <c r="A29" s="8">
        <v>43348.78125</v>
      </c>
      <c r="B29" s="11" t="str">
        <f>HYPERLINK("https://twitter.com/ManotoNews","@ManotoNews")</f>
        <v>@ManotoNews</v>
      </c>
      <c r="C29" s="6" t="s">
        <v>1174</v>
      </c>
      <c r="D29" s="5" t="s">
        <v>16463</v>
      </c>
      <c r="E29" s="9" t="str">
        <f>HYPERLINK("https://twitter.com/ManotoNews/status/1037343344018505730","1037343344018505730")</f>
        <v>1037343344018505730</v>
      </c>
      <c r="F29" s="4"/>
      <c r="G29" s="4"/>
      <c r="H29" s="4"/>
      <c r="I29" s="10" t="str">
        <f>HYPERLINK("http://www.socialflow.com","SocialFlow")</f>
        <v>SocialFlow</v>
      </c>
      <c r="J29" s="2">
        <v>448433</v>
      </c>
      <c r="K29" s="2">
        <v>16</v>
      </c>
      <c r="L29" s="2">
        <v>620</v>
      </c>
      <c r="M29" s="2" t="s">
        <v>80</v>
      </c>
      <c r="N29" s="8">
        <v>40859.711631944447</v>
      </c>
      <c r="O29" s="4" t="s">
        <v>460</v>
      </c>
      <c r="P29" s="3" t="s">
        <v>1171</v>
      </c>
      <c r="Q29" s="10" t="s">
        <v>1170</v>
      </c>
      <c r="R29" s="4"/>
      <c r="S29" s="9" t="str">
        <f>HYPERLINK("https://pbs.twimg.com/profile_images/976899507744051201/07FIeivp.jpg","View")</f>
        <v>View</v>
      </c>
    </row>
    <row r="30" spans="1:19" ht="30">
      <c r="A30" s="8">
        <v>43348.780428240745</v>
      </c>
      <c r="B30" s="11" t="str">
        <f>HYPERLINK("https://twitter.com/hsnhasankhani","@hsnhasankhani")</f>
        <v>@hsnhasankhani</v>
      </c>
      <c r="C30" s="6" t="s">
        <v>6447</v>
      </c>
      <c r="D30" s="5" t="s">
        <v>16462</v>
      </c>
      <c r="E30" s="9" t="str">
        <f>HYPERLINK("https://twitter.com/hsnhasankhani/status/1037343044587200512","1037343044587200512")</f>
        <v>1037343044587200512</v>
      </c>
      <c r="F30" s="4"/>
      <c r="G30" s="4"/>
      <c r="H30" s="4"/>
      <c r="I30" s="10" t="str">
        <f>HYPERLINK("http://twitter.com","Twitter Web Client")</f>
        <v>Twitter Web Client</v>
      </c>
      <c r="J30" s="2">
        <v>73</v>
      </c>
      <c r="K30" s="2">
        <v>81</v>
      </c>
      <c r="L30" s="2">
        <v>0</v>
      </c>
      <c r="M30" s="2"/>
      <c r="N30" s="8">
        <v>43300.502557870372</v>
      </c>
      <c r="O30" s="4" t="s">
        <v>34</v>
      </c>
      <c r="P30" s="3" t="s">
        <v>16297</v>
      </c>
      <c r="Q30" s="4"/>
      <c r="R30" s="4"/>
      <c r="S30" s="9" t="str">
        <f>HYPERLINK("https://pbs.twimg.com/profile_images/1031865810447486976/OyDV3iMJ.jpg","View")</f>
        <v>View</v>
      </c>
    </row>
    <row r="31" spans="1:19" ht="30">
      <c r="A31" s="8">
        <v>43348.777858796297</v>
      </c>
      <c r="B31" s="11" t="str">
        <f>HYPERLINK("https://twitter.com/morteza6470","@morteza6470")</f>
        <v>@morteza6470</v>
      </c>
      <c r="C31" s="6" t="s">
        <v>6088</v>
      </c>
      <c r="D31" s="5" t="s">
        <v>16461</v>
      </c>
      <c r="E31" s="9" t="str">
        <f>HYPERLINK("https://twitter.com/morteza6470/status/1037342115787956224","1037342115787956224")</f>
        <v>1037342115787956224</v>
      </c>
      <c r="F31" s="4"/>
      <c r="G31" s="4"/>
      <c r="H31" s="4"/>
      <c r="I31" s="10" t="str">
        <f>HYPERLINK("http://twitter.com/download/android","Twitter for Android")</f>
        <v>Twitter for Android</v>
      </c>
      <c r="J31" s="2">
        <v>389</v>
      </c>
      <c r="K31" s="2">
        <v>265</v>
      </c>
      <c r="L31" s="2">
        <v>4</v>
      </c>
      <c r="M31" s="2"/>
      <c r="N31" s="8">
        <v>42748.873888888891</v>
      </c>
      <c r="O31" s="4" t="s">
        <v>5185</v>
      </c>
      <c r="P31" s="3" t="s">
        <v>16460</v>
      </c>
      <c r="Q31" s="4"/>
      <c r="R31" s="4"/>
      <c r="S31" s="9" t="str">
        <f>HYPERLINK("https://pbs.twimg.com/profile_images/1004335164137398273/03QhCgmS.jpg","View")</f>
        <v>View</v>
      </c>
    </row>
    <row r="32" spans="1:19" ht="30">
      <c r="A32" s="8">
        <v>43348.777280092589</v>
      </c>
      <c r="B32" s="11" t="str">
        <f>HYPERLINK("https://twitter.com/ghoghnoos20","@ghoghnoos20")</f>
        <v>@ghoghnoos20</v>
      </c>
      <c r="C32" s="6" t="s">
        <v>4691</v>
      </c>
      <c r="D32" s="5" t="s">
        <v>16459</v>
      </c>
      <c r="E32" s="9" t="str">
        <f>HYPERLINK("https://twitter.com/ghoghnoos20/status/1037341904076189697","1037341904076189697")</f>
        <v>1037341904076189697</v>
      </c>
      <c r="F32" s="4"/>
      <c r="G32" s="10" t="s">
        <v>16458</v>
      </c>
      <c r="H32" s="4"/>
      <c r="I32" s="10" t="str">
        <f>HYPERLINK("http://twitter.com/download/android","Twitter for Android")</f>
        <v>Twitter for Android</v>
      </c>
      <c r="J32" s="2">
        <v>3514</v>
      </c>
      <c r="K32" s="2">
        <v>4115</v>
      </c>
      <c r="L32" s="2">
        <v>6</v>
      </c>
      <c r="M32" s="2"/>
      <c r="N32" s="8">
        <v>42787.976851851854</v>
      </c>
      <c r="O32" s="4" t="s">
        <v>5369</v>
      </c>
      <c r="P32" s="3" t="s">
        <v>5368</v>
      </c>
      <c r="Q32" s="4"/>
      <c r="R32" s="4"/>
      <c r="S32" s="9" t="str">
        <f>HYPERLINK("https://pbs.twimg.com/profile_images/966638259760713728/89SW9L_Z.jpg","View")</f>
        <v>View</v>
      </c>
    </row>
    <row r="33" spans="1:19" ht="30">
      <c r="A33" s="8">
        <v>43348.776886574073</v>
      </c>
      <c r="B33" s="11" t="str">
        <f>HYPERLINK("https://twitter.com/SHAMousavi","@SHAMousavi")</f>
        <v>@SHAMousavi</v>
      </c>
      <c r="C33" s="6" t="s">
        <v>15458</v>
      </c>
      <c r="D33" s="5" t="s">
        <v>16457</v>
      </c>
      <c r="E33" s="9" t="str">
        <f>HYPERLINK("https://twitter.com/SHAMousavi/status/1037341760995901441","1037341760995901441")</f>
        <v>1037341760995901441</v>
      </c>
      <c r="F33" s="4"/>
      <c r="G33" s="4"/>
      <c r="H33" s="4"/>
      <c r="I33" s="10" t="str">
        <f>HYPERLINK("http://twitter.com/download/android","Twitter for Android")</f>
        <v>Twitter for Android</v>
      </c>
      <c r="J33" s="2">
        <v>5</v>
      </c>
      <c r="K33" s="2">
        <v>9</v>
      </c>
      <c r="L33" s="2">
        <v>0</v>
      </c>
      <c r="M33" s="2"/>
      <c r="N33" s="8">
        <v>43312.968599537038</v>
      </c>
      <c r="O33" s="4" t="s">
        <v>4061</v>
      </c>
      <c r="P33" s="3" t="s">
        <v>15455</v>
      </c>
      <c r="Q33" s="4"/>
      <c r="R33" s="4"/>
      <c r="S33" s="9" t="str">
        <f>HYPERLINK("https://pbs.twimg.com/profile_images/1024393055472939010/m1nibLBk.jpg","View")</f>
        <v>View</v>
      </c>
    </row>
    <row r="34" spans="1:19" ht="40">
      <c r="A34" s="8">
        <v>43348.776886574073</v>
      </c>
      <c r="B34" s="11" t="str">
        <f>HYPERLINK("https://twitter.com/RafatiSiavash","@RafatiSiavash")</f>
        <v>@RafatiSiavash</v>
      </c>
      <c r="C34" s="6" t="s">
        <v>3226</v>
      </c>
      <c r="D34" s="5" t="s">
        <v>16456</v>
      </c>
      <c r="E34" s="9" t="str">
        <f>HYPERLINK("https://twitter.com/RafatiSiavash/status/1037341759687327745","1037341759687327745")</f>
        <v>1037341759687327745</v>
      </c>
      <c r="F34" s="10" t="s">
        <v>16455</v>
      </c>
      <c r="G34" s="4"/>
      <c r="H34" s="4"/>
      <c r="I34" s="10" t="str">
        <f>HYPERLINK("http://twitter.com","Twitter Web Client")</f>
        <v>Twitter Web Client</v>
      </c>
      <c r="J34" s="2">
        <v>288</v>
      </c>
      <c r="K34" s="2">
        <v>230</v>
      </c>
      <c r="L34" s="2">
        <v>87</v>
      </c>
      <c r="M34" s="2"/>
      <c r="N34" s="8">
        <v>41050.769884259258</v>
      </c>
      <c r="O34" s="4"/>
      <c r="P34" s="3" t="s">
        <v>3223</v>
      </c>
      <c r="Q34" s="10" t="s">
        <v>3222</v>
      </c>
      <c r="R34" s="4"/>
      <c r="S34" s="9" t="str">
        <f>HYPERLINK("https://pbs.twimg.com/profile_images/821385868690751488/Qqe0I1Bk.jpg","View")</f>
        <v>View</v>
      </c>
    </row>
    <row r="35" spans="1:19" ht="40">
      <c r="A35" s="8">
        <v>43348.775405092594</v>
      </c>
      <c r="B35" s="11" t="str">
        <f>HYPERLINK("https://twitter.com/ahmadinejad95","@ahmadinejad95")</f>
        <v>@ahmadinejad95</v>
      </c>
      <c r="C35" s="6" t="s">
        <v>16454</v>
      </c>
      <c r="D35" s="5" t="s">
        <v>16453</v>
      </c>
      <c r="E35" s="9" t="str">
        <f>HYPERLINK("https://twitter.com/ahmadinejad95/status/1037341223604903936","1037341223604903936")</f>
        <v>1037341223604903936</v>
      </c>
      <c r="F35" s="4"/>
      <c r="G35" s="4"/>
      <c r="H35" s="4"/>
      <c r="I35" s="10" t="str">
        <f>HYPERLINK("http://twitter.com/download/android","Twitter for Android")</f>
        <v>Twitter for Android</v>
      </c>
      <c r="J35" s="2">
        <v>1662</v>
      </c>
      <c r="K35" s="2">
        <v>87</v>
      </c>
      <c r="L35" s="2">
        <v>6</v>
      </c>
      <c r="M35" s="2"/>
      <c r="N35" s="8">
        <v>42747.521122685182</v>
      </c>
      <c r="O35" s="4" t="s">
        <v>104</v>
      </c>
      <c r="P35" s="3" t="s">
        <v>16452</v>
      </c>
      <c r="Q35" s="4"/>
      <c r="R35" s="4"/>
      <c r="S35" s="9" t="str">
        <f>HYPERLINK("https://pbs.twimg.com/profile_images/998267945401774080/V98Ixx4j.jpg","View")</f>
        <v>View</v>
      </c>
    </row>
    <row r="36" spans="1:19" ht="50">
      <c r="A36" s="8">
        <v>43348.775000000001</v>
      </c>
      <c r="B36" s="11" t="str">
        <f>HYPERLINK("https://twitter.com/roushan1355","@roushan1355")</f>
        <v>@roushan1355</v>
      </c>
      <c r="C36" s="6" t="s">
        <v>3689</v>
      </c>
      <c r="D36" s="5" t="s">
        <v>16451</v>
      </c>
      <c r="E36" s="9" t="str">
        <f>HYPERLINK("https://twitter.com/roushan1355/status/1037341079639609345","1037341079639609345")</f>
        <v>1037341079639609345</v>
      </c>
      <c r="F36" s="4"/>
      <c r="G36" s="4"/>
      <c r="H36" s="4"/>
      <c r="I36" s="10" t="str">
        <f>HYPERLINK("http://twitter.com/download/android","Twitter for Android")</f>
        <v>Twitter for Android</v>
      </c>
      <c r="J36" s="2">
        <v>33</v>
      </c>
      <c r="K36" s="2">
        <v>1</v>
      </c>
      <c r="L36" s="2">
        <v>0</v>
      </c>
      <c r="M36" s="2"/>
      <c r="N36" s="8">
        <v>43115.077233796299</v>
      </c>
      <c r="O36" s="4"/>
      <c r="P36" s="3" t="s">
        <v>3687</v>
      </c>
      <c r="Q36" s="4"/>
      <c r="R36" s="4"/>
      <c r="S36" s="9" t="str">
        <f>HYPERLINK("https://pbs.twimg.com/profile_images/1011494810727911427/aE8nO6RI.jpg","View")</f>
        <v>View</v>
      </c>
    </row>
    <row r="37" spans="1:19" ht="40">
      <c r="A37" s="8">
        <v>43348.774930555555</v>
      </c>
      <c r="B37" s="11" t="str">
        <f>HYPERLINK("https://twitter.com/alishon9890","@alishon9890")</f>
        <v>@alishon9890</v>
      </c>
      <c r="C37" s="6" t="s">
        <v>16450</v>
      </c>
      <c r="D37" s="5" t="s">
        <v>16449</v>
      </c>
      <c r="E37" s="9" t="str">
        <f>HYPERLINK("https://twitter.com/alishon9890/status/1037341052288479233","1037341052288479233")</f>
        <v>1037341052288479233</v>
      </c>
      <c r="F37" s="4"/>
      <c r="G37" s="4"/>
      <c r="H37" s="4"/>
      <c r="I37" s="10" t="str">
        <f>HYPERLINK("http://twitter.com/download/android","Twitter for Android")</f>
        <v>Twitter for Android</v>
      </c>
      <c r="J37" s="2">
        <v>288</v>
      </c>
      <c r="K37" s="2">
        <v>362</v>
      </c>
      <c r="L37" s="2">
        <v>0</v>
      </c>
      <c r="M37" s="2"/>
      <c r="N37" s="8">
        <v>42853.681805555556</v>
      </c>
      <c r="O37" s="4"/>
      <c r="P37" s="3" t="s">
        <v>16448</v>
      </c>
      <c r="Q37" s="4"/>
      <c r="R37" s="4"/>
      <c r="S37" s="9" t="str">
        <f>HYPERLINK("https://pbs.twimg.com/profile_images/982990664425189376/tsJ5drSg.jpg","View")</f>
        <v>View</v>
      </c>
    </row>
    <row r="38" spans="1:19" ht="40">
      <c r="A38" s="8">
        <v>43348.773692129631</v>
      </c>
      <c r="B38" s="11" t="str">
        <f>HYPERLINK("https://twitter.com/amirhosein_88","@amirhosein_88")</f>
        <v>@amirhosein_88</v>
      </c>
      <c r="C38" s="6" t="s">
        <v>5299</v>
      </c>
      <c r="D38" s="5" t="s">
        <v>16447</v>
      </c>
      <c r="E38" s="9" t="str">
        <f>HYPERLINK("https://twitter.com/amirhosein_88/status/1037340602424287232","1037340602424287232")</f>
        <v>1037340602424287232</v>
      </c>
      <c r="F38" s="4"/>
      <c r="G38" s="4"/>
      <c r="H38" s="4"/>
      <c r="I38" s="10" t="str">
        <f>HYPERLINK("http://twitter.com/download/android","Twitter for Android")</f>
        <v>Twitter for Android</v>
      </c>
      <c r="J38" s="2">
        <v>551</v>
      </c>
      <c r="K38" s="2">
        <v>176</v>
      </c>
      <c r="L38" s="2">
        <v>3</v>
      </c>
      <c r="M38" s="2"/>
      <c r="N38" s="8">
        <v>43002.016469907408</v>
      </c>
      <c r="O38" s="4" t="s">
        <v>5295</v>
      </c>
      <c r="P38" s="3" t="s">
        <v>5294</v>
      </c>
      <c r="Q38" s="4"/>
      <c r="R38" s="4"/>
      <c r="S38" s="9" t="str">
        <f>HYPERLINK("https://pbs.twimg.com/profile_images/1036575817877344256/59BuxN5-.jpg","View")</f>
        <v>View</v>
      </c>
    </row>
    <row r="39" spans="1:19" ht="40">
      <c r="A39" s="8">
        <v>43348.772314814814</v>
      </c>
      <c r="B39" s="11" t="str">
        <f>HYPERLINK("https://twitter.com/MostafaPirhaya3","@MostafaPirhaya3")</f>
        <v>@MostafaPirhaya3</v>
      </c>
      <c r="C39" s="6" t="s">
        <v>4874</v>
      </c>
      <c r="D39" s="5" t="s">
        <v>16446</v>
      </c>
      <c r="E39" s="9" t="str">
        <f>HYPERLINK("https://twitter.com/MostafaPirhaya3/status/1037340104954732544","1037340104954732544")</f>
        <v>1037340104954732544</v>
      </c>
      <c r="F39" s="4"/>
      <c r="G39" s="4"/>
      <c r="H39" s="4"/>
      <c r="I39" s="10" t="str">
        <f>HYPERLINK("http://twitter.com/download/android","Twitter for Android")</f>
        <v>Twitter for Android</v>
      </c>
      <c r="J39" s="2">
        <v>98</v>
      </c>
      <c r="K39" s="2">
        <v>143</v>
      </c>
      <c r="L39" s="2">
        <v>0</v>
      </c>
      <c r="M39" s="2"/>
      <c r="N39" s="8">
        <v>43288.989895833336</v>
      </c>
      <c r="O39" s="4"/>
      <c r="P39" s="3" t="s">
        <v>4871</v>
      </c>
      <c r="Q39" s="4"/>
      <c r="R39" s="4"/>
      <c r="S39" s="9" t="str">
        <f>HYPERLINK("https://pbs.twimg.com/profile_images/1015679496366841858/uAUBkVhj.jpg","View")</f>
        <v>View</v>
      </c>
    </row>
    <row r="40" spans="1:19" ht="20">
      <c r="A40" s="8">
        <v>43348.771863425922</v>
      </c>
      <c r="B40" s="11" t="str">
        <f>HYPERLINK("https://twitter.com/smb_h","@smb_h")</f>
        <v>@smb_h</v>
      </c>
      <c r="C40" s="6" t="s">
        <v>14434</v>
      </c>
      <c r="D40" s="5" t="s">
        <v>16445</v>
      </c>
      <c r="E40" s="9" t="str">
        <f>HYPERLINK("https://twitter.com/smb_h/status/1037339943104864256","1037339943104864256")</f>
        <v>1037339943104864256</v>
      </c>
      <c r="F40" s="4"/>
      <c r="G40" s="10" t="s">
        <v>16444</v>
      </c>
      <c r="H40" s="4"/>
      <c r="I40" s="10" t="str">
        <f>HYPERLINK("http://twitter.com/download/android","Twitter for Android")</f>
        <v>Twitter for Android</v>
      </c>
      <c r="J40" s="2">
        <v>5</v>
      </c>
      <c r="K40" s="2">
        <v>7</v>
      </c>
      <c r="L40" s="2">
        <v>0</v>
      </c>
      <c r="M40" s="2"/>
      <c r="N40" s="8">
        <v>42874.981666666667</v>
      </c>
      <c r="O40" s="4" t="s">
        <v>1415</v>
      </c>
      <c r="P40" s="3" t="s">
        <v>14432</v>
      </c>
      <c r="Q40" s="10" t="s">
        <v>14431</v>
      </c>
      <c r="R40" s="4"/>
      <c r="S40" s="9" t="str">
        <f>HYPERLINK("https://pbs.twimg.com/profile_images/1012381388115513345/LeeLRE7z.jpg","View")</f>
        <v>View</v>
      </c>
    </row>
    <row r="41" spans="1:19" ht="30">
      <c r="A41" s="8">
        <v>43348.770046296297</v>
      </c>
      <c r="B41" s="11" t="str">
        <f>HYPERLINK("https://twitter.com/Ramdisius","@Ramdisius")</f>
        <v>@Ramdisius</v>
      </c>
      <c r="C41" s="6" t="s">
        <v>1494</v>
      </c>
      <c r="D41" s="5" t="s">
        <v>16443</v>
      </c>
      <c r="E41" s="9" t="str">
        <f>HYPERLINK("https://twitter.com/Ramdisius/status/1037339283894534144","1037339283894534144")</f>
        <v>1037339283894534144</v>
      </c>
      <c r="F41" s="4"/>
      <c r="G41" s="4"/>
      <c r="H41" s="4"/>
      <c r="I41" s="10" t="str">
        <f>HYPERLINK("http://twitter.com/download/android","Twitter for Android")</f>
        <v>Twitter for Android</v>
      </c>
      <c r="J41" s="2">
        <v>89</v>
      </c>
      <c r="K41" s="2">
        <v>95</v>
      </c>
      <c r="L41" s="2">
        <v>0</v>
      </c>
      <c r="M41" s="2"/>
      <c r="N41" s="8">
        <v>42999.626296296294</v>
      </c>
      <c r="O41" s="4"/>
      <c r="P41" s="3" t="s">
        <v>1491</v>
      </c>
      <c r="Q41" s="4"/>
      <c r="R41" s="4"/>
      <c r="S41" s="9" t="str">
        <f>HYPERLINK("https://pbs.twimg.com/profile_images/953361613679202306/_YiFOaj_.jpg","View")</f>
        <v>View</v>
      </c>
    </row>
    <row r="42" spans="1:19" ht="12.5">
      <c r="A42" s="8">
        <v>43348.769745370373</v>
      </c>
      <c r="B42" s="11" t="str">
        <f>HYPERLINK("https://twitter.com/mahdizelzal","@mahdizelzal")</f>
        <v>@mahdizelzal</v>
      </c>
      <c r="C42" s="6" t="s">
        <v>16442</v>
      </c>
      <c r="D42" s="5" t="s">
        <v>16441</v>
      </c>
      <c r="E42" s="9" t="str">
        <f>HYPERLINK("https://twitter.com/mahdizelzal/status/1037339174930665473","1037339174930665473")</f>
        <v>1037339174930665473</v>
      </c>
      <c r="F42" s="4"/>
      <c r="G42" s="4"/>
      <c r="H42" s="4"/>
      <c r="I42" s="10" t="str">
        <f>HYPERLINK("http://twitter.com/download/android","Twitter for Android")</f>
        <v>Twitter for Android</v>
      </c>
      <c r="J42" s="2">
        <v>1278</v>
      </c>
      <c r="K42" s="2">
        <v>138</v>
      </c>
      <c r="L42" s="2">
        <v>8</v>
      </c>
      <c r="M42" s="2"/>
      <c r="N42" s="8">
        <v>42521.564201388886</v>
      </c>
      <c r="O42" s="4" t="s">
        <v>17</v>
      </c>
      <c r="P42" s="3" t="s">
        <v>16440</v>
      </c>
      <c r="Q42" s="4"/>
      <c r="R42" s="4"/>
      <c r="S42" s="9" t="str">
        <f>HYPERLINK("https://pbs.twimg.com/profile_images/1010827024301092864/eTCE_vhD.jpg","View")</f>
        <v>View</v>
      </c>
    </row>
    <row r="43" spans="1:19" ht="20">
      <c r="A43" s="8">
        <v>43348.769652777773</v>
      </c>
      <c r="B43" s="11" t="str">
        <f>HYPERLINK("https://twitter.com/mahdiboostan","@mahdiboostan")</f>
        <v>@mahdiboostan</v>
      </c>
      <c r="C43" s="6" t="s">
        <v>16439</v>
      </c>
      <c r="D43" s="5" t="s">
        <v>16438</v>
      </c>
      <c r="E43" s="9" t="str">
        <f>HYPERLINK("https://twitter.com/mahdiboostan/status/1037339141380423683","1037339141380423683")</f>
        <v>1037339141380423683</v>
      </c>
      <c r="F43" s="4"/>
      <c r="G43" s="4"/>
      <c r="H43" s="4"/>
      <c r="I43" s="10" t="str">
        <f>HYPERLINK("http://twitter.com/download/android","Twitter for Android")</f>
        <v>Twitter for Android</v>
      </c>
      <c r="J43" s="2">
        <v>895</v>
      </c>
      <c r="K43" s="2">
        <v>1241</v>
      </c>
      <c r="L43" s="2">
        <v>3</v>
      </c>
      <c r="M43" s="2"/>
      <c r="N43" s="8">
        <v>42948.763981481483</v>
      </c>
      <c r="O43" s="4" t="s">
        <v>16437</v>
      </c>
      <c r="P43" s="3" t="s">
        <v>16436</v>
      </c>
      <c r="Q43" s="4"/>
      <c r="R43" s="4"/>
      <c r="S43" s="9" t="str">
        <f>HYPERLINK("https://pbs.twimg.com/profile_images/1013758367918149632/FVZ2p3xL.jpg","View")</f>
        <v>View</v>
      </c>
    </row>
    <row r="44" spans="1:19" ht="30">
      <c r="A44" s="8">
        <v>43348.769328703704</v>
      </c>
      <c r="B44" s="11" t="str">
        <f>HYPERLINK("https://twitter.com/hamed_h313","@hamed_h313")</f>
        <v>@hamed_h313</v>
      </c>
      <c r="C44" s="6" t="s">
        <v>13940</v>
      </c>
      <c r="D44" s="5" t="s">
        <v>16435</v>
      </c>
      <c r="E44" s="9" t="str">
        <f>HYPERLINK("https://twitter.com/hamed_h313/status/1037339021964439552","1037339021964439552")</f>
        <v>1037339021964439552</v>
      </c>
      <c r="F44" s="4"/>
      <c r="G44" s="10" t="s">
        <v>16434</v>
      </c>
      <c r="H44" s="4"/>
      <c r="I44" s="10" t="str">
        <f>HYPERLINK("http://twitter.com/download/android","Twitter for Android")</f>
        <v>Twitter for Android</v>
      </c>
      <c r="J44" s="2">
        <v>1767</v>
      </c>
      <c r="K44" s="2">
        <v>494</v>
      </c>
      <c r="L44" s="2">
        <v>7</v>
      </c>
      <c r="M44" s="2"/>
      <c r="N44" s="8">
        <v>42756.229791666672</v>
      </c>
      <c r="O44" s="4" t="s">
        <v>17</v>
      </c>
      <c r="P44" s="3" t="s">
        <v>13937</v>
      </c>
      <c r="Q44" s="10" t="s">
        <v>13936</v>
      </c>
      <c r="R44" s="4"/>
      <c r="S44" s="9" t="str">
        <f>HYPERLINK("https://pbs.twimg.com/profile_images/1015683160816996354/GcjUen5V.jpg","View")</f>
        <v>View</v>
      </c>
    </row>
    <row r="45" spans="1:19" ht="20">
      <c r="A45" s="8">
        <v>43348.769224537042</v>
      </c>
      <c r="B45" s="11" t="str">
        <f>HYPERLINK("https://twitter.com/copyofacopyof","@copyofacopyof")</f>
        <v>@copyofacopyof</v>
      </c>
      <c r="C45" s="6" t="s">
        <v>16433</v>
      </c>
      <c r="D45" s="5" t="s">
        <v>16432</v>
      </c>
      <c r="E45" s="9" t="str">
        <f>HYPERLINK("https://twitter.com/copyofacopyof/status/1037338985264238599","1037338985264238599")</f>
        <v>1037338985264238599</v>
      </c>
      <c r="F45" s="4"/>
      <c r="G45" s="4"/>
      <c r="H45" s="4"/>
      <c r="I45" s="10" t="str">
        <f>HYPERLINK("http://twitter.com/download/iphone","Twitter for iPhone")</f>
        <v>Twitter for iPhone</v>
      </c>
      <c r="J45" s="2">
        <v>113</v>
      </c>
      <c r="K45" s="2">
        <v>100</v>
      </c>
      <c r="L45" s="2">
        <v>0</v>
      </c>
      <c r="M45" s="2"/>
      <c r="N45" s="8">
        <v>42845.956504629634</v>
      </c>
      <c r="O45" s="4"/>
      <c r="P45" s="3" t="s">
        <v>16431</v>
      </c>
      <c r="Q45" s="4"/>
      <c r="R45" s="4"/>
      <c r="S45" s="9" t="str">
        <f>HYPERLINK("https://pbs.twimg.com/profile_images/855173448770998272/F_gkj9VU.jpg","View")</f>
        <v>View</v>
      </c>
    </row>
    <row r="46" spans="1:19" ht="40">
      <c r="A46" s="8">
        <v>43348.769016203703</v>
      </c>
      <c r="B46" s="11" t="str">
        <f>HYPERLINK("https://twitter.com/Kiyanara","@Kiyanara")</f>
        <v>@Kiyanara</v>
      </c>
      <c r="C46" s="6" t="s">
        <v>2162</v>
      </c>
      <c r="D46" s="5" t="s">
        <v>16430</v>
      </c>
      <c r="E46" s="9" t="str">
        <f>HYPERLINK("https://twitter.com/Kiyanara/status/1037338910169300993","1037338910169300993")</f>
        <v>1037338910169300993</v>
      </c>
      <c r="F46" s="4"/>
      <c r="G46" s="4"/>
      <c r="H46" s="4"/>
      <c r="I46" s="10" t="str">
        <f>HYPERLINK("http://twitter.com","Twitter Web Client")</f>
        <v>Twitter Web Client</v>
      </c>
      <c r="J46" s="2">
        <v>295</v>
      </c>
      <c r="K46" s="2">
        <v>230</v>
      </c>
      <c r="L46" s="2">
        <v>2</v>
      </c>
      <c r="M46" s="2"/>
      <c r="N46" s="8">
        <v>41155.709988425922</v>
      </c>
      <c r="O46" s="4" t="s">
        <v>2159</v>
      </c>
      <c r="P46" s="3" t="s">
        <v>2158</v>
      </c>
      <c r="Q46" s="4"/>
      <c r="R46" s="4"/>
      <c r="S46" s="9" t="str">
        <f>HYPERLINK("https://pbs.twimg.com/profile_images/1016974331086176256/AIsihCYT.jpg","View")</f>
        <v>View</v>
      </c>
    </row>
    <row r="47" spans="1:19" ht="30">
      <c r="A47" s="8">
        <v>43348.768217592587</v>
      </c>
      <c r="B47" s="11" t="str">
        <f>HYPERLINK("https://twitter.com/aelaapasraft","@aelaapasraft")</f>
        <v>@aelaapasraft</v>
      </c>
      <c r="C47" s="6" t="s">
        <v>16429</v>
      </c>
      <c r="D47" s="5" t="s">
        <v>16428</v>
      </c>
      <c r="E47" s="9" t="str">
        <f>HYPERLINK("https://twitter.com/aelaapasraft/status/1037338618031992832","1037338618031992832")</f>
        <v>1037338618031992832</v>
      </c>
      <c r="F47" s="4"/>
      <c r="G47" s="4"/>
      <c r="H47" s="4"/>
      <c r="I47" s="10" t="str">
        <f>HYPERLINK("http://twitter.com/download/android","Twitter for Android")</f>
        <v>Twitter for Android</v>
      </c>
      <c r="J47" s="2">
        <v>0</v>
      </c>
      <c r="K47" s="2">
        <v>0</v>
      </c>
      <c r="L47" s="2">
        <v>0</v>
      </c>
      <c r="M47" s="2"/>
      <c r="N47" s="8">
        <v>43347.910578703704</v>
      </c>
      <c r="O47" s="4" t="s">
        <v>104</v>
      </c>
      <c r="P47" s="3" t="s">
        <v>16427</v>
      </c>
      <c r="Q47" s="4"/>
      <c r="R47" s="4"/>
      <c r="S47" s="9" t="str">
        <f>HYPERLINK("https://pbs.twimg.com/profile_images/1037045892115779584/aCLEGSz_.jpg","View")</f>
        <v>View</v>
      </c>
    </row>
    <row r="48" spans="1:19" ht="30">
      <c r="A48" s="8">
        <v>43348.767974537041</v>
      </c>
      <c r="B48" s="11" t="str">
        <f>HYPERLINK("https://twitter.com/RafatiSiavash","@RafatiSiavash")</f>
        <v>@RafatiSiavash</v>
      </c>
      <c r="C48" s="6" t="s">
        <v>3226</v>
      </c>
      <c r="D48" s="5" t="s">
        <v>16426</v>
      </c>
      <c r="E48" s="9" t="str">
        <f>HYPERLINK("https://twitter.com/RafatiSiavash/status/1037338532921188354","1037338532921188354")</f>
        <v>1037338532921188354</v>
      </c>
      <c r="F48" s="10" t="s">
        <v>16425</v>
      </c>
      <c r="G48" s="4"/>
      <c r="H48" s="4"/>
      <c r="I48" s="10" t="str">
        <f>HYPERLINK("http://twitter.com","Twitter Web Client")</f>
        <v>Twitter Web Client</v>
      </c>
      <c r="J48" s="2">
        <v>288</v>
      </c>
      <c r="K48" s="2">
        <v>230</v>
      </c>
      <c r="L48" s="2">
        <v>87</v>
      </c>
      <c r="M48" s="2"/>
      <c r="N48" s="8">
        <v>41050.769884259258</v>
      </c>
      <c r="O48" s="4"/>
      <c r="P48" s="3" t="s">
        <v>3223</v>
      </c>
      <c r="Q48" s="10" t="s">
        <v>3222</v>
      </c>
      <c r="R48" s="4"/>
      <c r="S48" s="9" t="str">
        <f>HYPERLINK("https://pbs.twimg.com/profile_images/821385868690751488/Qqe0I1Bk.jpg","View")</f>
        <v>View</v>
      </c>
    </row>
    <row r="49" spans="1:19" ht="40">
      <c r="A49" s="8">
        <v>43348.767395833333</v>
      </c>
      <c r="B49" s="11" t="str">
        <f>HYPERLINK("https://twitter.com/hosseindanai","@hosseindanai")</f>
        <v>@hosseindanai</v>
      </c>
      <c r="C49" s="6" t="s">
        <v>16424</v>
      </c>
      <c r="D49" s="5" t="s">
        <v>16423</v>
      </c>
      <c r="E49" s="9" t="str">
        <f>HYPERLINK("https://twitter.com/hosseindanai/status/1037338322019004418","1037338322019004418")</f>
        <v>1037338322019004418</v>
      </c>
      <c r="F49" s="4"/>
      <c r="G49" s="4"/>
      <c r="H49" s="4"/>
      <c r="I49" s="10" t="str">
        <f>HYPERLINK("http://twitter.com/download/iphone","Twitter for iPhone")</f>
        <v>Twitter for iPhone</v>
      </c>
      <c r="J49" s="2">
        <v>24</v>
      </c>
      <c r="K49" s="2">
        <v>67</v>
      </c>
      <c r="L49" s="2">
        <v>1</v>
      </c>
      <c r="M49" s="2"/>
      <c r="N49" s="8">
        <v>42630.885092592594</v>
      </c>
      <c r="O49" s="4" t="s">
        <v>16422</v>
      </c>
      <c r="P49" s="3" t="s">
        <v>16421</v>
      </c>
      <c r="Q49" s="10" t="s">
        <v>16420</v>
      </c>
      <c r="R49" s="4"/>
      <c r="S49" s="9" t="str">
        <f>HYPERLINK("https://pbs.twimg.com/profile_images/777192147980259328/C6rRaF_n.jpg","View")</f>
        <v>View</v>
      </c>
    </row>
    <row r="50" spans="1:19" ht="40">
      <c r="A50" s="8">
        <v>43348.767314814817</v>
      </c>
      <c r="B50" s="11" t="str">
        <f>HYPERLINK("https://twitter.com/Remisa77","@Remisa77")</f>
        <v>@Remisa77</v>
      </c>
      <c r="C50" s="6" t="s">
        <v>358</v>
      </c>
      <c r="D50" s="5" t="s">
        <v>16419</v>
      </c>
      <c r="E50" s="9" t="str">
        <f>HYPERLINK("https://twitter.com/Remisa77/status/1037338294105911300","1037338294105911300")</f>
        <v>1037338294105911300</v>
      </c>
      <c r="F50" s="4"/>
      <c r="G50" s="10" t="s">
        <v>16418</v>
      </c>
      <c r="H50" s="4"/>
      <c r="I50" s="10" t="str">
        <f>HYPERLINK("http://twitter.com/download/android","Twitter for Android")</f>
        <v>Twitter for Android</v>
      </c>
      <c r="J50" s="2">
        <v>6456</v>
      </c>
      <c r="K50" s="2">
        <v>1177</v>
      </c>
      <c r="L50" s="2">
        <v>8</v>
      </c>
      <c r="M50" s="2"/>
      <c r="N50" s="8">
        <v>43177.380312499998</v>
      </c>
      <c r="O50" s="4" t="s">
        <v>356</v>
      </c>
      <c r="P50" s="3" t="s">
        <v>355</v>
      </c>
      <c r="Q50" s="4"/>
      <c r="R50" s="4"/>
      <c r="S50" s="9" t="str">
        <f>HYPERLINK("https://pbs.twimg.com/profile_images/1001467360631541761/fK9ivpPQ.jpg","View")</f>
        <v>View</v>
      </c>
    </row>
    <row r="51" spans="1:19" ht="50">
      <c r="A51" s="8">
        <v>43348.765856481477</v>
      </c>
      <c r="B51" s="11" t="str">
        <f>HYPERLINK("https://twitter.com/khabardan","@khabardan")</f>
        <v>@khabardan</v>
      </c>
      <c r="C51" s="6" t="s">
        <v>16417</v>
      </c>
      <c r="D51" s="5" t="s">
        <v>16416</v>
      </c>
      <c r="E51" s="9" t="str">
        <f>HYPERLINK("https://twitter.com/khabardan/status/1037337765720023041","1037337765720023041")</f>
        <v>1037337765720023041</v>
      </c>
      <c r="F51" s="4"/>
      <c r="G51" s="10" t="s">
        <v>16415</v>
      </c>
      <c r="H51" s="4"/>
      <c r="I51" s="10" t="str">
        <f>HYPERLINK("http://twitter.com/download/iphone","Twitter for iPhone")</f>
        <v>Twitter for iPhone</v>
      </c>
      <c r="J51" s="2">
        <v>0</v>
      </c>
      <c r="K51" s="2">
        <v>0</v>
      </c>
      <c r="L51" s="2">
        <v>0</v>
      </c>
      <c r="M51" s="2"/>
      <c r="N51" s="8">
        <v>42768.097800925927</v>
      </c>
      <c r="O51" s="4"/>
      <c r="P51" s="3" t="s">
        <v>16414</v>
      </c>
      <c r="Q51" s="4"/>
      <c r="R51" s="4"/>
      <c r="S51" s="9" t="str">
        <f>HYPERLINK("https://pbs.twimg.com/profile_images/826953228277293058/emIibI1L.jpg","View")</f>
        <v>View</v>
      </c>
    </row>
    <row r="52" spans="1:19" ht="20">
      <c r="A52" s="8">
        <v>43348.763472222221</v>
      </c>
      <c r="B52" s="11" t="str">
        <f>HYPERLINK("https://twitter.com/sarsarolmolok","@sarsarolmolok")</f>
        <v>@sarsarolmolok</v>
      </c>
      <c r="C52" s="6" t="s">
        <v>16413</v>
      </c>
      <c r="D52" s="5" t="s">
        <v>16412</v>
      </c>
      <c r="E52" s="9" t="str">
        <f>HYPERLINK("https://twitter.com/sarsarolmolok/status/1037336901089456131","1037336901089456131")</f>
        <v>1037336901089456131</v>
      </c>
      <c r="F52" s="4"/>
      <c r="G52" s="4"/>
      <c r="H52" s="4"/>
      <c r="I52" s="10" t="str">
        <f>HYPERLINK("http://twitter.com/download/iphone","Twitter for iPhone")</f>
        <v>Twitter for iPhone</v>
      </c>
      <c r="J52" s="2">
        <v>316</v>
      </c>
      <c r="K52" s="2">
        <v>356</v>
      </c>
      <c r="L52" s="2">
        <v>0</v>
      </c>
      <c r="M52" s="2"/>
      <c r="N52" s="8">
        <v>42889.927870370375</v>
      </c>
      <c r="O52" s="4" t="s">
        <v>16411</v>
      </c>
      <c r="P52" s="3" t="s">
        <v>16410</v>
      </c>
      <c r="Q52" s="4"/>
      <c r="R52" s="4"/>
      <c r="S52" s="9" t="str">
        <f>HYPERLINK("https://pbs.twimg.com/profile_images/1030918958273241093/Jw0mujRb.jpg","View")</f>
        <v>View</v>
      </c>
    </row>
    <row r="53" spans="1:19" ht="20">
      <c r="A53" s="8">
        <v>43348.762800925921</v>
      </c>
      <c r="B53" s="11" t="str">
        <f>HYPERLINK("https://twitter.com/bahozechia","@bahozechia")</f>
        <v>@bahozechia</v>
      </c>
      <c r="C53" s="6" t="s">
        <v>1568</v>
      </c>
      <c r="D53" s="5" t="s">
        <v>16409</v>
      </c>
      <c r="E53" s="9" t="str">
        <f>HYPERLINK("https://twitter.com/bahozechia/status/1037336659044519936","1037336659044519936")</f>
        <v>1037336659044519936</v>
      </c>
      <c r="F53" s="4"/>
      <c r="G53" s="4"/>
      <c r="H53" s="4"/>
      <c r="I53" s="10" t="str">
        <f>HYPERLINK("http://twitter.com/download/iphone","Twitter for iPhone")</f>
        <v>Twitter for iPhone</v>
      </c>
      <c r="J53" s="2">
        <v>164</v>
      </c>
      <c r="K53" s="2">
        <v>413</v>
      </c>
      <c r="L53" s="2">
        <v>0</v>
      </c>
      <c r="M53" s="2"/>
      <c r="N53" s="8">
        <v>42973.655312499999</v>
      </c>
      <c r="O53" s="4"/>
      <c r="P53" s="3" t="s">
        <v>1566</v>
      </c>
      <c r="Q53" s="4"/>
      <c r="R53" s="4"/>
      <c r="S53" s="9" t="str">
        <f>HYPERLINK("https://pbs.twimg.com/profile_images/1029753948201205760/Bn4DzP9z.jpg","View")</f>
        <v>View</v>
      </c>
    </row>
    <row r="54" spans="1:19" ht="70">
      <c r="A54" s="8">
        <v>43348.762615740736</v>
      </c>
      <c r="B54" s="11" t="str">
        <f>HYPERLINK("https://twitter.com/hajkazem","@hajkazem")</f>
        <v>@hajkazem</v>
      </c>
      <c r="C54" s="6" t="s">
        <v>11619</v>
      </c>
      <c r="D54" s="5" t="s">
        <v>16408</v>
      </c>
      <c r="E54" s="9" t="str">
        <f>HYPERLINK("https://twitter.com/hajkazem/status/1037336590304141312","1037336590304141312")</f>
        <v>1037336590304141312</v>
      </c>
      <c r="F54" s="10" t="s">
        <v>16407</v>
      </c>
      <c r="G54" s="10" t="s">
        <v>14734</v>
      </c>
      <c r="H54" s="4"/>
      <c r="I54" s="10" t="str">
        <f>HYPERLINK("http://twitter.com/download/iphone","Twitter for iPhone")</f>
        <v>Twitter for iPhone</v>
      </c>
      <c r="J54" s="2">
        <v>6831</v>
      </c>
      <c r="K54" s="2">
        <v>7434</v>
      </c>
      <c r="L54" s="2">
        <v>24</v>
      </c>
      <c r="M54" s="2"/>
      <c r="N54" s="8">
        <v>40910.409537037034</v>
      </c>
      <c r="O54" s="4"/>
      <c r="P54" s="3" t="s">
        <v>11617</v>
      </c>
      <c r="Q54" s="4"/>
      <c r="R54" s="4"/>
      <c r="S54" s="9" t="str">
        <f>HYPERLINK("https://pbs.twimg.com/profile_images/2166944217/agans.jpg","View")</f>
        <v>View</v>
      </c>
    </row>
    <row r="55" spans="1:19" ht="30">
      <c r="A55" s="8">
        <v>43348.761180555557</v>
      </c>
      <c r="B55" s="11" t="str">
        <f>HYPERLINK("https://twitter.com/zioporco4","@zioporco4")</f>
        <v>@zioporco4</v>
      </c>
      <c r="C55" s="6" t="s">
        <v>16406</v>
      </c>
      <c r="D55" s="5" t="s">
        <v>16405</v>
      </c>
      <c r="E55" s="9" t="str">
        <f>HYPERLINK("https://twitter.com/zioporco4/status/1037336068947959808","1037336068947959808")</f>
        <v>1037336068947959808</v>
      </c>
      <c r="F55" s="4"/>
      <c r="G55" s="4"/>
      <c r="H55" s="4"/>
      <c r="I55" s="10" t="str">
        <f>HYPERLINK("http://twitter.com/download/android","Twitter for Android")</f>
        <v>Twitter for Android</v>
      </c>
      <c r="J55" s="2">
        <v>135</v>
      </c>
      <c r="K55" s="2">
        <v>331</v>
      </c>
      <c r="L55" s="2">
        <v>0</v>
      </c>
      <c r="M55" s="2"/>
      <c r="N55" s="8">
        <v>43190.909201388888</v>
      </c>
      <c r="O55" s="4"/>
      <c r="P55" s="3" t="s">
        <v>16404</v>
      </c>
      <c r="Q55" s="4"/>
      <c r="R55" s="4"/>
      <c r="S55" s="9" t="str">
        <f>HYPERLINK("https://pbs.twimg.com/profile_images/1012832731317915650/NWoMnRZd.jpg","View")</f>
        <v>View</v>
      </c>
    </row>
    <row r="56" spans="1:19" ht="20">
      <c r="A56" s="8">
        <v>43348.760648148149</v>
      </c>
      <c r="B56" s="11" t="str">
        <f>HYPERLINK("https://twitter.com/Dibii_Dibii","@Dibii_Dibii")</f>
        <v>@Dibii_Dibii</v>
      </c>
      <c r="C56" s="6" t="s">
        <v>10109</v>
      </c>
      <c r="D56" s="5" t="s">
        <v>16403</v>
      </c>
      <c r="E56" s="9" t="str">
        <f>HYPERLINK("https://twitter.com/Dibii_Dibii/status/1037335876374876164","1037335876374876164")</f>
        <v>1037335876374876164</v>
      </c>
      <c r="F56" s="4"/>
      <c r="G56" s="4"/>
      <c r="H56" s="4"/>
      <c r="I56" s="10" t="str">
        <f>HYPERLINK("http://twitter.com","Twitter Web Client")</f>
        <v>Twitter Web Client</v>
      </c>
      <c r="J56" s="2">
        <v>80</v>
      </c>
      <c r="K56" s="2">
        <v>225</v>
      </c>
      <c r="L56" s="2">
        <v>0</v>
      </c>
      <c r="M56" s="2"/>
      <c r="N56" s="8">
        <v>43344.62054398148</v>
      </c>
      <c r="O56" s="4" t="s">
        <v>10107</v>
      </c>
      <c r="P56" s="3" t="s">
        <v>10106</v>
      </c>
      <c r="Q56" s="4"/>
      <c r="R56" s="4"/>
      <c r="S56" s="9" t="str">
        <f>HYPERLINK("https://pbs.twimg.com/profile_images/1035839612739043328/AjIZ59Uc.jpg","View")</f>
        <v>View</v>
      </c>
    </row>
    <row r="57" spans="1:19" ht="20">
      <c r="A57" s="8">
        <v>43348.760138888887</v>
      </c>
      <c r="B57" s="11" t="str">
        <f>HYPERLINK("https://twitter.com/kaambees","@kaambees")</f>
        <v>@kaambees</v>
      </c>
      <c r="C57" s="6" t="s">
        <v>1793</v>
      </c>
      <c r="D57" s="5" t="s">
        <v>16402</v>
      </c>
      <c r="E57" s="9" t="str">
        <f>HYPERLINK("https://twitter.com/kaambees/status/1037335692702044160","1037335692702044160")</f>
        <v>1037335692702044160</v>
      </c>
      <c r="F57" s="4"/>
      <c r="G57" s="4"/>
      <c r="H57" s="4"/>
      <c r="I57" s="10" t="str">
        <f>HYPERLINK("http://twitter.com","Twitter Web Client")</f>
        <v>Twitter Web Client</v>
      </c>
      <c r="J57" s="2">
        <v>414</v>
      </c>
      <c r="K57" s="2">
        <v>432</v>
      </c>
      <c r="L57" s="2">
        <v>0</v>
      </c>
      <c r="M57" s="2"/>
      <c r="N57" s="8">
        <v>43130.005543981482</v>
      </c>
      <c r="O57" s="4"/>
      <c r="P57" s="3" t="s">
        <v>16401</v>
      </c>
      <c r="Q57" s="4"/>
      <c r="R57" s="4"/>
      <c r="S57" s="9" t="str">
        <f>HYPERLINK("https://pbs.twimg.com/profile_images/1034824406323744769/bHeyxCBD.jpg","View")</f>
        <v>View</v>
      </c>
    </row>
    <row r="58" spans="1:19" ht="30">
      <c r="A58" s="8">
        <v>43348.760069444441</v>
      </c>
      <c r="B58" s="11" t="str">
        <f>HYPERLINK("https://twitter.com/RafatiSiavash","@RafatiSiavash")</f>
        <v>@RafatiSiavash</v>
      </c>
      <c r="C58" s="6" t="s">
        <v>3226</v>
      </c>
      <c r="D58" s="5" t="s">
        <v>16400</v>
      </c>
      <c r="E58" s="9" t="str">
        <f>HYPERLINK("https://twitter.com/RafatiSiavash/status/1037335669356593152","1037335669356593152")</f>
        <v>1037335669356593152</v>
      </c>
      <c r="F58" s="10" t="s">
        <v>16399</v>
      </c>
      <c r="G58" s="4"/>
      <c r="H58" s="4"/>
      <c r="I58" s="10" t="str">
        <f>HYPERLINK("http://twitter.com","Twitter Web Client")</f>
        <v>Twitter Web Client</v>
      </c>
      <c r="J58" s="2">
        <v>288</v>
      </c>
      <c r="K58" s="2">
        <v>230</v>
      </c>
      <c r="L58" s="2">
        <v>87</v>
      </c>
      <c r="M58" s="2"/>
      <c r="N58" s="8">
        <v>41050.769884259258</v>
      </c>
      <c r="O58" s="4"/>
      <c r="P58" s="3" t="s">
        <v>3223</v>
      </c>
      <c r="Q58" s="10" t="s">
        <v>3222</v>
      </c>
      <c r="R58" s="4"/>
      <c r="S58" s="9" t="str">
        <f>HYPERLINK("https://pbs.twimg.com/profile_images/821385868690751488/Qqe0I1Bk.jpg","View")</f>
        <v>View</v>
      </c>
    </row>
    <row r="59" spans="1:19" ht="20">
      <c r="A59" s="8">
        <v>43348.759062500001</v>
      </c>
      <c r="B59" s="11" t="str">
        <f>HYPERLINK("https://twitter.com/faran_i","@faran_i")</f>
        <v>@faran_i</v>
      </c>
      <c r="C59" s="6" t="s">
        <v>11529</v>
      </c>
      <c r="D59" s="5" t="s">
        <v>16398</v>
      </c>
      <c r="E59" s="9" t="str">
        <f>HYPERLINK("https://twitter.com/faran_i/status/1037335300853387270","1037335300853387270")</f>
        <v>1037335300853387270</v>
      </c>
      <c r="F59" s="4"/>
      <c r="G59" s="10" t="s">
        <v>16397</v>
      </c>
      <c r="H59" s="4"/>
      <c r="I59" s="10" t="str">
        <f>HYPERLINK("http://twitter.com/download/iphone","Twitter for iPhone")</f>
        <v>Twitter for iPhone</v>
      </c>
      <c r="J59" s="2">
        <v>206</v>
      </c>
      <c r="K59" s="2">
        <v>370</v>
      </c>
      <c r="L59" s="2">
        <v>0</v>
      </c>
      <c r="M59" s="2"/>
      <c r="N59" s="8">
        <v>43334.07512731482</v>
      </c>
      <c r="O59" s="4" t="s">
        <v>11527</v>
      </c>
      <c r="P59" s="3" t="s">
        <v>11526</v>
      </c>
      <c r="Q59" s="4"/>
      <c r="R59" s="4"/>
      <c r="S59" s="9" t="str">
        <f>HYPERLINK("https://pbs.twimg.com/profile_images/1032017718201987072/P5RGvOXd.jpg","View")</f>
        <v>View</v>
      </c>
    </row>
    <row r="60" spans="1:19" ht="30">
      <c r="A60" s="8">
        <v>43348.757222222222</v>
      </c>
      <c r="B60" s="11" t="str">
        <f>HYPERLINK("https://twitter.com/HachalHaft","@HachalHaft")</f>
        <v>@HachalHaft</v>
      </c>
      <c r="C60" s="6" t="s">
        <v>8742</v>
      </c>
      <c r="D60" s="5" t="s">
        <v>16396</v>
      </c>
      <c r="E60" s="9" t="str">
        <f>HYPERLINK("https://twitter.com/HachalHaft/status/1037334636500852739","1037334636500852739")</f>
        <v>1037334636500852739</v>
      </c>
      <c r="F60" s="4"/>
      <c r="G60" s="4"/>
      <c r="H60" s="4"/>
      <c r="I60" s="10" t="str">
        <f>HYPERLINK("http://twitter.com/download/android","Twitter for Android")</f>
        <v>Twitter for Android</v>
      </c>
      <c r="J60" s="2">
        <v>751</v>
      </c>
      <c r="K60" s="2">
        <v>782</v>
      </c>
      <c r="L60" s="2">
        <v>0</v>
      </c>
      <c r="M60" s="2"/>
      <c r="N60" s="8">
        <v>43245.780914351853</v>
      </c>
      <c r="O60" s="4" t="s">
        <v>8739</v>
      </c>
      <c r="P60" s="3" t="s">
        <v>10034</v>
      </c>
      <c r="Q60" s="10" t="s">
        <v>8737</v>
      </c>
      <c r="R60" s="4"/>
      <c r="S60" s="9" t="str">
        <f>HYPERLINK("https://pbs.twimg.com/profile_images/1036346474509086720/t1gZkEr7.jpg","View")</f>
        <v>View</v>
      </c>
    </row>
    <row r="61" spans="1:19" ht="40">
      <c r="A61" s="8">
        <v>43348.757210648153</v>
      </c>
      <c r="B61" s="11" t="str">
        <f>HYPERLINK("https://twitter.com/AbdolMotahhar","@AbdolMotahhar")</f>
        <v>@AbdolMotahhar</v>
      </c>
      <c r="C61" s="6" t="s">
        <v>16395</v>
      </c>
      <c r="D61" s="5" t="s">
        <v>16394</v>
      </c>
      <c r="E61" s="9" t="str">
        <f>HYPERLINK("https://twitter.com/AbdolMotahhar/status/1037334632071680000","1037334632071680000")</f>
        <v>1037334632071680000</v>
      </c>
      <c r="F61" s="4"/>
      <c r="G61" s="4"/>
      <c r="H61" s="4"/>
      <c r="I61" s="10" t="str">
        <f>HYPERLINK("http://twitter.com/download/android","Twitter for Android")</f>
        <v>Twitter for Android</v>
      </c>
      <c r="J61" s="2">
        <v>2444</v>
      </c>
      <c r="K61" s="2">
        <v>686</v>
      </c>
      <c r="L61" s="2">
        <v>16</v>
      </c>
      <c r="M61" s="2"/>
      <c r="N61" s="8">
        <v>41232.343414351853</v>
      </c>
      <c r="O61" s="4" t="s">
        <v>34</v>
      </c>
      <c r="P61" s="3" t="s">
        <v>16393</v>
      </c>
      <c r="Q61" s="4"/>
      <c r="R61" s="4"/>
      <c r="S61" s="9" t="str">
        <f>HYPERLINK("https://pbs.twimg.com/profile_images/729457924091879430/PGMgnf6o.jpg","View")</f>
        <v>View</v>
      </c>
    </row>
    <row r="62" spans="1:19" ht="20">
      <c r="A62" s="8">
        <v>43348.756851851853</v>
      </c>
      <c r="B62" s="11" t="str">
        <f>HYPERLINK("https://twitter.com/Forever_Green2","@Forever_Green2")</f>
        <v>@Forever_Green2</v>
      </c>
      <c r="C62" s="6" t="s">
        <v>8486</v>
      </c>
      <c r="D62" s="5" t="s">
        <v>16392</v>
      </c>
      <c r="E62" s="9" t="str">
        <f>HYPERLINK("https://twitter.com/Forever_Green2/status/1037334499313430528","1037334499313430528")</f>
        <v>1037334499313430528</v>
      </c>
      <c r="F62" s="4"/>
      <c r="G62" s="4"/>
      <c r="H62" s="4"/>
      <c r="I62" s="10" t="str">
        <f>HYPERLINK("http://twitter.com/download/android","Twitter for Android")</f>
        <v>Twitter for Android</v>
      </c>
      <c r="J62" s="2">
        <v>1656</v>
      </c>
      <c r="K62" s="2">
        <v>1572</v>
      </c>
      <c r="L62" s="2">
        <v>3</v>
      </c>
      <c r="M62" s="2"/>
      <c r="N62" s="8">
        <v>42108.847280092596</v>
      </c>
      <c r="O62" s="4" t="s">
        <v>894</v>
      </c>
      <c r="P62" s="3" t="s">
        <v>8484</v>
      </c>
      <c r="Q62" s="4"/>
      <c r="R62" s="4"/>
      <c r="S62" s="9" t="str">
        <f>HYPERLINK("https://pbs.twimg.com/profile_images/1024283950301073409/ncyT_ngB.jpg","View")</f>
        <v>View</v>
      </c>
    </row>
    <row r="63" spans="1:19" ht="30">
      <c r="A63" s="8">
        <v>43348.756435185191</v>
      </c>
      <c r="B63" s="11" t="str">
        <f>HYPERLINK("https://twitter.com/journalistirani","@journalistirani")</f>
        <v>@journalistirani</v>
      </c>
      <c r="C63" s="6" t="s">
        <v>4243</v>
      </c>
      <c r="D63" s="5" t="s">
        <v>16391</v>
      </c>
      <c r="E63" s="9" t="str">
        <f>HYPERLINK("https://twitter.com/journalistirani/status/1037334350474477569","1037334350474477569")</f>
        <v>1037334350474477569</v>
      </c>
      <c r="F63" s="4"/>
      <c r="G63" s="10" t="s">
        <v>16390</v>
      </c>
      <c r="H63" s="4"/>
      <c r="I63" s="10" t="str">
        <f>HYPERLINK("http://twitter.com/download/android","Twitter for Android")</f>
        <v>Twitter for Android</v>
      </c>
      <c r="J63" s="2">
        <v>227</v>
      </c>
      <c r="K63" s="2">
        <v>126</v>
      </c>
      <c r="L63" s="2">
        <v>0</v>
      </c>
      <c r="M63" s="2"/>
      <c r="N63" s="8">
        <v>42889.23883101852</v>
      </c>
      <c r="O63" s="4" t="s">
        <v>104</v>
      </c>
      <c r="P63" s="3" t="s">
        <v>4241</v>
      </c>
      <c r="Q63" s="4"/>
      <c r="R63" s="4"/>
      <c r="S63" s="9" t="str">
        <f>HYPERLINK("https://pbs.twimg.com/profile_images/1030794328602537984/rOEUD0pb.jpg","View")</f>
        <v>View</v>
      </c>
    </row>
    <row r="64" spans="1:19" ht="20">
      <c r="A64" s="8">
        <v>43348.755775462967</v>
      </c>
      <c r="B64" s="11" t="str">
        <f>HYPERLINK("https://twitter.com/rafiee_rahman","@rafiee_rahman")</f>
        <v>@rafiee_rahman</v>
      </c>
      <c r="C64" s="6" t="s">
        <v>16389</v>
      </c>
      <c r="D64" s="5" t="s">
        <v>16388</v>
      </c>
      <c r="E64" s="9" t="str">
        <f>HYPERLINK("https://twitter.com/rafiee_rahman/status/1037334111810211841","1037334111810211841")</f>
        <v>1037334111810211841</v>
      </c>
      <c r="F64" s="4"/>
      <c r="G64" s="4"/>
      <c r="H64" s="4"/>
      <c r="I64" s="10" t="str">
        <f>HYPERLINK("http://twitter.com/download/android","Twitter for Android")</f>
        <v>Twitter for Android</v>
      </c>
      <c r="J64" s="2">
        <v>21</v>
      </c>
      <c r="K64" s="2">
        <v>37</v>
      </c>
      <c r="L64" s="2">
        <v>0</v>
      </c>
      <c r="M64" s="2"/>
      <c r="N64" s="8">
        <v>42760.530324074076</v>
      </c>
      <c r="O64" s="4" t="s">
        <v>16387</v>
      </c>
      <c r="P64" s="3"/>
      <c r="Q64" s="4"/>
      <c r="R64" s="4"/>
      <c r="S64" s="9" t="str">
        <f>HYPERLINK("https://pbs.twimg.com/profile_images/824187230948311040/H1VlfIiD.jpg","View")</f>
        <v>View</v>
      </c>
    </row>
    <row r="65" spans="1:19" ht="30">
      <c r="A65" s="8">
        <v>43348.755289351851</v>
      </c>
      <c r="B65" s="11" t="str">
        <f>HYPERLINK("https://twitter.com/mrbahrani4","@mrbahrani4")</f>
        <v>@mrbahrani4</v>
      </c>
      <c r="C65" s="6" t="s">
        <v>147</v>
      </c>
      <c r="D65" s="5" t="s">
        <v>16386</v>
      </c>
      <c r="E65" s="9" t="str">
        <f>HYPERLINK("https://twitter.com/mrbahrani4/status/1037333935796232194","1037333935796232194")</f>
        <v>1037333935796232194</v>
      </c>
      <c r="F65" s="4"/>
      <c r="G65" s="10" t="s">
        <v>16385</v>
      </c>
      <c r="H65" s="4"/>
      <c r="I65" s="10" t="str">
        <f>HYPERLINK("http://twitter.com","Twitter Web Client")</f>
        <v>Twitter Web Client</v>
      </c>
      <c r="J65" s="2">
        <v>14</v>
      </c>
      <c r="K65" s="2">
        <v>14</v>
      </c>
      <c r="L65" s="2">
        <v>0</v>
      </c>
      <c r="M65" s="2"/>
      <c r="N65" s="8">
        <v>42368.146400462967</v>
      </c>
      <c r="O65" s="4" t="s">
        <v>145</v>
      </c>
      <c r="P65" s="3" t="s">
        <v>144</v>
      </c>
      <c r="Q65" s="4"/>
      <c r="R65" s="4"/>
      <c r="S65" s="9" t="str">
        <f>HYPERLINK("https://pbs.twimg.com/profile_images/1011707039272218624/sTmhaytP.jpg","View")</f>
        <v>View</v>
      </c>
    </row>
    <row r="66" spans="1:19" ht="40">
      <c r="A66" s="8">
        <v>43348.753101851849</v>
      </c>
      <c r="B66" s="11" t="str">
        <f>HYPERLINK("https://twitter.com/AliSoltanyy","@AliSoltanyy")</f>
        <v>@AliSoltanyy</v>
      </c>
      <c r="C66" s="6" t="s">
        <v>1870</v>
      </c>
      <c r="D66" s="5" t="s">
        <v>16384</v>
      </c>
      <c r="E66" s="9" t="str">
        <f>HYPERLINK("https://twitter.com/AliSoltanyy/status/1037333141197864961","1037333141197864961")</f>
        <v>1037333141197864961</v>
      </c>
      <c r="F66" s="4"/>
      <c r="G66" s="4"/>
      <c r="H66" s="4"/>
      <c r="I66" s="10" t="str">
        <f>HYPERLINK("http://twitter.com/download/android","Twitter for Android")</f>
        <v>Twitter for Android</v>
      </c>
      <c r="J66" s="2">
        <v>118</v>
      </c>
      <c r="K66" s="2">
        <v>137</v>
      </c>
      <c r="L66" s="2">
        <v>0</v>
      </c>
      <c r="M66" s="2"/>
      <c r="N66" s="8">
        <v>42779.751817129625</v>
      </c>
      <c r="O66" s="4"/>
      <c r="P66" s="3" t="s">
        <v>1868</v>
      </c>
      <c r="Q66" s="4"/>
      <c r="R66" s="4"/>
      <c r="S66" s="9" t="str">
        <f>HYPERLINK("https://pbs.twimg.com/profile_images/838857742605508609/RD9uywdl.jpg","View")</f>
        <v>View</v>
      </c>
    </row>
    <row r="67" spans="1:19" ht="40">
      <c r="A67" s="8">
        <v>43348.749826388885</v>
      </c>
      <c r="B67" s="11" t="str">
        <f>HYPERLINK("https://twitter.com/Mohsenghafory","@Mohsenghafory")</f>
        <v>@Mohsenghafory</v>
      </c>
      <c r="C67" s="6" t="s">
        <v>16383</v>
      </c>
      <c r="D67" s="5" t="s">
        <v>16382</v>
      </c>
      <c r="E67" s="9" t="str">
        <f>HYPERLINK("https://twitter.com/Mohsenghafory/status/1037331955115810817","1037331955115810817")</f>
        <v>1037331955115810817</v>
      </c>
      <c r="F67" s="4"/>
      <c r="G67" s="10" t="s">
        <v>16381</v>
      </c>
      <c r="H67" s="4"/>
      <c r="I67" s="10" t="str">
        <f>HYPERLINK("http://twitter.com/download/android","Twitter for Android")</f>
        <v>Twitter for Android</v>
      </c>
      <c r="J67" s="2">
        <v>60</v>
      </c>
      <c r="K67" s="2">
        <v>129</v>
      </c>
      <c r="L67" s="2">
        <v>0</v>
      </c>
      <c r="M67" s="2"/>
      <c r="N67" s="8">
        <v>43303.974432870367</v>
      </c>
      <c r="O67" s="4" t="s">
        <v>34</v>
      </c>
      <c r="P67" s="3" t="s">
        <v>16380</v>
      </c>
      <c r="Q67" s="4"/>
      <c r="R67" s="4"/>
      <c r="S67" s="9" t="str">
        <f>HYPERLINK("https://pbs.twimg.com/profile_images/1021109658436579329/L6JMwlEY.jpg","View")</f>
        <v>View</v>
      </c>
    </row>
    <row r="68" spans="1:19" ht="40">
      <c r="A68" s="8">
        <v>43348.74936342593</v>
      </c>
      <c r="B68" s="11" t="str">
        <f>HYPERLINK("https://twitter.com/boroumand60","@boroumand60")</f>
        <v>@boroumand60</v>
      </c>
      <c r="C68" s="6" t="s">
        <v>11733</v>
      </c>
      <c r="D68" s="5" t="s">
        <v>16379</v>
      </c>
      <c r="E68" s="9" t="str">
        <f>HYPERLINK("https://twitter.com/boroumand60/status/1037331786324475906","1037331786324475906")</f>
        <v>1037331786324475906</v>
      </c>
      <c r="F68" s="4"/>
      <c r="G68" s="4"/>
      <c r="H68" s="4"/>
      <c r="I68" s="10" t="str">
        <f>HYPERLINK("http://twitter.com/download/android","Twitter for Android")</f>
        <v>Twitter for Android</v>
      </c>
      <c r="J68" s="2">
        <v>196</v>
      </c>
      <c r="K68" s="2">
        <v>61</v>
      </c>
      <c r="L68" s="2">
        <v>2</v>
      </c>
      <c r="M68" s="2"/>
      <c r="N68" s="8">
        <v>43148.784155092595</v>
      </c>
      <c r="O68" s="4"/>
      <c r="P68" s="3" t="s">
        <v>11730</v>
      </c>
      <c r="Q68" s="4"/>
      <c r="R68" s="4"/>
      <c r="S68" s="9" t="str">
        <f>HYPERLINK("https://pbs.twimg.com/profile_images/1035603111094702082/E_S94D-_.jpg","View")</f>
        <v>View</v>
      </c>
    </row>
    <row r="69" spans="1:19" ht="20">
      <c r="A69" s="8">
        <v>43348.749305555553</v>
      </c>
      <c r="B69" s="11" t="str">
        <f>HYPERLINK("https://twitter.com/mrbahrani4","@mrbahrani4")</f>
        <v>@mrbahrani4</v>
      </c>
      <c r="C69" s="6" t="s">
        <v>147</v>
      </c>
      <c r="D69" s="5" t="s">
        <v>16378</v>
      </c>
      <c r="E69" s="9" t="str">
        <f>HYPERLINK("https://twitter.com/mrbahrani4/status/1037331766892216320","1037331766892216320")</f>
        <v>1037331766892216320</v>
      </c>
      <c r="F69" s="4"/>
      <c r="G69" s="4"/>
      <c r="H69" s="4"/>
      <c r="I69" s="10" t="str">
        <f>HYPERLINK("http://twitter.com","Twitter Web Client")</f>
        <v>Twitter Web Client</v>
      </c>
      <c r="J69" s="2">
        <v>14</v>
      </c>
      <c r="K69" s="2">
        <v>14</v>
      </c>
      <c r="L69" s="2">
        <v>0</v>
      </c>
      <c r="M69" s="2"/>
      <c r="N69" s="8">
        <v>42368.146400462967</v>
      </c>
      <c r="O69" s="4" t="s">
        <v>145</v>
      </c>
      <c r="P69" s="3" t="s">
        <v>144</v>
      </c>
      <c r="Q69" s="4"/>
      <c r="R69" s="4"/>
      <c r="S69" s="9" t="str">
        <f>HYPERLINK("https://pbs.twimg.com/profile_images/1011707039272218624/sTmhaytP.jpg","View")</f>
        <v>View</v>
      </c>
    </row>
    <row r="70" spans="1:19" ht="30">
      <c r="A70" s="8">
        <v>43348.748900462961</v>
      </c>
      <c r="B70" s="11" t="str">
        <f>HYPERLINK("https://twitter.com/mrbahrani4","@mrbahrani4")</f>
        <v>@mrbahrani4</v>
      </c>
      <c r="C70" s="6" t="s">
        <v>147</v>
      </c>
      <c r="D70" s="5" t="s">
        <v>16377</v>
      </c>
      <c r="E70" s="9" t="str">
        <f>HYPERLINK("https://twitter.com/mrbahrani4/status/1037331621052067840","1037331621052067840")</f>
        <v>1037331621052067840</v>
      </c>
      <c r="F70" s="4"/>
      <c r="G70" s="4"/>
      <c r="H70" s="4"/>
      <c r="I70" s="10" t="str">
        <f>HYPERLINK("http://twitter.com","Twitter Web Client")</f>
        <v>Twitter Web Client</v>
      </c>
      <c r="J70" s="2">
        <v>14</v>
      </c>
      <c r="K70" s="2">
        <v>14</v>
      </c>
      <c r="L70" s="2">
        <v>0</v>
      </c>
      <c r="M70" s="2"/>
      <c r="N70" s="8">
        <v>42368.146400462967</v>
      </c>
      <c r="O70" s="4" t="s">
        <v>145</v>
      </c>
      <c r="P70" s="3" t="s">
        <v>144</v>
      </c>
      <c r="Q70" s="4"/>
      <c r="R70" s="4"/>
      <c r="S70" s="9" t="str">
        <f>HYPERLINK("https://pbs.twimg.com/profile_images/1011707039272218624/sTmhaytP.jpg","View")</f>
        <v>View</v>
      </c>
    </row>
    <row r="71" spans="1:19" ht="30">
      <c r="A71" s="8">
        <v>43348.748668981483</v>
      </c>
      <c r="B71" s="11" t="str">
        <f>HYPERLINK("https://twitter.com/Tannaz_MK","@Tannaz_MK")</f>
        <v>@Tannaz_MK</v>
      </c>
      <c r="C71" s="6" t="s">
        <v>16376</v>
      </c>
      <c r="D71" s="5" t="s">
        <v>16375</v>
      </c>
      <c r="E71" s="9" t="str">
        <f>HYPERLINK("https://twitter.com/Tannaz_MK/status/1037331535005982726","1037331535005982726")</f>
        <v>1037331535005982726</v>
      </c>
      <c r="F71" s="4"/>
      <c r="G71" s="10" t="s">
        <v>16374</v>
      </c>
      <c r="H71" s="4"/>
      <c r="I71" s="10" t="str">
        <f>HYPERLINK("http://twitter.com/download/android","Twitter for Android")</f>
        <v>Twitter for Android</v>
      </c>
      <c r="J71" s="2">
        <v>1</v>
      </c>
      <c r="K71" s="2">
        <v>20</v>
      </c>
      <c r="L71" s="2">
        <v>0</v>
      </c>
      <c r="M71" s="2"/>
      <c r="N71" s="8">
        <v>41941.70952546296</v>
      </c>
      <c r="O71" s="4" t="s">
        <v>16373</v>
      </c>
      <c r="P71" s="3" t="s">
        <v>16372</v>
      </c>
      <c r="Q71" s="4"/>
      <c r="R71" s="4"/>
      <c r="S71" s="9" t="str">
        <f>HYPERLINK("https://pbs.twimg.com/profile_images/1029762640401326080/1LVcciKq.jpg","View")</f>
        <v>View</v>
      </c>
    </row>
    <row r="72" spans="1:19" ht="40">
      <c r="A72" s="8">
        <v>43348.747256944444</v>
      </c>
      <c r="B72" s="11" t="str">
        <f>HYPERLINK("https://twitter.com/RafatiSiavash","@RafatiSiavash")</f>
        <v>@RafatiSiavash</v>
      </c>
      <c r="C72" s="6" t="s">
        <v>3226</v>
      </c>
      <c r="D72" s="5" t="s">
        <v>16371</v>
      </c>
      <c r="E72" s="9" t="str">
        <f>HYPERLINK("https://twitter.com/RafatiSiavash/status/1037331023770644481","1037331023770644481")</f>
        <v>1037331023770644481</v>
      </c>
      <c r="F72" s="10" t="s">
        <v>16370</v>
      </c>
      <c r="G72" s="4"/>
      <c r="H72" s="4"/>
      <c r="I72" s="10" t="str">
        <f>HYPERLINK("http://twitter.com","Twitter Web Client")</f>
        <v>Twitter Web Client</v>
      </c>
      <c r="J72" s="2">
        <v>288</v>
      </c>
      <c r="K72" s="2">
        <v>230</v>
      </c>
      <c r="L72" s="2">
        <v>87</v>
      </c>
      <c r="M72" s="2"/>
      <c r="N72" s="8">
        <v>41050.769884259258</v>
      </c>
      <c r="O72" s="4"/>
      <c r="P72" s="3" t="s">
        <v>3223</v>
      </c>
      <c r="Q72" s="10" t="s">
        <v>3222</v>
      </c>
      <c r="R72" s="4"/>
      <c r="S72" s="9" t="str">
        <f>HYPERLINK("https://pbs.twimg.com/profile_images/821385868690751488/Qqe0I1Bk.jpg","View")</f>
        <v>View</v>
      </c>
    </row>
    <row r="73" spans="1:19" ht="40">
      <c r="A73" s="8">
        <v>43348.745381944449</v>
      </c>
      <c r="B73" s="11" t="str">
        <f>HYPERLINK("https://twitter.com/sina48844202","@sina48844202")</f>
        <v>@sina48844202</v>
      </c>
      <c r="C73" s="6" t="s">
        <v>16369</v>
      </c>
      <c r="D73" s="5" t="s">
        <v>16368</v>
      </c>
      <c r="E73" s="9" t="str">
        <f>HYPERLINK("https://twitter.com/sina48844202/status/1037330342930206723","1037330342930206723")</f>
        <v>1037330342930206723</v>
      </c>
      <c r="F73" s="4"/>
      <c r="G73" s="4"/>
      <c r="H73" s="4"/>
      <c r="I73" s="10" t="str">
        <f>HYPERLINK("http://twitter.com/download/iphone","Twitter for iPhone")</f>
        <v>Twitter for iPhone</v>
      </c>
      <c r="J73" s="2">
        <v>39</v>
      </c>
      <c r="K73" s="2">
        <v>229</v>
      </c>
      <c r="L73" s="2">
        <v>0</v>
      </c>
      <c r="M73" s="2"/>
      <c r="N73" s="8">
        <v>43131.494837962964</v>
      </c>
      <c r="O73" s="4" t="s">
        <v>34</v>
      </c>
      <c r="P73" s="3" t="s">
        <v>16367</v>
      </c>
      <c r="Q73" s="4"/>
      <c r="R73" s="4"/>
      <c r="S73" s="9" t="str">
        <f>HYPERLINK("https://pbs.twimg.com/profile_images/984182351394693121/ChMPxONG.jpg","View")</f>
        <v>View</v>
      </c>
    </row>
    <row r="74" spans="1:19" ht="30">
      <c r="A74" s="8">
        <v>43348.74527777778</v>
      </c>
      <c r="B74" s="11" t="str">
        <f>HYPERLINK("https://twitter.com/ilnanews","@ilnanews")</f>
        <v>@ilnanews</v>
      </c>
      <c r="C74" s="6" t="s">
        <v>6413</v>
      </c>
      <c r="D74" s="5" t="s">
        <v>16366</v>
      </c>
      <c r="E74" s="9" t="str">
        <f>HYPERLINK("https://twitter.com/ilnanews/status/1037330304976019457","1037330304976019457")</f>
        <v>1037330304976019457</v>
      </c>
      <c r="F74" s="10" t="s">
        <v>16365</v>
      </c>
      <c r="G74" s="10" t="s">
        <v>16364</v>
      </c>
      <c r="H74" s="4"/>
      <c r="I74" s="10" t="str">
        <f>HYPERLINK("http://twitter.com/download/android","Twitter for Android")</f>
        <v>Twitter for Android</v>
      </c>
      <c r="J74" s="2">
        <v>32513</v>
      </c>
      <c r="K74" s="2">
        <v>67</v>
      </c>
      <c r="L74" s="2">
        <v>160</v>
      </c>
      <c r="M74" s="2"/>
      <c r="N74" s="8">
        <v>42062.024768518517</v>
      </c>
      <c r="O74" s="4" t="s">
        <v>34</v>
      </c>
      <c r="P74" s="3" t="s">
        <v>6409</v>
      </c>
      <c r="Q74" s="10" t="s">
        <v>6408</v>
      </c>
      <c r="R74" s="4"/>
      <c r="S74" s="9" t="str">
        <f>HYPERLINK("https://pbs.twimg.com/profile_images/760387216782848000/TS1QyYLo.jpg","View")</f>
        <v>View</v>
      </c>
    </row>
    <row r="75" spans="1:19" ht="20">
      <c r="A75" s="8">
        <v>43348.745092592595</v>
      </c>
      <c r="B75" s="11" t="str">
        <f>HYPERLINK("https://twitter.com/mohadlii","@mohadlii")</f>
        <v>@mohadlii</v>
      </c>
      <c r="C75" s="6" t="s">
        <v>16363</v>
      </c>
      <c r="D75" s="5" t="s">
        <v>16362</v>
      </c>
      <c r="E75" s="9" t="str">
        <f>HYPERLINK("https://twitter.com/mohadlii/status/1037330238970183681","1037330238970183681")</f>
        <v>1037330238970183681</v>
      </c>
      <c r="F75" s="4"/>
      <c r="G75" s="4"/>
      <c r="H75" s="4"/>
      <c r="I75" s="10" t="str">
        <f>HYPERLINK("https://mobile.twitter.com","Twitter Lite")</f>
        <v>Twitter Lite</v>
      </c>
      <c r="J75" s="2">
        <v>74</v>
      </c>
      <c r="K75" s="2">
        <v>197</v>
      </c>
      <c r="L75" s="2">
        <v>0</v>
      </c>
      <c r="M75" s="2"/>
      <c r="N75" s="8">
        <v>42521.016435185185</v>
      </c>
      <c r="O75" s="4" t="s">
        <v>16361</v>
      </c>
      <c r="P75" s="3" t="s">
        <v>16360</v>
      </c>
      <c r="Q75" s="4"/>
      <c r="R75" s="4"/>
      <c r="S75" s="9" t="str">
        <f>HYPERLINK("https://pbs.twimg.com/profile_images/980822730646765568/WjdmFiPX.jpg","View")</f>
        <v>View</v>
      </c>
    </row>
    <row r="76" spans="1:19" ht="30">
      <c r="A76" s="8">
        <v>43348.744733796295</v>
      </c>
      <c r="B76" s="11" t="str">
        <f>HYPERLINK("https://twitter.com/M_e_hasan","@M_e_hasan")</f>
        <v>@M_e_hasan</v>
      </c>
      <c r="C76" s="6" t="s">
        <v>16359</v>
      </c>
      <c r="D76" s="5" t="s">
        <v>16358</v>
      </c>
      <c r="E76" s="9" t="str">
        <f>HYPERLINK("https://twitter.com/M_e_hasan/status/1037330110809079809","1037330110809079809")</f>
        <v>1037330110809079809</v>
      </c>
      <c r="F76" s="4"/>
      <c r="G76" s="4"/>
      <c r="H76" s="4"/>
      <c r="I76" s="10" t="str">
        <f>HYPERLINK("http://twitter.com/download/android","Twitter for Android")</f>
        <v>Twitter for Android</v>
      </c>
      <c r="J76" s="2">
        <v>113</v>
      </c>
      <c r="K76" s="2">
        <v>119</v>
      </c>
      <c r="L76" s="2">
        <v>0</v>
      </c>
      <c r="M76" s="2"/>
      <c r="N76" s="8">
        <v>43311.905081018514</v>
      </c>
      <c r="O76" s="4"/>
      <c r="P76" s="3" t="s">
        <v>16357</v>
      </c>
      <c r="Q76" s="4"/>
      <c r="R76" s="4"/>
      <c r="S76" s="9" t="str">
        <f>HYPERLINK("https://pbs.twimg.com/profile_images/1024168141923012608/WuG5a6XF.jpg","View")</f>
        <v>View</v>
      </c>
    </row>
    <row r="77" spans="1:19" ht="70">
      <c r="A77" s="8">
        <v>43348.741944444446</v>
      </c>
      <c r="B77" s="11" t="str">
        <f>HYPERLINK("https://twitter.com/r_shekarchian","@r_shekarchian")</f>
        <v>@r_shekarchian</v>
      </c>
      <c r="C77" s="6" t="s">
        <v>16356</v>
      </c>
      <c r="D77" s="5" t="s">
        <v>16355</v>
      </c>
      <c r="E77" s="9" t="str">
        <f>HYPERLINK("https://twitter.com/r_shekarchian/status/1037329100137025538","1037329100137025538")</f>
        <v>1037329100137025538</v>
      </c>
      <c r="F77" s="10" t="s">
        <v>15288</v>
      </c>
      <c r="G77" s="10" t="s">
        <v>15287</v>
      </c>
      <c r="H77" s="4"/>
      <c r="I77" s="10" t="str">
        <f>HYPERLINK("http://twitter.com","Twitter Web Client")</f>
        <v>Twitter Web Client</v>
      </c>
      <c r="J77" s="2">
        <v>44</v>
      </c>
      <c r="K77" s="2">
        <v>118</v>
      </c>
      <c r="L77" s="2">
        <v>0</v>
      </c>
      <c r="M77" s="2"/>
      <c r="N77" s="8">
        <v>43019.697766203702</v>
      </c>
      <c r="O77" s="4"/>
      <c r="P77" s="3" t="s">
        <v>16354</v>
      </c>
      <c r="Q77" s="4"/>
      <c r="R77" s="4"/>
      <c r="S77" s="9" t="str">
        <f>HYPERLINK("https://pbs.twimg.com/profile_images/1031171467524952064/p2U7on6h.jpg","View")</f>
        <v>View</v>
      </c>
    </row>
    <row r="78" spans="1:19" ht="30">
      <c r="A78" s="8">
        <v>43348.741631944446</v>
      </c>
      <c r="B78" s="11" t="str">
        <f>HYPERLINK("https://twitter.com/hooman_hosn","@hooman_hosn")</f>
        <v>@hooman_hosn</v>
      </c>
      <c r="C78" s="6" t="s">
        <v>9575</v>
      </c>
      <c r="D78" s="5" t="s">
        <v>16353</v>
      </c>
      <c r="E78" s="9" t="str">
        <f>HYPERLINK("https://twitter.com/hooman_hosn/status/1037328983770230790","1037328983770230790")</f>
        <v>1037328983770230790</v>
      </c>
      <c r="F78" s="4"/>
      <c r="G78" s="4"/>
      <c r="H78" s="4"/>
      <c r="I78" s="10" t="str">
        <f>HYPERLINK("http://twitter.com/download/iphone","Twitter for iPhone")</f>
        <v>Twitter for iPhone</v>
      </c>
      <c r="J78" s="2">
        <v>163</v>
      </c>
      <c r="K78" s="2">
        <v>215</v>
      </c>
      <c r="L78" s="2">
        <v>0</v>
      </c>
      <c r="M78" s="2"/>
      <c r="N78" s="8">
        <v>42888.693113425921</v>
      </c>
      <c r="O78" s="4" t="s">
        <v>9573</v>
      </c>
      <c r="P78" s="3" t="s">
        <v>10806</v>
      </c>
      <c r="Q78" s="4"/>
      <c r="R78" s="4"/>
      <c r="S78" s="9" t="str">
        <f>HYPERLINK("https://pbs.twimg.com/profile_images/1013118468395360256/Gm2C7DNg.jpg","View")</f>
        <v>View</v>
      </c>
    </row>
    <row r="79" spans="1:19" ht="20">
      <c r="A79" s="8">
        <v>43348.740486111114</v>
      </c>
      <c r="B79" s="11" t="str">
        <f>HYPERLINK("https://twitter.com/peyman_akbri","@peyman_akbri")</f>
        <v>@peyman_akbri</v>
      </c>
      <c r="C79" s="6" t="s">
        <v>16352</v>
      </c>
      <c r="D79" s="5" t="s">
        <v>16351</v>
      </c>
      <c r="E79" s="9" t="str">
        <f>HYPERLINK("https://twitter.com/peyman_akbri/status/1037328571814096896","1037328571814096896")</f>
        <v>1037328571814096896</v>
      </c>
      <c r="F79" s="4"/>
      <c r="G79" s="4"/>
      <c r="H79" s="4"/>
      <c r="I79" s="10" t="str">
        <f>HYPERLINK("http://twitter.com/download/iphone","Twitter for iPhone")</f>
        <v>Twitter for iPhone</v>
      </c>
      <c r="J79" s="2">
        <v>5</v>
      </c>
      <c r="K79" s="2">
        <v>28</v>
      </c>
      <c r="L79" s="2">
        <v>0</v>
      </c>
      <c r="M79" s="2"/>
      <c r="N79" s="8">
        <v>43319.015486111108</v>
      </c>
      <c r="O79" s="4" t="s">
        <v>34</v>
      </c>
      <c r="P79" s="3" t="s">
        <v>16350</v>
      </c>
      <c r="Q79" s="4"/>
      <c r="R79" s="4"/>
      <c r="S79" s="9" t="str">
        <f>HYPERLINK("https://pbs.twimg.com/profile_images/1026559499644141568/iO-bqnu6.jpg","View")</f>
        <v>View</v>
      </c>
    </row>
    <row r="80" spans="1:19" ht="40">
      <c r="A80" s="8">
        <v>43348.740439814814</v>
      </c>
      <c r="B80" s="11" t="str">
        <f>HYPERLINK("https://twitter.com/freedommesenger","@freedommesenger")</f>
        <v>@freedommesenger</v>
      </c>
      <c r="C80" s="6" t="s">
        <v>808</v>
      </c>
      <c r="D80" s="5" t="s">
        <v>16349</v>
      </c>
      <c r="E80" s="9" t="str">
        <f>HYPERLINK("https://twitter.com/freedommesenger/status/1037328552738402304","1037328552738402304")</f>
        <v>1037328552738402304</v>
      </c>
      <c r="F80" s="4"/>
      <c r="G80" s="10" t="s">
        <v>16348</v>
      </c>
      <c r="H80" s="4"/>
      <c r="I80" s="10" t="str">
        <f>HYPERLINK("http://twitter.com/download/iphone","Twitter for iPhone")</f>
        <v>Twitter for iPhone</v>
      </c>
      <c r="J80" s="2">
        <v>7829</v>
      </c>
      <c r="K80" s="2">
        <v>32</v>
      </c>
      <c r="L80" s="2">
        <v>262</v>
      </c>
      <c r="M80" s="2"/>
      <c r="N80" s="8">
        <v>40052.203796296293</v>
      </c>
      <c r="O80" s="4" t="s">
        <v>805</v>
      </c>
      <c r="P80" s="3" t="s">
        <v>804</v>
      </c>
      <c r="Q80" s="10" t="s">
        <v>803</v>
      </c>
      <c r="R80" s="4"/>
      <c r="S80" s="9" t="str">
        <f>HYPERLINK("https://pbs.twimg.com/profile_images/756008327/youtube_icon_01.jpg","View")</f>
        <v>View</v>
      </c>
    </row>
    <row r="81" spans="1:19" ht="30">
      <c r="A81" s="8">
        <v>43348.739849537036</v>
      </c>
      <c r="B81" s="11" t="str">
        <f>HYPERLINK("https://twitter.com/Zahra_Zarei74","@Zahra_Zarei74")</f>
        <v>@Zahra_Zarei74</v>
      </c>
      <c r="C81" s="6" t="s">
        <v>6097</v>
      </c>
      <c r="D81" s="5" t="s">
        <v>16347</v>
      </c>
      <c r="E81" s="9" t="str">
        <f>HYPERLINK("https://twitter.com/Zahra_Zarei74/status/1037328338677886977","1037328338677886977")</f>
        <v>1037328338677886977</v>
      </c>
      <c r="F81" s="4"/>
      <c r="G81" s="4"/>
      <c r="H81" s="4"/>
      <c r="I81" s="10" t="str">
        <f>HYPERLINK("http://twitter.com/download/android","Twitter for Android")</f>
        <v>Twitter for Android</v>
      </c>
      <c r="J81" s="2">
        <v>1651</v>
      </c>
      <c r="K81" s="2">
        <v>1054</v>
      </c>
      <c r="L81" s="2">
        <v>6</v>
      </c>
      <c r="M81" s="2"/>
      <c r="N81" s="8">
        <v>42915.919560185182</v>
      </c>
      <c r="O81" s="4" t="s">
        <v>34</v>
      </c>
      <c r="P81" s="3" t="s">
        <v>6095</v>
      </c>
      <c r="Q81" s="4"/>
      <c r="R81" s="4"/>
      <c r="S81" s="9" t="str">
        <f>HYPERLINK("https://pbs.twimg.com/profile_images/947418069198082048/vQHjb5fw.jpg","View")</f>
        <v>View</v>
      </c>
    </row>
    <row r="82" spans="1:19" ht="50">
      <c r="A82" s="8">
        <v>43348.739432870367</v>
      </c>
      <c r="B82" s="11" t="str">
        <f>HYPERLINK("https://twitter.com/Babakkey","@Babakkey")</f>
        <v>@Babakkey</v>
      </c>
      <c r="C82" s="6" t="s">
        <v>10265</v>
      </c>
      <c r="D82" s="5" t="s">
        <v>16346</v>
      </c>
      <c r="E82" s="9" t="str">
        <f>HYPERLINK("https://twitter.com/Babakkey/status/1037328187405946880","1037328187405946880")</f>
        <v>1037328187405946880</v>
      </c>
      <c r="F82" s="10" t="s">
        <v>16345</v>
      </c>
      <c r="G82" s="10" t="s">
        <v>15831</v>
      </c>
      <c r="H82" s="4"/>
      <c r="I82" s="10" t="str">
        <f>HYPERLINK("http://twitter.com/download/android","Twitter for Android")</f>
        <v>Twitter for Android</v>
      </c>
      <c r="J82" s="2">
        <v>321</v>
      </c>
      <c r="K82" s="2">
        <v>643</v>
      </c>
      <c r="L82" s="2">
        <v>3</v>
      </c>
      <c r="M82" s="2"/>
      <c r="N82" s="8">
        <v>41479.831863425927</v>
      </c>
      <c r="O82" s="4"/>
      <c r="P82" s="3" t="s">
        <v>10262</v>
      </c>
      <c r="Q82" s="4"/>
      <c r="R82" s="4"/>
      <c r="S82" s="9" t="str">
        <f>HYPERLINK("https://pbs.twimg.com/profile_images/978517694818349057/4Wq_dXFT.jpg","View")</f>
        <v>View</v>
      </c>
    </row>
    <row r="83" spans="1:19" ht="40">
      <c r="A83" s="8">
        <v>43348.738668981481</v>
      </c>
      <c r="B83" s="11" t="str">
        <f>HYPERLINK("https://twitter.com/Andisheha57","@Andisheha57")</f>
        <v>@Andisheha57</v>
      </c>
      <c r="C83" s="6" t="s">
        <v>10386</v>
      </c>
      <c r="D83" s="5" t="s">
        <v>16344</v>
      </c>
      <c r="E83" s="9" t="str">
        <f>HYPERLINK("https://twitter.com/Andisheha57/status/1037327912888885249","1037327912888885249")</f>
        <v>1037327912888885249</v>
      </c>
      <c r="F83" s="4"/>
      <c r="G83" s="10" t="s">
        <v>16343</v>
      </c>
      <c r="H83" s="4"/>
      <c r="I83" s="10" t="str">
        <f>HYPERLINK("http://twitter.com/download/android","Twitter for Android")</f>
        <v>Twitter for Android</v>
      </c>
      <c r="J83" s="2">
        <v>44</v>
      </c>
      <c r="K83" s="2">
        <v>67</v>
      </c>
      <c r="L83" s="2">
        <v>0</v>
      </c>
      <c r="M83" s="2"/>
      <c r="N83" s="8">
        <v>42911.098877314813</v>
      </c>
      <c r="O83" s="4" t="s">
        <v>25</v>
      </c>
      <c r="P83" s="3" t="s">
        <v>16342</v>
      </c>
      <c r="Q83" s="4"/>
      <c r="R83" s="4"/>
      <c r="S83" s="9" t="str">
        <f>HYPERLINK("https://pbs.twimg.com/profile_images/950097515424243712/x0bIxJlq.jpg","View")</f>
        <v>View</v>
      </c>
    </row>
    <row r="84" spans="1:19" ht="40">
      <c r="A84" s="8">
        <v>43348.738287037035</v>
      </c>
      <c r="B84" s="11" t="str">
        <f>HYPERLINK("https://twitter.com/Homayoun_Ghani","@Homayoun_Ghani")</f>
        <v>@Homayoun_Ghani</v>
      </c>
      <c r="C84" s="6" t="s">
        <v>3847</v>
      </c>
      <c r="D84" s="5" t="s">
        <v>16341</v>
      </c>
      <c r="E84" s="9" t="str">
        <f>HYPERLINK("https://twitter.com/Homayoun_Ghani/status/1037327771662524418","1037327771662524418")</f>
        <v>1037327771662524418</v>
      </c>
      <c r="F84" s="4"/>
      <c r="G84" s="4"/>
      <c r="H84" s="4"/>
      <c r="I84" s="10" t="str">
        <f>HYPERLINK("http://twitter.com/download/android","Twitter for Android")</f>
        <v>Twitter for Android</v>
      </c>
      <c r="J84" s="2">
        <v>292</v>
      </c>
      <c r="K84" s="2">
        <v>553</v>
      </c>
      <c r="L84" s="2">
        <v>0</v>
      </c>
      <c r="M84" s="2"/>
      <c r="N84" s="8">
        <v>43310.121701388889</v>
      </c>
      <c r="O84" s="4" t="s">
        <v>324</v>
      </c>
      <c r="P84" s="3" t="s">
        <v>3845</v>
      </c>
      <c r="Q84" s="4"/>
      <c r="R84" s="4"/>
      <c r="S84" s="9" t="str">
        <f>HYPERLINK("https://pbs.twimg.com/profile_images/1023522612608229376/-2hsNWYF.jpg","View")</f>
        <v>View</v>
      </c>
    </row>
    <row r="85" spans="1:19" ht="20">
      <c r="A85" s="8">
        <v>43348.737222222218</v>
      </c>
      <c r="B85" s="11" t="str">
        <f>HYPERLINK("https://twitter.com/iRezaFeizi","@iRezaFeizi")</f>
        <v>@iRezaFeizi</v>
      </c>
      <c r="C85" s="6" t="s">
        <v>7544</v>
      </c>
      <c r="D85" s="5" t="s">
        <v>16340</v>
      </c>
      <c r="E85" s="9" t="str">
        <f>HYPERLINK("https://twitter.com/iRezaFeizi/status/1037327386151411712","1037327386151411712")</f>
        <v>1037327386151411712</v>
      </c>
      <c r="F85" s="4"/>
      <c r="G85" s="4"/>
      <c r="H85" s="4"/>
      <c r="I85" s="10" t="str">
        <f>HYPERLINK("http://twitter.com/download/iphone","Twitter for iPhone")</f>
        <v>Twitter for iPhone</v>
      </c>
      <c r="J85" s="2">
        <v>3050</v>
      </c>
      <c r="K85" s="2">
        <v>1939</v>
      </c>
      <c r="L85" s="2">
        <v>3</v>
      </c>
      <c r="M85" s="2"/>
      <c r="N85" s="8">
        <v>42753.867986111116</v>
      </c>
      <c r="O85" s="4"/>
      <c r="P85" s="3" t="s">
        <v>7542</v>
      </c>
      <c r="Q85" s="10" t="s">
        <v>7541</v>
      </c>
      <c r="R85" s="4"/>
      <c r="S85" s="9" t="str">
        <f>HYPERLINK("https://pbs.twimg.com/profile_images/960444516728737792/Pxw_6gIA.jpg","View")</f>
        <v>View</v>
      </c>
    </row>
    <row r="86" spans="1:19" ht="30">
      <c r="A86" s="8">
        <v>43348.737210648149</v>
      </c>
      <c r="B86" s="11" t="str">
        <f>HYPERLINK("https://twitter.com/Vazad6321","@Vazad6321")</f>
        <v>@Vazad6321</v>
      </c>
      <c r="C86" s="6" t="s">
        <v>16339</v>
      </c>
      <c r="D86" s="5" t="s">
        <v>16338</v>
      </c>
      <c r="E86" s="9" t="str">
        <f>HYPERLINK("https://twitter.com/Vazad6321/status/1037327384561766400","1037327384561766400")</f>
        <v>1037327384561766400</v>
      </c>
      <c r="F86" s="10" t="s">
        <v>16337</v>
      </c>
      <c r="G86" s="4"/>
      <c r="H86" s="4"/>
      <c r="I86" s="10" t="str">
        <f>HYPERLINK("http://www.facebook.com/twitter","Facebook")</f>
        <v>Facebook</v>
      </c>
      <c r="J86" s="2">
        <v>649</v>
      </c>
      <c r="K86" s="2">
        <v>372</v>
      </c>
      <c r="L86" s="2">
        <v>4</v>
      </c>
      <c r="M86" s="2"/>
      <c r="N86" s="8">
        <v>39987.077800925923</v>
      </c>
      <c r="O86" s="4" t="s">
        <v>3562</v>
      </c>
      <c r="P86" s="3" t="s">
        <v>16336</v>
      </c>
      <c r="Q86" s="10" t="s">
        <v>16335</v>
      </c>
      <c r="R86" s="4"/>
      <c r="S86" s="9" t="str">
        <f>HYPERLINK("https://pbs.twimg.com/profile_images/1009880195682197505/8vKP3h33.jpg","View")</f>
        <v>View</v>
      </c>
    </row>
    <row r="87" spans="1:19" ht="30">
      <c r="A87" s="8">
        <v>43348.735821759255</v>
      </c>
      <c r="B87" s="11" t="str">
        <f>HYPERLINK("https://twitter.com/hsnhasankhani","@hsnhasankhani")</f>
        <v>@hsnhasankhani</v>
      </c>
      <c r="C87" s="6" t="s">
        <v>6447</v>
      </c>
      <c r="D87" s="5" t="s">
        <v>16334</v>
      </c>
      <c r="E87" s="9" t="str">
        <f>HYPERLINK("https://twitter.com/hsnhasankhani/status/1037326878158270464","1037326878158270464")</f>
        <v>1037326878158270464</v>
      </c>
      <c r="F87" s="4"/>
      <c r="G87" s="4"/>
      <c r="H87" s="4"/>
      <c r="I87" s="10" t="str">
        <f>HYPERLINK("http://twitter.com","Twitter Web Client")</f>
        <v>Twitter Web Client</v>
      </c>
      <c r="J87" s="2">
        <v>73</v>
      </c>
      <c r="K87" s="2">
        <v>81</v>
      </c>
      <c r="L87" s="2">
        <v>0</v>
      </c>
      <c r="M87" s="2"/>
      <c r="N87" s="8">
        <v>43300.502557870372</v>
      </c>
      <c r="O87" s="4" t="s">
        <v>34</v>
      </c>
      <c r="P87" s="3" t="s">
        <v>16297</v>
      </c>
      <c r="Q87" s="4"/>
      <c r="R87" s="4"/>
      <c r="S87" s="9" t="str">
        <f>HYPERLINK("https://pbs.twimg.com/profile_images/1031865810447486976/OyDV3iMJ.jpg","View")</f>
        <v>View</v>
      </c>
    </row>
    <row r="88" spans="1:19" ht="30">
      <c r="A88" s="8">
        <v>43348.735162037032</v>
      </c>
      <c r="B88" s="11" t="str">
        <f>HYPERLINK("https://twitter.com/fatemehabbasiii","@fatemehabbasiii")</f>
        <v>@fatemehabbasiii</v>
      </c>
      <c r="C88" s="6" t="s">
        <v>12422</v>
      </c>
      <c r="D88" s="5" t="s">
        <v>16333</v>
      </c>
      <c r="E88" s="9" t="str">
        <f>HYPERLINK("https://twitter.com/fatemehabbasiii/status/1037326643134644225","1037326643134644225")</f>
        <v>1037326643134644225</v>
      </c>
      <c r="F88" s="4"/>
      <c r="G88" s="4"/>
      <c r="H88" s="4"/>
      <c r="I88" s="10" t="str">
        <f>HYPERLINK("http://twitter.com/download/android","Twitter for Android")</f>
        <v>Twitter for Android</v>
      </c>
      <c r="J88" s="2">
        <v>25</v>
      </c>
      <c r="K88" s="2">
        <v>25</v>
      </c>
      <c r="L88" s="2">
        <v>0</v>
      </c>
      <c r="M88" s="2"/>
      <c r="N88" s="8">
        <v>43038.716585648144</v>
      </c>
      <c r="O88" s="4"/>
      <c r="P88" s="3" t="s">
        <v>16332</v>
      </c>
      <c r="Q88" s="4"/>
      <c r="R88" s="4"/>
      <c r="S88" s="9" t="str">
        <f>HYPERLINK("https://pbs.twimg.com/profile_images/1005574025454768128/FYAB3MFF.jpg","View")</f>
        <v>View</v>
      </c>
    </row>
    <row r="89" spans="1:19" ht="20">
      <c r="A89" s="8">
        <v>43348.7347337963</v>
      </c>
      <c r="B89" s="11" t="str">
        <f>HYPERLINK("https://twitter.com/Hamid26310849","@Hamid26310849")</f>
        <v>@Hamid26310849</v>
      </c>
      <c r="C89" s="6" t="s">
        <v>16331</v>
      </c>
      <c r="D89" s="5" t="s">
        <v>16330</v>
      </c>
      <c r="E89" s="9" t="str">
        <f>HYPERLINK("https://twitter.com/Hamid26310849/status/1037326486657748992","1037326486657748992")</f>
        <v>1037326486657748992</v>
      </c>
      <c r="F89" s="4"/>
      <c r="G89" s="4"/>
      <c r="H89" s="4"/>
      <c r="I89" s="10" t="str">
        <f>HYPERLINK("http://twitter.com/download/android","Twitter for Android")</f>
        <v>Twitter for Android</v>
      </c>
      <c r="J89" s="2">
        <v>2495</v>
      </c>
      <c r="K89" s="2">
        <v>4807</v>
      </c>
      <c r="L89" s="2">
        <v>3</v>
      </c>
      <c r="M89" s="2"/>
      <c r="N89" s="8">
        <v>43062.775960648149</v>
      </c>
      <c r="O89" s="4" t="s">
        <v>14311</v>
      </c>
      <c r="P89" s="3" t="s">
        <v>16329</v>
      </c>
      <c r="Q89" s="4"/>
      <c r="R89" s="4"/>
      <c r="S89" s="9" t="str">
        <f>HYPERLINK("https://pbs.twimg.com/profile_images/952451069489147905/rgwEFEVN.jpg","View")</f>
        <v>View</v>
      </c>
    </row>
    <row r="90" spans="1:19" ht="20">
      <c r="A90" s="8">
        <v>43348.734039351853</v>
      </c>
      <c r="B90" s="11" t="str">
        <f>HYPERLINK("https://twitter.com/ABOLFAZLj4","@ABOLFAZLj4")</f>
        <v>@ABOLFAZLj4</v>
      </c>
      <c r="C90" s="6" t="s">
        <v>13011</v>
      </c>
      <c r="D90" s="5" t="s">
        <v>16328</v>
      </c>
      <c r="E90" s="9" t="str">
        <f>HYPERLINK("https://twitter.com/ABOLFAZLj4/status/1037326233514725376","1037326233514725376")</f>
        <v>1037326233514725376</v>
      </c>
      <c r="F90" s="10" t="s">
        <v>16327</v>
      </c>
      <c r="G90" s="4"/>
      <c r="H90" s="4"/>
      <c r="I90" s="10" t="str">
        <f>HYPERLINK("http://twitter.com/download/iphone","Twitter for iPhone")</f>
        <v>Twitter for iPhone</v>
      </c>
      <c r="J90" s="2">
        <v>291</v>
      </c>
      <c r="K90" s="2">
        <v>124</v>
      </c>
      <c r="L90" s="2">
        <v>0</v>
      </c>
      <c r="M90" s="2"/>
      <c r="N90" s="8">
        <v>43304.91134259259</v>
      </c>
      <c r="O90" s="4" t="s">
        <v>34</v>
      </c>
      <c r="P90" s="3" t="s">
        <v>13007</v>
      </c>
      <c r="Q90" s="4"/>
      <c r="R90" s="4"/>
      <c r="S90" s="9" t="str">
        <f>HYPERLINK("https://pbs.twimg.com/profile_images/1021467662604435457/dTKs9DL6.jpg","View")</f>
        <v>View</v>
      </c>
    </row>
    <row r="91" spans="1:19" ht="40">
      <c r="A91" s="8">
        <v>43348.732754629629</v>
      </c>
      <c r="B91" s="11" t="str">
        <f>HYPERLINK("https://twitter.com/_roshanaa_","@_roshanaa_")</f>
        <v>@_roshanaa_</v>
      </c>
      <c r="C91" s="6" t="s">
        <v>3236</v>
      </c>
      <c r="D91" s="5" t="s">
        <v>16326</v>
      </c>
      <c r="E91" s="9" t="str">
        <f>HYPERLINK("https://twitter.com/_roshanaa_/status/1037325768286720001","1037325768286720001")</f>
        <v>1037325768286720001</v>
      </c>
      <c r="F91" s="4"/>
      <c r="G91" s="4"/>
      <c r="H91" s="4"/>
      <c r="I91" s="10" t="str">
        <f>HYPERLINK("http://twitter.com","Twitter Web Client")</f>
        <v>Twitter Web Client</v>
      </c>
      <c r="J91" s="2">
        <v>3001</v>
      </c>
      <c r="K91" s="2">
        <v>1053</v>
      </c>
      <c r="L91" s="2">
        <v>5</v>
      </c>
      <c r="M91" s="2"/>
      <c r="N91" s="8">
        <v>41181.887025462966</v>
      </c>
      <c r="O91" s="4"/>
      <c r="P91" s="3" t="s">
        <v>3234</v>
      </c>
      <c r="Q91" s="4"/>
      <c r="R91" s="4"/>
      <c r="S91" s="9" t="str">
        <f>HYPERLINK("https://pbs.twimg.com/profile_images/1009316472500441088/P_YKDDPV.jpg","View")</f>
        <v>View</v>
      </c>
    </row>
    <row r="92" spans="1:19" ht="30">
      <c r="A92" s="8">
        <v>43348.731863425928</v>
      </c>
      <c r="B92" s="11" t="str">
        <f>HYPERLINK("https://twitter.com/AhmadiHanie","@AhmadiHanie")</f>
        <v>@AhmadiHanie</v>
      </c>
      <c r="C92" s="6" t="s">
        <v>6974</v>
      </c>
      <c r="D92" s="5" t="s">
        <v>16325</v>
      </c>
      <c r="E92" s="9" t="str">
        <f>HYPERLINK("https://twitter.com/AhmadiHanie/status/1037325445748928512","1037325445748928512")</f>
        <v>1037325445748928512</v>
      </c>
      <c r="F92" s="4"/>
      <c r="G92" s="10" t="s">
        <v>16324</v>
      </c>
      <c r="H92" s="4"/>
      <c r="I92" s="10" t="str">
        <f>HYPERLINK("http://twitter.com/download/android","Twitter for Android")</f>
        <v>Twitter for Android</v>
      </c>
      <c r="J92" s="2">
        <v>544</v>
      </c>
      <c r="K92" s="2">
        <v>662</v>
      </c>
      <c r="L92" s="2">
        <v>0</v>
      </c>
      <c r="M92" s="2"/>
      <c r="N92" s="8">
        <v>42963.504386574074</v>
      </c>
      <c r="O92" s="4" t="s">
        <v>104</v>
      </c>
      <c r="P92" s="3" t="s">
        <v>6971</v>
      </c>
      <c r="Q92" s="4"/>
      <c r="R92" s="4"/>
      <c r="S92" s="9" t="str">
        <f>HYPERLINK("https://pbs.twimg.com/profile_images/1010598538986885121/pfp2TR8O.jpg","View")</f>
        <v>View</v>
      </c>
    </row>
    <row r="93" spans="1:19" ht="40">
      <c r="A93" s="8">
        <v>43348.730995370366</v>
      </c>
      <c r="B93" s="11" t="str">
        <f>HYPERLINK("https://twitter.com/zalzalak88","@zalzalak88")</f>
        <v>@zalzalak88</v>
      </c>
      <c r="C93" s="6" t="s">
        <v>9356</v>
      </c>
      <c r="D93" s="5" t="s">
        <v>16323</v>
      </c>
      <c r="E93" s="9" t="str">
        <f>HYPERLINK("https://twitter.com/zalzalak88/status/1037325129477443584","1037325129477443584")</f>
        <v>1037325129477443584</v>
      </c>
      <c r="F93" s="4"/>
      <c r="G93" s="4"/>
      <c r="H93" s="4"/>
      <c r="I93" s="10" t="str">
        <f>HYPERLINK("http://twitter.com","Twitter Web Client")</f>
        <v>Twitter Web Client</v>
      </c>
      <c r="J93" s="2">
        <v>699</v>
      </c>
      <c r="K93" s="2">
        <v>846</v>
      </c>
      <c r="L93" s="2">
        <v>3</v>
      </c>
      <c r="M93" s="2"/>
      <c r="N93" s="8">
        <v>40349.90892361111</v>
      </c>
      <c r="O93" s="4"/>
      <c r="P93" s="3"/>
      <c r="Q93" s="4"/>
      <c r="R93" s="4"/>
      <c r="S93" s="9" t="str">
        <f>HYPERLINK("https://pbs.twimg.com/profile_images/1117132249/Mazeh.jpg","View")</f>
        <v>View</v>
      </c>
    </row>
    <row r="94" spans="1:19" ht="20">
      <c r="A94" s="8">
        <v>43348.730925925927</v>
      </c>
      <c r="B94" s="11" t="str">
        <f>HYPERLINK("https://twitter.com/emad__av","@emad__av")</f>
        <v>@emad__av</v>
      </c>
      <c r="C94" s="6" t="s">
        <v>12917</v>
      </c>
      <c r="D94" s="5" t="s">
        <v>16322</v>
      </c>
      <c r="E94" s="9" t="str">
        <f>HYPERLINK("https://twitter.com/emad__av/status/1037325104659812352","1037325104659812352")</f>
        <v>1037325104659812352</v>
      </c>
      <c r="F94" s="4"/>
      <c r="G94" s="4"/>
      <c r="H94" s="4"/>
      <c r="I94" s="10" t="str">
        <f>HYPERLINK("http://twitter.com/download/android","Twitter for Android")</f>
        <v>Twitter for Android</v>
      </c>
      <c r="J94" s="2">
        <v>0</v>
      </c>
      <c r="K94" s="2">
        <v>6</v>
      </c>
      <c r="L94" s="2">
        <v>0</v>
      </c>
      <c r="M94" s="2"/>
      <c r="N94" s="8">
        <v>43344.374479166669</v>
      </c>
      <c r="O94" s="4" t="s">
        <v>17</v>
      </c>
      <c r="P94" s="3" t="s">
        <v>16321</v>
      </c>
      <c r="Q94" s="10" t="s">
        <v>16320</v>
      </c>
      <c r="R94" s="4"/>
      <c r="S94" s="9" t="str">
        <f>HYPERLINK("https://pbs.twimg.com/profile_images/1035750068756901889/qWec6moN.jpg","View")</f>
        <v>View</v>
      </c>
    </row>
    <row r="95" spans="1:19" ht="60">
      <c r="A95" s="8">
        <v>43348.730775462958</v>
      </c>
      <c r="B95" s="11" t="str">
        <f>HYPERLINK("https://twitter.com/Mrezaa1211","@Mrezaa1211")</f>
        <v>@Mrezaa1211</v>
      </c>
      <c r="C95" s="6" t="s">
        <v>3993</v>
      </c>
      <c r="D95" s="5" t="s">
        <v>16319</v>
      </c>
      <c r="E95" s="9" t="str">
        <f>HYPERLINK("https://twitter.com/Mrezaa1211/status/1037325052461686784","1037325052461686784")</f>
        <v>1037325052461686784</v>
      </c>
      <c r="F95" s="10" t="s">
        <v>16318</v>
      </c>
      <c r="G95" s="10" t="s">
        <v>16317</v>
      </c>
      <c r="H95" s="4"/>
      <c r="I95" s="10" t="str">
        <f>HYPERLINK("http://twitter.com/download/android","Twitter for Android")</f>
        <v>Twitter for Android</v>
      </c>
      <c r="J95" s="2">
        <v>99</v>
      </c>
      <c r="K95" s="2">
        <v>185</v>
      </c>
      <c r="L95" s="2">
        <v>1</v>
      </c>
      <c r="M95" s="2"/>
      <c r="N95" s="8">
        <v>42828.01457175926</v>
      </c>
      <c r="O95" s="4" t="s">
        <v>894</v>
      </c>
      <c r="P95" s="3" t="s">
        <v>15319</v>
      </c>
      <c r="Q95" s="10" t="s">
        <v>3990</v>
      </c>
      <c r="R95" s="4"/>
      <c r="S95" s="9" t="str">
        <f>HYPERLINK("https://pbs.twimg.com/profile_images/953044560887930881/Ox8zj6kG.jpg","View")</f>
        <v>View</v>
      </c>
    </row>
    <row r="96" spans="1:19" ht="20">
      <c r="A96" s="8">
        <v>43348.729212962964</v>
      </c>
      <c r="B96" s="11" t="str">
        <f>HYPERLINK("https://twitter.com/pariiyaaa","@pariiyaaa")</f>
        <v>@pariiyaaa</v>
      </c>
      <c r="C96" s="6" t="s">
        <v>16239</v>
      </c>
      <c r="D96" s="5" t="s">
        <v>13331</v>
      </c>
      <c r="E96" s="9" t="str">
        <f>HYPERLINK("https://twitter.com/pariiyaaa/status/1037324486419275776","1037324486419275776")</f>
        <v>1037324486419275776</v>
      </c>
      <c r="F96" s="4"/>
      <c r="G96" s="4"/>
      <c r="H96" s="4"/>
      <c r="I96" s="10" t="str">
        <f>HYPERLINK("https://mobofa.com","Mobofa")</f>
        <v>Mobofa</v>
      </c>
      <c r="J96" s="2">
        <v>71</v>
      </c>
      <c r="K96" s="2">
        <v>237</v>
      </c>
      <c r="L96" s="2">
        <v>0</v>
      </c>
      <c r="M96" s="2"/>
      <c r="N96" s="8">
        <v>43243.68614583333</v>
      </c>
      <c r="O96" s="4" t="s">
        <v>34</v>
      </c>
      <c r="P96" s="3"/>
      <c r="Q96" s="4"/>
      <c r="R96" s="4"/>
      <c r="S96" s="9" t="str">
        <f>HYPERLINK("https://pbs.twimg.com/profile_images/999264842610454530/9VoIlpv_.jpg","View")</f>
        <v>View</v>
      </c>
    </row>
    <row r="97" spans="1:19" ht="20">
      <c r="A97" s="8">
        <v>43348.729212962964</v>
      </c>
      <c r="B97" s="11" t="str">
        <f>HYPERLINK("https://twitter.com/owliviyaa","@owliviyaa")</f>
        <v>@owliviyaa</v>
      </c>
      <c r="C97" s="6" t="s">
        <v>16241</v>
      </c>
      <c r="D97" s="5" t="s">
        <v>13331</v>
      </c>
      <c r="E97" s="9" t="str">
        <f>HYPERLINK("https://twitter.com/owliviyaa/status/1037324485924245504","1037324485924245504")</f>
        <v>1037324485924245504</v>
      </c>
      <c r="F97" s="4"/>
      <c r="G97" s="4"/>
      <c r="H97" s="4"/>
      <c r="I97" s="10" t="str">
        <f>HYPERLINK("https://mobofa.com","Mobofa")</f>
        <v>Mobofa</v>
      </c>
      <c r="J97" s="2">
        <v>75</v>
      </c>
      <c r="K97" s="2">
        <v>303</v>
      </c>
      <c r="L97" s="2">
        <v>0</v>
      </c>
      <c r="M97" s="2"/>
      <c r="N97" s="8">
        <v>43243.592835648145</v>
      </c>
      <c r="O97" s="4"/>
      <c r="P97" s="3" t="s">
        <v>16240</v>
      </c>
      <c r="Q97" s="4"/>
      <c r="R97" s="4"/>
      <c r="S97" s="9" t="str">
        <f>HYPERLINK("https://pbs.twimg.com/profile_images/999232799210065920/HuecBFQT.jpg","View")</f>
        <v>View</v>
      </c>
    </row>
    <row r="98" spans="1:19" ht="20">
      <c r="A98" s="8">
        <v>43348.729212962964</v>
      </c>
      <c r="B98" s="11" t="str">
        <f>HYPERLINK("https://twitter.com/HeliaMahini","@HeliaMahini")</f>
        <v>@HeliaMahini</v>
      </c>
      <c r="C98" s="6" t="s">
        <v>16246</v>
      </c>
      <c r="D98" s="5" t="s">
        <v>13331</v>
      </c>
      <c r="E98" s="9" t="str">
        <f>HYPERLINK("https://twitter.com/HeliaMahini/status/1037324485873958916","1037324485873958916")</f>
        <v>1037324485873958916</v>
      </c>
      <c r="F98" s="4"/>
      <c r="G98" s="4"/>
      <c r="H98" s="4"/>
      <c r="I98" s="10" t="str">
        <f>HYPERLINK("https://mobofa.com","Mobofa")</f>
        <v>Mobofa</v>
      </c>
      <c r="J98" s="2">
        <v>17</v>
      </c>
      <c r="K98" s="2">
        <v>33</v>
      </c>
      <c r="L98" s="2">
        <v>0</v>
      </c>
      <c r="M98" s="2"/>
      <c r="N98" s="8">
        <v>43229.821122685185</v>
      </c>
      <c r="O98" s="4"/>
      <c r="P98" s="3"/>
      <c r="Q98" s="4"/>
      <c r="R98" s="4"/>
      <c r="S98" s="9" t="str">
        <f>HYPERLINK("https://pbs.twimg.com/profile_images/1035879577049030656/vLasVN0U.jpg","View")</f>
        <v>View</v>
      </c>
    </row>
    <row r="99" spans="1:19" ht="30">
      <c r="A99" s="8">
        <v>43348.728842592594</v>
      </c>
      <c r="B99" s="11" t="str">
        <f>HYPERLINK("https://twitter.com/abdolrezaya","@abdolrezaya")</f>
        <v>@abdolrezaya</v>
      </c>
      <c r="C99" s="6" t="s">
        <v>16316</v>
      </c>
      <c r="D99" s="5" t="s">
        <v>16315</v>
      </c>
      <c r="E99" s="9" t="str">
        <f>HYPERLINK("https://twitter.com/abdolrezaya/status/1037324349668315138","1037324349668315138")</f>
        <v>1037324349668315138</v>
      </c>
      <c r="F99" s="4"/>
      <c r="G99" s="10" t="s">
        <v>16314</v>
      </c>
      <c r="H99" s="4"/>
      <c r="I99" s="10" t="str">
        <f>HYPERLINK("http://twitter.com/download/android","Twitter for Android")</f>
        <v>Twitter for Android</v>
      </c>
      <c r="J99" s="2">
        <v>805</v>
      </c>
      <c r="K99" s="2">
        <v>674</v>
      </c>
      <c r="L99" s="2">
        <v>3</v>
      </c>
      <c r="M99" s="2"/>
      <c r="N99" s="8">
        <v>42895.596342592587</v>
      </c>
      <c r="O99" s="4" t="s">
        <v>17</v>
      </c>
      <c r="P99" s="3" t="s">
        <v>16313</v>
      </c>
      <c r="Q99" s="4"/>
      <c r="R99" s="4"/>
      <c r="S99" s="9" t="str">
        <f>HYPERLINK("https://pbs.twimg.com/profile_images/873121219008012288/7n-e21lQ.jpg","View")</f>
        <v>View</v>
      </c>
    </row>
    <row r="100" spans="1:19" ht="30">
      <c r="A100" s="8">
        <v>43348.727395833332</v>
      </c>
      <c r="B100" s="11" t="str">
        <f>HYPERLINK("https://twitter.com/Daylit_","@Daylit_")</f>
        <v>@Daylit_</v>
      </c>
      <c r="C100" s="6" t="s">
        <v>16312</v>
      </c>
      <c r="D100" s="5" t="s">
        <v>16311</v>
      </c>
      <c r="E100" s="9" t="str">
        <f>HYPERLINK("https://twitter.com/Daylit_/status/1037323824906346497","1037323824906346497")</f>
        <v>1037323824906346497</v>
      </c>
      <c r="F100" s="4"/>
      <c r="G100" s="4"/>
      <c r="H100" s="4"/>
      <c r="I100" s="10" t="str">
        <f>HYPERLINK("http://twitter.com/download/android","Twitter for Android")</f>
        <v>Twitter for Android</v>
      </c>
      <c r="J100" s="2">
        <v>489</v>
      </c>
      <c r="K100" s="2">
        <v>689</v>
      </c>
      <c r="L100" s="2">
        <v>0</v>
      </c>
      <c r="M100" s="2"/>
      <c r="N100" s="8">
        <v>43132.858055555553</v>
      </c>
      <c r="O100" s="4" t="s">
        <v>17</v>
      </c>
      <c r="P100" s="3" t="s">
        <v>16310</v>
      </c>
      <c r="Q100" s="4"/>
      <c r="R100" s="4"/>
      <c r="S100" s="9" t="str">
        <f>HYPERLINK("https://pbs.twimg.com/profile_images/962890974396604416/DZ9fcNw7.jpg","View")</f>
        <v>View</v>
      </c>
    </row>
    <row r="101" spans="1:19" ht="40">
      <c r="A101" s="8">
        <v>43348.727175925931</v>
      </c>
      <c r="B101" s="11" t="str">
        <f>HYPERLINK("https://twitter.com/RezaYousefi_","@RezaYousefi_")</f>
        <v>@RezaYousefi_</v>
      </c>
      <c r="C101" s="6" t="s">
        <v>16309</v>
      </c>
      <c r="D101" s="5" t="s">
        <v>16308</v>
      </c>
      <c r="E101" s="9" t="str">
        <f>HYPERLINK("https://twitter.com/RezaYousefi_/status/1037323749144637440","1037323749144637440")</f>
        <v>1037323749144637440</v>
      </c>
      <c r="F101" s="4"/>
      <c r="G101" s="4"/>
      <c r="H101" s="4"/>
      <c r="I101" s="10" t="str">
        <f>HYPERLINK("http://twitter.com/download/iphone","Twitter for iPhone")</f>
        <v>Twitter for iPhone</v>
      </c>
      <c r="J101" s="2">
        <v>216</v>
      </c>
      <c r="K101" s="2">
        <v>105</v>
      </c>
      <c r="L101" s="2">
        <v>1</v>
      </c>
      <c r="M101" s="2"/>
      <c r="N101" s="8">
        <v>40585.615659722222</v>
      </c>
      <c r="O101" s="4" t="s">
        <v>5808</v>
      </c>
      <c r="P101" s="3" t="s">
        <v>16307</v>
      </c>
      <c r="Q101" s="10" t="s">
        <v>16306</v>
      </c>
      <c r="R101" s="4"/>
      <c r="S101" s="9" t="str">
        <f>HYPERLINK("https://pbs.twimg.com/profile_images/951925226270437376/9vAoNpZE.jpg","View")</f>
        <v>View</v>
      </c>
    </row>
    <row r="102" spans="1:19" ht="40">
      <c r="A102" s="8">
        <v>43348.727106481485</v>
      </c>
      <c r="B102" s="11" t="str">
        <f>HYPERLINK("https://twitter.com/kashef_rasu","@kashef_rasu")</f>
        <v>@kashef_rasu</v>
      </c>
      <c r="C102" s="6" t="s">
        <v>16305</v>
      </c>
      <c r="D102" s="5" t="s">
        <v>16304</v>
      </c>
      <c r="E102" s="9" t="str">
        <f>HYPERLINK("https://twitter.com/kashef_rasu/status/1037323723148283905","1037323723148283905")</f>
        <v>1037323723148283905</v>
      </c>
      <c r="F102" s="4"/>
      <c r="G102" s="10" t="s">
        <v>16303</v>
      </c>
      <c r="H102" s="4"/>
      <c r="I102" s="10" t="str">
        <f>HYPERLINK("http://twitter.com","Twitter Web Client")</f>
        <v>Twitter Web Client</v>
      </c>
      <c r="J102" s="2">
        <v>3359</v>
      </c>
      <c r="K102" s="2">
        <v>0</v>
      </c>
      <c r="L102" s="2">
        <v>1</v>
      </c>
      <c r="M102" s="2"/>
      <c r="N102" s="8">
        <v>43340.892835648148</v>
      </c>
      <c r="O102" s="4" t="s">
        <v>16302</v>
      </c>
      <c r="P102" s="3" t="s">
        <v>16301</v>
      </c>
      <c r="Q102" s="10" t="s">
        <v>16300</v>
      </c>
      <c r="R102" s="4"/>
      <c r="S102" s="9" t="str">
        <f>HYPERLINK("https://pbs.twimg.com/profile_images/1036642991979618304/hM4CttQW.jpg","View")</f>
        <v>View</v>
      </c>
    </row>
    <row r="103" spans="1:19" ht="40">
      <c r="A103" s="8">
        <v>43348.725624999999</v>
      </c>
      <c r="B103" s="11" t="str">
        <f>HYPERLINK("https://twitter.com/mxyzh","@mxyzh")</f>
        <v>@mxyzh</v>
      </c>
      <c r="C103" s="6" t="s">
        <v>1129</v>
      </c>
      <c r="D103" s="5" t="s">
        <v>16299</v>
      </c>
      <c r="E103" s="9" t="str">
        <f>HYPERLINK("https://twitter.com/mxyzh/status/1037323185912537088","1037323185912537088")</f>
        <v>1037323185912537088</v>
      </c>
      <c r="F103" s="4"/>
      <c r="G103" s="4"/>
      <c r="H103" s="4"/>
      <c r="I103" s="10" t="str">
        <f>HYPERLINK("http://twitter.com/download/android","Twitter for Android")</f>
        <v>Twitter for Android</v>
      </c>
      <c r="J103" s="2">
        <v>846</v>
      </c>
      <c r="K103" s="2">
        <v>454</v>
      </c>
      <c r="L103" s="2">
        <v>5</v>
      </c>
      <c r="M103" s="2"/>
      <c r="N103" s="8">
        <v>40732.049108796295</v>
      </c>
      <c r="O103" s="4" t="s">
        <v>1127</v>
      </c>
      <c r="P103" s="3" t="s">
        <v>1126</v>
      </c>
      <c r="Q103" s="4"/>
      <c r="R103" s="4"/>
      <c r="S103" s="9" t="str">
        <f>HYPERLINK("https://pbs.twimg.com/profile_images/878004688922267650/P0BEig0M.jpg","View")</f>
        <v>View</v>
      </c>
    </row>
    <row r="104" spans="1:19" ht="30">
      <c r="A104" s="8">
        <v>43348.725520833337</v>
      </c>
      <c r="B104" s="11" t="str">
        <f>HYPERLINK("https://twitter.com/hsnhasankhani","@hsnhasankhani")</f>
        <v>@hsnhasankhani</v>
      </c>
      <c r="C104" s="6" t="s">
        <v>6447</v>
      </c>
      <c r="D104" s="5" t="s">
        <v>16298</v>
      </c>
      <c r="E104" s="9" t="str">
        <f>HYPERLINK("https://twitter.com/hsnhasankhani/status/1037323149178757120","1037323149178757120")</f>
        <v>1037323149178757120</v>
      </c>
      <c r="F104" s="4"/>
      <c r="G104" s="4"/>
      <c r="H104" s="4"/>
      <c r="I104" s="10" t="str">
        <f>HYPERLINK("http://twitter.com","Twitter Web Client")</f>
        <v>Twitter Web Client</v>
      </c>
      <c r="J104" s="2">
        <v>73</v>
      </c>
      <c r="K104" s="2">
        <v>81</v>
      </c>
      <c r="L104" s="2">
        <v>0</v>
      </c>
      <c r="M104" s="2"/>
      <c r="N104" s="8">
        <v>43300.502557870372</v>
      </c>
      <c r="O104" s="4" t="s">
        <v>34</v>
      </c>
      <c r="P104" s="3" t="s">
        <v>16297</v>
      </c>
      <c r="Q104" s="4"/>
      <c r="R104" s="4"/>
      <c r="S104" s="9" t="str">
        <f>HYPERLINK("https://pbs.twimg.com/profile_images/1031865810447486976/OyDV3iMJ.jpg","View")</f>
        <v>View</v>
      </c>
    </row>
    <row r="105" spans="1:19" ht="30">
      <c r="A105" s="8">
        <v>43348.723912037036</v>
      </c>
      <c r="B105" s="11" t="str">
        <f>HYPERLINK("https://twitter.com/MAMOOTTI","@MAMOOTTI")</f>
        <v>@MAMOOTTI</v>
      </c>
      <c r="C105" s="6" t="s">
        <v>12031</v>
      </c>
      <c r="D105" s="5" t="s">
        <v>16296</v>
      </c>
      <c r="E105" s="9" t="str">
        <f>HYPERLINK("https://twitter.com/MAMOOTTI/status/1037322563200983040","1037322563200983040")</f>
        <v>1037322563200983040</v>
      </c>
      <c r="F105" s="4"/>
      <c r="G105" s="4"/>
      <c r="H105" s="4"/>
      <c r="I105" s="10" t="str">
        <f>HYPERLINK("http://twitter.com","Twitter Web Client")</f>
        <v>Twitter Web Client</v>
      </c>
      <c r="J105" s="2">
        <v>9</v>
      </c>
      <c r="K105" s="2">
        <v>30</v>
      </c>
      <c r="L105" s="2">
        <v>0</v>
      </c>
      <c r="M105" s="2"/>
      <c r="N105" s="8">
        <v>43346.61509259259</v>
      </c>
      <c r="O105" s="4"/>
      <c r="P105" s="3"/>
      <c r="Q105" s="4"/>
      <c r="R105" s="4"/>
      <c r="S105" s="2" t="s">
        <v>155</v>
      </c>
    </row>
    <row r="106" spans="1:19" ht="20">
      <c r="A106" s="8">
        <v>43348.723101851851</v>
      </c>
      <c r="B106" s="11" t="str">
        <f>HYPERLINK("https://twitter.com/abbas_zeigham","@abbas_zeigham")</f>
        <v>@abbas_zeigham</v>
      </c>
      <c r="C106" s="6" t="s">
        <v>16295</v>
      </c>
      <c r="D106" s="5" t="s">
        <v>16294</v>
      </c>
      <c r="E106" s="9" t="str">
        <f>HYPERLINK("https://twitter.com/abbas_zeigham/status/1037322272388861952","1037322272388861952")</f>
        <v>1037322272388861952</v>
      </c>
      <c r="F106" s="4"/>
      <c r="G106" s="4"/>
      <c r="H106" s="4"/>
      <c r="I106" s="10" t="str">
        <f>HYPERLINK("http://twitter.com/download/android","Twitter for Android")</f>
        <v>Twitter for Android</v>
      </c>
      <c r="J106" s="2">
        <v>1378</v>
      </c>
      <c r="K106" s="2">
        <v>1429</v>
      </c>
      <c r="L106" s="2">
        <v>5</v>
      </c>
      <c r="M106" s="2"/>
      <c r="N106" s="8">
        <v>42748.842592592591</v>
      </c>
      <c r="O106" s="4" t="s">
        <v>16293</v>
      </c>
      <c r="P106" s="3" t="s">
        <v>16292</v>
      </c>
      <c r="Q106" s="4"/>
      <c r="R106" s="4"/>
      <c r="S106" s="9" t="str">
        <f>HYPERLINK("https://pbs.twimg.com/profile_images/1022585648274972678/MHGfy1rz.jpg","View")</f>
        <v>View</v>
      </c>
    </row>
    <row r="107" spans="1:19" ht="30">
      <c r="A107" s="8">
        <v>43348.722812499997</v>
      </c>
      <c r="B107" s="11" t="str">
        <f>HYPERLINK("https://twitter.com/Mahdiibakhtiari","@Mahdiibakhtiari")</f>
        <v>@Mahdiibakhtiari</v>
      </c>
      <c r="C107" s="6" t="s">
        <v>16291</v>
      </c>
      <c r="D107" s="5" t="s">
        <v>16290</v>
      </c>
      <c r="E107" s="9" t="str">
        <f>HYPERLINK("https://twitter.com/Mahdiibakhtiari/status/1037322166780534790","1037322166780534790")</f>
        <v>1037322166780534790</v>
      </c>
      <c r="F107" s="4"/>
      <c r="G107" s="10" t="s">
        <v>16289</v>
      </c>
      <c r="H107" s="4"/>
      <c r="I107" s="10" t="str">
        <f>HYPERLINK("http://twitter.com","Twitter Web Client")</f>
        <v>Twitter Web Client</v>
      </c>
      <c r="J107" s="2">
        <v>5146</v>
      </c>
      <c r="K107" s="2">
        <v>581</v>
      </c>
      <c r="L107" s="2">
        <v>71</v>
      </c>
      <c r="M107" s="2"/>
      <c r="N107" s="8">
        <v>42371.621597222227</v>
      </c>
      <c r="O107" s="4" t="s">
        <v>894</v>
      </c>
      <c r="P107" s="3" t="s">
        <v>16288</v>
      </c>
      <c r="Q107" s="10" t="s">
        <v>6872</v>
      </c>
      <c r="R107" s="4"/>
      <c r="S107" s="9" t="str">
        <f>HYPERLINK("https://pbs.twimg.com/profile_images/940271494558388225/MpZoswUr.jpg","View")</f>
        <v>View</v>
      </c>
    </row>
    <row r="108" spans="1:19" ht="20">
      <c r="A108" s="8">
        <v>43348.722280092596</v>
      </c>
      <c r="B108" s="11" t="str">
        <f>HYPERLINK("https://twitter.com/haghtalab110","@haghtalab110")</f>
        <v>@haghtalab110</v>
      </c>
      <c r="C108" s="6" t="s">
        <v>16287</v>
      </c>
      <c r="D108" s="5" t="s">
        <v>16286</v>
      </c>
      <c r="E108" s="9" t="str">
        <f>HYPERLINK("https://twitter.com/haghtalab110/status/1037321972194181121","1037321972194181121")</f>
        <v>1037321972194181121</v>
      </c>
      <c r="F108" s="4"/>
      <c r="G108" s="4"/>
      <c r="H108" s="4"/>
      <c r="I108" s="10" t="str">
        <f>HYPERLINK("http://twitter.com/download/iphone","Twitter for iPhone")</f>
        <v>Twitter for iPhone</v>
      </c>
      <c r="J108" s="2">
        <v>821</v>
      </c>
      <c r="K108" s="2">
        <v>658</v>
      </c>
      <c r="L108" s="2">
        <v>0</v>
      </c>
      <c r="M108" s="2"/>
      <c r="N108" s="8">
        <v>41775.482268518521</v>
      </c>
      <c r="O108" s="4" t="s">
        <v>133</v>
      </c>
      <c r="P108" s="3" t="s">
        <v>16285</v>
      </c>
      <c r="Q108" s="4"/>
      <c r="R108" s="4"/>
      <c r="S108" s="9" t="str">
        <f>HYPERLINK("https://pbs.twimg.com/profile_images/1032372680874504199/9dBLd0p3.jpg","View")</f>
        <v>View</v>
      </c>
    </row>
    <row r="109" spans="1:19" ht="40">
      <c r="A109" s="8">
        <v>43348.721909722226</v>
      </c>
      <c r="B109" s="11" t="str">
        <f>HYPERLINK("https://twitter.com/iranfreedom01","@iranfreedom01")</f>
        <v>@iranfreedom01</v>
      </c>
      <c r="C109" s="6" t="s">
        <v>16284</v>
      </c>
      <c r="D109" s="5" t="s">
        <v>16283</v>
      </c>
      <c r="E109" s="9" t="str">
        <f>HYPERLINK("https://twitter.com/iranfreedom01/status/1037321838026805248","1037321838026805248")</f>
        <v>1037321838026805248</v>
      </c>
      <c r="F109" s="4"/>
      <c r="G109" s="10" t="s">
        <v>16282</v>
      </c>
      <c r="H109" s="4"/>
      <c r="I109" s="10" t="str">
        <f>HYPERLINK("http://twitter.com/download/android","Twitter for Android")</f>
        <v>Twitter for Android</v>
      </c>
      <c r="J109" s="2">
        <v>4566</v>
      </c>
      <c r="K109" s="2">
        <v>4877</v>
      </c>
      <c r="L109" s="2">
        <v>0</v>
      </c>
      <c r="M109" s="2"/>
      <c r="N109" s="8">
        <v>43246.619166666671</v>
      </c>
      <c r="O109" s="4" t="s">
        <v>16281</v>
      </c>
      <c r="P109" s="3" t="s">
        <v>16280</v>
      </c>
      <c r="Q109" s="4"/>
      <c r="R109" s="4"/>
      <c r="S109" s="9" t="str">
        <f>HYPERLINK("https://pbs.twimg.com/profile_images/1003027554150670336/Kk93HjCr.jpg","View")</f>
        <v>View</v>
      </c>
    </row>
    <row r="110" spans="1:19" ht="20">
      <c r="A110" s="8">
        <v>43348.719421296293</v>
      </c>
      <c r="B110" s="11" t="str">
        <f>HYPERLINK("https://twitter.com/Ho3einZ","@Ho3einZ")</f>
        <v>@Ho3einZ</v>
      </c>
      <c r="C110" s="6" t="s">
        <v>16279</v>
      </c>
      <c r="D110" s="5" t="s">
        <v>16278</v>
      </c>
      <c r="E110" s="9" t="str">
        <f>HYPERLINK("https://twitter.com/Ho3einZ/status/1037320937690017792","1037320937690017792")</f>
        <v>1037320937690017792</v>
      </c>
      <c r="F110" s="4"/>
      <c r="G110" s="4"/>
      <c r="H110" s="4"/>
      <c r="I110" s="10" t="str">
        <f>HYPERLINK("http://twitter.com/download/iphone","Twitter for iPhone")</f>
        <v>Twitter for iPhone</v>
      </c>
      <c r="J110" s="2">
        <v>54</v>
      </c>
      <c r="K110" s="2">
        <v>188</v>
      </c>
      <c r="L110" s="2">
        <v>0</v>
      </c>
      <c r="M110" s="2"/>
      <c r="N110" s="8">
        <v>41735.550520833334</v>
      </c>
      <c r="O110" s="4"/>
      <c r="P110" s="3" t="s">
        <v>16277</v>
      </c>
      <c r="Q110" s="4"/>
      <c r="R110" s="4"/>
      <c r="S110" s="9" t="str">
        <f>HYPERLINK("https://pbs.twimg.com/profile_images/943786708113481728/hXKz78Ae.jpg","View")</f>
        <v>View</v>
      </c>
    </row>
    <row r="111" spans="1:19" ht="30">
      <c r="A111" s="8">
        <v>43348.719375000001</v>
      </c>
      <c r="B111" s="11" t="str">
        <f>HYPERLINK("https://twitter.com/hamshahrinews","@hamshahrinews")</f>
        <v>@hamshahrinews</v>
      </c>
      <c r="C111" s="6" t="s">
        <v>2149</v>
      </c>
      <c r="D111" s="5" t="s">
        <v>16276</v>
      </c>
      <c r="E111" s="9" t="str">
        <f>HYPERLINK("https://twitter.com/hamshahrinews/status/1037320920627523584","1037320920627523584")</f>
        <v>1037320920627523584</v>
      </c>
      <c r="F111" s="4"/>
      <c r="G111" s="10" t="s">
        <v>16275</v>
      </c>
      <c r="H111" s="4"/>
      <c r="I111" s="10" t="str">
        <f>HYPERLINK("http://twitter.com","Twitter Web Client")</f>
        <v>Twitter Web Client</v>
      </c>
      <c r="J111" s="2">
        <v>1906</v>
      </c>
      <c r="K111" s="2">
        <v>13</v>
      </c>
      <c r="L111" s="2">
        <v>39</v>
      </c>
      <c r="M111" s="2"/>
      <c r="N111" s="8">
        <v>42984.575752314813</v>
      </c>
      <c r="O111" s="4" t="s">
        <v>133</v>
      </c>
      <c r="P111" s="3" t="s">
        <v>2146</v>
      </c>
      <c r="Q111" s="10" t="s">
        <v>2145</v>
      </c>
      <c r="R111" s="4"/>
      <c r="S111" s="9" t="str">
        <f>HYPERLINK("https://pbs.twimg.com/profile_images/918008480631533568/-awyAU90.jpg","View")</f>
        <v>View</v>
      </c>
    </row>
    <row r="112" spans="1:19" ht="70">
      <c r="A112" s="8">
        <v>43348.717986111107</v>
      </c>
      <c r="B112" s="11" t="str">
        <f>HYPERLINK("https://twitter.com/lockedinsynd","@lockedinsynd")</f>
        <v>@lockedinsynd</v>
      </c>
      <c r="C112" s="6" t="s">
        <v>16274</v>
      </c>
      <c r="D112" s="5" t="s">
        <v>16273</v>
      </c>
      <c r="E112" s="9" t="str">
        <f>HYPERLINK("https://twitter.com/lockedinsynd/status/1037320415604092933","1037320415604092933")</f>
        <v>1037320415604092933</v>
      </c>
      <c r="F112" s="10" t="s">
        <v>16272</v>
      </c>
      <c r="G112" s="10" t="s">
        <v>13296</v>
      </c>
      <c r="H112" s="4"/>
      <c r="I112" s="10" t="str">
        <f>HYPERLINK("http://twitter.com/download/android","Twitter for Android")</f>
        <v>Twitter for Android</v>
      </c>
      <c r="J112" s="2">
        <v>156</v>
      </c>
      <c r="K112" s="2">
        <v>90</v>
      </c>
      <c r="L112" s="2">
        <v>0</v>
      </c>
      <c r="M112" s="2"/>
      <c r="N112" s="8">
        <v>40669.944594907407</v>
      </c>
      <c r="O112" s="4" t="s">
        <v>34</v>
      </c>
      <c r="P112" s="3" t="s">
        <v>16271</v>
      </c>
      <c r="Q112" s="10" t="s">
        <v>16270</v>
      </c>
      <c r="R112" s="4"/>
      <c r="S112" s="9" t="str">
        <f>HYPERLINK("https://pbs.twimg.com/profile_images/1029727953494704128/v3VzPRU9.jpg","View")</f>
        <v>View</v>
      </c>
    </row>
    <row r="113" spans="1:19" ht="12.5">
      <c r="A113" s="8">
        <v>43348.71711805556</v>
      </c>
      <c r="B113" s="11" t="str">
        <f>HYPERLINK("https://twitter.com/MazaheriSeyf","@MazaheriSeyf")</f>
        <v>@MazaheriSeyf</v>
      </c>
      <c r="C113" s="6" t="s">
        <v>16269</v>
      </c>
      <c r="D113" s="5" t="s">
        <v>16268</v>
      </c>
      <c r="E113" s="9" t="str">
        <f>HYPERLINK("https://twitter.com/MazaheriSeyf/status/1037320102323122177","1037320102323122177")</f>
        <v>1037320102323122177</v>
      </c>
      <c r="F113" s="4"/>
      <c r="G113" s="4"/>
      <c r="H113" s="4"/>
      <c r="I113" s="10" t="str">
        <f>HYPERLINK("http://twitter.com","Twitter Web Client")</f>
        <v>Twitter Web Client</v>
      </c>
      <c r="J113" s="2">
        <v>4348</v>
      </c>
      <c r="K113" s="2">
        <v>1938</v>
      </c>
      <c r="L113" s="2">
        <v>6</v>
      </c>
      <c r="M113" s="2"/>
      <c r="N113" s="8">
        <v>42975.770428240736</v>
      </c>
      <c r="O113" s="4" t="s">
        <v>34</v>
      </c>
      <c r="P113" s="3" t="s">
        <v>16267</v>
      </c>
      <c r="Q113" s="10" t="s">
        <v>16266</v>
      </c>
      <c r="R113" s="4"/>
      <c r="S113" s="9" t="str">
        <f>HYPERLINK("https://pbs.twimg.com/profile_images/1003620235553976327/E_Hgi6d9.jpg","View")</f>
        <v>View</v>
      </c>
    </row>
    <row r="114" spans="1:19" ht="40">
      <c r="A114" s="8">
        <v>43348.716342592597</v>
      </c>
      <c r="B114" s="11" t="str">
        <f>HYPERLINK("https://twitter.com/behrad198","@behrad198")</f>
        <v>@behrad198</v>
      </c>
      <c r="C114" s="6" t="s">
        <v>9665</v>
      </c>
      <c r="D114" s="5" t="s">
        <v>16265</v>
      </c>
      <c r="E114" s="9" t="str">
        <f>HYPERLINK("https://twitter.com/behrad198/status/1037319821187264513","1037319821187264513")</f>
        <v>1037319821187264513</v>
      </c>
      <c r="F114" s="4"/>
      <c r="G114" s="4"/>
      <c r="H114" s="4"/>
      <c r="I114" s="10" t="str">
        <f>HYPERLINK("http://twitter.com/download/android","Twitter for Android")</f>
        <v>Twitter for Android</v>
      </c>
      <c r="J114" s="2">
        <v>7</v>
      </c>
      <c r="K114" s="2">
        <v>208</v>
      </c>
      <c r="L114" s="2">
        <v>0</v>
      </c>
      <c r="M114" s="2"/>
      <c r="N114" s="8">
        <v>43081.131053240737</v>
      </c>
      <c r="O114" s="4"/>
      <c r="P114" s="3" t="s">
        <v>9663</v>
      </c>
      <c r="Q114" s="4"/>
      <c r="R114" s="4"/>
      <c r="S114" s="2" t="s">
        <v>155</v>
      </c>
    </row>
    <row r="115" spans="1:19" ht="30">
      <c r="A115" s="8">
        <v>43348.716215277775</v>
      </c>
      <c r="B115" s="11" t="str">
        <f>HYPERLINK("https://twitter.com/kimiyagar_irani","@kimiyagar_irani")</f>
        <v>@kimiyagar_irani</v>
      </c>
      <c r="C115" s="6" t="s">
        <v>16264</v>
      </c>
      <c r="D115" s="5" t="s">
        <v>16263</v>
      </c>
      <c r="E115" s="9" t="str">
        <f>HYPERLINK("https://twitter.com/kimiyagar_irani/status/1037319773728788480","1037319773728788480")</f>
        <v>1037319773728788480</v>
      </c>
      <c r="F115" s="4"/>
      <c r="G115" s="4"/>
      <c r="H115" s="4"/>
      <c r="I115" s="10" t="str">
        <f>HYPERLINK("http://twitter.com/download/android","Twitter for Android")</f>
        <v>Twitter for Android</v>
      </c>
      <c r="J115" s="2">
        <v>640</v>
      </c>
      <c r="K115" s="2">
        <v>627</v>
      </c>
      <c r="L115" s="2">
        <v>0</v>
      </c>
      <c r="M115" s="2"/>
      <c r="N115" s="8">
        <v>42946.418263888889</v>
      </c>
      <c r="O115" s="4"/>
      <c r="P115" s="3" t="s">
        <v>16262</v>
      </c>
      <c r="Q115" s="4"/>
      <c r="R115" s="4"/>
      <c r="S115" s="9" t="str">
        <f>HYPERLINK("https://pbs.twimg.com/profile_images/1028542590113730560/xGDR9_9l.jpg","View")</f>
        <v>View</v>
      </c>
    </row>
    <row r="116" spans="1:19" ht="40">
      <c r="A116" s="8">
        <v>43348.716064814813</v>
      </c>
      <c r="B116" s="11" t="str">
        <f>HYPERLINK("https://twitter.com/heydri93","@heydri93")</f>
        <v>@heydri93</v>
      </c>
      <c r="C116" s="6" t="s">
        <v>3542</v>
      </c>
      <c r="D116" s="5" t="s">
        <v>16261</v>
      </c>
      <c r="E116" s="9" t="str">
        <f>HYPERLINK("https://twitter.com/heydri93/status/1037319721115369472","1037319721115369472")</f>
        <v>1037319721115369472</v>
      </c>
      <c r="F116" s="4"/>
      <c r="G116" s="10" t="s">
        <v>16260</v>
      </c>
      <c r="H116" s="4"/>
      <c r="I116" s="10" t="str">
        <f>HYPERLINK("http://twitter.com/download/android","Twitter for Android")</f>
        <v>Twitter for Android</v>
      </c>
      <c r="J116" s="2">
        <v>82</v>
      </c>
      <c r="K116" s="2">
        <v>16</v>
      </c>
      <c r="L116" s="2">
        <v>0</v>
      </c>
      <c r="M116" s="2"/>
      <c r="N116" s="8">
        <v>43264.730462962965</v>
      </c>
      <c r="O116" s="4" t="s">
        <v>17</v>
      </c>
      <c r="P116" s="3"/>
      <c r="Q116" s="4"/>
      <c r="R116" s="4"/>
      <c r="S116" s="9" t="str">
        <f>HYPERLINK("https://pbs.twimg.com/profile_images/1006887066255482880/vb69vP-v.jpg","View")</f>
        <v>View</v>
      </c>
    </row>
    <row r="117" spans="1:19" ht="20">
      <c r="A117" s="8">
        <v>43348.715567129635</v>
      </c>
      <c r="B117" s="11" t="str">
        <f>HYPERLINK("https://twitter.com/m00hammad_jj","@m00hammad_jj")</f>
        <v>@m00hammad_jj</v>
      </c>
      <c r="C117" s="6" t="s">
        <v>1129</v>
      </c>
      <c r="D117" s="5" t="s">
        <v>16259</v>
      </c>
      <c r="E117" s="9" t="str">
        <f>HYPERLINK("https://twitter.com/m00hammad_jj/status/1037319541599215616","1037319541599215616")</f>
        <v>1037319541599215616</v>
      </c>
      <c r="F117" s="4"/>
      <c r="G117" s="4"/>
      <c r="H117" s="4"/>
      <c r="I117" s="10" t="str">
        <f>HYPERLINK("http://twitter.com/download/android","Twitter for Android")</f>
        <v>Twitter for Android</v>
      </c>
      <c r="J117" s="2">
        <v>1105</v>
      </c>
      <c r="K117" s="2">
        <v>1383</v>
      </c>
      <c r="L117" s="2">
        <v>0</v>
      </c>
      <c r="M117" s="2"/>
      <c r="N117" s="8">
        <v>43050.506736111114</v>
      </c>
      <c r="O117" s="4" t="s">
        <v>16258</v>
      </c>
      <c r="P117" s="3" t="s">
        <v>16257</v>
      </c>
      <c r="Q117" s="10" t="s">
        <v>16256</v>
      </c>
      <c r="R117" s="4"/>
      <c r="S117" s="9" t="str">
        <f>HYPERLINK("https://pbs.twimg.com/profile_images/1033827043513978880/BSHjle3_.jpg","View")</f>
        <v>View</v>
      </c>
    </row>
    <row r="118" spans="1:19" ht="20">
      <c r="A118" s="8">
        <v>43348.714780092589</v>
      </c>
      <c r="B118" s="11" t="str">
        <f>HYPERLINK("https://twitter.com/NtiiSaeed","@NtiiSaeed")</f>
        <v>@NtiiSaeed</v>
      </c>
      <c r="C118" s="6" t="s">
        <v>16255</v>
      </c>
      <c r="D118" s="5" t="s">
        <v>16254</v>
      </c>
      <c r="E118" s="9" t="str">
        <f>HYPERLINK("https://twitter.com/NtiiSaeed/status/1037319253559582725","1037319253559582725")</f>
        <v>1037319253559582725</v>
      </c>
      <c r="F118" s="4"/>
      <c r="G118" s="4"/>
      <c r="H118" s="4"/>
      <c r="I118" s="10" t="str">
        <f>HYPERLINK("http://twitter.com/download/android","Twitter for Android")</f>
        <v>Twitter for Android</v>
      </c>
      <c r="J118" s="2">
        <v>451</v>
      </c>
      <c r="K118" s="2">
        <v>579</v>
      </c>
      <c r="L118" s="2">
        <v>2</v>
      </c>
      <c r="M118" s="2"/>
      <c r="N118" s="8">
        <v>42909.666643518518</v>
      </c>
      <c r="O118" s="4" t="s">
        <v>16253</v>
      </c>
      <c r="P118" s="3" t="s">
        <v>16252</v>
      </c>
      <c r="Q118" s="10" t="s">
        <v>16251</v>
      </c>
      <c r="R118" s="4"/>
      <c r="S118" s="9" t="str">
        <f>HYPERLINK("https://pbs.twimg.com/profile_images/1015821545229504513/_yp1zcrw.jpg","View")</f>
        <v>View</v>
      </c>
    </row>
    <row r="119" spans="1:19" ht="40">
      <c r="A119" s="8">
        <v>43348.714328703703</v>
      </c>
      <c r="B119" s="11" t="str">
        <f>HYPERLINK("https://twitter.com/mehdiali1358","@mehdiali1358")</f>
        <v>@mehdiali1358</v>
      </c>
      <c r="C119" s="6" t="s">
        <v>16250</v>
      </c>
      <c r="D119" s="5" t="s">
        <v>16249</v>
      </c>
      <c r="E119" s="9" t="str">
        <f>HYPERLINK("https://twitter.com/mehdiali1358/status/1037319089704894465","1037319089704894465")</f>
        <v>1037319089704894465</v>
      </c>
      <c r="F119" s="4"/>
      <c r="G119" s="10" t="s">
        <v>16248</v>
      </c>
      <c r="H119" s="4"/>
      <c r="I119" s="10" t="str">
        <f>HYPERLINK("http://twitter.com/download/android","Twitter for Android")</f>
        <v>Twitter for Android</v>
      </c>
      <c r="J119" s="2">
        <v>426</v>
      </c>
      <c r="K119" s="2">
        <v>917</v>
      </c>
      <c r="L119" s="2">
        <v>0</v>
      </c>
      <c r="M119" s="2"/>
      <c r="N119" s="8">
        <v>41885.116365740745</v>
      </c>
      <c r="O119" s="4"/>
      <c r="P119" s="3" t="s">
        <v>16247</v>
      </c>
      <c r="Q119" s="4"/>
      <c r="R119" s="4"/>
      <c r="S119" s="9" t="str">
        <f>HYPERLINK("https://pbs.twimg.com/profile_images/806600055612461061/O-9aok4H.jpg","View")</f>
        <v>View</v>
      </c>
    </row>
    <row r="120" spans="1:19" ht="20">
      <c r="A120" s="8">
        <v>43348.71402777778</v>
      </c>
      <c r="B120" s="11" t="str">
        <f>HYPERLINK("https://twitter.com/iliyah313","@iliyah313")</f>
        <v>@iliyah313</v>
      </c>
      <c r="C120" s="6" t="s">
        <v>584</v>
      </c>
      <c r="D120" s="5" t="s">
        <v>13331</v>
      </c>
      <c r="E120" s="9" t="str">
        <f>HYPERLINK("https://twitter.com/iliyah313/status/1037318983890948096","1037318983890948096")</f>
        <v>1037318983890948096</v>
      </c>
      <c r="F120" s="4"/>
      <c r="G120" s="4"/>
      <c r="H120" s="4"/>
      <c r="I120" s="10" t="str">
        <f>HYPERLINK("https://mobofa.com","Mobofa")</f>
        <v>Mobofa</v>
      </c>
      <c r="J120" s="2">
        <v>74</v>
      </c>
      <c r="K120" s="2">
        <v>232</v>
      </c>
      <c r="L120" s="2">
        <v>0</v>
      </c>
      <c r="M120" s="2"/>
      <c r="N120" s="8">
        <v>43243.726423611108</v>
      </c>
      <c r="O120" s="4" t="s">
        <v>133</v>
      </c>
      <c r="P120" s="3" t="s">
        <v>13926</v>
      </c>
      <c r="Q120" s="4"/>
      <c r="R120" s="4"/>
      <c r="S120" s="9" t="str">
        <f>HYPERLINK("https://pbs.twimg.com/profile_images/999273816986566658/20VoiOnA.jpg","View")</f>
        <v>View</v>
      </c>
    </row>
    <row r="121" spans="1:19" ht="20">
      <c r="A121" s="8">
        <v>43348.71402777778</v>
      </c>
      <c r="B121" s="11" t="str">
        <f>HYPERLINK("https://twitter.com/HeliaMahini","@HeliaMahini")</f>
        <v>@HeliaMahini</v>
      </c>
      <c r="C121" s="6" t="s">
        <v>16246</v>
      </c>
      <c r="D121" s="5" t="s">
        <v>13331</v>
      </c>
      <c r="E121" s="9" t="str">
        <f>HYPERLINK("https://twitter.com/HeliaMahini/status/1037318983668654081","1037318983668654081")</f>
        <v>1037318983668654081</v>
      </c>
      <c r="F121" s="4"/>
      <c r="G121" s="4"/>
      <c r="H121" s="4"/>
      <c r="I121" s="10" t="str">
        <f>HYPERLINK("https://mobofa.com","Mobofa")</f>
        <v>Mobofa</v>
      </c>
      <c r="J121" s="2">
        <v>15</v>
      </c>
      <c r="K121" s="2">
        <v>33</v>
      </c>
      <c r="L121" s="2">
        <v>0</v>
      </c>
      <c r="M121" s="2"/>
      <c r="N121" s="8">
        <v>43229.821122685185</v>
      </c>
      <c r="O121" s="4"/>
      <c r="P121" s="3"/>
      <c r="Q121" s="4"/>
      <c r="R121" s="4"/>
      <c r="S121" s="9" t="str">
        <f>HYPERLINK("https://pbs.twimg.com/profile_images/1035879577049030656/vLasVN0U.jpg","View")</f>
        <v>View</v>
      </c>
    </row>
    <row r="122" spans="1:19" ht="30">
      <c r="A122" s="8">
        <v>43348.713449074072</v>
      </c>
      <c r="B122" s="11" t="str">
        <f>HYPERLINK("https://twitter.com/ThenardierCuz","@ThenardierCuz")</f>
        <v>@ThenardierCuz</v>
      </c>
      <c r="C122" s="6" t="s">
        <v>16245</v>
      </c>
      <c r="D122" s="5" t="s">
        <v>16244</v>
      </c>
      <c r="E122" s="9" t="str">
        <f>HYPERLINK("https://twitter.com/ThenardierCuz/status/1037318773672431616","1037318773672431616")</f>
        <v>1037318773672431616</v>
      </c>
      <c r="F122" s="4"/>
      <c r="G122" s="4"/>
      <c r="H122" s="4"/>
      <c r="I122" s="10" t="str">
        <f>HYPERLINK("http://twitter.com/download/android","Twitter for Android")</f>
        <v>Twitter for Android</v>
      </c>
      <c r="J122" s="2">
        <v>1926</v>
      </c>
      <c r="K122" s="2">
        <v>2213</v>
      </c>
      <c r="L122" s="2">
        <v>12</v>
      </c>
      <c r="M122" s="2"/>
      <c r="N122" s="8">
        <v>41224.125034722223</v>
      </c>
      <c r="O122" s="4" t="s">
        <v>34</v>
      </c>
      <c r="P122" s="3" t="s">
        <v>16243</v>
      </c>
      <c r="Q122" s="10" t="s">
        <v>16242</v>
      </c>
      <c r="R122" s="4"/>
      <c r="S122" s="9" t="str">
        <f>HYPERLINK("https://pbs.twimg.com/profile_images/1023454040510918656/GUUrek9r.jpg","View")</f>
        <v>View</v>
      </c>
    </row>
    <row r="123" spans="1:19" ht="20">
      <c r="A123" s="8">
        <v>43348.712592592594</v>
      </c>
      <c r="B123" s="11" t="str">
        <f>HYPERLINK("https://twitter.com/samanismm","@samanismm")</f>
        <v>@samanismm</v>
      </c>
      <c r="C123" s="6" t="s">
        <v>15504</v>
      </c>
      <c r="D123" s="5" t="s">
        <v>13331</v>
      </c>
      <c r="E123" s="9" t="str">
        <f>HYPERLINK("https://twitter.com/samanismm/status/1037318460966141952","1037318460966141952")</f>
        <v>1037318460966141952</v>
      </c>
      <c r="F123" s="4"/>
      <c r="G123" s="4"/>
      <c r="H123" s="4"/>
      <c r="I123" s="10" t="str">
        <f>HYPERLINK("https://mobofa.com","Mobofa")</f>
        <v>Mobofa</v>
      </c>
      <c r="J123" s="2">
        <v>56</v>
      </c>
      <c r="K123" s="2">
        <v>251</v>
      </c>
      <c r="L123" s="2">
        <v>0</v>
      </c>
      <c r="M123" s="2"/>
      <c r="N123" s="8">
        <v>43243.565312499995</v>
      </c>
      <c r="O123" s="4"/>
      <c r="P123" s="3" t="s">
        <v>15503</v>
      </c>
      <c r="Q123" s="4"/>
      <c r="R123" s="4"/>
      <c r="S123" s="9" t="str">
        <f>HYPERLINK("https://pbs.twimg.com/profile_images/999217554756321281/72joEu3A.jpg","View")</f>
        <v>View</v>
      </c>
    </row>
    <row r="124" spans="1:19" ht="20">
      <c r="A124" s="8">
        <v>43348.712407407409</v>
      </c>
      <c r="B124" s="11" t="str">
        <f>HYPERLINK("https://twitter.com/seyedsaiedd","@seyedsaiedd")</f>
        <v>@seyedsaiedd</v>
      </c>
      <c r="C124" s="6" t="s">
        <v>16226</v>
      </c>
      <c r="D124" s="5" t="s">
        <v>13331</v>
      </c>
      <c r="E124" s="9" t="str">
        <f>HYPERLINK("https://twitter.com/seyedsaiedd/status/1037318396122148864","1037318396122148864")</f>
        <v>1037318396122148864</v>
      </c>
      <c r="F124" s="4"/>
      <c r="G124" s="4"/>
      <c r="H124" s="4"/>
      <c r="I124" s="10" t="str">
        <f>HYPERLINK("https://mobofa.com","Mobofa")</f>
        <v>Mobofa</v>
      </c>
      <c r="J124" s="2">
        <v>31</v>
      </c>
      <c r="K124" s="2">
        <v>139</v>
      </c>
      <c r="L124" s="2">
        <v>0</v>
      </c>
      <c r="M124" s="2"/>
      <c r="N124" s="8">
        <v>43235.614305555559</v>
      </c>
      <c r="O124" s="4"/>
      <c r="P124" s="3" t="s">
        <v>16225</v>
      </c>
      <c r="Q124" s="4"/>
      <c r="R124" s="4"/>
      <c r="S124" s="9" t="str">
        <f>HYPERLINK("https://pbs.twimg.com/profile_images/996333736223526913/xOzXR12n.jpg","View")</f>
        <v>View</v>
      </c>
    </row>
    <row r="125" spans="1:19" ht="20">
      <c r="A125" s="8">
        <v>43348.712407407409</v>
      </c>
      <c r="B125" s="11" t="str">
        <f>HYPERLINK("https://twitter.com/dianamoon68","@dianamoon68")</f>
        <v>@dianamoon68</v>
      </c>
      <c r="C125" s="6" t="s">
        <v>15955</v>
      </c>
      <c r="D125" s="5" t="s">
        <v>13331</v>
      </c>
      <c r="E125" s="9" t="str">
        <f>HYPERLINK("https://twitter.com/dianamoon68/status/1037318396092862465","1037318396092862465")</f>
        <v>1037318396092862465</v>
      </c>
      <c r="F125" s="4"/>
      <c r="G125" s="4"/>
      <c r="H125" s="4"/>
      <c r="I125" s="10" t="str">
        <f>HYPERLINK("https://mobofa.com","Mobofa")</f>
        <v>Mobofa</v>
      </c>
      <c r="J125" s="2">
        <v>23</v>
      </c>
      <c r="K125" s="2">
        <v>50</v>
      </c>
      <c r="L125" s="2">
        <v>0</v>
      </c>
      <c r="M125" s="2"/>
      <c r="N125" s="8">
        <v>43228.73065972222</v>
      </c>
      <c r="O125" s="4"/>
      <c r="P125" s="3" t="s">
        <v>15954</v>
      </c>
      <c r="Q125" s="4"/>
      <c r="R125" s="4"/>
      <c r="S125" s="9" t="str">
        <f>HYPERLINK("https://pbs.twimg.com/profile_images/995276416215330816/3ktH_lSi.jpg","View")</f>
        <v>View</v>
      </c>
    </row>
    <row r="126" spans="1:19" ht="20">
      <c r="A126" s="8">
        <v>43348.712268518517</v>
      </c>
      <c r="B126" s="11" t="str">
        <f>HYPERLINK("https://twitter.com/soureenaa","@soureenaa")</f>
        <v>@soureenaa</v>
      </c>
      <c r="C126" s="6" t="s">
        <v>15859</v>
      </c>
      <c r="D126" s="5" t="s">
        <v>13331</v>
      </c>
      <c r="E126" s="9" t="str">
        <f>HYPERLINK("https://twitter.com/soureenaa/status/1037318343601078273","1037318343601078273")</f>
        <v>1037318343601078273</v>
      </c>
      <c r="F126" s="4"/>
      <c r="G126" s="4"/>
      <c r="H126" s="4"/>
      <c r="I126" s="10" t="str">
        <f>HYPERLINK("https://mobofa.com","Mobofa")</f>
        <v>Mobofa</v>
      </c>
      <c r="J126" s="2">
        <v>27</v>
      </c>
      <c r="K126" s="2">
        <v>67</v>
      </c>
      <c r="L126" s="2">
        <v>0</v>
      </c>
      <c r="M126" s="2"/>
      <c r="N126" s="8">
        <v>43246.583425925928</v>
      </c>
      <c r="O126" s="4" t="s">
        <v>34</v>
      </c>
      <c r="P126" s="3" t="s">
        <v>15858</v>
      </c>
      <c r="Q126" s="4"/>
      <c r="R126" s="4"/>
      <c r="S126" s="9" t="str">
        <f>HYPERLINK("https://pbs.twimg.com/profile_images/1000310430986915845/S2B31dn1.jpg","View")</f>
        <v>View</v>
      </c>
    </row>
    <row r="127" spans="1:19" ht="20">
      <c r="A127" s="8">
        <v>43348.712268518517</v>
      </c>
      <c r="B127" s="11" t="str">
        <f>HYPERLINK("https://twitter.com/moghise313","@moghise313")</f>
        <v>@moghise313</v>
      </c>
      <c r="C127" s="6" t="s">
        <v>16227</v>
      </c>
      <c r="D127" s="5" t="s">
        <v>13331</v>
      </c>
      <c r="E127" s="9" t="str">
        <f>HYPERLINK("https://twitter.com/moghise313/status/1037318342711889920","1037318342711889920")</f>
        <v>1037318342711889920</v>
      </c>
      <c r="F127" s="4"/>
      <c r="G127" s="4"/>
      <c r="H127" s="4"/>
      <c r="I127" s="10" t="str">
        <f>HYPERLINK("https://mobofa.com","Mobofa")</f>
        <v>Mobofa</v>
      </c>
      <c r="J127" s="2">
        <v>22</v>
      </c>
      <c r="K127" s="2">
        <v>60</v>
      </c>
      <c r="L127" s="2">
        <v>0</v>
      </c>
      <c r="M127" s="2"/>
      <c r="N127" s="8">
        <v>43244.587476851855</v>
      </c>
      <c r="O127" s="4"/>
      <c r="P127" s="3"/>
      <c r="Q127" s="4"/>
      <c r="R127" s="4"/>
      <c r="S127" s="9" t="str">
        <f>HYPERLINK("https://pbs.twimg.com/profile_images/999585784926584832/pU7LH0hP.jpg","View")</f>
        <v>View</v>
      </c>
    </row>
    <row r="128" spans="1:19" ht="20">
      <c r="A128" s="8">
        <v>43348.712256944447</v>
      </c>
      <c r="B128" s="11" t="str">
        <f>HYPERLINK("https://twitter.com/peymanpeyy","@peymanpeyy")</f>
        <v>@peymanpeyy</v>
      </c>
      <c r="C128" s="6" t="s">
        <v>15953</v>
      </c>
      <c r="D128" s="5" t="s">
        <v>13331</v>
      </c>
      <c r="E128" s="9" t="str">
        <f>HYPERLINK("https://twitter.com/peymanpeyy/status/1037318341982072832","1037318341982072832")</f>
        <v>1037318341982072832</v>
      </c>
      <c r="F128" s="4"/>
      <c r="G128" s="4"/>
      <c r="H128" s="4"/>
      <c r="I128" s="10" t="str">
        <f>HYPERLINK("https://mobofa.com","Mobofa")</f>
        <v>Mobofa</v>
      </c>
      <c r="J128" s="2">
        <v>14</v>
      </c>
      <c r="K128" s="2">
        <v>87</v>
      </c>
      <c r="L128" s="2">
        <v>0</v>
      </c>
      <c r="M128" s="2"/>
      <c r="N128" s="8">
        <v>43237.389583333337</v>
      </c>
      <c r="O128" s="4"/>
      <c r="P128" s="3"/>
      <c r="Q128" s="4"/>
      <c r="R128" s="4"/>
      <c r="S128" s="9" t="str">
        <f>HYPERLINK("https://pbs.twimg.com/profile_images/996979901801680896/YKWO9xgp.jpg","View")</f>
        <v>View</v>
      </c>
    </row>
    <row r="129" spans="1:19" ht="20">
      <c r="A129" s="8">
        <v>43348.712256944447</v>
      </c>
      <c r="B129" s="11" t="str">
        <f>HYPERLINK("https://twitter.com/aftaabmahtaab","@aftaabmahtaab")</f>
        <v>@aftaabmahtaab</v>
      </c>
      <c r="C129" s="6" t="s">
        <v>16147</v>
      </c>
      <c r="D129" s="5" t="s">
        <v>13331</v>
      </c>
      <c r="E129" s="9" t="str">
        <f>HYPERLINK("https://twitter.com/aftaabmahtaab/status/1037318339712966656","1037318339712966656")</f>
        <v>1037318339712966656</v>
      </c>
      <c r="F129" s="4"/>
      <c r="G129" s="4"/>
      <c r="H129" s="4"/>
      <c r="I129" s="10" t="str">
        <f>HYPERLINK("https://mobofa.com","Mobofa")</f>
        <v>Mobofa</v>
      </c>
      <c r="J129" s="2">
        <v>10</v>
      </c>
      <c r="K129" s="2">
        <v>85</v>
      </c>
      <c r="L129" s="2">
        <v>0</v>
      </c>
      <c r="M129" s="2"/>
      <c r="N129" s="8">
        <v>43234.727418981478</v>
      </c>
      <c r="O129" s="4"/>
      <c r="P129" s="3"/>
      <c r="Q129" s="4"/>
      <c r="R129" s="4"/>
      <c r="S129" s="9" t="str">
        <f>HYPERLINK("https://pbs.twimg.com/profile_images/996014347439755264/xRDlo6nn.jpg","View")</f>
        <v>View</v>
      </c>
    </row>
    <row r="130" spans="1:19" ht="20">
      <c r="A130" s="8">
        <v>43348.712233796294</v>
      </c>
      <c r="B130" s="11" t="str">
        <f>HYPERLINK("https://twitter.com/saanaazzzz","@saanaazzzz")</f>
        <v>@saanaazzzz</v>
      </c>
      <c r="C130" s="6" t="s">
        <v>15958</v>
      </c>
      <c r="D130" s="5" t="s">
        <v>13331</v>
      </c>
      <c r="E130" s="9" t="str">
        <f>HYPERLINK("https://twitter.com/saanaazzzz/status/1037318332997922817","1037318332997922817")</f>
        <v>1037318332997922817</v>
      </c>
      <c r="F130" s="4"/>
      <c r="G130" s="4"/>
      <c r="H130" s="4"/>
      <c r="I130" s="10" t="str">
        <f>HYPERLINK("https://mobofa.com","Mobofa")</f>
        <v>Mobofa</v>
      </c>
      <c r="J130" s="2">
        <v>66</v>
      </c>
      <c r="K130" s="2">
        <v>192</v>
      </c>
      <c r="L130" s="2">
        <v>0</v>
      </c>
      <c r="M130" s="2"/>
      <c r="N130" s="8">
        <v>43246.620995370366</v>
      </c>
      <c r="O130" s="4"/>
      <c r="P130" s="3" t="s">
        <v>15957</v>
      </c>
      <c r="Q130" s="4"/>
      <c r="R130" s="4"/>
      <c r="S130" s="9" t="str">
        <f>HYPERLINK("https://pbs.twimg.com/profile_images/1000323161186033665/wDTqOf_8.jpg","View")</f>
        <v>View</v>
      </c>
    </row>
    <row r="131" spans="1:19" ht="20">
      <c r="A131" s="8">
        <v>43348.712233796294</v>
      </c>
      <c r="B131" s="11" t="str">
        <f>HYPERLINK("https://twitter.com/owliviyaa","@owliviyaa")</f>
        <v>@owliviyaa</v>
      </c>
      <c r="C131" s="6" t="s">
        <v>16241</v>
      </c>
      <c r="D131" s="5" t="s">
        <v>13331</v>
      </c>
      <c r="E131" s="9" t="str">
        <f>HYPERLINK("https://twitter.com/owliviyaa/status/1037318332314202112","1037318332314202112")</f>
        <v>1037318332314202112</v>
      </c>
      <c r="F131" s="4"/>
      <c r="G131" s="4"/>
      <c r="H131" s="4"/>
      <c r="I131" s="10" t="str">
        <f>HYPERLINK("https://mobofa.com","Mobofa")</f>
        <v>Mobofa</v>
      </c>
      <c r="J131" s="2">
        <v>75</v>
      </c>
      <c r="K131" s="2">
        <v>303</v>
      </c>
      <c r="L131" s="2">
        <v>0</v>
      </c>
      <c r="M131" s="2"/>
      <c r="N131" s="8">
        <v>43243.592835648145</v>
      </c>
      <c r="O131" s="4"/>
      <c r="P131" s="3" t="s">
        <v>16240</v>
      </c>
      <c r="Q131" s="4"/>
      <c r="R131" s="4"/>
      <c r="S131" s="9" t="str">
        <f>HYPERLINK("https://pbs.twimg.com/profile_images/999232799210065920/HuecBFQT.jpg","View")</f>
        <v>View</v>
      </c>
    </row>
    <row r="132" spans="1:19" ht="20">
      <c r="A132" s="8">
        <v>43348.712222222224</v>
      </c>
      <c r="B132" s="11" t="str">
        <f>HYPERLINK("https://twitter.com/sepehrkn22","@sepehrkn22")</f>
        <v>@sepehrkn22</v>
      </c>
      <c r="C132" s="6" t="s">
        <v>15855</v>
      </c>
      <c r="D132" s="5" t="s">
        <v>13331</v>
      </c>
      <c r="E132" s="9" t="str">
        <f>HYPERLINK("https://twitter.com/sepehrkn22/status/1037318328942030848","1037318328942030848")</f>
        <v>1037318328942030848</v>
      </c>
      <c r="F132" s="4"/>
      <c r="G132" s="4"/>
      <c r="H132" s="4"/>
      <c r="I132" s="10" t="str">
        <f>HYPERLINK("https://mobofa.com","Mobofa")</f>
        <v>Mobofa</v>
      </c>
      <c r="J132" s="2">
        <v>15</v>
      </c>
      <c r="K132" s="2">
        <v>123</v>
      </c>
      <c r="L132" s="2">
        <v>0</v>
      </c>
      <c r="M132" s="2"/>
      <c r="N132" s="8">
        <v>43234.757881944446</v>
      </c>
      <c r="O132" s="4" t="s">
        <v>6168</v>
      </c>
      <c r="P132" s="3" t="s">
        <v>15854</v>
      </c>
      <c r="Q132" s="4"/>
      <c r="R132" s="4"/>
      <c r="S132" s="9" t="str">
        <f>HYPERLINK("https://pbs.twimg.com/profile_images/996025111684812800/Z7dv6LUK.jpg","View")</f>
        <v>View</v>
      </c>
    </row>
    <row r="133" spans="1:19" ht="20">
      <c r="A133" s="8">
        <v>43348.712222222224</v>
      </c>
      <c r="B133" s="11" t="str">
        <f>HYPERLINK("https://twitter.com/leylyyy","@leylyyy")</f>
        <v>@leylyyy</v>
      </c>
      <c r="C133" s="6" t="s">
        <v>15502</v>
      </c>
      <c r="D133" s="5" t="s">
        <v>13331</v>
      </c>
      <c r="E133" s="9" t="str">
        <f>HYPERLINK("https://twitter.com/leylyyy/status/1037318327637618688","1037318327637618688")</f>
        <v>1037318327637618688</v>
      </c>
      <c r="F133" s="4"/>
      <c r="G133" s="4"/>
      <c r="H133" s="4"/>
      <c r="I133" s="10" t="str">
        <f>HYPERLINK("https://mobofa.com","Mobofa")</f>
        <v>Mobofa</v>
      </c>
      <c r="J133" s="2">
        <v>29</v>
      </c>
      <c r="K133" s="2">
        <v>99</v>
      </c>
      <c r="L133" s="2">
        <v>0</v>
      </c>
      <c r="M133" s="2"/>
      <c r="N133" s="8">
        <v>43246.556932870371</v>
      </c>
      <c r="O133" s="4"/>
      <c r="P133" s="3"/>
      <c r="Q133" s="4"/>
      <c r="R133" s="4"/>
      <c r="S133" s="9" t="str">
        <f>HYPERLINK("https://pbs.twimg.com/profile_images/1000299408154595328/1imVewz0.jpg","View")</f>
        <v>View</v>
      </c>
    </row>
    <row r="134" spans="1:19" ht="20">
      <c r="A134" s="8">
        <v>43348.712222222224</v>
      </c>
      <c r="B134" s="11" t="str">
        <f>HYPERLINK("https://twitter.com/pariiyaaa","@pariiyaaa")</f>
        <v>@pariiyaaa</v>
      </c>
      <c r="C134" s="6" t="s">
        <v>16239</v>
      </c>
      <c r="D134" s="5" t="s">
        <v>13331</v>
      </c>
      <c r="E134" s="9" t="str">
        <f>HYPERLINK("https://twitter.com/pariiyaaa/status/1037318327155261441","1037318327155261441")</f>
        <v>1037318327155261441</v>
      </c>
      <c r="F134" s="4"/>
      <c r="G134" s="4"/>
      <c r="H134" s="4"/>
      <c r="I134" s="10" t="str">
        <f>HYPERLINK("https://mobofa.com","Mobofa")</f>
        <v>Mobofa</v>
      </c>
      <c r="J134" s="2">
        <v>71</v>
      </c>
      <c r="K134" s="2">
        <v>237</v>
      </c>
      <c r="L134" s="2">
        <v>0</v>
      </c>
      <c r="M134" s="2"/>
      <c r="N134" s="8">
        <v>43243.68614583333</v>
      </c>
      <c r="O134" s="4" t="s">
        <v>34</v>
      </c>
      <c r="P134" s="3"/>
      <c r="Q134" s="4"/>
      <c r="R134" s="4"/>
      <c r="S134" s="9" t="str">
        <f>HYPERLINK("https://pbs.twimg.com/profile_images/999264842610454530/9VoIlpv_.jpg","View")</f>
        <v>View</v>
      </c>
    </row>
    <row r="135" spans="1:19" ht="20">
      <c r="A135" s="8">
        <v>43348.712210648147</v>
      </c>
      <c r="B135" s="11" t="str">
        <f>HYPERLINK("https://twitter.com/ebimhm","@ebimhm")</f>
        <v>@ebimhm</v>
      </c>
      <c r="C135" s="6" t="s">
        <v>15857</v>
      </c>
      <c r="D135" s="5" t="s">
        <v>13331</v>
      </c>
      <c r="E135" s="9" t="str">
        <f>HYPERLINK("https://twitter.com/ebimhm/status/1037318324726714368","1037318324726714368")</f>
        <v>1037318324726714368</v>
      </c>
      <c r="F135" s="4"/>
      <c r="G135" s="4"/>
      <c r="H135" s="4"/>
      <c r="I135" s="10" t="str">
        <f>HYPERLINK("https://mobofa.com","Mobofa")</f>
        <v>Mobofa</v>
      </c>
      <c r="J135" s="2">
        <v>27</v>
      </c>
      <c r="K135" s="2">
        <v>136</v>
      </c>
      <c r="L135" s="2">
        <v>0</v>
      </c>
      <c r="M135" s="2"/>
      <c r="N135" s="8">
        <v>43237.33871527778</v>
      </c>
      <c r="O135" s="4"/>
      <c r="P135" s="3" t="s">
        <v>15856</v>
      </c>
      <c r="Q135" s="4"/>
      <c r="R135" s="4"/>
      <c r="S135" s="9" t="str">
        <f>HYPERLINK("https://pbs.twimg.com/profile_images/996961657699086336/MDmd0C1k.jpg","View")</f>
        <v>View</v>
      </c>
    </row>
    <row r="136" spans="1:19" ht="20">
      <c r="A136" s="8">
        <v>43348.712210648147</v>
      </c>
      <c r="B136" s="11" t="str">
        <f>HYPERLINK("https://twitter.com/Beh_naazz","@Beh_naazz")</f>
        <v>@Beh_naazz</v>
      </c>
      <c r="C136" s="6" t="s">
        <v>16150</v>
      </c>
      <c r="D136" s="5" t="s">
        <v>13331</v>
      </c>
      <c r="E136" s="9" t="str">
        <f>HYPERLINK("https://twitter.com/Beh_naazz/status/1037318324433178624","1037318324433178624")</f>
        <v>1037318324433178624</v>
      </c>
      <c r="F136" s="4"/>
      <c r="G136" s="4"/>
      <c r="H136" s="4"/>
      <c r="I136" s="10" t="str">
        <f>HYPERLINK("https://mobofa.com","Mobofa")</f>
        <v>Mobofa</v>
      </c>
      <c r="J136" s="2">
        <v>0</v>
      </c>
      <c r="K136" s="2">
        <v>1</v>
      </c>
      <c r="L136" s="2">
        <v>0</v>
      </c>
      <c r="M136" s="2"/>
      <c r="N136" s="8">
        <v>43237.319895833338</v>
      </c>
      <c r="O136" s="4" t="s">
        <v>682</v>
      </c>
      <c r="P136" s="3" t="s">
        <v>16149</v>
      </c>
      <c r="Q136" s="4"/>
      <c r="R136" s="4"/>
      <c r="S136" s="9" t="str">
        <f>HYPERLINK("https://pbs.twimg.com/profile_images/996954096857952257/ylgVsX_3.jpg","View")</f>
        <v>View</v>
      </c>
    </row>
    <row r="137" spans="1:19" ht="20">
      <c r="A137" s="8">
        <v>43348.712199074071</v>
      </c>
      <c r="B137" s="11" t="str">
        <f>HYPERLINK("https://twitter.com/Ahmadsaburi2","@Ahmadsaburi2")</f>
        <v>@Ahmadsaburi2</v>
      </c>
      <c r="C137" s="6" t="s">
        <v>16059</v>
      </c>
      <c r="D137" s="5" t="s">
        <v>13331</v>
      </c>
      <c r="E137" s="9" t="str">
        <f>HYPERLINK("https://twitter.com/Ahmadsaburi2/status/1037318320767344640","1037318320767344640")</f>
        <v>1037318320767344640</v>
      </c>
      <c r="F137" s="4"/>
      <c r="G137" s="4"/>
      <c r="H137" s="4"/>
      <c r="I137" s="10" t="str">
        <f>HYPERLINK("https://mobofa.com","Mobofa")</f>
        <v>Mobofa</v>
      </c>
      <c r="J137" s="2">
        <v>0</v>
      </c>
      <c r="K137" s="2">
        <v>4</v>
      </c>
      <c r="L137" s="2">
        <v>0</v>
      </c>
      <c r="M137" s="2"/>
      <c r="N137" s="8">
        <v>43229.828680555554</v>
      </c>
      <c r="O137" s="4"/>
      <c r="P137" s="3"/>
      <c r="Q137" s="4"/>
      <c r="R137" s="4"/>
      <c r="S137" s="9" t="str">
        <f>HYPERLINK("https://pbs.twimg.com/profile_images/1035876438694670339/zGaPvMfz.jpg","View")</f>
        <v>View</v>
      </c>
    </row>
    <row r="138" spans="1:19" ht="20">
      <c r="A138" s="8">
        <v>43348.712187500001</v>
      </c>
      <c r="B138" s="11" t="str">
        <f>HYPERLINK("https://twitter.com/ManagerToken","@ManagerToken")</f>
        <v>@ManagerToken</v>
      </c>
      <c r="C138" s="6" t="s">
        <v>15853</v>
      </c>
      <c r="D138" s="5" t="s">
        <v>13331</v>
      </c>
      <c r="E138" s="9" t="str">
        <f>HYPERLINK("https://twitter.com/ManagerToken/status/1037318317218906113","1037318317218906113")</f>
        <v>1037318317218906113</v>
      </c>
      <c r="F138" s="4"/>
      <c r="G138" s="4"/>
      <c r="H138" s="4"/>
      <c r="I138" s="10" t="str">
        <f>HYPERLINK("https://mobofa.com","Mobofa")</f>
        <v>Mobofa</v>
      </c>
      <c r="J138" s="2">
        <v>2</v>
      </c>
      <c r="K138" s="2">
        <v>31</v>
      </c>
      <c r="L138" s="2">
        <v>0</v>
      </c>
      <c r="M138" s="2"/>
      <c r="N138" s="8">
        <v>43260.80777777778</v>
      </c>
      <c r="O138" s="4"/>
      <c r="P138" s="3" t="s">
        <v>15852</v>
      </c>
      <c r="Q138" s="4"/>
      <c r="R138" s="4"/>
      <c r="S138" s="2" t="s">
        <v>155</v>
      </c>
    </row>
    <row r="139" spans="1:19" ht="60">
      <c r="A139" s="8">
        <v>43348.712129629625</v>
      </c>
      <c r="B139" s="11" t="str">
        <f>HYPERLINK("https://twitter.com/mirza_borjerdi","@mirza_borjerdi")</f>
        <v>@mirza_borjerdi</v>
      </c>
      <c r="C139" s="6" t="s">
        <v>9560</v>
      </c>
      <c r="D139" s="5" t="s">
        <v>16238</v>
      </c>
      <c r="E139" s="9" t="str">
        <f>HYPERLINK("https://twitter.com/mirza_borjerdi/status/1037318295433740289","1037318295433740289")</f>
        <v>1037318295433740289</v>
      </c>
      <c r="F139" s="10" t="s">
        <v>16237</v>
      </c>
      <c r="G139" s="10" t="s">
        <v>16236</v>
      </c>
      <c r="H139" s="4"/>
      <c r="I139" s="10" t="str">
        <f>HYPERLINK("http://twitter.com/download/android","Twitter for Android")</f>
        <v>Twitter for Android</v>
      </c>
      <c r="J139" s="2">
        <v>484</v>
      </c>
      <c r="K139" s="2">
        <v>735</v>
      </c>
      <c r="L139" s="2">
        <v>0</v>
      </c>
      <c r="M139" s="2"/>
      <c r="N139" s="8">
        <v>43235.710023148145</v>
      </c>
      <c r="O139" s="4"/>
      <c r="P139" s="3" t="s">
        <v>9558</v>
      </c>
      <c r="Q139" s="4"/>
      <c r="R139" s="4"/>
      <c r="S139" s="9" t="str">
        <f>HYPERLINK("https://pbs.twimg.com/profile_images/1034539644019507201/zudHXYEh.jpg","View")</f>
        <v>View</v>
      </c>
    </row>
    <row r="140" spans="1:19" ht="20">
      <c r="A140" s="8">
        <v>43348.71194444444</v>
      </c>
      <c r="B140" s="11" t="str">
        <f>HYPERLINK("https://twitter.com/arefamiri14","@arefamiri14")</f>
        <v>@arefamiri14</v>
      </c>
      <c r="C140" s="6" t="s">
        <v>2105</v>
      </c>
      <c r="D140" s="5" t="s">
        <v>16235</v>
      </c>
      <c r="E140" s="9" t="str">
        <f>HYPERLINK("https://twitter.com/arefamiri14/status/1037318227498479617","1037318227498479617")</f>
        <v>1037318227498479617</v>
      </c>
      <c r="F140" s="4"/>
      <c r="G140" s="4"/>
      <c r="H140" s="4"/>
      <c r="I140" s="10" t="str">
        <f>HYPERLINK("http://twitter.com","Twitter Web Client")</f>
        <v>Twitter Web Client</v>
      </c>
      <c r="J140" s="2">
        <v>136</v>
      </c>
      <c r="K140" s="2">
        <v>126</v>
      </c>
      <c r="L140" s="2">
        <v>0</v>
      </c>
      <c r="M140" s="2"/>
      <c r="N140" s="8">
        <v>43331.773715277777</v>
      </c>
      <c r="O140" s="4" t="s">
        <v>2103</v>
      </c>
      <c r="P140" s="3" t="s">
        <v>10219</v>
      </c>
      <c r="Q140" s="4"/>
      <c r="R140" s="4"/>
      <c r="S140" s="9" t="str">
        <f>HYPERLINK("https://pbs.twimg.com/profile_images/1031181221043298309/wrVbEJOO.jpg","View")</f>
        <v>View</v>
      </c>
    </row>
    <row r="141" spans="1:19" ht="20">
      <c r="A141" s="8">
        <v>43348.711006944446</v>
      </c>
      <c r="B141" s="11" t="str">
        <f>HYPERLINK("https://twitter.com/Hamin_alan","@Hamin_alan")</f>
        <v>@Hamin_alan</v>
      </c>
      <c r="C141" s="6" t="s">
        <v>16234</v>
      </c>
      <c r="D141" s="5" t="s">
        <v>16233</v>
      </c>
      <c r="E141" s="9" t="str">
        <f>HYPERLINK("https://twitter.com/Hamin_alan/status/1037317889185988609","1037317889185988609")</f>
        <v>1037317889185988609</v>
      </c>
      <c r="F141" s="4"/>
      <c r="G141" s="10" t="s">
        <v>16232</v>
      </c>
      <c r="H141" s="4"/>
      <c r="I141" s="10" t="str">
        <f>HYPERLINK("http://twitter.com/download/android","Twitter for Android")</f>
        <v>Twitter for Android</v>
      </c>
      <c r="J141" s="2">
        <v>17</v>
      </c>
      <c r="K141" s="2">
        <v>137</v>
      </c>
      <c r="L141" s="2">
        <v>0</v>
      </c>
      <c r="M141" s="2"/>
      <c r="N141" s="8">
        <v>42502.813657407409</v>
      </c>
      <c r="O141" s="4" t="s">
        <v>34</v>
      </c>
      <c r="P141" s="3"/>
      <c r="Q141" s="4"/>
      <c r="R141" s="4"/>
      <c r="S141" s="9" t="str">
        <f>HYPERLINK("https://pbs.twimg.com/profile_images/730775474205560832/V5T-SHpc.jpg","View")</f>
        <v>View</v>
      </c>
    </row>
    <row r="142" spans="1:19" ht="40">
      <c r="A142" s="8">
        <v>43348.70958333333</v>
      </c>
      <c r="B142" s="11" t="str">
        <f>HYPERLINK("https://twitter.com/RezaVahidzade","@RezaVahidzade")</f>
        <v>@RezaVahidzade</v>
      </c>
      <c r="C142" s="6" t="s">
        <v>16231</v>
      </c>
      <c r="D142" s="5" t="s">
        <v>16230</v>
      </c>
      <c r="E142" s="9" t="str">
        <f>HYPERLINK("https://twitter.com/RezaVahidzade/status/1037317370128359424","1037317370128359424")</f>
        <v>1037317370128359424</v>
      </c>
      <c r="F142" s="4"/>
      <c r="G142" s="4"/>
      <c r="H142" s="4"/>
      <c r="I142" s="10" t="str">
        <f>HYPERLINK("http://twitter.com","Twitter Web Client")</f>
        <v>Twitter Web Client</v>
      </c>
      <c r="J142" s="2">
        <v>814</v>
      </c>
      <c r="K142" s="2">
        <v>67</v>
      </c>
      <c r="L142" s="2">
        <v>8</v>
      </c>
      <c r="M142" s="2"/>
      <c r="N142" s="8">
        <v>42742.761793981481</v>
      </c>
      <c r="O142" s="4" t="s">
        <v>17</v>
      </c>
      <c r="P142" s="3" t="s">
        <v>16229</v>
      </c>
      <c r="Q142" s="10" t="s">
        <v>16228</v>
      </c>
      <c r="R142" s="4"/>
      <c r="S142" s="9" t="str">
        <f>HYPERLINK("https://pbs.twimg.com/profile_images/817750104102866945/QHI8o21s.jpg","View")</f>
        <v>View</v>
      </c>
    </row>
    <row r="143" spans="1:19" ht="20">
      <c r="A143" s="8">
        <v>43348.706979166665</v>
      </c>
      <c r="B143" s="11" t="str">
        <f>HYPERLINK("https://twitter.com/moghise313","@moghise313")</f>
        <v>@moghise313</v>
      </c>
      <c r="C143" s="6" t="s">
        <v>16227</v>
      </c>
      <c r="D143" s="5" t="s">
        <v>13331</v>
      </c>
      <c r="E143" s="9" t="str">
        <f>HYPERLINK("https://twitter.com/moghise313/status/1037316428855042048","1037316428855042048")</f>
        <v>1037316428855042048</v>
      </c>
      <c r="F143" s="4"/>
      <c r="G143" s="4"/>
      <c r="H143" s="4"/>
      <c r="I143" s="10" t="str">
        <f>HYPERLINK("https://mobofa.com","Mobofa")</f>
        <v>Mobofa</v>
      </c>
      <c r="J143" s="2">
        <v>22</v>
      </c>
      <c r="K143" s="2">
        <v>60</v>
      </c>
      <c r="L143" s="2">
        <v>0</v>
      </c>
      <c r="M143" s="2"/>
      <c r="N143" s="8">
        <v>43244.587476851855</v>
      </c>
      <c r="O143" s="4"/>
      <c r="P143" s="3"/>
      <c r="Q143" s="4"/>
      <c r="R143" s="4"/>
      <c r="S143" s="9" t="str">
        <f>HYPERLINK("https://pbs.twimg.com/profile_images/999585784926584832/pU7LH0hP.jpg","View")</f>
        <v>View</v>
      </c>
    </row>
    <row r="144" spans="1:19" ht="20">
      <c r="A144" s="8">
        <v>43348.706979166665</v>
      </c>
      <c r="B144" s="11" t="str">
        <f>HYPERLINK("https://twitter.com/seyedsaiedd","@seyedsaiedd")</f>
        <v>@seyedsaiedd</v>
      </c>
      <c r="C144" s="6" t="s">
        <v>16226</v>
      </c>
      <c r="D144" s="5" t="s">
        <v>13331</v>
      </c>
      <c r="E144" s="9" t="str">
        <f>HYPERLINK("https://twitter.com/seyedsaiedd/status/1037316428779552770","1037316428779552770")</f>
        <v>1037316428779552770</v>
      </c>
      <c r="F144" s="4"/>
      <c r="G144" s="4"/>
      <c r="H144" s="4"/>
      <c r="I144" s="10" t="str">
        <f>HYPERLINK("https://mobofa.com","Mobofa")</f>
        <v>Mobofa</v>
      </c>
      <c r="J144" s="2">
        <v>31</v>
      </c>
      <c r="K144" s="2">
        <v>139</v>
      </c>
      <c r="L144" s="2">
        <v>0</v>
      </c>
      <c r="M144" s="2"/>
      <c r="N144" s="8">
        <v>43235.614305555559</v>
      </c>
      <c r="O144" s="4"/>
      <c r="P144" s="3" t="s">
        <v>16225</v>
      </c>
      <c r="Q144" s="4"/>
      <c r="R144" s="4"/>
      <c r="S144" s="9" t="str">
        <f>HYPERLINK("https://pbs.twimg.com/profile_images/996333736223526913/xOzXR12n.jpg","View")</f>
        <v>View</v>
      </c>
    </row>
    <row r="145" spans="1:19" ht="20">
      <c r="A145" s="8">
        <v>43348.706099537041</v>
      </c>
      <c r="B145" s="11" t="str">
        <f>HYPERLINK("https://twitter.com/s_sahami","@s_sahami")</f>
        <v>@s_sahami</v>
      </c>
      <c r="C145" s="6" t="s">
        <v>10228</v>
      </c>
      <c r="D145" s="5" t="s">
        <v>16224</v>
      </c>
      <c r="E145" s="9" t="str">
        <f>HYPERLINK("https://twitter.com/s_sahami/status/1037316110985650176","1037316110985650176")</f>
        <v>1037316110985650176</v>
      </c>
      <c r="F145" s="4"/>
      <c r="G145" s="4"/>
      <c r="H145" s="4"/>
      <c r="I145" s="10" t="str">
        <f>HYPERLINK("http://twitter.com/download/android","Twitter for Android")</f>
        <v>Twitter for Android</v>
      </c>
      <c r="J145" s="2">
        <v>128</v>
      </c>
      <c r="K145" s="2">
        <v>91</v>
      </c>
      <c r="L145" s="2">
        <v>1</v>
      </c>
      <c r="M145" s="2"/>
      <c r="N145" s="8">
        <v>43225.593668981484</v>
      </c>
      <c r="O145" s="4" t="s">
        <v>17</v>
      </c>
      <c r="P145" s="3" t="s">
        <v>10226</v>
      </c>
      <c r="Q145" s="4"/>
      <c r="R145" s="4"/>
      <c r="S145" s="9" t="str">
        <f>HYPERLINK("https://pbs.twimg.com/profile_images/992704042425044993/Q78DXpGr.jpg","View")</f>
        <v>View</v>
      </c>
    </row>
    <row r="146" spans="1:19" ht="20">
      <c r="A146" s="8">
        <v>43348.705567129626</v>
      </c>
      <c r="B146" s="11" t="str">
        <f>HYPERLINK("https://twitter.com/MojtabaSalehi73","@MojtabaSalehi73")</f>
        <v>@MojtabaSalehi73</v>
      </c>
      <c r="C146" s="6" t="s">
        <v>6370</v>
      </c>
      <c r="D146" s="5" t="s">
        <v>16223</v>
      </c>
      <c r="E146" s="9" t="str">
        <f>HYPERLINK("https://twitter.com/MojtabaSalehi73/status/1037315918240665600","1037315918240665600")</f>
        <v>1037315918240665600</v>
      </c>
      <c r="F146" s="4"/>
      <c r="G146" s="4"/>
      <c r="H146" s="4"/>
      <c r="I146" s="10" t="str">
        <f>HYPERLINK("http://twitter.com/download/android","Twitter for Android")</f>
        <v>Twitter for Android</v>
      </c>
      <c r="J146" s="2">
        <v>134</v>
      </c>
      <c r="K146" s="2">
        <v>236</v>
      </c>
      <c r="L146" s="2">
        <v>1</v>
      </c>
      <c r="M146" s="2"/>
      <c r="N146" s="8">
        <v>43100.921354166669</v>
      </c>
      <c r="O146" s="4" t="s">
        <v>34</v>
      </c>
      <c r="P146" s="3" t="s">
        <v>6367</v>
      </c>
      <c r="Q146" s="4"/>
      <c r="R146" s="4"/>
      <c r="S146" s="9" t="str">
        <f>HYPERLINK("https://pbs.twimg.com/profile_images/998270682952744960/ODLMAU95.jpg","View")</f>
        <v>View</v>
      </c>
    </row>
    <row r="147" spans="1:19" ht="40">
      <c r="A147" s="8">
        <v>43348.705439814818</v>
      </c>
      <c r="B147" s="11" t="str">
        <f>HYPERLINK("https://twitter.com/meysammehri7172","@meysammehri7172")</f>
        <v>@meysammehri7172</v>
      </c>
      <c r="C147" s="6" t="s">
        <v>16222</v>
      </c>
      <c r="D147" s="5" t="s">
        <v>16221</v>
      </c>
      <c r="E147" s="9" t="str">
        <f>HYPERLINK("https://twitter.com/meysammehri7172/status/1037315869477691392","1037315869477691392")</f>
        <v>1037315869477691392</v>
      </c>
      <c r="F147" s="4"/>
      <c r="G147" s="4"/>
      <c r="H147" s="4"/>
      <c r="I147" s="10" t="str">
        <f>HYPERLINK("https://mobile.twitter.com","Twitter Lite")</f>
        <v>Twitter Lite</v>
      </c>
      <c r="J147" s="2">
        <v>96</v>
      </c>
      <c r="K147" s="2">
        <v>96</v>
      </c>
      <c r="L147" s="2">
        <v>0</v>
      </c>
      <c r="M147" s="2"/>
      <c r="N147" s="8">
        <v>42801.020520833335</v>
      </c>
      <c r="O147" s="4" t="s">
        <v>34</v>
      </c>
      <c r="P147" s="3" t="s">
        <v>16220</v>
      </c>
      <c r="Q147" s="4"/>
      <c r="R147" s="4"/>
      <c r="S147" s="9" t="str">
        <f>HYPERLINK("https://pbs.twimg.com/profile_images/948493411564376064/JflZnSdc.jpg","View")</f>
        <v>View</v>
      </c>
    </row>
    <row r="148" spans="1:19" ht="30">
      <c r="A148" s="8">
        <v>43348.703553240739</v>
      </c>
      <c r="B148" s="11" t="str">
        <f>HYPERLINK("https://twitter.com/AkhbarFori","@AkhbarFori")</f>
        <v>@AkhbarFori</v>
      </c>
      <c r="C148" s="6" t="s">
        <v>703</v>
      </c>
      <c r="D148" s="5" t="s">
        <v>16219</v>
      </c>
      <c r="E148" s="9" t="str">
        <f>HYPERLINK("https://twitter.com/AkhbarFori/status/1037315185940328448","1037315185940328448")</f>
        <v>1037315185940328448</v>
      </c>
      <c r="F148" s="10" t="s">
        <v>16218</v>
      </c>
      <c r="G148" s="4"/>
      <c r="H148" s="4"/>
      <c r="I148" s="10" t="str">
        <f>HYPERLINK("http://twitter.com/download/android","Twitter for Android")</f>
        <v>Twitter for Android</v>
      </c>
      <c r="J148" s="2">
        <v>2295</v>
      </c>
      <c r="K148" s="2">
        <v>57</v>
      </c>
      <c r="L148" s="2">
        <v>10</v>
      </c>
      <c r="M148" s="2"/>
      <c r="N148" s="8">
        <v>42681.433865740742</v>
      </c>
      <c r="O148" s="4" t="s">
        <v>34</v>
      </c>
      <c r="P148" s="3" t="s">
        <v>700</v>
      </c>
      <c r="Q148" s="10" t="s">
        <v>699</v>
      </c>
      <c r="R148" s="4"/>
      <c r="S148" s="9" t="str">
        <f>HYPERLINK("https://pbs.twimg.com/profile_images/966310274599964674/M_bW7CfD.jpg","View")</f>
        <v>View</v>
      </c>
    </row>
    <row r="149" spans="1:19" ht="30">
      <c r="A149" s="8">
        <v>43348.702511574069</v>
      </c>
      <c r="B149" s="11" t="str">
        <f>HYPERLINK("https://twitter.com/masoudasadi67","@masoudasadi67")</f>
        <v>@masoudasadi67</v>
      </c>
      <c r="C149" s="6" t="s">
        <v>10996</v>
      </c>
      <c r="D149" s="5" t="s">
        <v>16217</v>
      </c>
      <c r="E149" s="9" t="str">
        <f>HYPERLINK("https://twitter.com/masoudasadi67/status/1037314807043686400","1037314807043686400")</f>
        <v>1037314807043686400</v>
      </c>
      <c r="F149" s="4"/>
      <c r="G149" s="4"/>
      <c r="H149" s="4"/>
      <c r="I149" s="10" t="str">
        <f>HYPERLINK("http://twitter.com/download/android","Twitter for Android")</f>
        <v>Twitter for Android</v>
      </c>
      <c r="J149" s="2">
        <v>955</v>
      </c>
      <c r="K149" s="2">
        <v>999</v>
      </c>
      <c r="L149" s="2">
        <v>3</v>
      </c>
      <c r="M149" s="2"/>
      <c r="N149" s="8">
        <v>43285.680798611109</v>
      </c>
      <c r="O149" s="4"/>
      <c r="P149" s="3" t="s">
        <v>10994</v>
      </c>
      <c r="Q149" s="4"/>
      <c r="R149" s="4"/>
      <c r="S149" s="9" t="str">
        <f>HYPERLINK("https://pbs.twimg.com/profile_images/1022476071168552960/71AT3Uf3.jpg","View")</f>
        <v>View</v>
      </c>
    </row>
    <row r="150" spans="1:19" ht="20">
      <c r="A150" s="8">
        <v>43348.701562499999</v>
      </c>
      <c r="B150" s="11" t="str">
        <f>HYPERLINK("https://twitter.com/refighmohi","@refighmohi")</f>
        <v>@refighmohi</v>
      </c>
      <c r="C150" s="6" t="s">
        <v>6821</v>
      </c>
      <c r="D150" s="5" t="s">
        <v>16216</v>
      </c>
      <c r="E150" s="9" t="str">
        <f>HYPERLINK("https://twitter.com/refighmohi/status/1037314465409245184","1037314465409245184")</f>
        <v>1037314465409245184</v>
      </c>
      <c r="F150" s="4"/>
      <c r="G150" s="4"/>
      <c r="H150" s="4"/>
      <c r="I150" s="10" t="str">
        <f>HYPERLINK("http://twitter.com/download/android","Twitter for Android")</f>
        <v>Twitter for Android</v>
      </c>
      <c r="J150" s="2">
        <v>981</v>
      </c>
      <c r="K150" s="2">
        <v>236</v>
      </c>
      <c r="L150" s="2">
        <v>8</v>
      </c>
      <c r="M150" s="2"/>
      <c r="N150" s="8">
        <v>42746.458530092597</v>
      </c>
      <c r="O150" s="4" t="s">
        <v>6819</v>
      </c>
      <c r="P150" s="3" t="s">
        <v>6818</v>
      </c>
      <c r="Q150" s="10" t="s">
        <v>6817</v>
      </c>
      <c r="R150" s="4"/>
      <c r="S150" s="9" t="str">
        <f>HYPERLINK("https://pbs.twimg.com/profile_images/1036384065526669312/sWxwwEeb.jpg","View")</f>
        <v>View</v>
      </c>
    </row>
    <row r="151" spans="1:19" ht="40">
      <c r="A151" s="8">
        <v>43348.700601851851</v>
      </c>
      <c r="B151" s="11" t="str">
        <f>HYPERLINK("https://twitter.com/Son_of_cyrus","@Son_of_cyrus")</f>
        <v>@Son_of_cyrus</v>
      </c>
      <c r="C151" s="6" t="s">
        <v>16215</v>
      </c>
      <c r="D151" s="5" t="s">
        <v>16214</v>
      </c>
      <c r="E151" s="9" t="str">
        <f>HYPERLINK("https://twitter.com/Son_of_cyrus/status/1037314118875791360","1037314118875791360")</f>
        <v>1037314118875791360</v>
      </c>
      <c r="F151" s="4"/>
      <c r="G151" s="4"/>
      <c r="H151" s="4"/>
      <c r="I151" s="10" t="str">
        <f>HYPERLINK("http://twitter.com/download/android","Twitter for Android")</f>
        <v>Twitter for Android</v>
      </c>
      <c r="J151" s="2">
        <v>9319</v>
      </c>
      <c r="K151" s="2">
        <v>1475</v>
      </c>
      <c r="L151" s="2">
        <v>12</v>
      </c>
      <c r="M151" s="2"/>
      <c r="N151" s="8">
        <v>43113.771678240737</v>
      </c>
      <c r="O151" s="4" t="s">
        <v>16213</v>
      </c>
      <c r="P151" s="3" t="s">
        <v>16212</v>
      </c>
      <c r="Q151" s="4"/>
      <c r="R151" s="4"/>
      <c r="S151" s="9" t="str">
        <f>HYPERLINK("https://pbs.twimg.com/profile_images/1006928130131615746/Qs-5tCsd.jpg","View")</f>
        <v>View</v>
      </c>
    </row>
    <row r="152" spans="1:19" ht="40">
      <c r="A152" s="8">
        <v>43348.699756944443</v>
      </c>
      <c r="B152" s="11" t="str">
        <f>HYPERLINK("https://twitter.com/YsnaaN","@YsnaaN")</f>
        <v>@YsnaaN</v>
      </c>
      <c r="C152" s="6" t="s">
        <v>16211</v>
      </c>
      <c r="D152" s="5" t="s">
        <v>16210</v>
      </c>
      <c r="E152" s="9" t="str">
        <f>HYPERLINK("https://twitter.com/YsnaaN/status/1037313811538210816","1037313811538210816")</f>
        <v>1037313811538210816</v>
      </c>
      <c r="F152" s="4"/>
      <c r="G152" s="4"/>
      <c r="H152" s="4"/>
      <c r="I152" s="10" t="str">
        <f>HYPERLINK("http://twitter.com/download/android","Twitter for Android")</f>
        <v>Twitter for Android</v>
      </c>
      <c r="J152" s="2">
        <v>61</v>
      </c>
      <c r="K152" s="2">
        <v>70</v>
      </c>
      <c r="L152" s="2">
        <v>0</v>
      </c>
      <c r="M152" s="2"/>
      <c r="N152" s="8">
        <v>43299.975127314814</v>
      </c>
      <c r="O152" s="4"/>
      <c r="P152" s="3" t="s">
        <v>16209</v>
      </c>
      <c r="Q152" s="4"/>
      <c r="R152" s="4"/>
      <c r="S152" s="9" t="str">
        <f>HYPERLINK("https://pbs.twimg.com/profile_images/1023217330749403137/4Xv_luss.jpg","View")</f>
        <v>View</v>
      </c>
    </row>
    <row r="153" spans="1:19" ht="20">
      <c r="A153" s="8">
        <v>43348.699363425927</v>
      </c>
      <c r="B153" s="11" t="str">
        <f>HYPERLINK("https://twitter.com/ofsgii","@ofsgii")</f>
        <v>@ofsgii</v>
      </c>
      <c r="C153" s="6" t="s">
        <v>16208</v>
      </c>
      <c r="D153" s="5" t="s">
        <v>16207</v>
      </c>
      <c r="E153" s="9" t="str">
        <f>HYPERLINK("https://twitter.com/ofsgii/status/1037313669925879808","1037313669925879808")</f>
        <v>1037313669925879808</v>
      </c>
      <c r="F153" s="4"/>
      <c r="G153" s="10" t="s">
        <v>16206</v>
      </c>
      <c r="H153" s="4"/>
      <c r="I153" s="10" t="str">
        <f>HYPERLINK("http://twitter.com/download/android","Twitter for Android")</f>
        <v>Twitter for Android</v>
      </c>
      <c r="J153" s="2">
        <v>71</v>
      </c>
      <c r="K153" s="2">
        <v>234</v>
      </c>
      <c r="L153" s="2">
        <v>0</v>
      </c>
      <c r="M153" s="2"/>
      <c r="N153" s="8">
        <v>43092.996215277773</v>
      </c>
      <c r="O153" s="4" t="s">
        <v>763</v>
      </c>
      <c r="P153" s="3" t="s">
        <v>16205</v>
      </c>
      <c r="Q153" s="4"/>
      <c r="R153" s="4"/>
      <c r="S153" s="9" t="str">
        <f>HYPERLINK("https://pbs.twimg.com/profile_images/1035834038471274496/M2BXZGSS.jpg","View")</f>
        <v>View</v>
      </c>
    </row>
    <row r="154" spans="1:19" ht="40">
      <c r="A154" s="8">
        <v>43348.698680555557</v>
      </c>
      <c r="B154" s="11" t="str">
        <f>HYPERLINK("https://twitter.com/AHosseinoghli","@AHosseinoghli")</f>
        <v>@AHosseinoghli</v>
      </c>
      <c r="C154" s="6" t="s">
        <v>16204</v>
      </c>
      <c r="D154" s="5" t="s">
        <v>16203</v>
      </c>
      <c r="E154" s="9" t="str">
        <f>HYPERLINK("https://twitter.com/AHosseinoghli/status/1037313421136547841","1037313421136547841")</f>
        <v>1037313421136547841</v>
      </c>
      <c r="F154" s="4"/>
      <c r="G154" s="4"/>
      <c r="H154" s="4"/>
      <c r="I154" s="10" t="str">
        <f>HYPERLINK("http://twitter.com","Twitter Web Client")</f>
        <v>Twitter Web Client</v>
      </c>
      <c r="J154" s="2">
        <v>147</v>
      </c>
      <c r="K154" s="2">
        <v>297</v>
      </c>
      <c r="L154" s="2">
        <v>1</v>
      </c>
      <c r="M154" s="2"/>
      <c r="N154" s="8">
        <v>42888.638831018514</v>
      </c>
      <c r="O154" s="4" t="s">
        <v>34</v>
      </c>
      <c r="P154" s="3" t="s">
        <v>16202</v>
      </c>
      <c r="Q154" s="4"/>
      <c r="R154" s="4"/>
      <c r="S154" s="9" t="str">
        <f>HYPERLINK("https://pbs.twimg.com/profile_images/1020634470532239360/yLiC_lfx.jpg","View")</f>
        <v>View</v>
      </c>
    </row>
    <row r="155" spans="1:19" ht="20">
      <c r="A155" s="8">
        <v>43348.697743055556</v>
      </c>
      <c r="B155" s="11" t="str">
        <f>HYPERLINK("https://twitter.com/ALIREZAGHAE","@ALIREZAGHAE")</f>
        <v>@ALIREZAGHAE</v>
      </c>
      <c r="C155" s="6" t="s">
        <v>16201</v>
      </c>
      <c r="D155" s="5" t="s">
        <v>16200</v>
      </c>
      <c r="E155" s="9" t="str">
        <f>HYPERLINK("https://twitter.com/ALIREZAGHAE/status/1037313079720038401","1037313079720038401")</f>
        <v>1037313079720038401</v>
      </c>
      <c r="F155" s="4"/>
      <c r="G155" s="4"/>
      <c r="H155" s="4"/>
      <c r="I155" s="10" t="str">
        <f>HYPERLINK("https://mobile.twitter.com","Twitter Lite")</f>
        <v>Twitter Lite</v>
      </c>
      <c r="J155" s="2">
        <v>11</v>
      </c>
      <c r="K155" s="2">
        <v>49</v>
      </c>
      <c r="L155" s="2">
        <v>0</v>
      </c>
      <c r="M155" s="2"/>
      <c r="N155" s="8">
        <v>41115.813738425924</v>
      </c>
      <c r="O155" s="4" t="s">
        <v>5053</v>
      </c>
      <c r="P155" s="3" t="s">
        <v>16199</v>
      </c>
      <c r="Q155" s="4"/>
      <c r="R155" s="4"/>
      <c r="S155" s="9" t="str">
        <f>HYPERLINK("https://pbs.twimg.com/profile_images/1021247702820982784/hPtY-s8M.jpg","View")</f>
        <v>View</v>
      </c>
    </row>
    <row r="156" spans="1:19" ht="40">
      <c r="A156" s="8">
        <v>43348.697638888887</v>
      </c>
      <c r="B156" s="11" t="str">
        <f>HYPERLINK("https://twitter.com/rezamahmoudi79","@rezamahmoudi79")</f>
        <v>@rezamahmoudi79</v>
      </c>
      <c r="C156" s="6" t="s">
        <v>11707</v>
      </c>
      <c r="D156" s="5" t="s">
        <v>16198</v>
      </c>
      <c r="E156" s="9" t="str">
        <f>HYPERLINK("https://twitter.com/rezamahmoudi79/status/1037313042143485952","1037313042143485952")</f>
        <v>1037313042143485952</v>
      </c>
      <c r="F156" s="4"/>
      <c r="G156" s="10" t="s">
        <v>16197</v>
      </c>
      <c r="H156" s="4"/>
      <c r="I156" s="10" t="str">
        <f>HYPERLINK("http://twitter.com","Twitter Web Client")</f>
        <v>Twitter Web Client</v>
      </c>
      <c r="J156" s="2">
        <v>144</v>
      </c>
      <c r="K156" s="2">
        <v>266</v>
      </c>
      <c r="L156" s="2">
        <v>1</v>
      </c>
      <c r="M156" s="2"/>
      <c r="N156" s="8">
        <v>43343.953611111108</v>
      </c>
      <c r="O156" s="4" t="s">
        <v>1415</v>
      </c>
      <c r="P156" s="3" t="s">
        <v>11704</v>
      </c>
      <c r="Q156" s="10" t="s">
        <v>11703</v>
      </c>
      <c r="R156" s="4"/>
      <c r="S156" s="9" t="str">
        <f>HYPERLINK("https://pbs.twimg.com/profile_images/1035604537078427652/gfB4g4wQ.jpg","View")</f>
        <v>View</v>
      </c>
    </row>
    <row r="157" spans="1:19" ht="40">
      <c r="A157" s="8">
        <v>43348.697337962964</v>
      </c>
      <c r="B157" s="11" t="str">
        <f>HYPERLINK("https://twitter.com/mohammadhaghi4","@mohammadhaghi4")</f>
        <v>@mohammadhaghi4</v>
      </c>
      <c r="C157" s="6" t="s">
        <v>15868</v>
      </c>
      <c r="D157" s="5" t="s">
        <v>16196</v>
      </c>
      <c r="E157" s="9" t="str">
        <f>HYPERLINK("https://twitter.com/mohammadhaghi4/status/1037312933066428422","1037312933066428422")</f>
        <v>1037312933066428422</v>
      </c>
      <c r="F157" s="4"/>
      <c r="G157" s="10" t="s">
        <v>16195</v>
      </c>
      <c r="H157" s="4"/>
      <c r="I157" s="10" t="str">
        <f>HYPERLINK("http://twitter.com/download/iphone","Twitter for iPhone")</f>
        <v>Twitter for iPhone</v>
      </c>
      <c r="J157" s="2">
        <v>620</v>
      </c>
      <c r="K157" s="2">
        <v>147</v>
      </c>
      <c r="L157" s="2">
        <v>6</v>
      </c>
      <c r="M157" s="2"/>
      <c r="N157" s="8">
        <v>42863.809259259258</v>
      </c>
      <c r="O157" s="4"/>
      <c r="P157" s="3" t="s">
        <v>15866</v>
      </c>
      <c r="Q157" s="4"/>
      <c r="R157" s="4"/>
      <c r="S157" s="9" t="str">
        <f>HYPERLINK("https://pbs.twimg.com/profile_images/1014390701071708160/-l8gTeeK.jpg","View")</f>
        <v>View</v>
      </c>
    </row>
    <row r="158" spans="1:19" ht="30">
      <c r="A158" s="8">
        <v>43348.696886574078</v>
      </c>
      <c r="B158" s="11" t="str">
        <f>HYPERLINK("https://twitter.com/jalalbabaei","@jalalbabaei")</f>
        <v>@jalalbabaei</v>
      </c>
      <c r="C158" s="6" t="s">
        <v>16194</v>
      </c>
      <c r="D158" s="5" t="s">
        <v>16193</v>
      </c>
      <c r="E158" s="9" t="str">
        <f>HYPERLINK("https://twitter.com/jalalbabaei/status/1037312771581509633","1037312771581509633")</f>
        <v>1037312771581509633</v>
      </c>
      <c r="F158" s="4"/>
      <c r="G158" s="4"/>
      <c r="H158" s="4"/>
      <c r="I158" s="10" t="str">
        <f>HYPERLINK("http://twitter.com","Twitter Web Client")</f>
        <v>Twitter Web Client</v>
      </c>
      <c r="J158" s="2">
        <v>192</v>
      </c>
      <c r="K158" s="2">
        <v>326</v>
      </c>
      <c r="L158" s="2">
        <v>2</v>
      </c>
      <c r="M158" s="2"/>
      <c r="N158" s="8">
        <v>41590.393645833334</v>
      </c>
      <c r="O158" s="4" t="s">
        <v>145</v>
      </c>
      <c r="P158" s="3" t="s">
        <v>16192</v>
      </c>
      <c r="Q158" s="4"/>
      <c r="R158" s="4"/>
      <c r="S158" s="9" t="str">
        <f>HYPERLINK("https://pbs.twimg.com/profile_images/1017294613059702785/I8M7vFc3.jpg","View")</f>
        <v>View</v>
      </c>
    </row>
    <row r="159" spans="1:19" ht="20">
      <c r="A159" s="8">
        <v>43348.695798611108</v>
      </c>
      <c r="B159" s="11" t="str">
        <f>HYPERLINK("https://twitter.com/ansari1397","@ansari1397")</f>
        <v>@ansari1397</v>
      </c>
      <c r="C159" s="6" t="s">
        <v>16191</v>
      </c>
      <c r="D159" s="5" t="s">
        <v>16190</v>
      </c>
      <c r="E159" s="9" t="str">
        <f>HYPERLINK("https://twitter.com/ansari1397/status/1037312374724878342","1037312374724878342")</f>
        <v>1037312374724878342</v>
      </c>
      <c r="F159" s="4"/>
      <c r="G159" s="4"/>
      <c r="H159" s="4"/>
      <c r="I159" s="10" t="str">
        <f>HYPERLINK("http://twitter.com/download/android","Twitter for Android")</f>
        <v>Twitter for Android</v>
      </c>
      <c r="J159" s="2">
        <v>2274</v>
      </c>
      <c r="K159" s="2">
        <v>3383</v>
      </c>
      <c r="L159" s="2">
        <v>1</v>
      </c>
      <c r="M159" s="2"/>
      <c r="N159" s="8">
        <v>43124.352060185185</v>
      </c>
      <c r="O159" s="4"/>
      <c r="P159" s="3" t="s">
        <v>16189</v>
      </c>
      <c r="Q159" s="4"/>
      <c r="R159" s="4"/>
      <c r="S159" s="9" t="str">
        <f>HYPERLINK("https://pbs.twimg.com/profile_images/1022793740858138624/Wc-P4DTJ.jpg","View")</f>
        <v>View</v>
      </c>
    </row>
    <row r="160" spans="1:19" ht="70">
      <c r="A160" s="8">
        <v>43348.695439814815</v>
      </c>
      <c r="B160" s="11" t="str">
        <f>HYPERLINK("https://twitter.com/RafatiSiavash","@RafatiSiavash")</f>
        <v>@RafatiSiavash</v>
      </c>
      <c r="C160" s="6" t="s">
        <v>3226</v>
      </c>
      <c r="D160" s="5" t="s">
        <v>16188</v>
      </c>
      <c r="E160" s="9" t="str">
        <f>HYPERLINK("https://twitter.com/RafatiSiavash/status/1037312247649976320","1037312247649976320")</f>
        <v>1037312247649976320</v>
      </c>
      <c r="F160" s="4" t="s">
        <v>16187</v>
      </c>
      <c r="G160" s="10" t="s">
        <v>16186</v>
      </c>
      <c r="H160" s="4"/>
      <c r="I160" s="10" t="str">
        <f>HYPERLINK("http://twitter.com","Twitter Web Client")</f>
        <v>Twitter Web Client</v>
      </c>
      <c r="J160" s="2">
        <v>288</v>
      </c>
      <c r="K160" s="2">
        <v>230</v>
      </c>
      <c r="L160" s="2">
        <v>87</v>
      </c>
      <c r="M160" s="2"/>
      <c r="N160" s="8">
        <v>41050.769884259258</v>
      </c>
      <c r="O160" s="4"/>
      <c r="P160" s="3" t="s">
        <v>3223</v>
      </c>
      <c r="Q160" s="10" t="s">
        <v>3222</v>
      </c>
      <c r="R160" s="4"/>
      <c r="S160" s="9" t="str">
        <f>HYPERLINK("https://pbs.twimg.com/profile_images/821385868690751488/Qqe0I1Bk.jpg","View")</f>
        <v>View</v>
      </c>
    </row>
    <row r="161" spans="1:19" ht="20">
      <c r="A161" s="8">
        <v>43348.695057870369</v>
      </c>
      <c r="B161" s="11" t="str">
        <f>HYPERLINK("https://twitter.com/saliwanm","@saliwanm")</f>
        <v>@saliwanm</v>
      </c>
      <c r="C161" s="6" t="s">
        <v>8845</v>
      </c>
      <c r="D161" s="5" t="s">
        <v>16185</v>
      </c>
      <c r="E161" s="9" t="str">
        <f>HYPERLINK("https://twitter.com/saliwanm/status/1037312108755648513","1037312108755648513")</f>
        <v>1037312108755648513</v>
      </c>
      <c r="F161" s="4"/>
      <c r="G161" s="10" t="s">
        <v>16184</v>
      </c>
      <c r="H161" s="4"/>
      <c r="I161" s="10" t="str">
        <f>HYPERLINK("http://twitter.com/download/android","Twitter for Android")</f>
        <v>Twitter for Android</v>
      </c>
      <c r="J161" s="2">
        <v>28</v>
      </c>
      <c r="K161" s="2">
        <v>79</v>
      </c>
      <c r="L161" s="2">
        <v>0</v>
      </c>
      <c r="M161" s="2"/>
      <c r="N161" s="8">
        <v>42737.632141203707</v>
      </c>
      <c r="O161" s="4" t="s">
        <v>8843</v>
      </c>
      <c r="P161" s="3"/>
      <c r="Q161" s="4"/>
      <c r="R161" s="4"/>
      <c r="S161" s="9" t="str">
        <f>HYPERLINK("https://pbs.twimg.com/profile_images/941072407242174465/KxgJ-3qY.jpg","View")</f>
        <v>View</v>
      </c>
    </row>
    <row r="162" spans="1:19" ht="30">
      <c r="A162" s="8">
        <v>43348.694490740745</v>
      </c>
      <c r="B162" s="11" t="str">
        <f>HYPERLINK("https://twitter.com/mehdinazparvar","@mehdinazparvar")</f>
        <v>@mehdinazparvar</v>
      </c>
      <c r="C162" s="6" t="s">
        <v>16183</v>
      </c>
      <c r="D162" s="5" t="s">
        <v>16181</v>
      </c>
      <c r="E162" s="9" t="str">
        <f>HYPERLINK("https://twitter.com/mehdinazparvar/status/1037311900755918850","1037311900755918850")</f>
        <v>1037311900755918850</v>
      </c>
      <c r="F162" s="4"/>
      <c r="G162" s="4"/>
      <c r="H162" s="4"/>
      <c r="I162" s="10" t="str">
        <f>HYPERLINK("http://twitter.com/download/iphone","Twitter for iPhone")</f>
        <v>Twitter for iPhone</v>
      </c>
      <c r="J162" s="2">
        <v>6</v>
      </c>
      <c r="K162" s="2">
        <v>12</v>
      </c>
      <c r="L162" s="2">
        <v>0</v>
      </c>
      <c r="M162" s="2"/>
      <c r="N162" s="8">
        <v>40406.244467592594</v>
      </c>
      <c r="O162" s="4" t="s">
        <v>34</v>
      </c>
      <c r="P162" s="3" t="s">
        <v>16182</v>
      </c>
      <c r="Q162" s="4"/>
      <c r="R162" s="4"/>
      <c r="S162" s="9" t="str">
        <f>HYPERLINK("https://pbs.twimg.com/profile_images/1015952903759122433/hgOxv-SL.jpg","View")</f>
        <v>View</v>
      </c>
    </row>
    <row r="163" spans="1:19" ht="30">
      <c r="A163" s="8">
        <v>43348.694178240738</v>
      </c>
      <c r="B163" s="11" t="str">
        <f>HYPERLINK("https://twitter.com/Mehditiger762","@Mehditiger762")</f>
        <v>@Mehditiger762</v>
      </c>
      <c r="C163" s="6" t="s">
        <v>16028</v>
      </c>
      <c r="D163" s="5" t="s">
        <v>16181</v>
      </c>
      <c r="E163" s="9" t="str">
        <f>HYPERLINK("https://twitter.com/Mehditiger762/status/1037311790353399810","1037311790353399810")</f>
        <v>1037311790353399810</v>
      </c>
      <c r="F163" s="4"/>
      <c r="G163" s="4"/>
      <c r="H163" s="4"/>
      <c r="I163" s="10" t="str">
        <f>HYPERLINK("http://twitter.com/download/iphone","Twitter for iPhone")</f>
        <v>Twitter for iPhone</v>
      </c>
      <c r="J163" s="2">
        <v>47</v>
      </c>
      <c r="K163" s="2">
        <v>108</v>
      </c>
      <c r="L163" s="2">
        <v>0</v>
      </c>
      <c r="M163" s="2"/>
      <c r="N163" s="8">
        <v>43046.752060185187</v>
      </c>
      <c r="O163" s="4"/>
      <c r="P163" s="3" t="s">
        <v>16026</v>
      </c>
      <c r="Q163" s="4"/>
      <c r="R163" s="4"/>
      <c r="S163" s="9" t="str">
        <f>HYPERLINK("https://pbs.twimg.com/profile_images/1015950854925574144/S3m8VFzc.jpg","View")</f>
        <v>View</v>
      </c>
    </row>
    <row r="164" spans="1:19" ht="12.5">
      <c r="A164" s="8">
        <v>43348.693182870367</v>
      </c>
      <c r="B164" s="11" t="str">
        <f>HYPERLINK("https://twitter.com/rain94mat","@rain94mat")</f>
        <v>@rain94mat</v>
      </c>
      <c r="C164" s="6" t="s">
        <v>16180</v>
      </c>
      <c r="D164" s="5" t="s">
        <v>16179</v>
      </c>
      <c r="E164" s="9" t="str">
        <f>HYPERLINK("https://twitter.com/rain94mat/status/1037311428233969664","1037311428233969664")</f>
        <v>1037311428233969664</v>
      </c>
      <c r="F164" s="4"/>
      <c r="G164" s="4"/>
      <c r="H164" s="4"/>
      <c r="I164" s="10" t="str">
        <f>HYPERLINK("http://twitter.com/download/android","Twitter for Android")</f>
        <v>Twitter for Android</v>
      </c>
      <c r="J164" s="2">
        <v>253</v>
      </c>
      <c r="K164" s="2">
        <v>96</v>
      </c>
      <c r="L164" s="2">
        <v>0</v>
      </c>
      <c r="M164" s="2"/>
      <c r="N164" s="8">
        <v>41701.673773148148</v>
      </c>
      <c r="O164" s="4" t="s">
        <v>16178</v>
      </c>
      <c r="P164" s="3" t="s">
        <v>16177</v>
      </c>
      <c r="Q164" s="4"/>
      <c r="R164" s="4"/>
      <c r="S164" s="9" t="str">
        <f>HYPERLINK("https://pbs.twimg.com/profile_images/1033557909320421377/FqAiXGao.jpg","View")</f>
        <v>View</v>
      </c>
    </row>
    <row r="165" spans="1:19" ht="40">
      <c r="A165" s="8">
        <v>43348.692476851851</v>
      </c>
      <c r="B165" s="11" t="str">
        <f>HYPERLINK("https://twitter.com/mo_gharibi","@mo_gharibi")</f>
        <v>@mo_gharibi</v>
      </c>
      <c r="C165" s="6" t="s">
        <v>16143</v>
      </c>
      <c r="D165" s="5" t="s">
        <v>16176</v>
      </c>
      <c r="E165" s="9" t="str">
        <f>HYPERLINK("https://twitter.com/mo_gharibi/status/1037311172301795329","1037311172301795329")</f>
        <v>1037311172301795329</v>
      </c>
      <c r="F165" s="4"/>
      <c r="G165" s="4"/>
      <c r="H165" s="4"/>
      <c r="I165" s="10" t="str">
        <f>HYPERLINK("http://twitter.com/download/android","Twitter for Android")</f>
        <v>Twitter for Android</v>
      </c>
      <c r="J165" s="2">
        <v>278</v>
      </c>
      <c r="K165" s="2">
        <v>109</v>
      </c>
      <c r="L165" s="2">
        <v>3</v>
      </c>
      <c r="M165" s="2"/>
      <c r="N165" s="8">
        <v>42851.426840277782</v>
      </c>
      <c r="O165" s="4" t="s">
        <v>16141</v>
      </c>
      <c r="P165" s="3" t="s">
        <v>16140</v>
      </c>
      <c r="Q165" s="10" t="s">
        <v>16139</v>
      </c>
      <c r="R165" s="4"/>
      <c r="S165" s="9" t="str">
        <f>HYPERLINK("https://pbs.twimg.com/profile_images/944180830532001793/ua9ATwT1.jpg","View")</f>
        <v>View</v>
      </c>
    </row>
    <row r="166" spans="1:19" ht="20">
      <c r="A166" s="8">
        <v>43348.692037037035</v>
      </c>
      <c r="B166" s="11" t="str">
        <f>HYPERLINK("https://twitter.com/SamDoone","@SamDoone")</f>
        <v>@SamDoone</v>
      </c>
      <c r="C166" s="6" t="s">
        <v>6210</v>
      </c>
      <c r="D166" s="5" t="s">
        <v>16175</v>
      </c>
      <c r="E166" s="9" t="str">
        <f>HYPERLINK("https://twitter.com/SamDoone/status/1037311012435894273","1037311012435894273")</f>
        <v>1037311012435894273</v>
      </c>
      <c r="F166" s="4"/>
      <c r="G166" s="10" t="s">
        <v>16174</v>
      </c>
      <c r="H166" s="4"/>
      <c r="I166" s="10" t="str">
        <f>HYPERLINK("http://twitter.com","Twitter Web Client")</f>
        <v>Twitter Web Client</v>
      </c>
      <c r="J166" s="2">
        <v>56</v>
      </c>
      <c r="K166" s="2">
        <v>213</v>
      </c>
      <c r="L166" s="2">
        <v>0</v>
      </c>
      <c r="M166" s="2"/>
      <c r="N166" s="8">
        <v>42407.92597222222</v>
      </c>
      <c r="O166" s="4"/>
      <c r="P166" s="3"/>
      <c r="Q166" s="4"/>
      <c r="R166" s="4"/>
      <c r="S166" s="9" t="str">
        <f>HYPERLINK("https://pbs.twimg.com/profile_images/1021361045007286273/IWED7CRV.jpg","View")</f>
        <v>View</v>
      </c>
    </row>
    <row r="167" spans="1:19" ht="12.5">
      <c r="A167" s="8">
        <v>43348.691782407404</v>
      </c>
      <c r="B167" s="11" t="str">
        <f>HYPERLINK("https://twitter.com/bohluol","@bohluol")</f>
        <v>@bohluol</v>
      </c>
      <c r="C167" s="6" t="s">
        <v>16173</v>
      </c>
      <c r="D167" s="5" t="s">
        <v>16172</v>
      </c>
      <c r="E167" s="9" t="str">
        <f>HYPERLINK("https://twitter.com/bohluol/status/1037310920396034048","1037310920396034048")</f>
        <v>1037310920396034048</v>
      </c>
      <c r="F167" s="4"/>
      <c r="G167" s="4"/>
      <c r="H167" s="4"/>
      <c r="I167" s="10" t="str">
        <f>HYPERLINK("http://twitter.com/download/android","Twitter for Android")</f>
        <v>Twitter for Android</v>
      </c>
      <c r="J167" s="2">
        <v>9666</v>
      </c>
      <c r="K167" s="2">
        <v>891</v>
      </c>
      <c r="L167" s="2">
        <v>71</v>
      </c>
      <c r="M167" s="2"/>
      <c r="N167" s="8">
        <v>42132.986886574072</v>
      </c>
      <c r="O167" s="4"/>
      <c r="P167" s="3" t="s">
        <v>16171</v>
      </c>
      <c r="Q167" s="10" t="s">
        <v>16170</v>
      </c>
      <c r="R167" s="4"/>
      <c r="S167" s="9" t="str">
        <f>HYPERLINK("https://pbs.twimg.com/profile_images/945939036203610112/uU69b5eJ.jpg","View")</f>
        <v>View</v>
      </c>
    </row>
    <row r="168" spans="1:19" ht="20">
      <c r="A168" s="8">
        <v>43348.69054398148</v>
      </c>
      <c r="B168" s="11" t="str">
        <f>HYPERLINK("https://twitter.com/azadi_shiva","@azadi_shiva")</f>
        <v>@azadi_shiva</v>
      </c>
      <c r="C168" s="6" t="s">
        <v>9466</v>
      </c>
      <c r="D168" s="5" t="s">
        <v>16169</v>
      </c>
      <c r="E168" s="9" t="str">
        <f>HYPERLINK("https://twitter.com/azadi_shiva/status/1037310473216114688","1037310473216114688")</f>
        <v>1037310473216114688</v>
      </c>
      <c r="F168" s="4"/>
      <c r="G168" s="4"/>
      <c r="H168" s="4"/>
      <c r="I168" s="10" t="str">
        <f>HYPERLINK("http://twitter.com/download/android","Twitter for Android")</f>
        <v>Twitter for Android</v>
      </c>
      <c r="J168" s="2">
        <v>1226</v>
      </c>
      <c r="K168" s="2">
        <v>1199</v>
      </c>
      <c r="L168" s="2">
        <v>1</v>
      </c>
      <c r="M168" s="2"/>
      <c r="N168" s="8">
        <v>42961.648055555561</v>
      </c>
      <c r="O168" s="4" t="s">
        <v>9464</v>
      </c>
      <c r="P168" s="3" t="s">
        <v>16168</v>
      </c>
      <c r="Q168" s="4"/>
      <c r="R168" s="4"/>
      <c r="S168" s="9" t="str">
        <f>HYPERLINK("https://pbs.twimg.com/profile_images/1015697896946225152/Q2FlTPe1.jpg","View")</f>
        <v>View</v>
      </c>
    </row>
    <row r="169" spans="1:19" ht="20">
      <c r="A169" s="8">
        <v>43348.689189814817</v>
      </c>
      <c r="B169" s="11" t="str">
        <f>HYPERLINK("https://twitter.com/nezamikhah","@nezamikhah")</f>
        <v>@nezamikhah</v>
      </c>
      <c r="C169" s="6" t="s">
        <v>12851</v>
      </c>
      <c r="D169" s="5" t="s">
        <v>16167</v>
      </c>
      <c r="E169" s="9" t="str">
        <f>HYPERLINK("https://twitter.com/nezamikhah/status/1037309980372815872","1037309980372815872")</f>
        <v>1037309980372815872</v>
      </c>
      <c r="F169" s="4"/>
      <c r="G169" s="4"/>
      <c r="H169" s="4"/>
      <c r="I169" s="10" t="str">
        <f>HYPERLINK("http://twitter.com/download/android","Twitter for Android")</f>
        <v>Twitter for Android</v>
      </c>
      <c r="J169" s="2">
        <v>1475</v>
      </c>
      <c r="K169" s="2">
        <v>1464</v>
      </c>
      <c r="L169" s="2">
        <v>7</v>
      </c>
      <c r="M169" s="2"/>
      <c r="N169" s="8">
        <v>42889.619444444441</v>
      </c>
      <c r="O169" s="4" t="s">
        <v>12848</v>
      </c>
      <c r="P169" s="3" t="s">
        <v>12847</v>
      </c>
      <c r="Q169" s="4"/>
      <c r="R169" s="4"/>
      <c r="S169" s="9" t="str">
        <f>HYPERLINK("https://pbs.twimg.com/profile_images/979388363978534912/spKLH90s.jpg","View")</f>
        <v>View</v>
      </c>
    </row>
    <row r="170" spans="1:19" ht="30">
      <c r="A170" s="8">
        <v>43348.688449074078</v>
      </c>
      <c r="B170" s="11" t="str">
        <f>HYPERLINK("https://twitter.com/naserishamim","@naserishamim")</f>
        <v>@naserishamim</v>
      </c>
      <c r="C170" s="6" t="s">
        <v>16166</v>
      </c>
      <c r="D170" s="5" t="s">
        <v>16165</v>
      </c>
      <c r="E170" s="9" t="str">
        <f>HYPERLINK("https://twitter.com/naserishamim/status/1037309714152017921","1037309714152017921")</f>
        <v>1037309714152017921</v>
      </c>
      <c r="F170" s="4"/>
      <c r="G170" s="4"/>
      <c r="H170" s="4"/>
      <c r="I170" s="10" t="str">
        <f>HYPERLINK("http://twitter.com/download/iphone","Twitter for iPhone")</f>
        <v>Twitter for iPhone</v>
      </c>
      <c r="J170" s="2">
        <v>59</v>
      </c>
      <c r="K170" s="2">
        <v>196</v>
      </c>
      <c r="L170" s="2">
        <v>0</v>
      </c>
      <c r="M170" s="2"/>
      <c r="N170" s="8">
        <v>41960.582071759258</v>
      </c>
      <c r="O170" s="4"/>
      <c r="P170" s="3" t="s">
        <v>16164</v>
      </c>
      <c r="Q170" s="4"/>
      <c r="R170" s="4"/>
      <c r="S170" s="9" t="str">
        <f>HYPERLINK("https://pbs.twimg.com/profile_images/1032363098001293312/wGgVR69c.jpg","View")</f>
        <v>View</v>
      </c>
    </row>
    <row r="171" spans="1:19" ht="20">
      <c r="A171" s="8">
        <v>43348.688125000001</v>
      </c>
      <c r="B171" s="11" t="str">
        <f>HYPERLINK("https://twitter.com/ramkalsharif","@ramkalsharif")</f>
        <v>@ramkalsharif</v>
      </c>
      <c r="C171" s="6" t="s">
        <v>5320</v>
      </c>
      <c r="D171" s="5" t="s">
        <v>16163</v>
      </c>
      <c r="E171" s="9" t="str">
        <f>HYPERLINK("https://twitter.com/ramkalsharif/status/1037309595407065088","1037309595407065088")</f>
        <v>1037309595407065088</v>
      </c>
      <c r="F171" s="4"/>
      <c r="G171" s="4"/>
      <c r="H171" s="4"/>
      <c r="I171" s="10" t="str">
        <f>HYPERLINK("http://twitter.com/download/android","Twitter for Android")</f>
        <v>Twitter for Android</v>
      </c>
      <c r="J171" s="2">
        <v>473</v>
      </c>
      <c r="K171" s="2">
        <v>614</v>
      </c>
      <c r="L171" s="2">
        <v>1</v>
      </c>
      <c r="M171" s="2"/>
      <c r="N171" s="8">
        <v>43279.26017361111</v>
      </c>
      <c r="O171" s="4"/>
      <c r="P171" s="3" t="s">
        <v>5316</v>
      </c>
      <c r="Q171" s="4"/>
      <c r="R171" s="4"/>
      <c r="S171" s="9" t="str">
        <f>HYPERLINK("https://pbs.twimg.com/profile_images/1012162878500212736/YzOJxGCq.jpg","View")</f>
        <v>View</v>
      </c>
    </row>
    <row r="172" spans="1:19" ht="40">
      <c r="A172" s="8">
        <v>43348.687696759254</v>
      </c>
      <c r="B172" s="11" t="str">
        <f>HYPERLINK("https://twitter.com/AmmarMaleki","@AmmarMaleki")</f>
        <v>@AmmarMaleki</v>
      </c>
      <c r="C172" s="6" t="s">
        <v>16162</v>
      </c>
      <c r="D172" s="5" t="s">
        <v>16161</v>
      </c>
      <c r="E172" s="9" t="str">
        <f>HYPERLINK("https://twitter.com/AmmarMaleki/status/1037309438707818499","1037309438707818499")</f>
        <v>1037309438707818499</v>
      </c>
      <c r="F172" s="4"/>
      <c r="G172" s="4"/>
      <c r="H172" s="4"/>
      <c r="I172" s="10" t="str">
        <f>HYPERLINK("http://twitter.com","Twitter Web Client")</f>
        <v>Twitter Web Client</v>
      </c>
      <c r="J172" s="2">
        <v>19237</v>
      </c>
      <c r="K172" s="2">
        <v>339</v>
      </c>
      <c r="L172" s="2">
        <v>82</v>
      </c>
      <c r="M172" s="2"/>
      <c r="N172" s="8">
        <v>42213.006979166668</v>
      </c>
      <c r="O172" s="4" t="s">
        <v>16160</v>
      </c>
      <c r="P172" s="3" t="s">
        <v>16159</v>
      </c>
      <c r="Q172" s="10" t="s">
        <v>16158</v>
      </c>
      <c r="R172" s="4"/>
      <c r="S172" s="9" t="str">
        <f>HYPERLINK("https://pbs.twimg.com/profile_images/1029660720978374656/BNYJPnCA.jpg","View")</f>
        <v>View</v>
      </c>
    </row>
    <row r="173" spans="1:19" ht="30">
      <c r="A173" s="8">
        <v>43348.68649305556</v>
      </c>
      <c r="B173" s="11" t="str">
        <f>HYPERLINK("https://twitter.com/n_elnaz","@n_elnaz")</f>
        <v>@n_elnaz</v>
      </c>
      <c r="C173" s="6" t="s">
        <v>16157</v>
      </c>
      <c r="D173" s="5" t="s">
        <v>16156</v>
      </c>
      <c r="E173" s="9" t="str">
        <f>HYPERLINK("https://twitter.com/n_elnaz/status/1037309004723224577","1037309004723224577")</f>
        <v>1037309004723224577</v>
      </c>
      <c r="F173" s="4"/>
      <c r="G173" s="4"/>
      <c r="H173" s="4"/>
      <c r="I173" s="10" t="str">
        <f>HYPERLINK("http://twitter.com/download/iphone","Twitter for iPhone")</f>
        <v>Twitter for iPhone</v>
      </c>
      <c r="J173" s="2">
        <v>182</v>
      </c>
      <c r="K173" s="2">
        <v>84</v>
      </c>
      <c r="L173" s="2">
        <v>1</v>
      </c>
      <c r="M173" s="2"/>
      <c r="N173" s="8">
        <v>43224.511157407411</v>
      </c>
      <c r="O173" s="4" t="s">
        <v>2777</v>
      </c>
      <c r="P173" s="3"/>
      <c r="Q173" s="4"/>
      <c r="R173" s="4"/>
      <c r="S173" s="9" t="str">
        <f>HYPERLINK("https://pbs.twimg.com/profile_images/993932336612937728/lyiLUBiU.jpg","View")</f>
        <v>View</v>
      </c>
    </row>
    <row r="174" spans="1:19" ht="40">
      <c r="A174" s="8">
        <v>43348.685069444444</v>
      </c>
      <c r="B174" s="11" t="str">
        <f>HYPERLINK("https://twitter.com/rayehe_79zm","@rayehe_79zm")</f>
        <v>@rayehe_79zm</v>
      </c>
      <c r="C174" s="6" t="s">
        <v>16155</v>
      </c>
      <c r="D174" s="5" t="s">
        <v>16154</v>
      </c>
      <c r="E174" s="9" t="str">
        <f>HYPERLINK("https://twitter.com/rayehe_79zm/status/1037308486852534278","1037308486852534278")</f>
        <v>1037308486852534278</v>
      </c>
      <c r="F174" s="4"/>
      <c r="G174" s="4"/>
      <c r="H174" s="4"/>
      <c r="I174" s="10" t="str">
        <f>HYPERLINK("http://twitter.com","Twitter Web Client")</f>
        <v>Twitter Web Client</v>
      </c>
      <c r="J174" s="2">
        <v>96</v>
      </c>
      <c r="K174" s="2">
        <v>216</v>
      </c>
      <c r="L174" s="2">
        <v>0</v>
      </c>
      <c r="M174" s="2"/>
      <c r="N174" s="8">
        <v>43119.800706018519</v>
      </c>
      <c r="O174" s="4" t="s">
        <v>17</v>
      </c>
      <c r="P174" s="3" t="s">
        <v>16153</v>
      </c>
      <c r="Q174" s="4"/>
      <c r="R174" s="4"/>
      <c r="S174" s="9" t="str">
        <f>HYPERLINK("https://pbs.twimg.com/profile_images/1027978675294228480/PkFZ1pdn.jpg","View")</f>
        <v>View</v>
      </c>
    </row>
    <row r="175" spans="1:19" ht="40">
      <c r="A175" s="8">
        <v>43348.68478009259</v>
      </c>
      <c r="B175" s="11" t="str">
        <f>HYPERLINK("https://twitter.com/mahdi_mlyri","@mahdi_mlyri")</f>
        <v>@mahdi_mlyri</v>
      </c>
      <c r="C175" s="6" t="s">
        <v>5469</v>
      </c>
      <c r="D175" s="5" t="s">
        <v>16152</v>
      </c>
      <c r="E175" s="9" t="str">
        <f>HYPERLINK("https://twitter.com/mahdi_mlyri/status/1037308384364687361","1037308384364687361")</f>
        <v>1037308384364687361</v>
      </c>
      <c r="F175" s="4"/>
      <c r="G175" s="4"/>
      <c r="H175" s="4"/>
      <c r="I175" s="10" t="str">
        <f>HYPERLINK("http://twitter.com/download/iphone","Twitter for iPhone")</f>
        <v>Twitter for iPhone</v>
      </c>
      <c r="J175" s="2">
        <v>260</v>
      </c>
      <c r="K175" s="2">
        <v>221</v>
      </c>
      <c r="L175" s="2">
        <v>0</v>
      </c>
      <c r="M175" s="2"/>
      <c r="N175" s="8">
        <v>43097.062256944446</v>
      </c>
      <c r="O175" s="4" t="s">
        <v>34</v>
      </c>
      <c r="P175" s="3" t="s">
        <v>16151</v>
      </c>
      <c r="Q175" s="4"/>
      <c r="R175" s="4"/>
      <c r="S175" s="9" t="str">
        <f>HYPERLINK("https://pbs.twimg.com/profile_images/1027156502170226689/BHwWFjQB.jpg","View")</f>
        <v>View</v>
      </c>
    </row>
    <row r="176" spans="1:19" ht="20">
      <c r="A176" s="8">
        <v>43348.68476851852</v>
      </c>
      <c r="B176" s="11" t="str">
        <f>HYPERLINK("https://twitter.com/Beh_naazz","@Beh_naazz")</f>
        <v>@Beh_naazz</v>
      </c>
      <c r="C176" s="6" t="s">
        <v>16150</v>
      </c>
      <c r="D176" s="5" t="s">
        <v>13331</v>
      </c>
      <c r="E176" s="9" t="str">
        <f>HYPERLINK("https://twitter.com/Beh_naazz/status/1037308377460666368","1037308377460666368")</f>
        <v>1037308377460666368</v>
      </c>
      <c r="F176" s="4"/>
      <c r="G176" s="4"/>
      <c r="H176" s="4"/>
      <c r="I176" s="10" t="str">
        <f>HYPERLINK("https://mobofa.com","Mobofa")</f>
        <v>Mobofa</v>
      </c>
      <c r="J176" s="2">
        <v>0</v>
      </c>
      <c r="K176" s="2">
        <v>1</v>
      </c>
      <c r="L176" s="2">
        <v>0</v>
      </c>
      <c r="M176" s="2"/>
      <c r="N176" s="8">
        <v>43237.319895833338</v>
      </c>
      <c r="O176" s="4" t="s">
        <v>682</v>
      </c>
      <c r="P176" s="3" t="s">
        <v>16149</v>
      </c>
      <c r="Q176" s="4"/>
      <c r="R176" s="4"/>
      <c r="S176" s="9" t="str">
        <f>HYPERLINK("https://pbs.twimg.com/profile_images/996954096857952257/ylgVsX_3.jpg","View")</f>
        <v>View</v>
      </c>
    </row>
    <row r="177" spans="1:19" ht="20">
      <c r="A177" s="8">
        <v>43348.684756944444</v>
      </c>
      <c r="B177" s="11" t="str">
        <f>HYPERLINK("https://twitter.com/iliyah313","@iliyah313")</f>
        <v>@iliyah313</v>
      </c>
      <c r="C177" s="6" t="s">
        <v>584</v>
      </c>
      <c r="D177" s="5" t="s">
        <v>13331</v>
      </c>
      <c r="E177" s="9" t="str">
        <f>HYPERLINK("https://twitter.com/iliyah313/status/1037308377016107010","1037308377016107010")</f>
        <v>1037308377016107010</v>
      </c>
      <c r="F177" s="4"/>
      <c r="G177" s="4"/>
      <c r="H177" s="4"/>
      <c r="I177" s="10" t="str">
        <f>HYPERLINK("https://mobofa.com","Mobofa")</f>
        <v>Mobofa</v>
      </c>
      <c r="J177" s="2">
        <v>74</v>
      </c>
      <c r="K177" s="2">
        <v>232</v>
      </c>
      <c r="L177" s="2">
        <v>0</v>
      </c>
      <c r="M177" s="2"/>
      <c r="N177" s="8">
        <v>43243.726423611108</v>
      </c>
      <c r="O177" s="4" t="s">
        <v>133</v>
      </c>
      <c r="P177" s="3" t="s">
        <v>13926</v>
      </c>
      <c r="Q177" s="4"/>
      <c r="R177" s="4"/>
      <c r="S177" s="9" t="str">
        <f>HYPERLINK("https://pbs.twimg.com/profile_images/999273816986566658/20VoiOnA.jpg","View")</f>
        <v>View</v>
      </c>
    </row>
    <row r="178" spans="1:19" ht="20">
      <c r="A178" s="8">
        <v>43348.684756944444</v>
      </c>
      <c r="B178" s="11" t="str">
        <f>HYPERLINK("https://twitter.com/K1omidi","@K1omidi")</f>
        <v>@K1omidi</v>
      </c>
      <c r="C178" s="6" t="s">
        <v>16148</v>
      </c>
      <c r="D178" s="5" t="s">
        <v>13331</v>
      </c>
      <c r="E178" s="9" t="str">
        <f>HYPERLINK("https://twitter.com/K1omidi/status/1037308376999387137","1037308376999387137")</f>
        <v>1037308376999387137</v>
      </c>
      <c r="F178" s="4"/>
      <c r="G178" s="4"/>
      <c r="H178" s="4"/>
      <c r="I178" s="10" t="str">
        <f>HYPERLINK("https://mobofa.com","Mobofa")</f>
        <v>Mobofa</v>
      </c>
      <c r="J178" s="2">
        <v>6</v>
      </c>
      <c r="K178" s="2">
        <v>33</v>
      </c>
      <c r="L178" s="2">
        <v>0</v>
      </c>
      <c r="M178" s="2"/>
      <c r="N178" s="8">
        <v>43228.735671296294</v>
      </c>
      <c r="O178" s="4"/>
      <c r="P178" s="3"/>
      <c r="Q178" s="4"/>
      <c r="R178" s="4"/>
      <c r="S178" s="9" t="str">
        <f>HYPERLINK("https://pbs.twimg.com/profile_images/995286106567520257/F9ncJrup.jpg","View")</f>
        <v>View</v>
      </c>
    </row>
    <row r="179" spans="1:19" ht="20">
      <c r="A179" s="8">
        <v>43348.684756944444</v>
      </c>
      <c r="B179" s="11" t="str">
        <f>HYPERLINK("https://twitter.com/aftaabmahtaab","@aftaabmahtaab")</f>
        <v>@aftaabmahtaab</v>
      </c>
      <c r="C179" s="6" t="s">
        <v>16147</v>
      </c>
      <c r="D179" s="5" t="s">
        <v>13331</v>
      </c>
      <c r="E179" s="9" t="str">
        <f>HYPERLINK("https://twitter.com/aftaabmahtaab/status/1037308376462647298","1037308376462647298")</f>
        <v>1037308376462647298</v>
      </c>
      <c r="F179" s="4"/>
      <c r="G179" s="4"/>
      <c r="H179" s="4"/>
      <c r="I179" s="10" t="str">
        <f>HYPERLINK("https://mobofa.com","Mobofa")</f>
        <v>Mobofa</v>
      </c>
      <c r="J179" s="2">
        <v>10</v>
      </c>
      <c r="K179" s="2">
        <v>85</v>
      </c>
      <c r="L179" s="2">
        <v>0</v>
      </c>
      <c r="M179" s="2"/>
      <c r="N179" s="8">
        <v>43234.727418981478</v>
      </c>
      <c r="O179" s="4"/>
      <c r="P179" s="3"/>
      <c r="Q179" s="4"/>
      <c r="R179" s="4"/>
      <c r="S179" s="9" t="str">
        <f>HYPERLINK("https://pbs.twimg.com/profile_images/996014347439755264/xRDlo6nn.jpg","View")</f>
        <v>View</v>
      </c>
    </row>
    <row r="180" spans="1:19" ht="20">
      <c r="A180" s="8">
        <v>43348.684097222227</v>
      </c>
      <c r="B180" s="11" t="str">
        <f>HYPERLINK("https://twitter.com/A__Mirza","@A__Mirza")</f>
        <v>@A__Mirza</v>
      </c>
      <c r="C180" s="6" t="s">
        <v>16146</v>
      </c>
      <c r="D180" s="5" t="s">
        <v>16145</v>
      </c>
      <c r="E180" s="9" t="str">
        <f>HYPERLINK("https://twitter.com/A__Mirza/status/1037308134291853313","1037308134291853313")</f>
        <v>1037308134291853313</v>
      </c>
      <c r="F180" s="4"/>
      <c r="G180" s="4"/>
      <c r="H180" s="4"/>
      <c r="I180" s="10" t="str">
        <f>HYPERLINK("http://twitter.com/download/android","Twitter for Android")</f>
        <v>Twitter for Android</v>
      </c>
      <c r="J180" s="2">
        <v>86</v>
      </c>
      <c r="K180" s="2">
        <v>206</v>
      </c>
      <c r="L180" s="2">
        <v>0</v>
      </c>
      <c r="M180" s="2"/>
      <c r="N180" s="8">
        <v>42433.171168981484</v>
      </c>
      <c r="O180" s="4"/>
      <c r="P180" s="3" t="s">
        <v>16144</v>
      </c>
      <c r="Q180" s="4"/>
      <c r="R180" s="4"/>
      <c r="S180" s="9" t="str">
        <f>HYPERLINK("https://pbs.twimg.com/profile_images/874581651111718912/Bbbk-YqX.jpg","View")</f>
        <v>View</v>
      </c>
    </row>
    <row r="181" spans="1:19" ht="40">
      <c r="A181" s="8">
        <v>43348.681828703702</v>
      </c>
      <c r="B181" s="11" t="str">
        <f>HYPERLINK("https://twitter.com/mo_gharibi","@mo_gharibi")</f>
        <v>@mo_gharibi</v>
      </c>
      <c r="C181" s="6" t="s">
        <v>16143</v>
      </c>
      <c r="D181" s="5" t="s">
        <v>16142</v>
      </c>
      <c r="E181" s="9" t="str">
        <f>HYPERLINK("https://twitter.com/mo_gharibi/status/1037307314104135680","1037307314104135680")</f>
        <v>1037307314104135680</v>
      </c>
      <c r="F181" s="4"/>
      <c r="G181" s="4"/>
      <c r="H181" s="4"/>
      <c r="I181" s="10" t="str">
        <f>HYPERLINK("http://twitter.com/download/android","Twitter for Android")</f>
        <v>Twitter for Android</v>
      </c>
      <c r="J181" s="2">
        <v>278</v>
      </c>
      <c r="K181" s="2">
        <v>109</v>
      </c>
      <c r="L181" s="2">
        <v>3</v>
      </c>
      <c r="M181" s="2"/>
      <c r="N181" s="8">
        <v>42851.426840277782</v>
      </c>
      <c r="O181" s="4" t="s">
        <v>16141</v>
      </c>
      <c r="P181" s="3" t="s">
        <v>16140</v>
      </c>
      <c r="Q181" s="10" t="s">
        <v>16139</v>
      </c>
      <c r="R181" s="4"/>
      <c r="S181" s="9" t="str">
        <f>HYPERLINK("https://pbs.twimg.com/profile_images/944180830532001793/ua9ATwT1.jpg","View")</f>
        <v>View</v>
      </c>
    </row>
    <row r="182" spans="1:19" ht="40">
      <c r="A182" s="8">
        <v>43348.681620370371</v>
      </c>
      <c r="B182" s="11" t="str">
        <f>HYPERLINK("https://twitter.com/Tasnimnews_Fa","@Tasnimnews_Fa")</f>
        <v>@Tasnimnews_Fa</v>
      </c>
      <c r="C182" s="6" t="s">
        <v>603</v>
      </c>
      <c r="D182" s="5" t="s">
        <v>16138</v>
      </c>
      <c r="E182" s="9" t="str">
        <f>HYPERLINK("https://twitter.com/Tasnimnews_Fa/status/1037307238656999424","1037307238656999424")</f>
        <v>1037307238656999424</v>
      </c>
      <c r="F182" s="4"/>
      <c r="G182" s="10" t="s">
        <v>16137</v>
      </c>
      <c r="H182" s="4"/>
      <c r="I182" s="10" t="str">
        <f>HYPERLINK("http://twitter.com","Twitter Web Client")</f>
        <v>Twitter Web Client</v>
      </c>
      <c r="J182" s="2">
        <v>109791</v>
      </c>
      <c r="K182" s="2">
        <v>20</v>
      </c>
      <c r="L182" s="2">
        <v>376</v>
      </c>
      <c r="M182" s="2" t="s">
        <v>80</v>
      </c>
      <c r="N182" s="8">
        <v>41868.671585648146</v>
      </c>
      <c r="O182" s="4" t="s">
        <v>133</v>
      </c>
      <c r="P182" s="3" t="s">
        <v>599</v>
      </c>
      <c r="Q182" s="10" t="s">
        <v>598</v>
      </c>
      <c r="R182" s="4"/>
      <c r="S182" s="9" t="str">
        <f>HYPERLINK("https://pbs.twimg.com/profile_images/942003149430239232/hvLw_1_E.jpg","View")</f>
        <v>View</v>
      </c>
    </row>
    <row r="183" spans="1:19" ht="30">
      <c r="A183" s="8">
        <v>43348.681539351848</v>
      </c>
      <c r="B183" s="11" t="str">
        <f>HYPERLINK("https://twitter.com/amirsayah1","@amirsayah1")</f>
        <v>@amirsayah1</v>
      </c>
      <c r="C183" s="6" t="s">
        <v>332</v>
      </c>
      <c r="D183" s="5" t="s">
        <v>16136</v>
      </c>
      <c r="E183" s="9" t="str">
        <f>HYPERLINK("https://twitter.com/amirsayah1/status/1037307206897754113","1037307206897754113")</f>
        <v>1037307206897754113</v>
      </c>
      <c r="F183" s="4"/>
      <c r="G183" s="4"/>
      <c r="H183" s="4"/>
      <c r="I183" s="10" t="str">
        <f>HYPERLINK("http://twitter.com/download/android","Twitter for Android")</f>
        <v>Twitter for Android</v>
      </c>
      <c r="J183" s="2">
        <v>1947</v>
      </c>
      <c r="K183" s="2">
        <v>131</v>
      </c>
      <c r="L183" s="2">
        <v>16</v>
      </c>
      <c r="M183" s="2"/>
      <c r="N183" s="8">
        <v>43297.851585648154</v>
      </c>
      <c r="O183" s="4"/>
      <c r="P183" s="3" t="s">
        <v>330</v>
      </c>
      <c r="Q183" s="4"/>
      <c r="R183" s="4"/>
      <c r="S183" s="9" t="str">
        <f>HYPERLINK("https://pbs.twimg.com/profile_images/1031588127075434496/8SFrshob.jpg","View")</f>
        <v>View</v>
      </c>
    </row>
    <row r="184" spans="1:19" ht="40">
      <c r="A184" s="8">
        <v>43348.681273148148</v>
      </c>
      <c r="B184" s="11" t="str">
        <f>HYPERLINK("https://twitter.com/alaki_","@alaki_")</f>
        <v>@alaki_</v>
      </c>
      <c r="C184" s="6" t="s">
        <v>16135</v>
      </c>
      <c r="D184" s="5" t="s">
        <v>16134</v>
      </c>
      <c r="E184" s="9" t="str">
        <f>HYPERLINK("https://twitter.com/alaki_/status/1037307111443779585","1037307111443779585")</f>
        <v>1037307111443779585</v>
      </c>
      <c r="F184" s="4"/>
      <c r="G184" s="4"/>
      <c r="H184" s="4"/>
      <c r="I184" s="10" t="str">
        <f>HYPERLINK("http://twitter.com/download/iphone","Twitter for iPhone")</f>
        <v>Twitter for iPhone</v>
      </c>
      <c r="J184" s="2">
        <v>2585</v>
      </c>
      <c r="K184" s="2">
        <v>1617</v>
      </c>
      <c r="L184" s="2">
        <v>40</v>
      </c>
      <c r="M184" s="2"/>
      <c r="N184" s="8">
        <v>40475.58971064815</v>
      </c>
      <c r="O184" s="4"/>
      <c r="P184" s="3" t="s">
        <v>16133</v>
      </c>
      <c r="Q184" s="4"/>
      <c r="R184" s="4"/>
      <c r="S184" s="9" t="str">
        <f>HYPERLINK("https://pbs.twimg.com/profile_images/863483969530187776/Ff9xJmUi.jpg","View")</f>
        <v>View</v>
      </c>
    </row>
    <row r="185" spans="1:19" ht="20">
      <c r="A185" s="8">
        <v>43348.68032407407</v>
      </c>
      <c r="B185" s="11" t="str">
        <f>HYPERLINK("https://twitter.com/sarch24","@sarch24")</f>
        <v>@sarch24</v>
      </c>
      <c r="C185" s="6" t="s">
        <v>4782</v>
      </c>
      <c r="D185" s="5" t="s">
        <v>16132</v>
      </c>
      <c r="E185" s="9" t="str">
        <f>HYPERLINK("https://twitter.com/sarch24/status/1037306767837945857","1037306767837945857")</f>
        <v>1037306767837945857</v>
      </c>
      <c r="F185" s="4"/>
      <c r="G185" s="4"/>
      <c r="H185" s="4"/>
      <c r="I185" s="10" t="str">
        <f>HYPERLINK("http://twitter.com/download/android","Twitter for Android")</f>
        <v>Twitter for Android</v>
      </c>
      <c r="J185" s="2">
        <v>383</v>
      </c>
      <c r="K185" s="2">
        <v>514</v>
      </c>
      <c r="L185" s="2">
        <v>0</v>
      </c>
      <c r="M185" s="2"/>
      <c r="N185" s="8">
        <v>42907.126701388886</v>
      </c>
      <c r="O185" s="4" t="s">
        <v>4780</v>
      </c>
      <c r="P185" s="3" t="s">
        <v>4779</v>
      </c>
      <c r="Q185" s="4"/>
      <c r="R185" s="4"/>
      <c r="S185" s="9" t="str">
        <f>HYPERLINK("https://pbs.twimg.com/profile_images/994305637193535488/EUxGDSsQ.jpg","View")</f>
        <v>View</v>
      </c>
    </row>
    <row r="186" spans="1:19" ht="12.5">
      <c r="A186" s="8">
        <v>43348.679745370369</v>
      </c>
      <c r="B186" s="11" t="str">
        <f>HYPERLINK("https://twitter.com/pakstarrr","@pakstarrr")</f>
        <v>@pakstarrr</v>
      </c>
      <c r="C186" s="6" t="s">
        <v>16131</v>
      </c>
      <c r="D186" s="5" t="s">
        <v>16130</v>
      </c>
      <c r="E186" s="9" t="str">
        <f>HYPERLINK("https://twitter.com/pakstarrr/status/1037306559120977920","1037306559120977920")</f>
        <v>1037306559120977920</v>
      </c>
      <c r="F186" s="4"/>
      <c r="G186" s="4"/>
      <c r="H186" s="4"/>
      <c r="I186" s="10" t="str">
        <f>HYPERLINK("http://twitter.com/download/android","Twitter for Android")</f>
        <v>Twitter for Android</v>
      </c>
      <c r="J186" s="2">
        <v>1909</v>
      </c>
      <c r="K186" s="2">
        <v>3219</v>
      </c>
      <c r="L186" s="2">
        <v>3</v>
      </c>
      <c r="M186" s="2"/>
      <c r="N186" s="8">
        <v>42577.890856481477</v>
      </c>
      <c r="O186" s="4" t="s">
        <v>16129</v>
      </c>
      <c r="P186" s="3" t="s">
        <v>16128</v>
      </c>
      <c r="Q186" s="4"/>
      <c r="R186" s="4"/>
      <c r="S186" s="9" t="str">
        <f>HYPERLINK("https://pbs.twimg.com/profile_images/1036229736207400961/pMFYIcB_.jpg","View")</f>
        <v>View</v>
      </c>
    </row>
    <row r="187" spans="1:19" ht="30">
      <c r="A187" s="8">
        <v>43348.679618055554</v>
      </c>
      <c r="B187" s="11" t="str">
        <f>HYPERLINK("https://twitter.com/MehdiRsmt1","@MehdiRsmt1")</f>
        <v>@MehdiRsmt1</v>
      </c>
      <c r="C187" s="6" t="s">
        <v>16127</v>
      </c>
      <c r="D187" s="5" t="s">
        <v>16126</v>
      </c>
      <c r="E187" s="9" t="str">
        <f>HYPERLINK("https://twitter.com/MehdiRsmt1/status/1037306514078400512","1037306514078400512")</f>
        <v>1037306514078400512</v>
      </c>
      <c r="F187" s="4"/>
      <c r="G187" s="4"/>
      <c r="H187" s="4"/>
      <c r="I187" s="10" t="str">
        <f>HYPERLINK("http://twitter.com/download/iphone","Twitter for iPhone")</f>
        <v>Twitter for iPhone</v>
      </c>
      <c r="J187" s="2">
        <v>81</v>
      </c>
      <c r="K187" s="2">
        <v>112</v>
      </c>
      <c r="L187" s="2">
        <v>0</v>
      </c>
      <c r="M187" s="2"/>
      <c r="N187" s="8">
        <v>43220.572106481486</v>
      </c>
      <c r="O187" s="4" t="s">
        <v>34</v>
      </c>
      <c r="P187" s="3" t="s">
        <v>16125</v>
      </c>
      <c r="Q187" s="4"/>
      <c r="R187" s="4"/>
      <c r="S187" s="9" t="str">
        <f>HYPERLINK("https://pbs.twimg.com/profile_images/991997763155120128/cl9gBWlc.jpg","View")</f>
        <v>View</v>
      </c>
    </row>
    <row r="188" spans="1:19" ht="30">
      <c r="A188" s="8">
        <v>43348.678402777776</v>
      </c>
      <c r="B188" s="11" t="str">
        <f>HYPERLINK("https://twitter.com/fanousnews","@fanousnews")</f>
        <v>@fanousnews</v>
      </c>
      <c r="C188" s="6" t="s">
        <v>16124</v>
      </c>
      <c r="D188" s="5" t="s">
        <v>16123</v>
      </c>
      <c r="E188" s="9" t="str">
        <f>HYPERLINK("https://twitter.com/fanousnews/status/1037306072292306944","1037306072292306944")</f>
        <v>1037306072292306944</v>
      </c>
      <c r="F188" s="4"/>
      <c r="G188" s="10" t="s">
        <v>16122</v>
      </c>
      <c r="H188" s="4"/>
      <c r="I188" s="10" t="str">
        <f>HYPERLINK("http://twitter.com/download/android","Twitter for Android")</f>
        <v>Twitter for Android</v>
      </c>
      <c r="J188" s="2">
        <v>243</v>
      </c>
      <c r="K188" s="2">
        <v>550</v>
      </c>
      <c r="L188" s="2">
        <v>0</v>
      </c>
      <c r="M188" s="2"/>
      <c r="N188" s="8">
        <v>42653.447754629626</v>
      </c>
      <c r="O188" s="4" t="s">
        <v>9711</v>
      </c>
      <c r="P188" s="3" t="s">
        <v>16121</v>
      </c>
      <c r="Q188" s="10" t="s">
        <v>16120</v>
      </c>
      <c r="R188" s="4"/>
      <c r="S188" s="9" t="str">
        <f>HYPERLINK("https://pbs.twimg.com/profile_images/958767738469707776/6zrFB-aD.jpg","View")</f>
        <v>View</v>
      </c>
    </row>
    <row r="189" spans="1:19" ht="60">
      <c r="A189" s="8">
        <v>43348.677951388891</v>
      </c>
      <c r="B189" s="11" t="str">
        <f>HYPERLINK("https://twitter.com/jahad962","@jahad962")</f>
        <v>@jahad962</v>
      </c>
      <c r="C189" s="6" t="s">
        <v>16119</v>
      </c>
      <c r="D189" s="5" t="s">
        <v>16118</v>
      </c>
      <c r="E189" s="9" t="str">
        <f>HYPERLINK("https://twitter.com/jahad962/status/1037305908248932353","1037305908248932353")</f>
        <v>1037305908248932353</v>
      </c>
      <c r="F189" s="10" t="s">
        <v>16117</v>
      </c>
      <c r="G189" s="4"/>
      <c r="H189" s="4"/>
      <c r="I189" s="10" t="str">
        <f>HYPERLINK("http://twitter.com/download/android","Twitter for Android")</f>
        <v>Twitter for Android</v>
      </c>
      <c r="J189" s="2">
        <v>163</v>
      </c>
      <c r="K189" s="2">
        <v>269</v>
      </c>
      <c r="L189" s="2">
        <v>1</v>
      </c>
      <c r="M189" s="2"/>
      <c r="N189" s="8">
        <v>43321.991782407407</v>
      </c>
      <c r="O189" s="4"/>
      <c r="P189" s="3" t="s">
        <v>16116</v>
      </c>
      <c r="Q189" s="4"/>
      <c r="R189" s="4"/>
      <c r="S189" s="9" t="str">
        <f>HYPERLINK("https://pbs.twimg.com/profile_images/1027639367177789440/EPcKp-C4.jpg","View")</f>
        <v>View</v>
      </c>
    </row>
    <row r="190" spans="1:19" ht="30">
      <c r="A190" s="8">
        <v>43348.677256944444</v>
      </c>
      <c r="B190" s="11" t="str">
        <f>HYPERLINK("https://twitter.com/Mahdi25783774","@Mahdi25783774")</f>
        <v>@Mahdi25783774</v>
      </c>
      <c r="C190" s="6" t="s">
        <v>5469</v>
      </c>
      <c r="D190" s="5" t="s">
        <v>16115</v>
      </c>
      <c r="E190" s="9" t="str">
        <f>HYPERLINK("https://twitter.com/Mahdi25783774/status/1037305657165340675","1037305657165340675")</f>
        <v>1037305657165340675</v>
      </c>
      <c r="F190" s="4"/>
      <c r="G190" s="10" t="s">
        <v>16114</v>
      </c>
      <c r="H190" s="4"/>
      <c r="I190" s="10" t="str">
        <f>HYPERLINK("http://twitter.com/download/android","Twitter for Android")</f>
        <v>Twitter for Android</v>
      </c>
      <c r="J190" s="2">
        <v>720</v>
      </c>
      <c r="K190" s="2">
        <v>924</v>
      </c>
      <c r="L190" s="2">
        <v>1</v>
      </c>
      <c r="M190" s="2"/>
      <c r="N190" s="8">
        <v>43233.519814814819</v>
      </c>
      <c r="O190" s="4" t="s">
        <v>133</v>
      </c>
      <c r="P190" s="3" t="s">
        <v>5466</v>
      </c>
      <c r="Q190" s="4"/>
      <c r="R190" s="4"/>
      <c r="S190" s="9" t="str">
        <f>HYPERLINK("https://pbs.twimg.com/profile_images/1033642102679318528/4lBWskrd.jpg","View")</f>
        <v>View</v>
      </c>
    </row>
    <row r="191" spans="1:19" ht="40">
      <c r="A191" s="8">
        <v>43348.676180555558</v>
      </c>
      <c r="B191" s="11" t="str">
        <f>HYPERLINK("https://twitter.com/4QHfH2SawLVx1hQ","@4QHfH2SawLVx1hQ")</f>
        <v>@4QHfH2SawLVx1hQ</v>
      </c>
      <c r="C191" s="6" t="s">
        <v>13944</v>
      </c>
      <c r="D191" s="5" t="s">
        <v>16113</v>
      </c>
      <c r="E191" s="9" t="str">
        <f>HYPERLINK("https://twitter.com/4QHfH2SawLVx1hQ/status/1037305265161416704","1037305265161416704")</f>
        <v>1037305265161416704</v>
      </c>
      <c r="F191" s="4"/>
      <c r="G191" s="4"/>
      <c r="H191" s="4"/>
      <c r="I191" s="10" t="str">
        <f>HYPERLINK("http://twitter.com/download/android","Twitter for Android")</f>
        <v>Twitter for Android</v>
      </c>
      <c r="J191" s="2">
        <v>2842</v>
      </c>
      <c r="K191" s="2">
        <v>2874</v>
      </c>
      <c r="L191" s="2">
        <v>1</v>
      </c>
      <c r="M191" s="2"/>
      <c r="N191" s="8">
        <v>43257.966817129629</v>
      </c>
      <c r="O191" s="4" t="s">
        <v>13942</v>
      </c>
      <c r="P191" s="3" t="s">
        <v>13941</v>
      </c>
      <c r="Q191" s="4"/>
      <c r="R191" s="4"/>
      <c r="S191" s="9" t="str">
        <f>HYPERLINK("https://pbs.twimg.com/profile_images/1032625807125041152/zudlWum7.jpg","View")</f>
        <v>View</v>
      </c>
    </row>
    <row r="192" spans="1:19" ht="12.5">
      <c r="A192" s="8">
        <v>43348.675092592588</v>
      </c>
      <c r="B192" s="11" t="str">
        <f>HYPERLINK("https://twitter.com/mahsa691","@mahsa691")</f>
        <v>@mahsa691</v>
      </c>
      <c r="C192" s="6" t="s">
        <v>16112</v>
      </c>
      <c r="D192" s="5" t="s">
        <v>16111</v>
      </c>
      <c r="E192" s="9" t="str">
        <f>HYPERLINK("https://twitter.com/mahsa691/status/1037304874004824064","1037304874004824064")</f>
        <v>1037304874004824064</v>
      </c>
      <c r="F192" s="4"/>
      <c r="G192" s="10" t="s">
        <v>16110</v>
      </c>
      <c r="H192" s="4"/>
      <c r="I192" s="10" t="str">
        <f>HYPERLINK("http://twitter.com/download/android","Twitter for Android")</f>
        <v>Twitter for Android</v>
      </c>
      <c r="J192" s="2">
        <v>90</v>
      </c>
      <c r="K192" s="2">
        <v>115</v>
      </c>
      <c r="L192" s="2">
        <v>0</v>
      </c>
      <c r="M192" s="2"/>
      <c r="N192" s="8">
        <v>43327.005416666667</v>
      </c>
      <c r="O192" s="4"/>
      <c r="P192" s="3" t="s">
        <v>9840</v>
      </c>
      <c r="Q192" s="4"/>
      <c r="R192" s="4"/>
      <c r="S192" s="9" t="str">
        <f>HYPERLINK("https://pbs.twimg.com/profile_images/1030573843314823168/k7UsIhWO.jpg","View")</f>
        <v>View</v>
      </c>
    </row>
    <row r="193" spans="1:19" ht="20">
      <c r="A193" s="8">
        <v>43348.674722222218</v>
      </c>
      <c r="B193" s="11" t="str">
        <f>HYPERLINK("https://twitter.com/shearestan","@shearestan")</f>
        <v>@shearestan</v>
      </c>
      <c r="C193" s="6" t="s">
        <v>16109</v>
      </c>
      <c r="D193" s="5" t="s">
        <v>16108</v>
      </c>
      <c r="E193" s="9" t="str">
        <f>HYPERLINK("https://twitter.com/shearestan/status/1037304738935709698","1037304738935709698")</f>
        <v>1037304738935709698</v>
      </c>
      <c r="F193" s="4"/>
      <c r="G193" s="4"/>
      <c r="H193" s="4"/>
      <c r="I193" s="10" t="str">
        <f>HYPERLINK("http://twitter.com/download/android","Twitter for Android")</f>
        <v>Twitter for Android</v>
      </c>
      <c r="J193" s="2">
        <v>672</v>
      </c>
      <c r="K193" s="2">
        <v>1069</v>
      </c>
      <c r="L193" s="2">
        <v>1</v>
      </c>
      <c r="M193" s="2"/>
      <c r="N193" s="8">
        <v>43221.998136574075</v>
      </c>
      <c r="O193" s="4"/>
      <c r="P193" s="3" t="s">
        <v>16107</v>
      </c>
      <c r="Q193" s="4"/>
      <c r="R193" s="4"/>
      <c r="S193" s="9" t="str">
        <f>HYPERLINK("https://pbs.twimg.com/profile_images/1026399293480034306/909LRHot.jpg","View")</f>
        <v>View</v>
      </c>
    </row>
    <row r="194" spans="1:19" ht="20">
      <c r="A194" s="8">
        <v>43348.674189814818</v>
      </c>
      <c r="B194" s="11" t="str">
        <f>HYPERLINK("https://twitter.com/Ramdisius","@Ramdisius")</f>
        <v>@Ramdisius</v>
      </c>
      <c r="C194" s="6" t="s">
        <v>1494</v>
      </c>
      <c r="D194" s="5" t="s">
        <v>16106</v>
      </c>
      <c r="E194" s="9" t="str">
        <f>HYPERLINK("https://twitter.com/Ramdisius/status/1037304546844962816","1037304546844962816")</f>
        <v>1037304546844962816</v>
      </c>
      <c r="F194" s="4"/>
      <c r="G194" s="10" t="s">
        <v>16105</v>
      </c>
      <c r="H194" s="4"/>
      <c r="I194" s="10" t="str">
        <f>HYPERLINK("http://twitter.com/download/android","Twitter for Android")</f>
        <v>Twitter for Android</v>
      </c>
      <c r="J194" s="2">
        <v>89</v>
      </c>
      <c r="K194" s="2">
        <v>95</v>
      </c>
      <c r="L194" s="2">
        <v>0</v>
      </c>
      <c r="M194" s="2"/>
      <c r="N194" s="8">
        <v>42999.626296296294</v>
      </c>
      <c r="O194" s="4"/>
      <c r="P194" s="3" t="s">
        <v>1491</v>
      </c>
      <c r="Q194" s="4"/>
      <c r="R194" s="4"/>
      <c r="S194" s="9" t="str">
        <f>HYPERLINK("https://pbs.twimg.com/profile_images/953361613679202306/_YiFOaj_.jpg","View")</f>
        <v>View</v>
      </c>
    </row>
    <row r="195" spans="1:19" ht="30">
      <c r="A195" s="8">
        <v>43348.672303240739</v>
      </c>
      <c r="B195" s="11" t="str">
        <f>HYPERLINK("https://twitter.com/xacoob","@xacoob")</f>
        <v>@xacoob</v>
      </c>
      <c r="C195" s="6" t="s">
        <v>16104</v>
      </c>
      <c r="D195" s="5" t="s">
        <v>16103</v>
      </c>
      <c r="E195" s="9" t="str">
        <f>HYPERLINK("https://twitter.com/xacoob/status/1037303860673560576","1037303860673560576")</f>
        <v>1037303860673560576</v>
      </c>
      <c r="F195" s="4"/>
      <c r="G195" s="4"/>
      <c r="H195" s="4"/>
      <c r="I195" s="10" t="str">
        <f>HYPERLINK("http://twitter.com/download/iphone","Twitter for iPhone")</f>
        <v>Twitter for iPhone</v>
      </c>
      <c r="J195" s="2">
        <v>27</v>
      </c>
      <c r="K195" s="2">
        <v>81</v>
      </c>
      <c r="L195" s="2">
        <v>0</v>
      </c>
      <c r="M195" s="2"/>
      <c r="N195" s="8">
        <v>40886.951736111107</v>
      </c>
      <c r="O195" s="4" t="s">
        <v>2250</v>
      </c>
      <c r="P195" s="3"/>
      <c r="Q195" s="4"/>
      <c r="R195" s="4"/>
      <c r="S195" s="9" t="str">
        <f>HYPERLINK("https://pbs.twimg.com/profile_images/996454386648911872/CAyOwWPh.jpg","View")</f>
        <v>View</v>
      </c>
    </row>
    <row r="196" spans="1:19" ht="40">
      <c r="A196" s="8">
        <v>43348.670949074076</v>
      </c>
      <c r="B196" s="11" t="str">
        <f>HYPERLINK("https://twitter.com/PedramSohrabloo","@PedramSohrabloo")</f>
        <v>@PedramSohrabloo</v>
      </c>
      <c r="C196" s="6" t="s">
        <v>11061</v>
      </c>
      <c r="D196" s="5" t="s">
        <v>16102</v>
      </c>
      <c r="E196" s="9" t="str">
        <f>HYPERLINK("https://twitter.com/PedramSohrabloo/status/1037303371831697408","1037303371831697408")</f>
        <v>1037303371831697408</v>
      </c>
      <c r="F196" s="4"/>
      <c r="G196" s="4"/>
      <c r="H196" s="4"/>
      <c r="I196" s="10" t="str">
        <f>HYPERLINK("http://twitter.com/download/android","Twitter for Android")</f>
        <v>Twitter for Android</v>
      </c>
      <c r="J196" s="2">
        <v>123</v>
      </c>
      <c r="K196" s="2">
        <v>357</v>
      </c>
      <c r="L196" s="2">
        <v>0</v>
      </c>
      <c r="M196" s="2"/>
      <c r="N196" s="8">
        <v>43258.935856481483</v>
      </c>
      <c r="O196" s="4"/>
      <c r="P196" s="3" t="s">
        <v>11059</v>
      </c>
      <c r="Q196" s="4"/>
      <c r="R196" s="4"/>
      <c r="S196" s="9" t="str">
        <f>HYPERLINK("https://pbs.twimg.com/profile_images/1004786905542688771/I1nMXsxn.jpg","View")</f>
        <v>View</v>
      </c>
    </row>
    <row r="197" spans="1:19" ht="40">
      <c r="A197" s="8">
        <v>43348.670092592598</v>
      </c>
      <c r="B197" s="11" t="str">
        <f>HYPERLINK("https://twitter.com/kianfarid","@kianfarid")</f>
        <v>@kianfarid</v>
      </c>
      <c r="C197" s="6" t="s">
        <v>16101</v>
      </c>
      <c r="D197" s="5" t="s">
        <v>16100</v>
      </c>
      <c r="E197" s="9" t="str">
        <f>HYPERLINK("https://twitter.com/kianfarid/status/1037303060064698368","1037303060064698368")</f>
        <v>1037303060064698368</v>
      </c>
      <c r="F197" s="4"/>
      <c r="G197" s="4"/>
      <c r="H197" s="4"/>
      <c r="I197" s="10" t="str">
        <f>HYPERLINK("http://twitter.com","Twitter Web Client")</f>
        <v>Twitter Web Client</v>
      </c>
      <c r="J197" s="2">
        <v>422</v>
      </c>
      <c r="K197" s="2">
        <v>290</v>
      </c>
      <c r="L197" s="2">
        <v>12</v>
      </c>
      <c r="M197" s="2"/>
      <c r="N197" s="8">
        <v>42679.571215277778</v>
      </c>
      <c r="O197" s="4"/>
      <c r="P197" s="3" t="s">
        <v>16099</v>
      </c>
      <c r="Q197" s="4"/>
      <c r="R197" s="4"/>
      <c r="S197" s="9" t="str">
        <f>HYPERLINK("https://pbs.twimg.com/profile_images/1007686949665005568/pgzzES4U.jpg","View")</f>
        <v>View</v>
      </c>
    </row>
    <row r="198" spans="1:19" ht="20">
      <c r="A198" s="8">
        <v>43348.669953703706</v>
      </c>
      <c r="B198" s="11" t="str">
        <f>HYPERLINK("https://twitter.com/ata_afs","@ata_afs")</f>
        <v>@ata_afs</v>
      </c>
      <c r="C198" s="6" t="s">
        <v>1217</v>
      </c>
      <c r="D198" s="5" t="s">
        <v>16098</v>
      </c>
      <c r="E198" s="9" t="str">
        <f>HYPERLINK("https://twitter.com/ata_afs/status/1037303010219581441","1037303010219581441")</f>
        <v>1037303010219581441</v>
      </c>
      <c r="F198" s="4"/>
      <c r="G198" s="4"/>
      <c r="H198" s="4"/>
      <c r="I198" s="10" t="str">
        <f>HYPERLINK("http://twitter.com/download/iphone","Twitter for iPhone")</f>
        <v>Twitter for iPhone</v>
      </c>
      <c r="J198" s="2">
        <v>383</v>
      </c>
      <c r="K198" s="2">
        <v>699</v>
      </c>
      <c r="L198" s="2">
        <v>0</v>
      </c>
      <c r="M198" s="2"/>
      <c r="N198" s="8">
        <v>41833.536099537036</v>
      </c>
      <c r="O198" s="4" t="s">
        <v>34</v>
      </c>
      <c r="P198" s="3" t="s">
        <v>1213</v>
      </c>
      <c r="Q198" s="4"/>
      <c r="R198" s="4"/>
      <c r="S198" s="9" t="str">
        <f>HYPERLINK("https://pbs.twimg.com/profile_images/958374868008960000/IRXSv5-C.jpg","View")</f>
        <v>View</v>
      </c>
    </row>
    <row r="199" spans="1:19" ht="12.5">
      <c r="A199" s="8">
        <v>43348.669918981483</v>
      </c>
      <c r="B199" s="11" t="str">
        <f>HYPERLINK("https://twitter.com/saeidabdvali","@saeidabdvali")</f>
        <v>@saeidabdvali</v>
      </c>
      <c r="C199" s="6" t="s">
        <v>13369</v>
      </c>
      <c r="D199" s="5" t="s">
        <v>16097</v>
      </c>
      <c r="E199" s="9" t="str">
        <f>HYPERLINK("https://twitter.com/saeidabdvali/status/1037302997011914752","1037302997011914752")</f>
        <v>1037302997011914752</v>
      </c>
      <c r="F199" s="4"/>
      <c r="G199" s="10" t="s">
        <v>16096</v>
      </c>
      <c r="H199" s="4"/>
      <c r="I199" s="10" t="str">
        <f>HYPERLINK("http://twitter.com/download/iphone","Twitter for iPhone")</f>
        <v>Twitter for iPhone</v>
      </c>
      <c r="J199" s="2">
        <v>19</v>
      </c>
      <c r="K199" s="2">
        <v>80</v>
      </c>
      <c r="L199" s="2">
        <v>0</v>
      </c>
      <c r="M199" s="2"/>
      <c r="N199" s="8">
        <v>43325.914513888885</v>
      </c>
      <c r="O199" s="4" t="s">
        <v>13367</v>
      </c>
      <c r="P199" s="3"/>
      <c r="Q199" s="4"/>
      <c r="R199" s="4"/>
      <c r="S199" s="9" t="str">
        <f>HYPERLINK("https://pbs.twimg.com/profile_images/1029062429890818049/-zGI4psj.jpg","View")</f>
        <v>View</v>
      </c>
    </row>
    <row r="200" spans="1:19" ht="40">
      <c r="A200" s="8">
        <v>43348.66887731482</v>
      </c>
      <c r="B200" s="11" t="str">
        <f>HYPERLINK("https://twitter.com/abbaszade_h","@abbaszade_h")</f>
        <v>@abbaszade_h</v>
      </c>
      <c r="C200" s="6" t="s">
        <v>16095</v>
      </c>
      <c r="D200" s="5" t="s">
        <v>16094</v>
      </c>
      <c r="E200" s="9" t="str">
        <f>HYPERLINK("https://twitter.com/abbaszade_h/status/1037302619520360448","1037302619520360448")</f>
        <v>1037302619520360448</v>
      </c>
      <c r="F200" s="4"/>
      <c r="G200" s="4"/>
      <c r="H200" s="4"/>
      <c r="I200" s="10" t="str">
        <f>HYPERLINK("http://twitter.com/download/android","Twitter for Android")</f>
        <v>Twitter for Android</v>
      </c>
      <c r="J200" s="2">
        <v>1</v>
      </c>
      <c r="K200" s="2">
        <v>5</v>
      </c>
      <c r="L200" s="2">
        <v>0</v>
      </c>
      <c r="M200" s="2"/>
      <c r="N200" s="8">
        <v>43348.654641203699</v>
      </c>
      <c r="O200" s="4" t="s">
        <v>16093</v>
      </c>
      <c r="P200" s="3" t="s">
        <v>16092</v>
      </c>
      <c r="Q200" s="4"/>
      <c r="R200" s="4"/>
      <c r="S200" s="9" t="str">
        <f>HYPERLINK("https://pbs.twimg.com/profile_images/1037298718599458817/LdJ-ysv_.jpg","View")</f>
        <v>View</v>
      </c>
    </row>
    <row r="201" spans="1:19" ht="20">
      <c r="A201" s="8">
        <v>43348.666921296295</v>
      </c>
      <c r="B201" s="11" t="str">
        <f>HYPERLINK("https://twitter.com/miadne","@miadne")</f>
        <v>@miadne</v>
      </c>
      <c r="C201" s="6" t="s">
        <v>16091</v>
      </c>
      <c r="D201" s="5" t="s">
        <v>16090</v>
      </c>
      <c r="E201" s="9" t="str">
        <f>HYPERLINK("https://twitter.com/miadne/status/1037301911265923072","1037301911265923072")</f>
        <v>1037301911265923072</v>
      </c>
      <c r="F201" s="4"/>
      <c r="G201" s="4"/>
      <c r="H201" s="4"/>
      <c r="I201" s="10" t="str">
        <f>HYPERLINK("http://twitter.com/download/android","Twitter for Android")</f>
        <v>Twitter for Android</v>
      </c>
      <c r="J201" s="2">
        <v>45</v>
      </c>
      <c r="K201" s="2">
        <v>66</v>
      </c>
      <c r="L201" s="2">
        <v>3</v>
      </c>
      <c r="M201" s="2"/>
      <c r="N201" s="8">
        <v>42763.733136574076</v>
      </c>
      <c r="O201" s="4" t="s">
        <v>4211</v>
      </c>
      <c r="P201" s="3" t="s">
        <v>16089</v>
      </c>
      <c r="Q201" s="4"/>
      <c r="R201" s="4"/>
      <c r="S201" s="9" t="str">
        <f>HYPERLINK("https://pbs.twimg.com/profile_images/959926943868219392/c4AJRoqO.jpg","View")</f>
        <v>View</v>
      </c>
    </row>
    <row r="202" spans="1:19" ht="40">
      <c r="A202" s="8">
        <v>43348.665902777779</v>
      </c>
      <c r="B202" s="11" t="str">
        <f>HYPERLINK("https://twitter.com/javadth71","@javadth71")</f>
        <v>@javadth71</v>
      </c>
      <c r="C202" s="6" t="s">
        <v>16088</v>
      </c>
      <c r="D202" s="5" t="s">
        <v>16087</v>
      </c>
      <c r="E202" s="9" t="str">
        <f>HYPERLINK("https://twitter.com/javadth71/status/1037301541823242240","1037301541823242240")</f>
        <v>1037301541823242240</v>
      </c>
      <c r="F202" s="4"/>
      <c r="G202" s="4"/>
      <c r="H202" s="4"/>
      <c r="I202" s="10" t="str">
        <f>HYPERLINK("http://twitter.com","Twitter Web Client")</f>
        <v>Twitter Web Client</v>
      </c>
      <c r="J202" s="2">
        <v>342</v>
      </c>
      <c r="K202" s="2">
        <v>348</v>
      </c>
      <c r="L202" s="2">
        <v>1</v>
      </c>
      <c r="M202" s="2"/>
      <c r="N202" s="8">
        <v>43247.751377314809</v>
      </c>
      <c r="O202" s="4" t="s">
        <v>16086</v>
      </c>
      <c r="P202" s="3" t="s">
        <v>16085</v>
      </c>
      <c r="Q202" s="4"/>
      <c r="R202" s="4"/>
      <c r="S202" s="9" t="str">
        <f>HYPERLINK("https://pbs.twimg.com/profile_images/1000870421200297990/YMaj5m6z.jpg","View")</f>
        <v>View</v>
      </c>
    </row>
    <row r="203" spans="1:19" ht="20">
      <c r="A203" s="8">
        <v>43348.665347222224</v>
      </c>
      <c r="B203" s="11" t="str">
        <f>HYPERLINK("https://twitter.com/VahidProg","@VahidProg")</f>
        <v>@VahidProg</v>
      </c>
      <c r="C203" s="6" t="s">
        <v>11380</v>
      </c>
      <c r="D203" s="5" t="s">
        <v>16084</v>
      </c>
      <c r="E203" s="9" t="str">
        <f>HYPERLINK("https://twitter.com/VahidProg/status/1037301341046095872","1037301341046095872")</f>
        <v>1037301341046095872</v>
      </c>
      <c r="F203" s="4"/>
      <c r="G203" s="4"/>
      <c r="H203" s="4"/>
      <c r="I203" s="10" t="str">
        <f>HYPERLINK("https://mobile.twitter.com","Twitter Lite")</f>
        <v>Twitter Lite</v>
      </c>
      <c r="J203" s="2">
        <v>130</v>
      </c>
      <c r="K203" s="2">
        <v>43</v>
      </c>
      <c r="L203" s="2">
        <v>0</v>
      </c>
      <c r="M203" s="2"/>
      <c r="N203" s="8">
        <v>43141.611087962963</v>
      </c>
      <c r="O203" s="4" t="s">
        <v>34</v>
      </c>
      <c r="P203" s="3" t="s">
        <v>11378</v>
      </c>
      <c r="Q203" s="4"/>
      <c r="R203" s="4"/>
      <c r="S203" s="9" t="str">
        <f>HYPERLINK("https://pbs.twimg.com/profile_images/1003990794242547712/W4M7awrb.jpg","View")</f>
        <v>View</v>
      </c>
    </row>
    <row r="204" spans="1:19" ht="12.5">
      <c r="A204" s="8">
        <v>43348.665162037039</v>
      </c>
      <c r="B204" s="11" t="str">
        <f>HYPERLINK("https://twitter.com/moreamiri","@moreamiri")</f>
        <v>@moreamiri</v>
      </c>
      <c r="C204" s="6" t="s">
        <v>16083</v>
      </c>
      <c r="D204" s="5" t="s">
        <v>16082</v>
      </c>
      <c r="E204" s="9" t="str">
        <f>HYPERLINK("https://twitter.com/moreamiri/status/1037301273895333888","1037301273895333888")</f>
        <v>1037301273895333888</v>
      </c>
      <c r="F204" s="4"/>
      <c r="G204" s="4"/>
      <c r="H204" s="4"/>
      <c r="I204" s="10" t="str">
        <f>HYPERLINK("http://twitter.com/download/android","Twitter for Android")</f>
        <v>Twitter for Android</v>
      </c>
      <c r="J204" s="2">
        <v>20</v>
      </c>
      <c r="K204" s="2">
        <v>55</v>
      </c>
      <c r="L204" s="2">
        <v>0</v>
      </c>
      <c r="M204" s="2"/>
      <c r="N204" s="8">
        <v>43037.855624999997</v>
      </c>
      <c r="O204" s="4" t="s">
        <v>682</v>
      </c>
      <c r="P204" s="3" t="s">
        <v>16081</v>
      </c>
      <c r="Q204" s="4"/>
      <c r="R204" s="4"/>
      <c r="S204" s="9" t="str">
        <f>HYPERLINK("https://pbs.twimg.com/profile_images/1036224851550367744/naQMFk0m.jpg","View")</f>
        <v>View</v>
      </c>
    </row>
    <row r="205" spans="1:19" ht="40">
      <c r="A205" s="8">
        <v>43348.664363425924</v>
      </c>
      <c r="B205" s="11" t="str">
        <f>HYPERLINK("https://twitter.com/ali_ahmadnia","@ali_ahmadnia")</f>
        <v>@ali_ahmadnia</v>
      </c>
      <c r="C205" s="6" t="s">
        <v>16080</v>
      </c>
      <c r="D205" s="5" t="s">
        <v>16079</v>
      </c>
      <c r="E205" s="9" t="str">
        <f>HYPERLINK("https://twitter.com/ali_ahmadnia/status/1037300982538022913","1037300982538022913")</f>
        <v>1037300982538022913</v>
      </c>
      <c r="F205" s="4"/>
      <c r="G205" s="4"/>
      <c r="H205" s="4"/>
      <c r="I205" s="10" t="str">
        <f>HYPERLINK("http://twitter.com/download/android","Twitter for Android")</f>
        <v>Twitter for Android</v>
      </c>
      <c r="J205" s="2">
        <v>6025</v>
      </c>
      <c r="K205" s="2">
        <v>612</v>
      </c>
      <c r="L205" s="2">
        <v>45</v>
      </c>
      <c r="M205" s="2"/>
      <c r="N205" s="8">
        <v>41291.600219907406</v>
      </c>
      <c r="O205" s="4" t="s">
        <v>133</v>
      </c>
      <c r="P205" s="3" t="s">
        <v>16078</v>
      </c>
      <c r="Q205" s="10" t="s">
        <v>16077</v>
      </c>
      <c r="R205" s="4"/>
      <c r="S205" s="9" t="str">
        <f>HYPERLINK("https://pbs.twimg.com/profile_images/1027271460765802496/9yblK168.jpg","View")</f>
        <v>View</v>
      </c>
    </row>
    <row r="206" spans="1:19" ht="30">
      <c r="A206" s="8">
        <v>43348.664247685185</v>
      </c>
      <c r="B206" s="11" t="str">
        <f>HYPERLINK("https://twitter.com/Hamid10011001","@Hamid10011001")</f>
        <v>@Hamid10011001</v>
      </c>
      <c r="C206" s="6" t="s">
        <v>11761</v>
      </c>
      <c r="D206" s="5" t="s">
        <v>16076</v>
      </c>
      <c r="E206" s="9" t="str">
        <f>HYPERLINK("https://twitter.com/Hamid10011001/status/1037300940997636100","1037300940997636100")</f>
        <v>1037300940997636100</v>
      </c>
      <c r="F206" s="4"/>
      <c r="G206" s="4"/>
      <c r="H206" s="4"/>
      <c r="I206" s="10" t="str">
        <f>HYPERLINK("http://twitter.com/download/android","Twitter for Android")</f>
        <v>Twitter for Android</v>
      </c>
      <c r="J206" s="2">
        <v>137</v>
      </c>
      <c r="K206" s="2">
        <v>148</v>
      </c>
      <c r="L206" s="2">
        <v>0</v>
      </c>
      <c r="M206" s="2"/>
      <c r="N206" s="8">
        <v>42819.052199074074</v>
      </c>
      <c r="O206" s="4"/>
      <c r="P206" s="3" t="s">
        <v>11759</v>
      </c>
      <c r="Q206" s="4"/>
      <c r="R206" s="4"/>
      <c r="S206" s="9" t="str">
        <f>HYPERLINK("https://pbs.twimg.com/profile_images/988720045550424065/0brne_mW.jpg","View")</f>
        <v>View</v>
      </c>
    </row>
    <row r="207" spans="1:19" ht="40">
      <c r="A207" s="8">
        <v>43348.664155092592</v>
      </c>
      <c r="B207" s="11" t="str">
        <f>HYPERLINK("https://twitter.com/andromeda_1987","@andromeda_1987")</f>
        <v>@andromeda_1987</v>
      </c>
      <c r="C207" s="6" t="s">
        <v>13879</v>
      </c>
      <c r="D207" s="5" t="s">
        <v>16075</v>
      </c>
      <c r="E207" s="9" t="str">
        <f>HYPERLINK("https://twitter.com/andromeda_1987/status/1037300909338963968","1037300909338963968")</f>
        <v>1037300909338963968</v>
      </c>
      <c r="F207" s="4"/>
      <c r="G207" s="10" t="s">
        <v>16074</v>
      </c>
      <c r="H207" s="4"/>
      <c r="I207" s="10" t="str">
        <f>HYPERLINK("http://twitter.com/download/android","Twitter for Android")</f>
        <v>Twitter for Android</v>
      </c>
      <c r="J207" s="2">
        <v>572</v>
      </c>
      <c r="K207" s="2">
        <v>922</v>
      </c>
      <c r="L207" s="2">
        <v>1</v>
      </c>
      <c r="M207" s="2"/>
      <c r="N207" s="8">
        <v>41751.744942129633</v>
      </c>
      <c r="O207" s="4" t="s">
        <v>16073</v>
      </c>
      <c r="P207" s="3" t="s">
        <v>16072</v>
      </c>
      <c r="Q207" s="4"/>
      <c r="R207" s="4"/>
      <c r="S207" s="9" t="str">
        <f>HYPERLINK("https://pbs.twimg.com/profile_images/972825258490294273/7PCtwGHn.jpg","View")</f>
        <v>View</v>
      </c>
    </row>
    <row r="208" spans="1:19" ht="12.5">
      <c r="A208" s="8">
        <v>43348.664085648154</v>
      </c>
      <c r="B208" s="11" t="str">
        <f>HYPERLINK("https://twitter.com/tsmjy","@tsmjy")</f>
        <v>@tsmjy</v>
      </c>
      <c r="C208" s="6" t="s">
        <v>16071</v>
      </c>
      <c r="D208" s="5" t="s">
        <v>16070</v>
      </c>
      <c r="E208" s="9" t="str">
        <f>HYPERLINK("https://twitter.com/tsmjy/status/1037300883120369669","1037300883120369669")</f>
        <v>1037300883120369669</v>
      </c>
      <c r="F208" s="4"/>
      <c r="G208" s="4"/>
      <c r="H208" s="4"/>
      <c r="I208" s="10" t="str">
        <f>HYPERLINK("https://mobile.twitter.com","Twitter Lite")</f>
        <v>Twitter Lite</v>
      </c>
      <c r="J208" s="2">
        <v>80</v>
      </c>
      <c r="K208" s="2">
        <v>214</v>
      </c>
      <c r="L208" s="2">
        <v>0</v>
      </c>
      <c r="M208" s="2"/>
      <c r="N208" s="8">
        <v>43109.675092592588</v>
      </c>
      <c r="O208" s="4"/>
      <c r="P208" s="3" t="s">
        <v>16069</v>
      </c>
      <c r="Q208" s="4"/>
      <c r="R208" s="4"/>
      <c r="S208" s="9" t="str">
        <f>HYPERLINK("https://pbs.twimg.com/profile_images/1007229544351371264/obmRiWGp.jpg","View")</f>
        <v>View</v>
      </c>
    </row>
    <row r="209" spans="1:19" ht="40">
      <c r="A209" s="8">
        <v>43348.663865740746</v>
      </c>
      <c r="B209" s="11" t="str">
        <f>HYPERLINK("https://twitter.com/aghaa_jalil","@aghaa_jalil")</f>
        <v>@aghaa_jalil</v>
      </c>
      <c r="C209" s="6" t="s">
        <v>16068</v>
      </c>
      <c r="D209" s="5" t="s">
        <v>16067</v>
      </c>
      <c r="E209" s="9" t="str">
        <f>HYPERLINK("https://twitter.com/aghaa_jalil/status/1037300805886521344","1037300805886521344")</f>
        <v>1037300805886521344</v>
      </c>
      <c r="F209" s="4"/>
      <c r="G209" s="4"/>
      <c r="H209" s="4"/>
      <c r="I209" s="10" t="str">
        <f>HYPERLINK("http://twitter.com/download/android","Twitter for Android")</f>
        <v>Twitter for Android</v>
      </c>
      <c r="J209" s="2">
        <v>603</v>
      </c>
      <c r="K209" s="2">
        <v>2231</v>
      </c>
      <c r="L209" s="2">
        <v>0</v>
      </c>
      <c r="M209" s="2"/>
      <c r="N209" s="8">
        <v>43185.957395833335</v>
      </c>
      <c r="O209" s="4" t="s">
        <v>16066</v>
      </c>
      <c r="P209" s="3" t="s">
        <v>16065</v>
      </c>
      <c r="Q209" s="4"/>
      <c r="R209" s="4"/>
      <c r="S209" s="9" t="str">
        <f>HYPERLINK("https://pbs.twimg.com/profile_images/1020341100626743296/iIThoggU.jpg","View")</f>
        <v>View</v>
      </c>
    </row>
    <row r="210" spans="1:19" ht="40">
      <c r="A210" s="8">
        <v>43348.663587962961</v>
      </c>
      <c r="B210" s="11" t="str">
        <f>HYPERLINK("https://twitter.com/roushan1355","@roushan1355")</f>
        <v>@roushan1355</v>
      </c>
      <c r="C210" s="6" t="s">
        <v>3689</v>
      </c>
      <c r="D210" s="5" t="s">
        <v>16064</v>
      </c>
      <c r="E210" s="9" t="str">
        <f>HYPERLINK("https://twitter.com/roushan1355/status/1037300704266924033","1037300704266924033")</f>
        <v>1037300704266924033</v>
      </c>
      <c r="F210" s="4"/>
      <c r="G210" s="10" t="s">
        <v>16063</v>
      </c>
      <c r="H210" s="4"/>
      <c r="I210" s="10" t="str">
        <f>HYPERLINK("http://twitter.com/download/android","Twitter for Android")</f>
        <v>Twitter for Android</v>
      </c>
      <c r="J210" s="2">
        <v>33</v>
      </c>
      <c r="K210" s="2">
        <v>1</v>
      </c>
      <c r="L210" s="2">
        <v>0</v>
      </c>
      <c r="M210" s="2"/>
      <c r="N210" s="8">
        <v>43115.077233796299</v>
      </c>
      <c r="O210" s="4"/>
      <c r="P210" s="3" t="s">
        <v>3687</v>
      </c>
      <c r="Q210" s="4"/>
      <c r="R210" s="4"/>
      <c r="S210" s="9" t="str">
        <f>HYPERLINK("https://pbs.twimg.com/profile_images/1011494810727911427/aE8nO6RI.jpg","View")</f>
        <v>View</v>
      </c>
    </row>
    <row r="211" spans="1:19" ht="30">
      <c r="A211" s="8">
        <v>43348.662638888884</v>
      </c>
      <c r="B211" s="11" t="str">
        <f>HYPERLINK("https://twitter.com/shahab_11_11","@shahab_11_11")</f>
        <v>@shahab_11_11</v>
      </c>
      <c r="C211" s="6" t="s">
        <v>16062</v>
      </c>
      <c r="D211" s="5" t="s">
        <v>16061</v>
      </c>
      <c r="E211" s="9" t="str">
        <f>HYPERLINK("https://twitter.com/shahab_11_11/status/1037300360291991552","1037300360291991552")</f>
        <v>1037300360291991552</v>
      </c>
      <c r="F211" s="4"/>
      <c r="G211" s="10" t="s">
        <v>16060</v>
      </c>
      <c r="H211" s="4"/>
      <c r="I211" s="10" t="str">
        <f>HYPERLINK("http://twitter.com/download/android","Twitter for Android")</f>
        <v>Twitter for Android</v>
      </c>
      <c r="J211" s="2">
        <v>434</v>
      </c>
      <c r="K211" s="2">
        <v>710</v>
      </c>
      <c r="L211" s="2">
        <v>0</v>
      </c>
      <c r="M211" s="2"/>
      <c r="N211" s="8">
        <v>43220.517048611116</v>
      </c>
      <c r="O211" s="4"/>
      <c r="P211" s="3"/>
      <c r="Q211" s="4"/>
      <c r="R211" s="4"/>
      <c r="S211" s="9" t="str">
        <f>HYPERLINK("https://pbs.twimg.com/profile_images/1032045473312464896/lJNpGVbY.jpg","View")</f>
        <v>View</v>
      </c>
    </row>
    <row r="212" spans="1:19" ht="20">
      <c r="A212" s="8">
        <v>43348.662546296298</v>
      </c>
      <c r="B212" s="11" t="str">
        <f>HYPERLINK("https://twitter.com/Ahmadsaburi2","@Ahmadsaburi2")</f>
        <v>@Ahmadsaburi2</v>
      </c>
      <c r="C212" s="6" t="s">
        <v>16059</v>
      </c>
      <c r="D212" s="5" t="s">
        <v>13331</v>
      </c>
      <c r="E212" s="9" t="str">
        <f>HYPERLINK("https://twitter.com/Ahmadsaburi2/status/1037300324527046657","1037300324527046657")</f>
        <v>1037300324527046657</v>
      </c>
      <c r="F212" s="4"/>
      <c r="G212" s="4"/>
      <c r="H212" s="4"/>
      <c r="I212" s="10" t="str">
        <f>HYPERLINK("https://mobofa.com","Mobofa")</f>
        <v>Mobofa</v>
      </c>
      <c r="J212" s="2">
        <v>0</v>
      </c>
      <c r="K212" s="2">
        <v>4</v>
      </c>
      <c r="L212" s="2">
        <v>0</v>
      </c>
      <c r="M212" s="2"/>
      <c r="N212" s="8">
        <v>43229.828680555554</v>
      </c>
      <c r="O212" s="4"/>
      <c r="P212" s="3"/>
      <c r="Q212" s="4"/>
      <c r="R212" s="4"/>
      <c r="S212" s="9" t="str">
        <f>HYPERLINK("https://pbs.twimg.com/profile_images/1035876438694670339/zGaPvMfz.jpg","View")</f>
        <v>View</v>
      </c>
    </row>
    <row r="213" spans="1:19" ht="20">
      <c r="A213" s="8">
        <v>43348.662453703699</v>
      </c>
      <c r="B213" s="11" t="str">
        <f>HYPERLINK("https://twitter.com/Eliasam68","@Eliasam68")</f>
        <v>@Eliasam68</v>
      </c>
      <c r="C213" s="6" t="s">
        <v>16058</v>
      </c>
      <c r="D213" s="5" t="s">
        <v>16057</v>
      </c>
      <c r="E213" s="9" t="str">
        <f>HYPERLINK("https://twitter.com/Eliasam68/status/1037300291899674624","1037300291899674624")</f>
        <v>1037300291899674624</v>
      </c>
      <c r="F213" s="4"/>
      <c r="G213" s="4"/>
      <c r="H213" s="4"/>
      <c r="I213" s="10" t="str">
        <f>HYPERLINK("https://mobile.twitter.com","Twitter Lite")</f>
        <v>Twitter Lite</v>
      </c>
      <c r="J213" s="2">
        <v>192</v>
      </c>
      <c r="K213" s="2">
        <v>426</v>
      </c>
      <c r="L213" s="2">
        <v>1</v>
      </c>
      <c r="M213" s="2"/>
      <c r="N213" s="8">
        <v>43121.101111111115</v>
      </c>
      <c r="O213" s="4" t="s">
        <v>640</v>
      </c>
      <c r="P213" s="3" t="s">
        <v>16056</v>
      </c>
      <c r="Q213" s="4"/>
      <c r="R213" s="4"/>
      <c r="S213" s="9" t="str">
        <f>HYPERLINK("https://pbs.twimg.com/profile_images/957586401800966144/ixjfAKD9.jpg","View")</f>
        <v>View</v>
      </c>
    </row>
    <row r="214" spans="1:19" ht="40">
      <c r="A214" s="8">
        <v>43348.662361111114</v>
      </c>
      <c r="B214" s="11" t="str">
        <f>HYPERLINK("https://twitter.com/morghehamsaye","@morghehamsaye")</f>
        <v>@morghehamsaye</v>
      </c>
      <c r="C214" s="6" t="s">
        <v>15593</v>
      </c>
      <c r="D214" s="5" t="s">
        <v>16055</v>
      </c>
      <c r="E214" s="9" t="str">
        <f>HYPERLINK("https://twitter.com/morghehamsaye/status/1037300258525601792","1037300258525601792")</f>
        <v>1037300258525601792</v>
      </c>
      <c r="F214" s="4"/>
      <c r="G214" s="4"/>
      <c r="H214" s="4"/>
      <c r="I214" s="10" t="str">
        <f>HYPERLINK("http://twitter.com/download/android","Twitter for Android")</f>
        <v>Twitter for Android</v>
      </c>
      <c r="J214" s="2">
        <v>8</v>
      </c>
      <c r="K214" s="2">
        <v>65</v>
      </c>
      <c r="L214" s="2">
        <v>0</v>
      </c>
      <c r="M214" s="2"/>
      <c r="N214" s="8">
        <v>43237.613854166666</v>
      </c>
      <c r="O214" s="4" t="s">
        <v>15591</v>
      </c>
      <c r="P214" s="3" t="s">
        <v>15590</v>
      </c>
      <c r="Q214" s="4"/>
      <c r="R214" s="4"/>
      <c r="S214" s="9" t="str">
        <f>HYPERLINK("https://pbs.twimg.com/profile_images/997059609646059520/reja-mqY.jpg","View")</f>
        <v>View</v>
      </c>
    </row>
    <row r="215" spans="1:19" ht="30">
      <c r="A215" s="8">
        <v>43348.662233796298</v>
      </c>
      <c r="B215" s="11" t="str">
        <f>HYPERLINK("https://twitter.com/Reza91959207","@Reza91959207")</f>
        <v>@Reza91959207</v>
      </c>
      <c r="C215" s="6" t="s">
        <v>16054</v>
      </c>
      <c r="D215" s="5" t="s">
        <v>16053</v>
      </c>
      <c r="E215" s="9" t="str">
        <f>HYPERLINK("https://twitter.com/Reza91959207/status/1037300210769309697","1037300210769309697")</f>
        <v>1037300210769309697</v>
      </c>
      <c r="F215" s="4"/>
      <c r="G215" s="4"/>
      <c r="H215" s="4"/>
      <c r="I215" s="10" t="str">
        <f>HYPERLINK("http://twitter.com/download/android","Twitter for Android")</f>
        <v>Twitter for Android</v>
      </c>
      <c r="J215" s="2">
        <v>4367</v>
      </c>
      <c r="K215" s="2">
        <v>1565</v>
      </c>
      <c r="L215" s="2">
        <v>12</v>
      </c>
      <c r="M215" s="2"/>
      <c r="N215" s="8">
        <v>42733.779826388884</v>
      </c>
      <c r="O215" s="4" t="s">
        <v>16052</v>
      </c>
      <c r="P215" s="3" t="s">
        <v>16051</v>
      </c>
      <c r="Q215" s="4"/>
      <c r="R215" s="4"/>
      <c r="S215" s="9" t="str">
        <f>HYPERLINK("https://pbs.twimg.com/profile_images/874964801826562048/3d1G1x34.jpg","View")</f>
        <v>View</v>
      </c>
    </row>
    <row r="216" spans="1:19" ht="30">
      <c r="A216" s="8">
        <v>43348.661261574074</v>
      </c>
      <c r="B216" s="11" t="str">
        <f>HYPERLINK("https://twitter.com/seyyedehtesham","@seyyedehtesham")</f>
        <v>@seyyedehtesham</v>
      </c>
      <c r="C216" s="6" t="s">
        <v>9937</v>
      </c>
      <c r="D216" s="5" t="s">
        <v>16050</v>
      </c>
      <c r="E216" s="9" t="str">
        <f>HYPERLINK("https://twitter.com/seyyedehtesham/status/1037299862184833024","1037299862184833024")</f>
        <v>1037299862184833024</v>
      </c>
      <c r="F216" s="4"/>
      <c r="G216" s="4"/>
      <c r="H216" s="4"/>
      <c r="I216" s="10" t="str">
        <f>HYPERLINK("http://twitter.com/download/android","Twitter for Android")</f>
        <v>Twitter for Android</v>
      </c>
      <c r="J216" s="2">
        <v>3076</v>
      </c>
      <c r="K216" s="2">
        <v>454</v>
      </c>
      <c r="L216" s="2">
        <v>25</v>
      </c>
      <c r="M216" s="2"/>
      <c r="N216" s="8">
        <v>41451.7894212963</v>
      </c>
      <c r="O216" s="4"/>
      <c r="P216" s="3" t="s">
        <v>9935</v>
      </c>
      <c r="Q216" s="4"/>
      <c r="R216" s="4"/>
      <c r="S216" s="9" t="str">
        <f>HYPERLINK("https://pbs.twimg.com/profile_images/935798516777193472/GZLzsxol.jpg","View")</f>
        <v>View</v>
      </c>
    </row>
    <row r="217" spans="1:19" ht="30">
      <c r="A217" s="8">
        <v>43348.661099537036</v>
      </c>
      <c r="B217" s="11" t="str">
        <f>HYPERLINK("https://twitter.com/Mehdi_898","@Mehdi_898")</f>
        <v>@Mehdi_898</v>
      </c>
      <c r="C217" s="6" t="s">
        <v>5469</v>
      </c>
      <c r="D217" s="5" t="s">
        <v>16049</v>
      </c>
      <c r="E217" s="9" t="str">
        <f>HYPERLINK("https://twitter.com/Mehdi_898/status/1037299801304514560","1037299801304514560")</f>
        <v>1037299801304514560</v>
      </c>
      <c r="F217" s="4"/>
      <c r="G217" s="4"/>
      <c r="H217" s="4"/>
      <c r="I217" s="10" t="str">
        <f>HYPERLINK("http://twitter.com/download/android","Twitter for Android")</f>
        <v>Twitter for Android</v>
      </c>
      <c r="J217" s="2">
        <v>60</v>
      </c>
      <c r="K217" s="2">
        <v>112</v>
      </c>
      <c r="L217" s="2">
        <v>2</v>
      </c>
      <c r="M217" s="2"/>
      <c r="N217" s="8">
        <v>43333.489722222221</v>
      </c>
      <c r="O217" s="4" t="s">
        <v>34</v>
      </c>
      <c r="P217" s="3" t="s">
        <v>16048</v>
      </c>
      <c r="Q217" s="4"/>
      <c r="R217" s="4"/>
      <c r="S217" s="9" t="str">
        <f>HYPERLINK("https://pbs.twimg.com/profile_images/1031804345384402944/gGA_mG7s.jpg","View")</f>
        <v>View</v>
      </c>
    </row>
    <row r="218" spans="1:19" ht="20">
      <c r="A218" s="8">
        <v>43348.660578703704</v>
      </c>
      <c r="B218" s="11" t="str">
        <f>HYPERLINK("https://twitter.com/cyan_flame","@cyan_flame")</f>
        <v>@cyan_flame</v>
      </c>
      <c r="C218" s="6" t="s">
        <v>16047</v>
      </c>
      <c r="D218" s="5" t="s">
        <v>16046</v>
      </c>
      <c r="E218" s="9" t="str">
        <f>HYPERLINK("https://twitter.com/cyan_flame/status/1037299611147427840","1037299611147427840")</f>
        <v>1037299611147427840</v>
      </c>
      <c r="F218" s="4"/>
      <c r="G218" s="4"/>
      <c r="H218" s="4"/>
      <c r="I218" s="10" t="str">
        <f>HYPERLINK("http://twitter.com/download/android","Twitter for Android")</f>
        <v>Twitter for Android</v>
      </c>
      <c r="J218" s="2">
        <v>42</v>
      </c>
      <c r="K218" s="2">
        <v>81</v>
      </c>
      <c r="L218" s="2">
        <v>0</v>
      </c>
      <c r="M218" s="2"/>
      <c r="N218" s="8">
        <v>43090.427893518514</v>
      </c>
      <c r="O218" s="4" t="s">
        <v>34</v>
      </c>
      <c r="P218" s="3" t="s">
        <v>16045</v>
      </c>
      <c r="Q218" s="4"/>
      <c r="R218" s="4"/>
      <c r="S218" s="9" t="str">
        <f>HYPERLINK("https://pbs.twimg.com/profile_images/943739979959820294/lQ-zTXDY.jpg","View")</f>
        <v>View</v>
      </c>
    </row>
    <row r="219" spans="1:19" ht="40">
      <c r="A219" s="8">
        <v>43348.660509259258</v>
      </c>
      <c r="B219" s="11" t="str">
        <f>HYPERLINK("https://twitter.com/bodaghi_rz","@bodaghi_rz")</f>
        <v>@bodaghi_rz</v>
      </c>
      <c r="C219" s="6" t="s">
        <v>12628</v>
      </c>
      <c r="D219" s="5" t="s">
        <v>16044</v>
      </c>
      <c r="E219" s="9" t="str">
        <f>HYPERLINK("https://twitter.com/bodaghi_rz/status/1037299588959494144","1037299588959494144")</f>
        <v>1037299588959494144</v>
      </c>
      <c r="F219" s="4"/>
      <c r="G219" s="4"/>
      <c r="H219" s="4"/>
      <c r="I219" s="10" t="str">
        <f>HYPERLINK("http://twitter.com/download/android","Twitter for Android")</f>
        <v>Twitter for Android</v>
      </c>
      <c r="J219" s="2">
        <v>1566</v>
      </c>
      <c r="K219" s="2">
        <v>1648</v>
      </c>
      <c r="L219" s="2">
        <v>7</v>
      </c>
      <c r="M219" s="2"/>
      <c r="N219" s="8">
        <v>42769.771597222221</v>
      </c>
      <c r="O219" s="4"/>
      <c r="P219" s="3" t="s">
        <v>12626</v>
      </c>
      <c r="Q219" s="4"/>
      <c r="R219" s="4"/>
      <c r="S219" s="9" t="str">
        <f>HYPERLINK("https://pbs.twimg.com/profile_images/968885422188351490/gcW4Z2zL.jpg","View")</f>
        <v>View</v>
      </c>
    </row>
    <row r="220" spans="1:19" ht="20">
      <c r="A220" s="8">
        <v>43348.66002314815</v>
      </c>
      <c r="B220" s="11" t="str">
        <f>HYPERLINK("https://twitter.com/nakisa23","@nakisa23")</f>
        <v>@nakisa23</v>
      </c>
      <c r="C220" s="6" t="s">
        <v>4487</v>
      </c>
      <c r="D220" s="5" t="s">
        <v>16043</v>
      </c>
      <c r="E220" s="9" t="str">
        <f>HYPERLINK("https://twitter.com/nakisa23/status/1037299412870029312","1037299412870029312")</f>
        <v>1037299412870029312</v>
      </c>
      <c r="F220" s="4"/>
      <c r="G220" s="4"/>
      <c r="H220" s="4"/>
      <c r="I220" s="10" t="str">
        <f>HYPERLINK("http://twitter.com","Twitter Web Client")</f>
        <v>Twitter Web Client</v>
      </c>
      <c r="J220" s="2">
        <v>1034</v>
      </c>
      <c r="K220" s="2">
        <v>903</v>
      </c>
      <c r="L220" s="2">
        <v>13</v>
      </c>
      <c r="M220" s="2"/>
      <c r="N220" s="8">
        <v>41017.827951388885</v>
      </c>
      <c r="O220" s="4" t="s">
        <v>4484</v>
      </c>
      <c r="P220" s="3" t="s">
        <v>4483</v>
      </c>
      <c r="Q220" s="4"/>
      <c r="R220" s="4"/>
      <c r="S220" s="9" t="str">
        <f>HYPERLINK("https://pbs.twimg.com/profile_images/1017134956357799936/vGyrsikK.jpg","View")</f>
        <v>View</v>
      </c>
    </row>
    <row r="221" spans="1:19" ht="20">
      <c r="A221" s="8">
        <v>43348.659895833334</v>
      </c>
      <c r="B221" s="11" t="str">
        <f>HYPERLINK("https://twitter.com/F_Baniasadi","@F_Baniasadi")</f>
        <v>@F_Baniasadi</v>
      </c>
      <c r="C221" s="6" t="s">
        <v>15991</v>
      </c>
      <c r="D221" s="5" t="s">
        <v>16042</v>
      </c>
      <c r="E221" s="9" t="str">
        <f>HYPERLINK("https://twitter.com/F_Baniasadi/status/1037299366040616961","1037299366040616961")</f>
        <v>1037299366040616961</v>
      </c>
      <c r="F221" s="4"/>
      <c r="G221" s="4"/>
      <c r="H221" s="4"/>
      <c r="I221" s="10" t="str">
        <f>HYPERLINK("http://twitter.com/download/android","Twitter for Android")</f>
        <v>Twitter for Android</v>
      </c>
      <c r="J221" s="2">
        <v>48</v>
      </c>
      <c r="K221" s="2">
        <v>150</v>
      </c>
      <c r="L221" s="2">
        <v>0</v>
      </c>
      <c r="M221" s="2"/>
      <c r="N221" s="8">
        <v>43336.930185185185</v>
      </c>
      <c r="O221" s="4" t="s">
        <v>15989</v>
      </c>
      <c r="P221" s="3" t="s">
        <v>15988</v>
      </c>
      <c r="Q221" s="4"/>
      <c r="R221" s="4"/>
      <c r="S221" s="9" t="str">
        <f>HYPERLINK("https://pbs.twimg.com/profile_images/1033166624860397568/8IlGTdYK.jpg","View")</f>
        <v>View</v>
      </c>
    </row>
    <row r="222" spans="1:19" ht="40">
      <c r="A222" s="8">
        <v>43348.659212962964</v>
      </c>
      <c r="B222" s="11" t="str">
        <f>HYPERLINK("https://twitter.com/soroushalinezha","@soroushalinezha")</f>
        <v>@soroushalinezha</v>
      </c>
      <c r="C222" s="6" t="s">
        <v>16041</v>
      </c>
      <c r="D222" s="5" t="s">
        <v>16040</v>
      </c>
      <c r="E222" s="9" t="str">
        <f>HYPERLINK("https://twitter.com/soroushalinezha/status/1037299116215283713","1037299116215283713")</f>
        <v>1037299116215283713</v>
      </c>
      <c r="F222" s="4"/>
      <c r="G222" s="10" t="s">
        <v>16039</v>
      </c>
      <c r="H222" s="4"/>
      <c r="I222" s="10" t="str">
        <f>HYPERLINK("http://twitter.com","Twitter Web Client")</f>
        <v>Twitter Web Client</v>
      </c>
      <c r="J222" s="2">
        <v>10</v>
      </c>
      <c r="K222" s="2">
        <v>19</v>
      </c>
      <c r="L222" s="2">
        <v>0</v>
      </c>
      <c r="M222" s="2"/>
      <c r="N222" s="8">
        <v>42774.73600694444</v>
      </c>
      <c r="O222" s="4"/>
      <c r="P222" s="3" t="s">
        <v>16038</v>
      </c>
      <c r="Q222" s="10" t="s">
        <v>16037</v>
      </c>
      <c r="R222" s="4"/>
      <c r="S222" s="9" t="str">
        <f>HYPERLINK("https://pbs.twimg.com/profile_images/1021383614901170178/tvBlmxLw.jpg","View")</f>
        <v>View</v>
      </c>
    </row>
    <row r="223" spans="1:19" ht="30">
      <c r="A223" s="8">
        <v>43348.658773148149</v>
      </c>
      <c r="B223" s="11" t="str">
        <f>HYPERLINK("https://twitter.com/MorshediAmir","@MorshediAmir")</f>
        <v>@MorshediAmir</v>
      </c>
      <c r="C223" s="6" t="s">
        <v>298</v>
      </c>
      <c r="D223" s="5" t="s">
        <v>16036</v>
      </c>
      <c r="E223" s="9" t="str">
        <f>HYPERLINK("https://twitter.com/MorshediAmir/status/1037298957863579648","1037298957863579648")</f>
        <v>1037298957863579648</v>
      </c>
      <c r="F223" s="4"/>
      <c r="G223" s="4"/>
      <c r="H223" s="4"/>
      <c r="I223" s="10" t="str">
        <f>HYPERLINK("http://twitter.com/download/android","Twitter for Android")</f>
        <v>Twitter for Android</v>
      </c>
      <c r="J223" s="2">
        <v>334</v>
      </c>
      <c r="K223" s="2">
        <v>164</v>
      </c>
      <c r="L223" s="2">
        <v>3</v>
      </c>
      <c r="M223" s="2"/>
      <c r="N223" s="8">
        <v>42358.495324074072</v>
      </c>
      <c r="O223" s="4"/>
      <c r="P223" s="3" t="s">
        <v>295</v>
      </c>
      <c r="Q223" s="4"/>
      <c r="R223" s="4"/>
      <c r="S223" s="9" t="str">
        <f>HYPERLINK("https://pbs.twimg.com/profile_images/1037048781118816258/NFOQLmly.jpg","View")</f>
        <v>View</v>
      </c>
    </row>
    <row r="224" spans="1:19" ht="40">
      <c r="A224" s="8">
        <v>43348.657222222224</v>
      </c>
      <c r="B224" s="11" t="str">
        <f>HYPERLINK("https://twitter.com/ramshini_reza","@ramshini_reza")</f>
        <v>@ramshini_reza</v>
      </c>
      <c r="C224" s="6" t="s">
        <v>8642</v>
      </c>
      <c r="D224" s="5" t="s">
        <v>16035</v>
      </c>
      <c r="E224" s="9" t="str">
        <f>HYPERLINK("https://twitter.com/ramshini_reza/status/1037298397500198912","1037298397500198912")</f>
        <v>1037298397500198912</v>
      </c>
      <c r="F224" s="4"/>
      <c r="G224" s="4"/>
      <c r="H224" s="4"/>
      <c r="I224" s="10" t="str">
        <f>HYPERLINK("http://twitter.com","Twitter Web Client")</f>
        <v>Twitter Web Client</v>
      </c>
      <c r="J224" s="2">
        <v>2</v>
      </c>
      <c r="K224" s="2">
        <v>2</v>
      </c>
      <c r="L224" s="2">
        <v>0</v>
      </c>
      <c r="M224" s="2"/>
      <c r="N224" s="8">
        <v>40544.877129629633</v>
      </c>
      <c r="O224" s="4"/>
      <c r="P224" s="3"/>
      <c r="Q224" s="4"/>
      <c r="R224" s="4"/>
      <c r="S224" s="2" t="s">
        <v>155</v>
      </c>
    </row>
    <row r="225" spans="1:19" ht="40">
      <c r="A225" s="8">
        <v>43348.657083333332</v>
      </c>
      <c r="B225" s="11" t="str">
        <f>HYPERLINK("https://twitter.com/Azadi3319","@Azadi3319")</f>
        <v>@Azadi3319</v>
      </c>
      <c r="C225" s="6" t="s">
        <v>16034</v>
      </c>
      <c r="D225" s="5" t="s">
        <v>16033</v>
      </c>
      <c r="E225" s="9" t="str">
        <f>HYPERLINK("https://twitter.com/Azadi3319/status/1037298348351471616","1037298348351471616")</f>
        <v>1037298348351471616</v>
      </c>
      <c r="F225" s="4"/>
      <c r="G225" s="4"/>
      <c r="H225" s="4"/>
      <c r="I225" s="10" t="str">
        <f>HYPERLINK("http://twitter.com/download/android","Twitter for Android")</f>
        <v>Twitter for Android</v>
      </c>
      <c r="J225" s="2">
        <v>489</v>
      </c>
      <c r="K225" s="2">
        <v>453</v>
      </c>
      <c r="L225" s="2">
        <v>0</v>
      </c>
      <c r="M225" s="2"/>
      <c r="N225" s="8">
        <v>42910.577175925922</v>
      </c>
      <c r="O225" s="4"/>
      <c r="P225" s="3" t="s">
        <v>16032</v>
      </c>
      <c r="Q225" s="4"/>
      <c r="R225" s="4"/>
      <c r="S225" s="9" t="str">
        <f>HYPERLINK("https://pbs.twimg.com/profile_images/1019670180966920193/FleoNm9h.jpg","View")</f>
        <v>View</v>
      </c>
    </row>
    <row r="226" spans="1:19" ht="20">
      <c r="A226" s="8">
        <v>43348.657037037032</v>
      </c>
      <c r="B226" s="11" t="str">
        <f>HYPERLINK("https://twitter.com/Mohamma99933577","@Mohamma99933577")</f>
        <v>@Mohamma99933577</v>
      </c>
      <c r="C226" s="6" t="s">
        <v>16031</v>
      </c>
      <c r="D226" s="5" t="s">
        <v>16030</v>
      </c>
      <c r="E226" s="9" t="str">
        <f>HYPERLINK("https://twitter.com/Mohamma99933577/status/1037298328453738496","1037298328453738496")</f>
        <v>1037298328453738496</v>
      </c>
      <c r="F226" s="4"/>
      <c r="G226" s="4"/>
      <c r="H226" s="4"/>
      <c r="I226" s="10" t="str">
        <f>HYPERLINK("http://twitter.com/download/iphone","Twitter for iPhone")</f>
        <v>Twitter for iPhone</v>
      </c>
      <c r="J226" s="2">
        <v>73</v>
      </c>
      <c r="K226" s="2">
        <v>207</v>
      </c>
      <c r="L226" s="2">
        <v>0</v>
      </c>
      <c r="M226" s="2"/>
      <c r="N226" s="8">
        <v>42780.764583333337</v>
      </c>
      <c r="O226" s="4" t="s">
        <v>133</v>
      </c>
      <c r="P226" s="3" t="s">
        <v>16029</v>
      </c>
      <c r="Q226" s="4"/>
      <c r="R226" s="4"/>
      <c r="S226" s="9" t="str">
        <f>HYPERLINK("https://pbs.twimg.com/profile_images/986223693331345408/SpzBz8MJ.jpg","View")</f>
        <v>View</v>
      </c>
    </row>
    <row r="227" spans="1:19" ht="12.5">
      <c r="A227" s="8">
        <v>43348.656828703708</v>
      </c>
      <c r="B227" s="11" t="str">
        <f>HYPERLINK("https://twitter.com/Mehditiger762","@Mehditiger762")</f>
        <v>@Mehditiger762</v>
      </c>
      <c r="C227" s="6" t="s">
        <v>16028</v>
      </c>
      <c r="D227" s="5" t="s">
        <v>16027</v>
      </c>
      <c r="E227" s="9" t="str">
        <f>HYPERLINK("https://twitter.com/Mehditiger762/status/1037298254424227840","1037298254424227840")</f>
        <v>1037298254424227840</v>
      </c>
      <c r="F227" s="4"/>
      <c r="G227" s="4"/>
      <c r="H227" s="4"/>
      <c r="I227" s="10" t="str">
        <f>HYPERLINK("http://twitter.com/download/iphone","Twitter for iPhone")</f>
        <v>Twitter for iPhone</v>
      </c>
      <c r="J227" s="2">
        <v>48</v>
      </c>
      <c r="K227" s="2">
        <v>109</v>
      </c>
      <c r="L227" s="2">
        <v>0</v>
      </c>
      <c r="M227" s="2"/>
      <c r="N227" s="8">
        <v>43046.752060185187</v>
      </c>
      <c r="O227" s="4"/>
      <c r="P227" s="3" t="s">
        <v>16026</v>
      </c>
      <c r="Q227" s="4"/>
      <c r="R227" s="4"/>
      <c r="S227" s="9" t="str">
        <f>HYPERLINK("https://pbs.twimg.com/profile_images/1015950854925574144/S3m8VFzc.jpg","View")</f>
        <v>View</v>
      </c>
    </row>
    <row r="228" spans="1:19" ht="20">
      <c r="A228" s="8">
        <v>43348.656782407408</v>
      </c>
      <c r="B228" s="11" t="str">
        <f>HYPERLINK("https://twitter.com/ya_ssin59","@ya_ssin59")</f>
        <v>@ya_ssin59</v>
      </c>
      <c r="C228" s="6" t="s">
        <v>1839</v>
      </c>
      <c r="D228" s="5" t="s">
        <v>16025</v>
      </c>
      <c r="E228" s="9" t="str">
        <f>HYPERLINK("https://twitter.com/ya_ssin59/status/1037298238343270400","1037298238343270400")</f>
        <v>1037298238343270400</v>
      </c>
      <c r="F228" s="4"/>
      <c r="G228" s="4"/>
      <c r="H228" s="4"/>
      <c r="I228" s="10" t="str">
        <f>HYPERLINK("http://twitter.com","Twitter Web Client")</f>
        <v>Twitter Web Client</v>
      </c>
      <c r="J228" s="2">
        <v>241</v>
      </c>
      <c r="K228" s="2">
        <v>388</v>
      </c>
      <c r="L228" s="2">
        <v>0</v>
      </c>
      <c r="M228" s="2"/>
      <c r="N228" s="8">
        <v>43127.943101851852</v>
      </c>
      <c r="O228" s="4" t="s">
        <v>1837</v>
      </c>
      <c r="P228" s="3" t="s">
        <v>10422</v>
      </c>
      <c r="Q228" s="4"/>
      <c r="R228" s="4"/>
      <c r="S228" s="9" t="str">
        <f>HYPERLINK("https://pbs.twimg.com/profile_images/1034894981335592963/qJ14dqio.jpg","View")</f>
        <v>View</v>
      </c>
    </row>
    <row r="229" spans="1:19" ht="20">
      <c r="A229" s="8">
        <v>43348.656192129631</v>
      </c>
      <c r="B229" s="11" t="str">
        <f>HYPERLINK("https://twitter.com/Mrmorteza4","@Mrmorteza4")</f>
        <v>@Mrmorteza4</v>
      </c>
      <c r="C229" s="6" t="s">
        <v>16024</v>
      </c>
      <c r="D229" s="5" t="s">
        <v>16023</v>
      </c>
      <c r="E229" s="9" t="str">
        <f>HYPERLINK("https://twitter.com/Mrmorteza4/status/1037298023766917121","1037298023766917121")</f>
        <v>1037298023766917121</v>
      </c>
      <c r="F229" s="4"/>
      <c r="G229" s="10" t="s">
        <v>16022</v>
      </c>
      <c r="H229" s="4"/>
      <c r="I229" s="10" t="str">
        <f>HYPERLINK("http://twitter.com","Twitter Web Client")</f>
        <v>Twitter Web Client</v>
      </c>
      <c r="J229" s="2">
        <v>933</v>
      </c>
      <c r="K229" s="2">
        <v>581</v>
      </c>
      <c r="L229" s="2">
        <v>1</v>
      </c>
      <c r="M229" s="2"/>
      <c r="N229" s="8">
        <v>43297.841898148152</v>
      </c>
      <c r="O229" s="4" t="s">
        <v>5493</v>
      </c>
      <c r="P229" s="3" t="s">
        <v>16021</v>
      </c>
      <c r="Q229" s="4"/>
      <c r="R229" s="4"/>
      <c r="S229" s="9" t="str">
        <f>HYPERLINK("https://pbs.twimg.com/profile_images/1019894284986830848/xSs_s_bO.jpg","View")</f>
        <v>View</v>
      </c>
    </row>
    <row r="230" spans="1:19" ht="30">
      <c r="A230" s="8">
        <v>43348.654976851853</v>
      </c>
      <c r="B230" s="11" t="str">
        <f>HYPERLINK("https://twitter.com/BayadiMahdi","@BayadiMahdi")</f>
        <v>@BayadiMahdi</v>
      </c>
      <c r="C230" s="6" t="s">
        <v>16020</v>
      </c>
      <c r="D230" s="5" t="s">
        <v>16019</v>
      </c>
      <c r="E230" s="9" t="str">
        <f>HYPERLINK("https://twitter.com/BayadiMahdi/status/1037297581217472512","1037297581217472512")</f>
        <v>1037297581217472512</v>
      </c>
      <c r="F230" s="4"/>
      <c r="G230" s="4"/>
      <c r="H230" s="4"/>
      <c r="I230" s="10" t="str">
        <f>HYPERLINK("http://twitter.com/download/android","Twitter for Android")</f>
        <v>Twitter for Android</v>
      </c>
      <c r="J230" s="2">
        <v>64</v>
      </c>
      <c r="K230" s="2">
        <v>130</v>
      </c>
      <c r="L230" s="2">
        <v>0</v>
      </c>
      <c r="M230" s="2"/>
      <c r="N230" s="8">
        <v>42095.194097222222</v>
      </c>
      <c r="O230" s="4" t="s">
        <v>17</v>
      </c>
      <c r="P230" s="3"/>
      <c r="Q230" s="4"/>
      <c r="R230" s="4"/>
      <c r="S230" s="9" t="str">
        <f>HYPERLINK("https://pbs.twimg.com/profile_images/828063150998245381/3MbSOCL8.jpg","View")</f>
        <v>View</v>
      </c>
    </row>
    <row r="231" spans="1:19" ht="30">
      <c r="A231" s="8">
        <v>43348.654629629629</v>
      </c>
      <c r="B231" s="11" t="str">
        <f>HYPERLINK("https://twitter.com/intuxicated","@intuxicated")</f>
        <v>@intuxicated</v>
      </c>
      <c r="C231" s="6" t="s">
        <v>10040</v>
      </c>
      <c r="D231" s="5" t="s">
        <v>16018</v>
      </c>
      <c r="E231" s="9" t="str">
        <f>HYPERLINK("https://twitter.com/intuxicated/status/1037297455283560449","1037297455283560449")</f>
        <v>1037297455283560449</v>
      </c>
      <c r="F231" s="4"/>
      <c r="G231" s="4"/>
      <c r="H231" s="4"/>
      <c r="I231" s="10" t="str">
        <f>HYPERLINK("http://twitter.com/download/android","Twitter for Android")</f>
        <v>Twitter for Android</v>
      </c>
      <c r="J231" s="2">
        <v>941</v>
      </c>
      <c r="K231" s="2">
        <v>147</v>
      </c>
      <c r="L231" s="2">
        <v>28</v>
      </c>
      <c r="M231" s="2"/>
      <c r="N231" s="8">
        <v>40695.105254629627</v>
      </c>
      <c r="O231" s="4" t="s">
        <v>16017</v>
      </c>
      <c r="P231" s="3" t="s">
        <v>16016</v>
      </c>
      <c r="Q231" s="10" t="s">
        <v>16015</v>
      </c>
      <c r="R231" s="4"/>
      <c r="S231" s="9" t="str">
        <f>HYPERLINK("https://pbs.twimg.com/profile_images/977632697827938308/QlH6TxT2.jpg","View")</f>
        <v>View</v>
      </c>
    </row>
    <row r="232" spans="1:19" ht="20">
      <c r="A232" s="8">
        <v>43348.654560185183</v>
      </c>
      <c r="B232" s="11" t="str">
        <f>HYPERLINK("https://twitter.com/hami_summer","@hami_summer")</f>
        <v>@hami_summer</v>
      </c>
      <c r="C232" s="6" t="s">
        <v>16014</v>
      </c>
      <c r="D232" s="5" t="s">
        <v>16013</v>
      </c>
      <c r="E232" s="9" t="str">
        <f>HYPERLINK("https://twitter.com/hami_summer/status/1037297433628291072","1037297433628291072")</f>
        <v>1037297433628291072</v>
      </c>
      <c r="F232" s="4"/>
      <c r="G232" s="4"/>
      <c r="H232" s="4"/>
      <c r="I232" s="10" t="str">
        <f>HYPERLINK("http://twitter.com/download/android","Twitter for Android")</f>
        <v>Twitter for Android</v>
      </c>
      <c r="J232" s="2">
        <v>923</v>
      </c>
      <c r="K232" s="2">
        <v>881</v>
      </c>
      <c r="L232" s="2">
        <v>0</v>
      </c>
      <c r="M232" s="2"/>
      <c r="N232" s="8">
        <v>42491.855023148149</v>
      </c>
      <c r="O232" s="4"/>
      <c r="P232" s="3" t="s">
        <v>16012</v>
      </c>
      <c r="Q232" s="4"/>
      <c r="R232" s="4"/>
      <c r="S232" s="9" t="str">
        <f>HYPERLINK("https://pbs.twimg.com/profile_images/1035284050141802496/qthbEXvZ.jpg","View")</f>
        <v>View</v>
      </c>
    </row>
    <row r="233" spans="1:19" ht="70">
      <c r="A233" s="8">
        <v>43348.652997685189</v>
      </c>
      <c r="B233" s="11" t="str">
        <f>HYPERLINK("https://twitter.com/Plusboy7916","@Plusboy7916")</f>
        <v>@Plusboy7916</v>
      </c>
      <c r="C233" s="6" t="s">
        <v>2132</v>
      </c>
      <c r="D233" s="5" t="s">
        <v>16011</v>
      </c>
      <c r="E233" s="9" t="str">
        <f>HYPERLINK("https://twitter.com/Plusboy7916/status/1037296866671689728","1037296866671689728")</f>
        <v>1037296866671689728</v>
      </c>
      <c r="F233" s="10" t="s">
        <v>16010</v>
      </c>
      <c r="G233" s="4"/>
      <c r="H233" s="4"/>
      <c r="I233" s="10" t="str">
        <f>HYPERLINK("https://mobile.twitter.com","Twitter Lite")</f>
        <v>Twitter Lite</v>
      </c>
      <c r="J233" s="2">
        <v>869</v>
      </c>
      <c r="K233" s="2">
        <v>996</v>
      </c>
      <c r="L233" s="2">
        <v>1</v>
      </c>
      <c r="M233" s="2"/>
      <c r="N233" s="8">
        <v>43103.001979166671</v>
      </c>
      <c r="O233" s="4"/>
      <c r="P233" s="3" t="s">
        <v>2130</v>
      </c>
      <c r="Q233" s="4"/>
      <c r="R233" s="4"/>
      <c r="S233" s="9" t="str">
        <f>HYPERLINK("https://pbs.twimg.com/profile_images/989969258158403584/7PZPWCMH.jpg","View")</f>
        <v>View</v>
      </c>
    </row>
    <row r="234" spans="1:19" ht="70">
      <c r="A234" s="8">
        <v>43348.652719907404</v>
      </c>
      <c r="B234" s="11" t="str">
        <f>HYPERLINK("https://twitter.com/FaranakAzad1","@FaranakAzad1")</f>
        <v>@FaranakAzad1</v>
      </c>
      <c r="C234" s="6" t="s">
        <v>16009</v>
      </c>
      <c r="D234" s="5" t="s">
        <v>16008</v>
      </c>
      <c r="E234" s="9" t="str">
        <f>HYPERLINK("https://twitter.com/FaranakAzad1/status/1037296766364917765","1037296766364917765")</f>
        <v>1037296766364917765</v>
      </c>
      <c r="F234" s="10" t="s">
        <v>16007</v>
      </c>
      <c r="G234" s="4"/>
      <c r="H234" s="4"/>
      <c r="I234" s="10" t="str">
        <f>HYPERLINK("http://twitter.com/download/android","Twitter for Android")</f>
        <v>Twitter for Android</v>
      </c>
      <c r="J234" s="2">
        <v>8788</v>
      </c>
      <c r="K234" s="2">
        <v>1335</v>
      </c>
      <c r="L234" s="2">
        <v>64</v>
      </c>
      <c r="M234" s="2"/>
      <c r="N234" s="8">
        <v>42619.968935185185</v>
      </c>
      <c r="O234" s="4"/>
      <c r="P234" s="3" t="s">
        <v>16006</v>
      </c>
      <c r="Q234" s="4"/>
      <c r="R234" s="4"/>
      <c r="S234" s="9" t="str">
        <f>HYPERLINK("https://pbs.twimg.com/profile_images/1008432195772473344/lQk-rX6w.jpg","View")</f>
        <v>View</v>
      </c>
    </row>
    <row r="235" spans="1:19" ht="12.5">
      <c r="A235" s="8">
        <v>43348.651944444442</v>
      </c>
      <c r="B235" s="11" t="str">
        <f>HYPERLINK("https://twitter.com/RoozPortal","@RoozPortal")</f>
        <v>@RoozPortal</v>
      </c>
      <c r="C235" s="6" t="s">
        <v>103</v>
      </c>
      <c r="D235" s="5" t="s">
        <v>16005</v>
      </c>
      <c r="E235" s="9" t="str">
        <f>HYPERLINK("https://twitter.com/RoozPortal/status/1037296485103271937","1037296485103271937")</f>
        <v>1037296485103271937</v>
      </c>
      <c r="F235" s="10" t="s">
        <v>16004</v>
      </c>
      <c r="G235" s="4"/>
      <c r="H235" s="4"/>
      <c r="I235" s="10" t="str">
        <f>HYPERLINK("http://twitter.com","Twitter Web Client")</f>
        <v>Twitter Web Client</v>
      </c>
      <c r="J235" s="2">
        <v>711</v>
      </c>
      <c r="K235" s="2">
        <v>66</v>
      </c>
      <c r="L235" s="2">
        <v>0</v>
      </c>
      <c r="M235" s="2"/>
      <c r="N235" s="8">
        <v>42955.651608796295</v>
      </c>
      <c r="O235" s="4"/>
      <c r="P235" s="3" t="s">
        <v>100</v>
      </c>
      <c r="Q235" s="10" t="s">
        <v>99</v>
      </c>
      <c r="R235" s="4"/>
      <c r="S235" s="9" t="str">
        <f>HYPERLINK("https://pbs.twimg.com/profile_images/894879327573114884/JSAl1mw-.jpg","View")</f>
        <v>View</v>
      </c>
    </row>
    <row r="236" spans="1:19" ht="40">
      <c r="A236" s="8">
        <v>43348.651701388888</v>
      </c>
      <c r="B236" s="11" t="str">
        <f>HYPERLINK("https://twitter.com/SaeidB11","@SaeidB11")</f>
        <v>@SaeidB11</v>
      </c>
      <c r="C236" s="6" t="s">
        <v>16003</v>
      </c>
      <c r="D236" s="5" t="s">
        <v>16002</v>
      </c>
      <c r="E236" s="9" t="str">
        <f>HYPERLINK("https://twitter.com/SaeidB11/status/1037296395995303938","1037296395995303938")</f>
        <v>1037296395995303938</v>
      </c>
      <c r="F236" s="4"/>
      <c r="G236" s="4"/>
      <c r="H236" s="4"/>
      <c r="I236" s="10" t="str">
        <f>HYPERLINK("http://twitter.com/download/android","Twitter for Android")</f>
        <v>Twitter for Android</v>
      </c>
      <c r="J236" s="2">
        <v>803</v>
      </c>
      <c r="K236" s="2">
        <v>819</v>
      </c>
      <c r="L236" s="2">
        <v>6</v>
      </c>
      <c r="M236" s="2"/>
      <c r="N236" s="8">
        <v>42520.906203703707</v>
      </c>
      <c r="O236" s="4"/>
      <c r="P236" s="3" t="s">
        <v>16001</v>
      </c>
      <c r="Q236" s="4"/>
      <c r="R236" s="4"/>
      <c r="S236" s="9" t="str">
        <f>HYPERLINK("https://pbs.twimg.com/profile_images/921110595767865344/YVUsO40f.jpg","View")</f>
        <v>View</v>
      </c>
    </row>
    <row r="237" spans="1:19" ht="20">
      <c r="A237" s="8">
        <v>43348.651631944449</v>
      </c>
      <c r="B237" s="11" t="str">
        <f>HYPERLINK("https://twitter.com/marham313","@marham313")</f>
        <v>@marham313</v>
      </c>
      <c r="C237" s="6" t="s">
        <v>8920</v>
      </c>
      <c r="D237" s="5" t="s">
        <v>16000</v>
      </c>
      <c r="E237" s="9" t="str">
        <f>HYPERLINK("https://twitter.com/marham313/status/1037296369227247616","1037296369227247616")</f>
        <v>1037296369227247616</v>
      </c>
      <c r="F237" s="4"/>
      <c r="G237" s="4"/>
      <c r="H237" s="4"/>
      <c r="I237" s="10" t="str">
        <f>HYPERLINK("http://twitter.com/download/android","Twitter for Android")</f>
        <v>Twitter for Android</v>
      </c>
      <c r="J237" s="2">
        <v>20</v>
      </c>
      <c r="K237" s="2">
        <v>32</v>
      </c>
      <c r="L237" s="2">
        <v>0</v>
      </c>
      <c r="M237" s="2"/>
      <c r="N237" s="8">
        <v>43330.483981481477</v>
      </c>
      <c r="O237" s="4" t="s">
        <v>8262</v>
      </c>
      <c r="P237" s="3" t="s">
        <v>8918</v>
      </c>
      <c r="Q237" s="4"/>
      <c r="R237" s="4"/>
      <c r="S237" s="9" t="str">
        <f>HYPERLINK("https://pbs.twimg.com/profile_images/1031468072023060481/OgpIyW9f.jpg","View")</f>
        <v>View</v>
      </c>
    </row>
    <row r="238" spans="1:19" ht="30">
      <c r="A238" s="8">
        <v>43348.650995370372</v>
      </c>
      <c r="B238" s="11" t="str">
        <f>HYPERLINK("https://twitter.com/tahakermani","@tahakermani")</f>
        <v>@tahakermani</v>
      </c>
      <c r="C238" s="6" t="s">
        <v>9328</v>
      </c>
      <c r="D238" s="5" t="s">
        <v>15999</v>
      </c>
      <c r="E238" s="9" t="str">
        <f>HYPERLINK("https://twitter.com/tahakermani/status/1037296141854035968","1037296141854035968")</f>
        <v>1037296141854035968</v>
      </c>
      <c r="F238" s="4"/>
      <c r="G238" s="10" t="s">
        <v>15998</v>
      </c>
      <c r="H238" s="4"/>
      <c r="I238" s="10" t="str">
        <f>HYPERLINK("http://twitter.com/download/android","Twitter for Android")</f>
        <v>Twitter for Android</v>
      </c>
      <c r="J238" s="2">
        <v>1223</v>
      </c>
      <c r="K238" s="2">
        <v>1351</v>
      </c>
      <c r="L238" s="2">
        <v>16</v>
      </c>
      <c r="M238" s="2"/>
      <c r="N238" s="8">
        <v>42022.645879629628</v>
      </c>
      <c r="O238" s="4" t="s">
        <v>4654</v>
      </c>
      <c r="P238" s="3" t="s">
        <v>9325</v>
      </c>
      <c r="Q238" s="10" t="s">
        <v>9324</v>
      </c>
      <c r="R238" s="4"/>
      <c r="S238" s="9" t="str">
        <f>HYPERLINK("https://pbs.twimg.com/profile_images/934788343090614272/meYWVAAN.jpg","View")</f>
        <v>View</v>
      </c>
    </row>
    <row r="239" spans="1:19" ht="20">
      <c r="A239" s="8">
        <v>43348.65</v>
      </c>
      <c r="B239" s="11" t="str">
        <f>HYPERLINK("https://twitter.com/7aoPAeAnOKqm6Ez","@7aoPAeAnOKqm6Ez")</f>
        <v>@7aoPAeAnOKqm6Ez</v>
      </c>
      <c r="C239" s="6" t="s">
        <v>13335</v>
      </c>
      <c r="D239" s="5" t="s">
        <v>15997</v>
      </c>
      <c r="E239" s="9" t="str">
        <f>HYPERLINK("https://twitter.com/7aoPAeAnOKqm6Ez/status/1037295780212690944","1037295780212690944")</f>
        <v>1037295780212690944</v>
      </c>
      <c r="F239" s="4"/>
      <c r="G239" s="10" t="s">
        <v>15996</v>
      </c>
      <c r="H239" s="4"/>
      <c r="I239" s="10" t="str">
        <f>HYPERLINK("https://mobile.twitter.com","Twitter Lite")</f>
        <v>Twitter Lite</v>
      </c>
      <c r="J239" s="2">
        <v>17</v>
      </c>
      <c r="K239" s="2">
        <v>36</v>
      </c>
      <c r="L239" s="2">
        <v>0</v>
      </c>
      <c r="M239" s="2"/>
      <c r="N239" s="8">
        <v>43328.286643518513</v>
      </c>
      <c r="O239" s="4" t="s">
        <v>13333</v>
      </c>
      <c r="P239" s="3" t="s">
        <v>13332</v>
      </c>
      <c r="Q239" s="4"/>
      <c r="R239" s="4"/>
      <c r="S239" s="9" t="str">
        <f>HYPERLINK("https://pbs.twimg.com/profile_images/1036482573235572737/Q5Ry_3bN.jpg","View")</f>
        <v>View</v>
      </c>
    </row>
    <row r="240" spans="1:19" ht="40">
      <c r="A240" s="8">
        <v>43348.649976851855</v>
      </c>
      <c r="B240" s="11" t="str">
        <f>HYPERLINK("https://twitter.com/khaste_sharifi","@khaste_sharifi")</f>
        <v>@khaste_sharifi</v>
      </c>
      <c r="C240" s="6" t="s">
        <v>15995</v>
      </c>
      <c r="D240" s="5" t="s">
        <v>15994</v>
      </c>
      <c r="E240" s="9" t="str">
        <f>HYPERLINK("https://twitter.com/khaste_sharifi/status/1037295770070867968","1037295770070867968")</f>
        <v>1037295770070867968</v>
      </c>
      <c r="F240" s="4"/>
      <c r="G240" s="4"/>
      <c r="H240" s="4"/>
      <c r="I240" s="10" t="str">
        <f>HYPERLINK("http://twitter.com/download/android","Twitter for Android")</f>
        <v>Twitter for Android</v>
      </c>
      <c r="J240" s="2">
        <v>2</v>
      </c>
      <c r="K240" s="2">
        <v>14</v>
      </c>
      <c r="L240" s="2">
        <v>0</v>
      </c>
      <c r="M240" s="2"/>
      <c r="N240" s="8">
        <v>43348.644456018519</v>
      </c>
      <c r="O240" s="4"/>
      <c r="P240" s="3" t="s">
        <v>15993</v>
      </c>
      <c r="Q240" s="4"/>
      <c r="R240" s="4"/>
      <c r="S240" s="9" t="str">
        <f>HYPERLINK("https://pbs.twimg.com/profile_images/1037294935844769792/N7e1_OxS.jpg","View")</f>
        <v>View</v>
      </c>
    </row>
    <row r="241" spans="1:19" ht="30">
      <c r="A241" s="8">
        <v>43348.649340277778</v>
      </c>
      <c r="B241" s="11" t="str">
        <f>HYPERLINK("https://twitter.com/NimaSabahi","@NimaSabahi")</f>
        <v>@NimaSabahi</v>
      </c>
      <c r="C241" s="6" t="s">
        <v>1735</v>
      </c>
      <c r="D241" s="5" t="s">
        <v>15992</v>
      </c>
      <c r="E241" s="9" t="str">
        <f>HYPERLINK("https://twitter.com/NimaSabahi/status/1037295538893455360","1037295538893455360")</f>
        <v>1037295538893455360</v>
      </c>
      <c r="F241" s="4"/>
      <c r="G241" s="4"/>
      <c r="H241" s="4"/>
      <c r="I241" s="10" t="str">
        <f>HYPERLINK("http://twitter.com/download/iphone","Twitter for iPhone")</f>
        <v>Twitter for iPhone</v>
      </c>
      <c r="J241" s="2">
        <v>19</v>
      </c>
      <c r="K241" s="2">
        <v>149</v>
      </c>
      <c r="L241" s="2">
        <v>0</v>
      </c>
      <c r="M241" s="2"/>
      <c r="N241" s="8">
        <v>43107.911909722221</v>
      </c>
      <c r="O241" s="4" t="s">
        <v>34</v>
      </c>
      <c r="P241" s="3" t="s">
        <v>1733</v>
      </c>
      <c r="Q241" s="4"/>
      <c r="R241" s="4"/>
      <c r="S241" s="9" t="str">
        <f>HYPERLINK("https://pbs.twimg.com/profile_images/950072651598434304/fieH9TrT.jpg","View")</f>
        <v>View</v>
      </c>
    </row>
    <row r="242" spans="1:19" ht="90">
      <c r="A242" s="8">
        <v>43348.649178240739</v>
      </c>
      <c r="B242" s="11" t="str">
        <f>HYPERLINK("https://twitter.com/F_Baniasadi","@F_Baniasadi")</f>
        <v>@F_Baniasadi</v>
      </c>
      <c r="C242" s="6" t="s">
        <v>15991</v>
      </c>
      <c r="D242" s="5" t="s">
        <v>15990</v>
      </c>
      <c r="E242" s="9" t="str">
        <f>HYPERLINK("https://twitter.com/F_Baniasadi/status/1037295483117551617","1037295483117551617")</f>
        <v>1037295483117551617</v>
      </c>
      <c r="F242" s="10" t="s">
        <v>15860</v>
      </c>
      <c r="G242" s="4"/>
      <c r="H242" s="4"/>
      <c r="I242" s="10" t="str">
        <f>HYPERLINK("http://twitter.com/download/android","Twitter for Android")</f>
        <v>Twitter for Android</v>
      </c>
      <c r="J242" s="2">
        <v>48</v>
      </c>
      <c r="K242" s="2">
        <v>150</v>
      </c>
      <c r="L242" s="2">
        <v>0</v>
      </c>
      <c r="M242" s="2"/>
      <c r="N242" s="8">
        <v>43336.930185185185</v>
      </c>
      <c r="O242" s="4" t="s">
        <v>15989</v>
      </c>
      <c r="P242" s="3" t="s">
        <v>15988</v>
      </c>
      <c r="Q242" s="4"/>
      <c r="R242" s="4"/>
      <c r="S242" s="9" t="str">
        <f>HYPERLINK("https://pbs.twimg.com/profile_images/1033166624860397568/8IlGTdYK.jpg","View")</f>
        <v>View</v>
      </c>
    </row>
    <row r="243" spans="1:19" ht="30">
      <c r="A243" s="8">
        <v>43348.649131944447</v>
      </c>
      <c r="B243" s="11" t="str">
        <f>HYPERLINK("https://twitter.com/PooriaKashi","@PooriaKashi")</f>
        <v>@PooriaKashi</v>
      </c>
      <c r="C243" s="6" t="s">
        <v>14482</v>
      </c>
      <c r="D243" s="5" t="s">
        <v>15987</v>
      </c>
      <c r="E243" s="9" t="str">
        <f>HYPERLINK("https://twitter.com/PooriaKashi/status/1037295465719574528","1037295465719574528")</f>
        <v>1037295465719574528</v>
      </c>
      <c r="F243" s="4"/>
      <c r="G243" s="4"/>
      <c r="H243" s="4"/>
      <c r="I243" s="10" t="str">
        <f>HYPERLINK("http://twitter.com","Twitter Web Client")</f>
        <v>Twitter Web Client</v>
      </c>
      <c r="J243" s="2">
        <v>35</v>
      </c>
      <c r="K243" s="2">
        <v>24</v>
      </c>
      <c r="L243" s="2">
        <v>0</v>
      </c>
      <c r="M243" s="2"/>
      <c r="N243" s="8">
        <v>43106.934398148151</v>
      </c>
      <c r="O243" s="4" t="s">
        <v>14480</v>
      </c>
      <c r="P243" s="3" t="s">
        <v>14479</v>
      </c>
      <c r="Q243" s="4"/>
      <c r="R243" s="4"/>
      <c r="S243" s="9" t="str">
        <f>HYPERLINK("https://pbs.twimg.com/profile_images/950425702884659200/UaU3rG4q.jpg","View")</f>
        <v>View</v>
      </c>
    </row>
    <row r="244" spans="1:19" ht="20">
      <c r="A244" s="8">
        <v>43348.649050925931</v>
      </c>
      <c r="B244" s="11" t="str">
        <f>HYPERLINK("https://twitter.com/seyedhsarvenaz1","@seyedhsarvenaz1")</f>
        <v>@seyedhsarvenaz1</v>
      </c>
      <c r="C244" s="6" t="s">
        <v>15975</v>
      </c>
      <c r="D244" s="5" t="s">
        <v>15986</v>
      </c>
      <c r="E244" s="9" t="str">
        <f>HYPERLINK("https://twitter.com/seyedhsarvenaz1/status/1037295436401442816","1037295436401442816")</f>
        <v>1037295436401442816</v>
      </c>
      <c r="F244" s="4"/>
      <c r="G244" s="4"/>
      <c r="H244" s="4"/>
      <c r="I244" s="10" t="str">
        <f>HYPERLINK("http://twitter.com/download/android","Twitter for Android")</f>
        <v>Twitter for Android</v>
      </c>
      <c r="J244" s="2">
        <v>360</v>
      </c>
      <c r="K244" s="2">
        <v>501</v>
      </c>
      <c r="L244" s="2">
        <v>1</v>
      </c>
      <c r="M244" s="2"/>
      <c r="N244" s="8">
        <v>42956.451840277776</v>
      </c>
      <c r="O244" s="4" t="s">
        <v>17</v>
      </c>
      <c r="P244" s="3" t="s">
        <v>15973</v>
      </c>
      <c r="Q244" s="4"/>
      <c r="R244" s="4"/>
      <c r="S244" s="9" t="str">
        <f>HYPERLINK("https://pbs.twimg.com/profile_images/1018559149116882945/akclYFmk.jpg","View")</f>
        <v>View</v>
      </c>
    </row>
    <row r="245" spans="1:19" ht="20">
      <c r="A245" s="8">
        <v>43348.647604166668</v>
      </c>
      <c r="B245" s="11" t="str">
        <f>HYPERLINK("https://twitter.com/nopa_modaei","@nopa_modaei")</f>
        <v>@nopa_modaei</v>
      </c>
      <c r="C245" s="6" t="s">
        <v>15985</v>
      </c>
      <c r="D245" s="5" t="s">
        <v>15984</v>
      </c>
      <c r="E245" s="9" t="str">
        <f>HYPERLINK("https://twitter.com/nopa_modaei/status/1037294911186513920","1037294911186513920")</f>
        <v>1037294911186513920</v>
      </c>
      <c r="F245" s="4"/>
      <c r="G245" s="4"/>
      <c r="H245" s="4"/>
      <c r="I245" s="10" t="str">
        <f>HYPERLINK("http://twitter.com/download/iphone","Twitter for iPhone")</f>
        <v>Twitter for iPhone</v>
      </c>
      <c r="J245" s="2">
        <v>94</v>
      </c>
      <c r="K245" s="2">
        <v>117</v>
      </c>
      <c r="L245" s="2">
        <v>0</v>
      </c>
      <c r="M245" s="2"/>
      <c r="N245" s="8">
        <v>40588.970451388886</v>
      </c>
      <c r="O245" s="4"/>
      <c r="P245" s="3" t="s">
        <v>15983</v>
      </c>
      <c r="Q245" s="4"/>
      <c r="R245" s="4"/>
      <c r="S245" s="9" t="str">
        <f>HYPERLINK("https://pbs.twimg.com/profile_images/866363329975070723/ZY6o3nVO.jpg","View")</f>
        <v>View</v>
      </c>
    </row>
    <row r="246" spans="1:19" ht="40">
      <c r="A246" s="8">
        <v>43348.64671296296</v>
      </c>
      <c r="B246" s="11" t="str">
        <f>HYPERLINK("https://twitter.com/haj_mohamad_69","@haj_mohamad_69")</f>
        <v>@haj_mohamad_69</v>
      </c>
      <c r="C246" s="6" t="s">
        <v>5147</v>
      </c>
      <c r="D246" s="5" t="s">
        <v>15982</v>
      </c>
      <c r="E246" s="9" t="str">
        <f>HYPERLINK("https://twitter.com/haj_mohamad_69/status/1037294590158692352","1037294590158692352")</f>
        <v>1037294590158692352</v>
      </c>
      <c r="F246" s="4"/>
      <c r="G246" s="4"/>
      <c r="H246" s="4"/>
      <c r="I246" s="10" t="str">
        <f>HYPERLINK("http://twitter.com/download/android","Twitter for Android")</f>
        <v>Twitter for Android</v>
      </c>
      <c r="J246" s="2">
        <v>635</v>
      </c>
      <c r="K246" s="2">
        <v>609</v>
      </c>
      <c r="L246" s="2">
        <v>4</v>
      </c>
      <c r="M246" s="2"/>
      <c r="N246" s="8">
        <v>43166.468900462962</v>
      </c>
      <c r="O246" s="4"/>
      <c r="P246" s="3" t="s">
        <v>5145</v>
      </c>
      <c r="Q246" s="4"/>
      <c r="R246" s="4"/>
      <c r="S246" s="9" t="str">
        <f>HYPERLINK("https://pbs.twimg.com/profile_images/1008843756135768065/BAs4IfFB.jpg","View")</f>
        <v>View</v>
      </c>
    </row>
    <row r="247" spans="1:19" ht="20">
      <c r="A247" s="8">
        <v>43348.646631944444</v>
      </c>
      <c r="B247" s="11" t="str">
        <f>HYPERLINK("https://twitter.com/ALI_SHAHIN_AAS","@ALI_SHAHIN_AAS")</f>
        <v>@ALI_SHAHIN_AAS</v>
      </c>
      <c r="C247" s="6" t="s">
        <v>15981</v>
      </c>
      <c r="D247" s="5" t="s">
        <v>15980</v>
      </c>
      <c r="E247" s="9" t="str">
        <f>HYPERLINK("https://twitter.com/ALI_SHAHIN_AAS/status/1037294559812902912","1037294559812902912")</f>
        <v>1037294559812902912</v>
      </c>
      <c r="F247" s="4"/>
      <c r="G247" s="10" t="s">
        <v>15979</v>
      </c>
      <c r="H247" s="4"/>
      <c r="I247" s="10" t="str">
        <f>HYPERLINK("http://twitter.com","Twitter Web Client")</f>
        <v>Twitter Web Client</v>
      </c>
      <c r="J247" s="2">
        <v>123</v>
      </c>
      <c r="K247" s="2">
        <v>124</v>
      </c>
      <c r="L247" s="2">
        <v>1</v>
      </c>
      <c r="M247" s="2"/>
      <c r="N247" s="8">
        <v>42950.651840277773</v>
      </c>
      <c r="O247" s="4" t="s">
        <v>15978</v>
      </c>
      <c r="P247" s="3" t="s">
        <v>15977</v>
      </c>
      <c r="Q247" s="10" t="s">
        <v>15976</v>
      </c>
      <c r="R247" s="4"/>
      <c r="S247" s="9" t="str">
        <f>HYPERLINK("https://pbs.twimg.com/profile_images/1037274203886678016/GtIHW9oa.jpg","View")</f>
        <v>View</v>
      </c>
    </row>
    <row r="248" spans="1:19" ht="30">
      <c r="A248" s="8">
        <v>43348.646458333329</v>
      </c>
      <c r="B248" s="11" t="str">
        <f>HYPERLINK("https://twitter.com/seyedhsarvenaz1","@seyedhsarvenaz1")</f>
        <v>@seyedhsarvenaz1</v>
      </c>
      <c r="C248" s="6" t="s">
        <v>15975</v>
      </c>
      <c r="D248" s="5" t="s">
        <v>15974</v>
      </c>
      <c r="E248" s="9" t="str">
        <f>HYPERLINK("https://twitter.com/seyedhsarvenaz1/status/1037294495115685890","1037294495115685890")</f>
        <v>1037294495115685890</v>
      </c>
      <c r="F248" s="4"/>
      <c r="G248" s="4"/>
      <c r="H248" s="4"/>
      <c r="I248" s="10" t="str">
        <f>HYPERLINK("http://twitter.com/download/android","Twitter for Android")</f>
        <v>Twitter for Android</v>
      </c>
      <c r="J248" s="2">
        <v>360</v>
      </c>
      <c r="K248" s="2">
        <v>501</v>
      </c>
      <c r="L248" s="2">
        <v>1</v>
      </c>
      <c r="M248" s="2"/>
      <c r="N248" s="8">
        <v>42956.451840277776</v>
      </c>
      <c r="O248" s="4" t="s">
        <v>17</v>
      </c>
      <c r="P248" s="3" t="s">
        <v>15973</v>
      </c>
      <c r="Q248" s="4"/>
      <c r="R248" s="4"/>
      <c r="S248" s="9" t="str">
        <f>HYPERLINK("https://pbs.twimg.com/profile_images/1018559149116882945/akclYFmk.jpg","View")</f>
        <v>View</v>
      </c>
    </row>
    <row r="249" spans="1:19" ht="20">
      <c r="A249" s="8">
        <v>43348.646377314813</v>
      </c>
      <c r="B249" s="11" t="str">
        <f>HYPERLINK("https://twitter.com/ghorbani9930","@ghorbani9930")</f>
        <v>@ghorbani9930</v>
      </c>
      <c r="C249" s="6" t="s">
        <v>9033</v>
      </c>
      <c r="D249" s="5" t="s">
        <v>15972</v>
      </c>
      <c r="E249" s="9" t="str">
        <f>HYPERLINK("https://twitter.com/ghorbani9930/status/1037294464874815488","1037294464874815488")</f>
        <v>1037294464874815488</v>
      </c>
      <c r="F249" s="10" t="s">
        <v>15971</v>
      </c>
      <c r="G249" s="10" t="s">
        <v>15970</v>
      </c>
      <c r="H249" s="4"/>
      <c r="I249" s="10" t="str">
        <f>HYPERLINK("http://twitter.com/download/android","Twitter for Android")</f>
        <v>Twitter for Android</v>
      </c>
      <c r="J249" s="2">
        <v>2044</v>
      </c>
      <c r="K249" s="2">
        <v>2867</v>
      </c>
      <c r="L249" s="2">
        <v>0</v>
      </c>
      <c r="M249" s="2"/>
      <c r="N249" s="8">
        <v>43286.562951388885</v>
      </c>
      <c r="O249" s="4" t="s">
        <v>17</v>
      </c>
      <c r="P249" s="3" t="s">
        <v>9030</v>
      </c>
      <c r="Q249" s="4"/>
      <c r="R249" s="4"/>
      <c r="S249" s="9" t="str">
        <f>HYPERLINK("https://pbs.twimg.com/profile_images/1015198317553291265/38V1siXO.jpg","View")</f>
        <v>View</v>
      </c>
    </row>
    <row r="250" spans="1:19" ht="40">
      <c r="A250" s="8">
        <v>43348.644328703704</v>
      </c>
      <c r="B250" s="11" t="str">
        <f>HYPERLINK("https://twitter.com/rouydad24","@rouydad24")</f>
        <v>@rouydad24</v>
      </c>
      <c r="C250" s="6" t="s">
        <v>5989</v>
      </c>
      <c r="D250" s="5" t="s">
        <v>15969</v>
      </c>
      <c r="E250" s="9" t="str">
        <f>HYPERLINK("https://twitter.com/rouydad24/status/1037293724911521792","1037293724911521792")</f>
        <v>1037293724911521792</v>
      </c>
      <c r="F250" s="4"/>
      <c r="G250" s="10" t="s">
        <v>15968</v>
      </c>
      <c r="H250" s="4"/>
      <c r="I250" s="10" t="str">
        <f>HYPERLINK("http://twitter.com","Twitter Web Client")</f>
        <v>Twitter Web Client</v>
      </c>
      <c r="J250" s="2">
        <v>683</v>
      </c>
      <c r="K250" s="2">
        <v>3645</v>
      </c>
      <c r="L250" s="2">
        <v>5</v>
      </c>
      <c r="M250" s="2"/>
      <c r="N250" s="8">
        <v>42919.631469907406</v>
      </c>
      <c r="O250" s="4" t="s">
        <v>133</v>
      </c>
      <c r="P250" s="3" t="s">
        <v>5988</v>
      </c>
      <c r="Q250" s="10" t="s">
        <v>5987</v>
      </c>
      <c r="R250" s="4"/>
      <c r="S250" s="9" t="str">
        <f>HYPERLINK("https://pbs.twimg.com/profile_images/881825939713282048/o2O6cC6w.jpg","View")</f>
        <v>View</v>
      </c>
    </row>
    <row r="251" spans="1:19" ht="40">
      <c r="A251" s="8">
        <v>43348.643796296295</v>
      </c>
      <c r="B251" s="11" t="str">
        <f>HYPERLINK("https://twitter.com/MAHDI04709122","@MAHDI04709122")</f>
        <v>@MAHDI04709122</v>
      </c>
      <c r="C251" s="6" t="s">
        <v>4024</v>
      </c>
      <c r="D251" s="5" t="s">
        <v>15967</v>
      </c>
      <c r="E251" s="9" t="str">
        <f>HYPERLINK("https://twitter.com/MAHDI04709122/status/1037293529641435136","1037293529641435136")</f>
        <v>1037293529641435136</v>
      </c>
      <c r="F251" s="4"/>
      <c r="G251" s="4"/>
      <c r="H251" s="4"/>
      <c r="I251" s="10" t="str">
        <f>HYPERLINK("http://twitter.com/download/android","Twitter for Android")</f>
        <v>Twitter for Android</v>
      </c>
      <c r="J251" s="2">
        <v>28</v>
      </c>
      <c r="K251" s="2">
        <v>47</v>
      </c>
      <c r="L251" s="2">
        <v>0</v>
      </c>
      <c r="M251" s="2"/>
      <c r="N251" s="8">
        <v>43284.136226851857</v>
      </c>
      <c r="O251" s="4" t="s">
        <v>17</v>
      </c>
      <c r="P251" s="3" t="s">
        <v>4022</v>
      </c>
      <c r="Q251" s="4"/>
      <c r="R251" s="4"/>
      <c r="S251" s="9" t="str">
        <f>HYPERLINK("https://pbs.twimg.com/profile_images/1031996008652304384/V_hxNDiP.jpg","View")</f>
        <v>View</v>
      </c>
    </row>
    <row r="252" spans="1:19" ht="40">
      <c r="A252" s="8">
        <v>43348.643773148149</v>
      </c>
      <c r="B252" s="11" t="str">
        <f>HYPERLINK("https://twitter.com/bardiya2000","@bardiya2000")</f>
        <v>@bardiya2000</v>
      </c>
      <c r="C252" s="6" t="s">
        <v>6602</v>
      </c>
      <c r="D252" s="5" t="s">
        <v>15966</v>
      </c>
      <c r="E252" s="9" t="str">
        <f>HYPERLINK("https://twitter.com/bardiya2000/status/1037293522150481920","1037293522150481920")</f>
        <v>1037293522150481920</v>
      </c>
      <c r="F252" s="4"/>
      <c r="G252" s="4"/>
      <c r="H252" s="4"/>
      <c r="I252" s="10" t="str">
        <f>HYPERLINK("http://twitter.com/download/android","Twitter for Android")</f>
        <v>Twitter for Android</v>
      </c>
      <c r="J252" s="2">
        <v>11456</v>
      </c>
      <c r="K252" s="2">
        <v>12575</v>
      </c>
      <c r="L252" s="2">
        <v>5</v>
      </c>
      <c r="M252" s="2"/>
      <c r="N252" s="8">
        <v>43130.489201388889</v>
      </c>
      <c r="O252" s="4" t="s">
        <v>104</v>
      </c>
      <c r="P252" s="3" t="s">
        <v>6600</v>
      </c>
      <c r="Q252" s="4"/>
      <c r="R252" s="4"/>
      <c r="S252" s="9" t="str">
        <f>HYPERLINK("https://pbs.twimg.com/profile_images/959171152081014784/1feOJkR-.jpg","View")</f>
        <v>View</v>
      </c>
    </row>
    <row r="253" spans="1:19" ht="40">
      <c r="A253" s="8">
        <v>43348.64329861111</v>
      </c>
      <c r="B253" s="11" t="str">
        <f>HYPERLINK("https://twitter.com/amir_gtt","@amir_gtt")</f>
        <v>@amir_gtt</v>
      </c>
      <c r="C253" s="6" t="s">
        <v>10461</v>
      </c>
      <c r="D253" s="5" t="s">
        <v>15965</v>
      </c>
      <c r="E253" s="9" t="str">
        <f>HYPERLINK("https://twitter.com/amir_gtt/status/1037293352360783872","1037293352360783872")</f>
        <v>1037293352360783872</v>
      </c>
      <c r="F253" s="4"/>
      <c r="G253" s="4"/>
      <c r="H253" s="4"/>
      <c r="I253" s="10" t="str">
        <f>HYPERLINK("http://twitter.com/download/android","Twitter for Android")</f>
        <v>Twitter for Android</v>
      </c>
      <c r="J253" s="2">
        <v>1629</v>
      </c>
      <c r="K253" s="2">
        <v>1826</v>
      </c>
      <c r="L253" s="2">
        <v>0</v>
      </c>
      <c r="M253" s="2"/>
      <c r="N253" s="8">
        <v>42679.832870370374</v>
      </c>
      <c r="O253" s="4" t="s">
        <v>10459</v>
      </c>
      <c r="P253" s="3" t="s">
        <v>10458</v>
      </c>
      <c r="Q253" s="4"/>
      <c r="R253" s="4"/>
      <c r="S253" s="9" t="str">
        <f>HYPERLINK("https://pbs.twimg.com/profile_images/984974757471969283/ro9bgOlX.jpg","View")</f>
        <v>View</v>
      </c>
    </row>
    <row r="254" spans="1:19" ht="40">
      <c r="A254" s="8">
        <v>43348.643090277779</v>
      </c>
      <c r="B254" s="11" t="str">
        <f>HYPERLINK("https://twitter.com/PooriaKashi","@PooriaKashi")</f>
        <v>@PooriaKashi</v>
      </c>
      <c r="C254" s="6" t="s">
        <v>14482</v>
      </c>
      <c r="D254" s="5" t="s">
        <v>15964</v>
      </c>
      <c r="E254" s="9" t="str">
        <f>HYPERLINK("https://twitter.com/PooriaKashi/status/1037293274665500672","1037293274665500672")</f>
        <v>1037293274665500672</v>
      </c>
      <c r="F254" s="4"/>
      <c r="G254" s="4"/>
      <c r="H254" s="4"/>
      <c r="I254" s="10" t="str">
        <f>HYPERLINK("http://twitter.com","Twitter Web Client")</f>
        <v>Twitter Web Client</v>
      </c>
      <c r="J254" s="2">
        <v>35</v>
      </c>
      <c r="K254" s="2">
        <v>24</v>
      </c>
      <c r="L254" s="2">
        <v>0</v>
      </c>
      <c r="M254" s="2"/>
      <c r="N254" s="8">
        <v>43106.934398148151</v>
      </c>
      <c r="O254" s="4" t="s">
        <v>14480</v>
      </c>
      <c r="P254" s="3" t="s">
        <v>14479</v>
      </c>
      <c r="Q254" s="4"/>
      <c r="R254" s="4"/>
      <c r="S254" s="9" t="str">
        <f>HYPERLINK("https://pbs.twimg.com/profile_images/950425702884659200/UaU3rG4q.jpg","View")</f>
        <v>View</v>
      </c>
    </row>
    <row r="255" spans="1:19" ht="40">
      <c r="A255" s="8">
        <v>43348.641539351855</v>
      </c>
      <c r="B255" s="11" t="str">
        <f>HYPERLINK("https://twitter.com/DrAhmad_Ansari","@DrAhmad_Ansari")</f>
        <v>@DrAhmad_Ansari</v>
      </c>
      <c r="C255" s="6" t="s">
        <v>15963</v>
      </c>
      <c r="D255" s="5" t="s">
        <v>15962</v>
      </c>
      <c r="E255" s="9" t="str">
        <f>HYPERLINK("https://twitter.com/DrAhmad_Ansari/status/1037292712544923648","1037292712544923648")</f>
        <v>1037292712544923648</v>
      </c>
      <c r="F255" s="4"/>
      <c r="G255" s="4"/>
      <c r="H255" s="4"/>
      <c r="I255" s="10" t="str">
        <f>HYPERLINK("http://twitter.com/download/iphone","Twitter for iPhone")</f>
        <v>Twitter for iPhone</v>
      </c>
      <c r="J255" s="2">
        <v>10</v>
      </c>
      <c r="K255" s="2">
        <v>60</v>
      </c>
      <c r="L255" s="2">
        <v>0</v>
      </c>
      <c r="M255" s="2"/>
      <c r="N255" s="8">
        <v>43334.620671296296</v>
      </c>
      <c r="O255" s="4"/>
      <c r="P255" s="3"/>
      <c r="Q255" s="4"/>
      <c r="R255" s="4"/>
      <c r="S255" s="9" t="str">
        <f>HYPERLINK("https://pbs.twimg.com/profile_images/1034390953778446337/djRSSpnO.jpg","View")</f>
        <v>View</v>
      </c>
    </row>
    <row r="256" spans="1:19" ht="50">
      <c r="A256" s="8">
        <v>43348.641516203701</v>
      </c>
      <c r="B256" s="11" t="str">
        <f>HYPERLINK("https://twitter.com/hezardastan1981","@hezardastan1981")</f>
        <v>@hezardastan1981</v>
      </c>
      <c r="C256" s="6" t="s">
        <v>15961</v>
      </c>
      <c r="D256" s="5" t="s">
        <v>15960</v>
      </c>
      <c r="E256" s="9" t="str">
        <f>HYPERLINK("https://twitter.com/hezardastan1981/status/1037292705209040897","1037292705209040897")</f>
        <v>1037292705209040897</v>
      </c>
      <c r="F256" s="10" t="s">
        <v>15906</v>
      </c>
      <c r="G256" s="4"/>
      <c r="H256" s="4"/>
      <c r="I256" s="10" t="str">
        <f>HYPERLINK("http://twitter.com/download/android","Twitter for Android")</f>
        <v>Twitter for Android</v>
      </c>
      <c r="J256" s="2">
        <v>248</v>
      </c>
      <c r="K256" s="2">
        <v>326</v>
      </c>
      <c r="L256" s="2">
        <v>0</v>
      </c>
      <c r="M256" s="2"/>
      <c r="N256" s="8">
        <v>43104.848553240736</v>
      </c>
      <c r="O256" s="4"/>
      <c r="P256" s="3"/>
      <c r="Q256" s="4"/>
      <c r="R256" s="4"/>
      <c r="S256" s="9" t="str">
        <f>HYPERLINK("https://pbs.twimg.com/profile_images/948963631085117440/9azwlNKN.jpg","View")</f>
        <v>View</v>
      </c>
    </row>
    <row r="257" spans="1:19" ht="20">
      <c r="A257" s="8">
        <v>43348.641053240739</v>
      </c>
      <c r="B257" s="11" t="str">
        <f>HYPERLINK("https://twitter.com/LessLeez","@LessLeez")</f>
        <v>@LessLeez</v>
      </c>
      <c r="C257" s="6" t="s">
        <v>15917</v>
      </c>
      <c r="D257" s="5" t="s">
        <v>15959</v>
      </c>
      <c r="E257" s="9" t="str">
        <f>HYPERLINK("https://twitter.com/LessLeez/status/1037292537206255616","1037292537206255616")</f>
        <v>1037292537206255616</v>
      </c>
      <c r="F257" s="4"/>
      <c r="G257" s="4"/>
      <c r="H257" s="4"/>
      <c r="I257" s="10" t="str">
        <f>HYPERLINK("https://mobile.twitter.com","Twitter Lite")</f>
        <v>Twitter Lite</v>
      </c>
      <c r="J257" s="2">
        <v>696</v>
      </c>
      <c r="K257" s="2">
        <v>57</v>
      </c>
      <c r="L257" s="2">
        <v>8</v>
      </c>
      <c r="M257" s="2"/>
      <c r="N257" s="8">
        <v>41923.631076388891</v>
      </c>
      <c r="O257" s="4" t="s">
        <v>15915</v>
      </c>
      <c r="P257" s="3" t="s">
        <v>15914</v>
      </c>
      <c r="Q257" s="4"/>
      <c r="R257" s="4"/>
      <c r="S257" s="9" t="str">
        <f>HYPERLINK("https://pbs.twimg.com/profile_images/1035858840296804353/a0vCgpli.jpg","View")</f>
        <v>View</v>
      </c>
    </row>
    <row r="258" spans="1:19" ht="20">
      <c r="A258" s="8">
        <v>43348.6403125</v>
      </c>
      <c r="B258" s="11" t="str">
        <f>HYPERLINK("https://twitter.com/saanaazzzz","@saanaazzzz")</f>
        <v>@saanaazzzz</v>
      </c>
      <c r="C258" s="6" t="s">
        <v>15958</v>
      </c>
      <c r="D258" s="5" t="s">
        <v>13331</v>
      </c>
      <c r="E258" s="9" t="str">
        <f>HYPERLINK("https://twitter.com/saanaazzzz/status/1037292270804844544","1037292270804844544")</f>
        <v>1037292270804844544</v>
      </c>
      <c r="F258" s="4"/>
      <c r="G258" s="4"/>
      <c r="H258" s="4"/>
      <c r="I258" s="10" t="str">
        <f>HYPERLINK("https://mobofa.com","Mobofa")</f>
        <v>Mobofa</v>
      </c>
      <c r="J258" s="2">
        <v>66</v>
      </c>
      <c r="K258" s="2">
        <v>192</v>
      </c>
      <c r="L258" s="2">
        <v>0</v>
      </c>
      <c r="M258" s="2"/>
      <c r="N258" s="8">
        <v>43246.620995370366</v>
      </c>
      <c r="O258" s="4"/>
      <c r="P258" s="3" t="s">
        <v>15957</v>
      </c>
      <c r="Q258" s="4"/>
      <c r="R258" s="4"/>
      <c r="S258" s="9" t="str">
        <f>HYPERLINK("https://pbs.twimg.com/profile_images/1000323161186033665/wDTqOf_8.jpg","View")</f>
        <v>View</v>
      </c>
    </row>
    <row r="259" spans="1:19" ht="20">
      <c r="A259" s="8">
        <v>43348.6403125</v>
      </c>
      <c r="B259" s="11" t="str">
        <f>HYPERLINK("https://twitter.com/mehranliberal","@mehranliberal")</f>
        <v>@mehranliberal</v>
      </c>
      <c r="C259" s="6" t="s">
        <v>15956</v>
      </c>
      <c r="D259" s="5" t="s">
        <v>13331</v>
      </c>
      <c r="E259" s="9" t="str">
        <f>HYPERLINK("https://twitter.com/mehranliberal/status/1037292270318305281","1037292270318305281")</f>
        <v>1037292270318305281</v>
      </c>
      <c r="F259" s="4"/>
      <c r="G259" s="4"/>
      <c r="H259" s="4"/>
      <c r="I259" s="10" t="str">
        <f>HYPERLINK("https://mobofa.com","Mobofa")</f>
        <v>Mobofa</v>
      </c>
      <c r="J259" s="2">
        <v>0</v>
      </c>
      <c r="K259" s="2">
        <v>0</v>
      </c>
      <c r="L259" s="2">
        <v>0</v>
      </c>
      <c r="M259" s="2"/>
      <c r="N259" s="8">
        <v>43230.625439814816</v>
      </c>
      <c r="O259" s="4"/>
      <c r="P259" s="3"/>
      <c r="Q259" s="4"/>
      <c r="R259" s="4"/>
      <c r="S259" s="2" t="s">
        <v>155</v>
      </c>
    </row>
    <row r="260" spans="1:19" ht="20">
      <c r="A260" s="8">
        <v>43348.6403125</v>
      </c>
      <c r="B260" s="11" t="str">
        <f>HYPERLINK("https://twitter.com/dianamoon68","@dianamoon68")</f>
        <v>@dianamoon68</v>
      </c>
      <c r="C260" s="6" t="s">
        <v>15955</v>
      </c>
      <c r="D260" s="5" t="s">
        <v>13331</v>
      </c>
      <c r="E260" s="9" t="str">
        <f>HYPERLINK("https://twitter.com/dianamoon68/status/1037292270301503493","1037292270301503493")</f>
        <v>1037292270301503493</v>
      </c>
      <c r="F260" s="4"/>
      <c r="G260" s="4"/>
      <c r="H260" s="4"/>
      <c r="I260" s="10" t="str">
        <f>HYPERLINK("https://mobofa.com","Mobofa")</f>
        <v>Mobofa</v>
      </c>
      <c r="J260" s="2">
        <v>23</v>
      </c>
      <c r="K260" s="2">
        <v>50</v>
      </c>
      <c r="L260" s="2">
        <v>0</v>
      </c>
      <c r="M260" s="2"/>
      <c r="N260" s="8">
        <v>43228.73065972222</v>
      </c>
      <c r="O260" s="4"/>
      <c r="P260" s="3" t="s">
        <v>15954</v>
      </c>
      <c r="Q260" s="4"/>
      <c r="R260" s="4"/>
      <c r="S260" s="9" t="str">
        <f>HYPERLINK("https://pbs.twimg.com/profile_images/995276416215330816/3ktH_lSi.jpg","View")</f>
        <v>View</v>
      </c>
    </row>
    <row r="261" spans="1:19" ht="20">
      <c r="A261" s="8">
        <v>43348.6403125</v>
      </c>
      <c r="B261" s="11" t="str">
        <f>HYPERLINK("https://twitter.com/peymanpeyy","@peymanpeyy")</f>
        <v>@peymanpeyy</v>
      </c>
      <c r="C261" s="6" t="s">
        <v>15953</v>
      </c>
      <c r="D261" s="5" t="s">
        <v>13331</v>
      </c>
      <c r="E261" s="9" t="str">
        <f>HYPERLINK("https://twitter.com/peymanpeyy/status/1037292270293139456","1037292270293139456")</f>
        <v>1037292270293139456</v>
      </c>
      <c r="F261" s="4"/>
      <c r="G261" s="4"/>
      <c r="H261" s="4"/>
      <c r="I261" s="10" t="str">
        <f>HYPERLINK("https://mobofa.com","Mobofa")</f>
        <v>Mobofa</v>
      </c>
      <c r="J261" s="2">
        <v>14</v>
      </c>
      <c r="K261" s="2">
        <v>86</v>
      </c>
      <c r="L261" s="2">
        <v>0</v>
      </c>
      <c r="M261" s="2"/>
      <c r="N261" s="8">
        <v>43237.389583333337</v>
      </c>
      <c r="O261" s="4"/>
      <c r="P261" s="3"/>
      <c r="Q261" s="4"/>
      <c r="R261" s="4"/>
      <c r="S261" s="9" t="str">
        <f>HYPERLINK("https://pbs.twimg.com/profile_images/996979901801680896/YKWO9xgp.jpg","View")</f>
        <v>View</v>
      </c>
    </row>
    <row r="262" spans="1:19" ht="12.5">
      <c r="A262" s="8">
        <v>43348.640289351853</v>
      </c>
      <c r="B262" s="11" t="str">
        <f>HYPERLINK("https://twitter.com/Pitpitak1","@Pitpitak1")</f>
        <v>@Pitpitak1</v>
      </c>
      <c r="C262" s="6" t="s">
        <v>1969</v>
      </c>
      <c r="D262" s="5" t="s">
        <v>15952</v>
      </c>
      <c r="E262" s="9" t="str">
        <f>HYPERLINK("https://twitter.com/Pitpitak1/status/1037292262361915392","1037292262361915392")</f>
        <v>1037292262361915392</v>
      </c>
      <c r="F262" s="4"/>
      <c r="G262" s="4"/>
      <c r="H262" s="4"/>
      <c r="I262" s="10" t="str">
        <f>HYPERLINK("http://twitter.com/download/iphone","Twitter for iPhone")</f>
        <v>Twitter for iPhone</v>
      </c>
      <c r="J262" s="2">
        <v>59</v>
      </c>
      <c r="K262" s="2">
        <v>228</v>
      </c>
      <c r="L262" s="2">
        <v>1</v>
      </c>
      <c r="M262" s="2"/>
      <c r="N262" s="8">
        <v>38995.965601851851</v>
      </c>
      <c r="O262" s="4"/>
      <c r="P262" s="3" t="s">
        <v>1967</v>
      </c>
      <c r="Q262" s="4"/>
      <c r="R262" s="4"/>
      <c r="S262" s="9" t="str">
        <f>HYPERLINK("https://pbs.twimg.com/profile_images/1011196687896006656/YqWXZdT4.jpg","View")</f>
        <v>View</v>
      </c>
    </row>
    <row r="263" spans="1:19" ht="20">
      <c r="A263" s="8">
        <v>43348.63989583333</v>
      </c>
      <c r="B263" s="11" t="str">
        <f>HYPERLINK("https://twitter.com/ham_sa20","@ham_sa20")</f>
        <v>@ham_sa20</v>
      </c>
      <c r="C263" s="6" t="s">
        <v>15951</v>
      </c>
      <c r="D263" s="5" t="s">
        <v>15950</v>
      </c>
      <c r="E263" s="9" t="str">
        <f>HYPERLINK("https://twitter.com/ham_sa20/status/1037292119650693120","1037292119650693120")</f>
        <v>1037292119650693120</v>
      </c>
      <c r="F263" s="4"/>
      <c r="G263" s="4"/>
      <c r="H263" s="4"/>
      <c r="I263" s="10" t="str">
        <f>HYPERLINK("http://twitter.com","Twitter Web Client")</f>
        <v>Twitter Web Client</v>
      </c>
      <c r="J263" s="2">
        <v>1640</v>
      </c>
      <c r="K263" s="2">
        <v>279</v>
      </c>
      <c r="L263" s="2">
        <v>4</v>
      </c>
      <c r="M263" s="2"/>
      <c r="N263" s="8">
        <v>41499.971238425926</v>
      </c>
      <c r="O263" s="4" t="s">
        <v>15949</v>
      </c>
      <c r="P263" s="3" t="s">
        <v>15948</v>
      </c>
      <c r="Q263" s="4"/>
      <c r="R263" s="4"/>
      <c r="S263" s="9" t="str">
        <f>HYPERLINK("https://pbs.twimg.com/profile_images/1017706118473060352/nObdUjwX.jpg","View")</f>
        <v>View</v>
      </c>
    </row>
    <row r="264" spans="1:19" ht="30">
      <c r="A264" s="8">
        <v>43348.639641203699</v>
      </c>
      <c r="B264" s="11" t="str">
        <f>HYPERLINK("https://twitter.com/Silentman3131","@Silentman3131")</f>
        <v>@Silentman3131</v>
      </c>
      <c r="C264" s="6" t="s">
        <v>15947</v>
      </c>
      <c r="D264" s="5" t="s">
        <v>15946</v>
      </c>
      <c r="E264" s="9" t="str">
        <f>HYPERLINK("https://twitter.com/Silentman3131/status/1037292024100212737","1037292024100212737")</f>
        <v>1037292024100212737</v>
      </c>
      <c r="F264" s="4"/>
      <c r="G264" s="10" t="s">
        <v>15945</v>
      </c>
      <c r="H264" s="4"/>
      <c r="I264" s="10" t="str">
        <f>HYPERLINK("http://twitter.com/download/android","Twitter for Android")</f>
        <v>Twitter for Android</v>
      </c>
      <c r="J264" s="2">
        <v>1</v>
      </c>
      <c r="K264" s="2">
        <v>11</v>
      </c>
      <c r="L264" s="2">
        <v>0</v>
      </c>
      <c r="M264" s="2"/>
      <c r="N264" s="8">
        <v>43348.621192129634</v>
      </c>
      <c r="O264" s="4" t="s">
        <v>682</v>
      </c>
      <c r="P264" s="3" t="s">
        <v>15944</v>
      </c>
      <c r="Q264" s="4"/>
      <c r="R264" s="4"/>
      <c r="S264" s="9" t="str">
        <f>HYPERLINK("https://pbs.twimg.com/profile_images/1037287261317091328/MoKfC6dr.jpg","View")</f>
        <v>View</v>
      </c>
    </row>
    <row r="265" spans="1:19" ht="20">
      <c r="A265" s="8">
        <v>43348.639155092591</v>
      </c>
      <c r="B265" s="11" t="str">
        <f>HYPERLINK("https://twitter.com/alishakiba11","@alishakiba11")</f>
        <v>@alishakiba11</v>
      </c>
      <c r="C265" s="6" t="s">
        <v>15943</v>
      </c>
      <c r="D265" s="5" t="s">
        <v>15942</v>
      </c>
      <c r="E265" s="9" t="str">
        <f>HYPERLINK("https://twitter.com/alishakiba11/status/1037291847717187584","1037291847717187584")</f>
        <v>1037291847717187584</v>
      </c>
      <c r="F265" s="4"/>
      <c r="G265" s="4"/>
      <c r="H265" s="4"/>
      <c r="I265" s="10" t="str">
        <f>HYPERLINK("http://twitter.com/download/android","Twitter for Android")</f>
        <v>Twitter for Android</v>
      </c>
      <c r="J265" s="2">
        <v>10</v>
      </c>
      <c r="K265" s="2">
        <v>15</v>
      </c>
      <c r="L265" s="2">
        <v>0</v>
      </c>
      <c r="M265" s="2"/>
      <c r="N265" s="8">
        <v>42837.40724537037</v>
      </c>
      <c r="O265" s="4" t="s">
        <v>17</v>
      </c>
      <c r="P265" s="3"/>
      <c r="Q265" s="10" t="s">
        <v>15941</v>
      </c>
      <c r="R265" s="4"/>
      <c r="S265" s="9" t="str">
        <f>HYPERLINK("https://pbs.twimg.com/profile_images/1007200921011605504/Err1eM4L.jpg","View")</f>
        <v>View</v>
      </c>
    </row>
    <row r="266" spans="1:19" ht="60">
      <c r="A266" s="8">
        <v>43348.638668981483</v>
      </c>
      <c r="B266" s="11" t="str">
        <f>HYPERLINK("https://twitter.com/Afshin54654202","@Afshin54654202")</f>
        <v>@Afshin54654202</v>
      </c>
      <c r="C266" s="6" t="s">
        <v>15940</v>
      </c>
      <c r="D266" s="5" t="s">
        <v>15939</v>
      </c>
      <c r="E266" s="9" t="str">
        <f>HYPERLINK("https://twitter.com/Afshin54654202/status/1037291674911891458","1037291674911891458")</f>
        <v>1037291674911891458</v>
      </c>
      <c r="F266" s="10" t="s">
        <v>15938</v>
      </c>
      <c r="G266" s="4"/>
      <c r="H266" s="4"/>
      <c r="I266" s="10" t="str">
        <f>HYPERLINK("http://twitter.com/download/android","Twitter for Android")</f>
        <v>Twitter for Android</v>
      </c>
      <c r="J266" s="2">
        <v>345</v>
      </c>
      <c r="K266" s="2">
        <v>679</v>
      </c>
      <c r="L266" s="2">
        <v>0</v>
      </c>
      <c r="M266" s="2"/>
      <c r="N266" s="8">
        <v>43196.781944444447</v>
      </c>
      <c r="O266" s="4"/>
      <c r="P266" s="3" t="s">
        <v>15937</v>
      </c>
      <c r="Q266" s="4"/>
      <c r="R266" s="4"/>
      <c r="S266" s="9" t="str">
        <f>HYPERLINK("https://pbs.twimg.com/profile_images/999778744674889728/IZ-rAWXr.jpg","View")</f>
        <v>View</v>
      </c>
    </row>
    <row r="267" spans="1:19" ht="20">
      <c r="A267" s="8">
        <v>43348.638067129628</v>
      </c>
      <c r="B267" s="11" t="str">
        <f>HYPERLINK("https://twitter.com/RoftegareTajdar","@RoftegareTajdar")</f>
        <v>@RoftegareTajdar</v>
      </c>
      <c r="C267" s="6" t="s">
        <v>2909</v>
      </c>
      <c r="D267" s="5" t="s">
        <v>15936</v>
      </c>
      <c r="E267" s="9" t="str">
        <f>HYPERLINK("https://twitter.com/RoftegareTajdar/status/1037291454966706176","1037291454966706176")</f>
        <v>1037291454966706176</v>
      </c>
      <c r="F267" s="4"/>
      <c r="G267" s="10" t="s">
        <v>15935</v>
      </c>
      <c r="H267" s="4"/>
      <c r="I267" s="10" t="str">
        <f>HYPERLINK("http://twitter.com/download/android","Twitter for Android")</f>
        <v>Twitter for Android</v>
      </c>
      <c r="J267" s="2">
        <v>2898</v>
      </c>
      <c r="K267" s="2">
        <v>2192</v>
      </c>
      <c r="L267" s="2">
        <v>8</v>
      </c>
      <c r="M267" s="2"/>
      <c r="N267" s="8">
        <v>43140.96565972222</v>
      </c>
      <c r="O267" s="4" t="s">
        <v>2907</v>
      </c>
      <c r="P267" s="3" t="s">
        <v>15934</v>
      </c>
      <c r="Q267" s="4"/>
      <c r="R267" s="4"/>
      <c r="S267" s="9" t="str">
        <f>HYPERLINK("https://pbs.twimg.com/profile_images/1011365034247802883/H9ym-m-X.jpg","View")</f>
        <v>View</v>
      </c>
    </row>
    <row r="268" spans="1:19" ht="12.5">
      <c r="A268" s="8">
        <v>43348.638009259259</v>
      </c>
      <c r="B268" s="11" t="str">
        <f>HYPERLINK("https://twitter.com/7aoPAeAnOKqm6Ez","@7aoPAeAnOKqm6Ez")</f>
        <v>@7aoPAeAnOKqm6Ez</v>
      </c>
      <c r="C268" s="6" t="s">
        <v>13335</v>
      </c>
      <c r="D268" s="5" t="s">
        <v>15933</v>
      </c>
      <c r="E268" s="9" t="str">
        <f>HYPERLINK("https://twitter.com/7aoPAeAnOKqm6Ez/status/1037291434213298177","1037291434213298177")</f>
        <v>1037291434213298177</v>
      </c>
      <c r="F268" s="4"/>
      <c r="G268" s="10" t="s">
        <v>15932</v>
      </c>
      <c r="H268" s="4"/>
      <c r="I268" s="10" t="str">
        <f>HYPERLINK("https://mobile.twitter.com","Twitter Lite")</f>
        <v>Twitter Lite</v>
      </c>
      <c r="J268" s="2">
        <v>17</v>
      </c>
      <c r="K268" s="2">
        <v>35</v>
      </c>
      <c r="L268" s="2">
        <v>0</v>
      </c>
      <c r="M268" s="2"/>
      <c r="N268" s="8">
        <v>43328.286643518513</v>
      </c>
      <c r="O268" s="4" t="s">
        <v>13333</v>
      </c>
      <c r="P268" s="3" t="s">
        <v>13332</v>
      </c>
      <c r="Q268" s="4"/>
      <c r="R268" s="4"/>
      <c r="S268" s="9" t="str">
        <f>HYPERLINK("https://pbs.twimg.com/profile_images/1036482573235572737/Q5Ry_3bN.jpg","View")</f>
        <v>View</v>
      </c>
    </row>
    <row r="269" spans="1:19" ht="40">
      <c r="A269" s="8">
        <v>43348.636655092589</v>
      </c>
      <c r="B269" s="11" t="str">
        <f>HYPERLINK("https://twitter.com/mehrdad935","@mehrdad935")</f>
        <v>@mehrdad935</v>
      </c>
      <c r="C269" s="6" t="s">
        <v>6721</v>
      </c>
      <c r="D269" s="5" t="s">
        <v>15931</v>
      </c>
      <c r="E269" s="9" t="str">
        <f>HYPERLINK("https://twitter.com/mehrdad935/status/1037290943660085248","1037290943660085248")</f>
        <v>1037290943660085248</v>
      </c>
      <c r="F269" s="4"/>
      <c r="G269" s="4"/>
      <c r="H269" s="4"/>
      <c r="I269" s="10" t="str">
        <f>HYPERLINK("http://twitter.com","Twitter Web Client")</f>
        <v>Twitter Web Client</v>
      </c>
      <c r="J269" s="2">
        <v>15</v>
      </c>
      <c r="K269" s="2">
        <v>15</v>
      </c>
      <c r="L269" s="2">
        <v>0</v>
      </c>
      <c r="M269" s="2"/>
      <c r="N269" s="8">
        <v>42891.682118055556</v>
      </c>
      <c r="O269" s="4" t="s">
        <v>17</v>
      </c>
      <c r="P269" s="3" t="s">
        <v>6719</v>
      </c>
      <c r="Q269" s="4"/>
      <c r="R269" s="4"/>
      <c r="S269" s="9" t="str">
        <f>HYPERLINK("https://pbs.twimg.com/profile_images/972713031825330176/JiZOxrty.jpg","View")</f>
        <v>View</v>
      </c>
    </row>
    <row r="270" spans="1:19" ht="30">
      <c r="A270" s="8">
        <v>43348.63653935185</v>
      </c>
      <c r="B270" s="11" t="str">
        <f>HYPERLINK("https://twitter.com/MojtabaSarmadi","@MojtabaSarmadi")</f>
        <v>@MojtabaSarmadi</v>
      </c>
      <c r="C270" s="6" t="s">
        <v>15930</v>
      </c>
      <c r="D270" s="5" t="s">
        <v>15929</v>
      </c>
      <c r="E270" s="9" t="str">
        <f>HYPERLINK("https://twitter.com/MojtabaSarmadi/status/1037290903046635520","1037290903046635520")</f>
        <v>1037290903046635520</v>
      </c>
      <c r="F270" s="4"/>
      <c r="G270" s="4"/>
      <c r="H270" s="4"/>
      <c r="I270" s="10" t="str">
        <f>HYPERLINK("http://twitter.com/download/iphone","Twitter for iPhone")</f>
        <v>Twitter for iPhone</v>
      </c>
      <c r="J270" s="2">
        <v>48</v>
      </c>
      <c r="K270" s="2">
        <v>106</v>
      </c>
      <c r="L270" s="2">
        <v>0</v>
      </c>
      <c r="M270" s="2"/>
      <c r="N270" s="8">
        <v>41037.818113425928</v>
      </c>
      <c r="O270" s="4" t="s">
        <v>34</v>
      </c>
      <c r="P270" s="3" t="s">
        <v>15928</v>
      </c>
      <c r="Q270" s="4"/>
      <c r="R270" s="4"/>
      <c r="S270" s="9" t="str">
        <f>HYPERLINK("https://pbs.twimg.com/profile_images/993543448803373056/KyZkskjy.jpg","View")</f>
        <v>View</v>
      </c>
    </row>
    <row r="271" spans="1:19" ht="40">
      <c r="A271" s="8">
        <v>43348.636273148149</v>
      </c>
      <c r="B271" s="11" t="str">
        <f>HYPERLINK("https://twitter.com/neshoom","@neshoom")</f>
        <v>@neshoom</v>
      </c>
      <c r="C271" s="6" t="s">
        <v>1662</v>
      </c>
      <c r="D271" s="5" t="s">
        <v>15927</v>
      </c>
      <c r="E271" s="9" t="str">
        <f>HYPERLINK("https://twitter.com/neshoom/status/1037290806846078976","1037290806846078976")</f>
        <v>1037290806846078976</v>
      </c>
      <c r="F271" s="4"/>
      <c r="G271" s="4"/>
      <c r="H271" s="4"/>
      <c r="I271" s="10" t="str">
        <f>HYPERLINK("http://twitter.com/download/iphone","Twitter for iPhone")</f>
        <v>Twitter for iPhone</v>
      </c>
      <c r="J271" s="2">
        <v>168</v>
      </c>
      <c r="K271" s="2">
        <v>132</v>
      </c>
      <c r="L271" s="2">
        <v>0</v>
      </c>
      <c r="M271" s="2"/>
      <c r="N271" s="8">
        <v>41454.895648148144</v>
      </c>
      <c r="O271" s="4" t="s">
        <v>34</v>
      </c>
      <c r="P271" s="3" t="s">
        <v>1660</v>
      </c>
      <c r="Q271" s="4"/>
      <c r="R271" s="4"/>
      <c r="S271" s="9" t="str">
        <f>HYPERLINK("https://pbs.twimg.com/profile_images/895777916793085955/vjaIemSz.jpg","View")</f>
        <v>View</v>
      </c>
    </row>
    <row r="272" spans="1:19" ht="20">
      <c r="A272" s="8">
        <v>43348.634953703702</v>
      </c>
      <c r="B272" s="11" t="str">
        <f>HYPERLINK("https://twitter.com/etehadonline","@etehadonline")</f>
        <v>@etehadonline</v>
      </c>
      <c r="C272" s="6" t="s">
        <v>9739</v>
      </c>
      <c r="D272" s="5" t="s">
        <v>15926</v>
      </c>
      <c r="E272" s="9" t="str">
        <f>HYPERLINK("https://twitter.com/etehadonline/status/1037290326833225728","1037290326833225728")</f>
        <v>1037290326833225728</v>
      </c>
      <c r="F272" s="10" t="s">
        <v>15925</v>
      </c>
      <c r="G272" s="4"/>
      <c r="H272" s="4"/>
      <c r="I272" s="10" t="str">
        <f>HYPERLINK("http://etehadonline.com","etehadonline")</f>
        <v>etehadonline</v>
      </c>
      <c r="J272" s="2">
        <v>1263</v>
      </c>
      <c r="K272" s="2">
        <v>4988</v>
      </c>
      <c r="L272" s="2">
        <v>2</v>
      </c>
      <c r="M272" s="2"/>
      <c r="N272" s="8">
        <v>43249.676145833335</v>
      </c>
      <c r="O272" s="4" t="s">
        <v>133</v>
      </c>
      <c r="P272" s="3" t="s">
        <v>9736</v>
      </c>
      <c r="Q272" s="10" t="s">
        <v>9735</v>
      </c>
      <c r="R272" s="4"/>
      <c r="S272" s="9" t="str">
        <f>HYPERLINK("https://pbs.twimg.com/profile_images/1001431729532481537/9qjw3c3F.jpg","View")</f>
        <v>View</v>
      </c>
    </row>
    <row r="273" spans="1:19" ht="12.5">
      <c r="A273" s="8">
        <v>43348.634837962964</v>
      </c>
      <c r="B273" s="11" t="str">
        <f>HYPERLINK("https://twitter.com/roozafzoun","@roozafzoun")</f>
        <v>@roozafzoun</v>
      </c>
      <c r="C273" s="6" t="s">
        <v>15924</v>
      </c>
      <c r="D273" s="5" t="s">
        <v>15923</v>
      </c>
      <c r="E273" s="9" t="str">
        <f>HYPERLINK("https://twitter.com/roozafzoun/status/1037290283883474944","1037290283883474944")</f>
        <v>1037290283883474944</v>
      </c>
      <c r="F273" s="4"/>
      <c r="G273" s="4"/>
      <c r="H273" s="4"/>
      <c r="I273" s="10" t="str">
        <f>HYPERLINK("http://twitter.com","Twitter Web Client")</f>
        <v>Twitter Web Client</v>
      </c>
      <c r="J273" s="2">
        <v>22</v>
      </c>
      <c r="K273" s="2">
        <v>120</v>
      </c>
      <c r="L273" s="2">
        <v>0</v>
      </c>
      <c r="M273" s="2"/>
      <c r="N273" s="8">
        <v>41558.612974537034</v>
      </c>
      <c r="O273" s="4" t="s">
        <v>324</v>
      </c>
      <c r="P273" s="3" t="s">
        <v>15922</v>
      </c>
      <c r="Q273" s="10" t="s">
        <v>15921</v>
      </c>
      <c r="R273" s="4"/>
      <c r="S273" s="9" t="str">
        <f>HYPERLINK("https://pbs.twimg.com/profile_images/378800000579829786/35dd09b795b8e101ac926a66846c1b98.jpeg","View")</f>
        <v>View</v>
      </c>
    </row>
    <row r="274" spans="1:19" ht="30">
      <c r="A274" s="8">
        <v>43348.63453703704</v>
      </c>
      <c r="B274" s="11" t="str">
        <f>HYPERLINK("https://twitter.com/Abra_id","@Abra_id")</f>
        <v>@Abra_id</v>
      </c>
      <c r="C274" s="6" t="s">
        <v>15920</v>
      </c>
      <c r="D274" s="5" t="s">
        <v>15919</v>
      </c>
      <c r="E274" s="9" t="str">
        <f>HYPERLINK("https://twitter.com/Abra_id/status/1037290173787193344","1037290173787193344")</f>
        <v>1037290173787193344</v>
      </c>
      <c r="F274" s="4"/>
      <c r="G274" s="4"/>
      <c r="H274" s="4"/>
      <c r="I274" s="10" t="str">
        <f>HYPERLINK("http://twitter.com/download/android","Twitter for Android")</f>
        <v>Twitter for Android</v>
      </c>
      <c r="J274" s="2">
        <v>2401</v>
      </c>
      <c r="K274" s="2">
        <v>2232</v>
      </c>
      <c r="L274" s="2">
        <v>4</v>
      </c>
      <c r="M274" s="2"/>
      <c r="N274" s="8">
        <v>42737.614259259259</v>
      </c>
      <c r="O274" s="4" t="s">
        <v>640</v>
      </c>
      <c r="P274" s="3" t="s">
        <v>15918</v>
      </c>
      <c r="Q274" s="4"/>
      <c r="R274" s="4"/>
      <c r="S274" s="9" t="str">
        <f>HYPERLINK("https://pbs.twimg.com/profile_images/879381041764610048/3y-tBi-1.jpg","View")</f>
        <v>View</v>
      </c>
    </row>
    <row r="275" spans="1:19" ht="20">
      <c r="A275" s="8">
        <v>43348.634328703702</v>
      </c>
      <c r="B275" s="11" t="str">
        <f>HYPERLINK("https://twitter.com/LessLeez","@LessLeez")</f>
        <v>@LessLeez</v>
      </c>
      <c r="C275" s="6" t="s">
        <v>15917</v>
      </c>
      <c r="D275" s="5" t="s">
        <v>15916</v>
      </c>
      <c r="E275" s="9" t="str">
        <f>HYPERLINK("https://twitter.com/LessLeez/status/1037290100126875648","1037290100126875648")</f>
        <v>1037290100126875648</v>
      </c>
      <c r="F275" s="4"/>
      <c r="G275" s="4"/>
      <c r="H275" s="4"/>
      <c r="I275" s="10" t="str">
        <f>HYPERLINK("https://mobile.twitter.com","Twitter Lite")</f>
        <v>Twitter Lite</v>
      </c>
      <c r="J275" s="2">
        <v>696</v>
      </c>
      <c r="K275" s="2">
        <v>57</v>
      </c>
      <c r="L275" s="2">
        <v>8</v>
      </c>
      <c r="M275" s="2"/>
      <c r="N275" s="8">
        <v>41923.631076388891</v>
      </c>
      <c r="O275" s="4" t="s">
        <v>15915</v>
      </c>
      <c r="P275" s="3" t="s">
        <v>15914</v>
      </c>
      <c r="Q275" s="4"/>
      <c r="R275" s="4"/>
      <c r="S275" s="9" t="str">
        <f>HYPERLINK("https://pbs.twimg.com/profile_images/1035858840296804353/a0vCgpli.jpg","View")</f>
        <v>View</v>
      </c>
    </row>
    <row r="276" spans="1:19" ht="30">
      <c r="A276" s="8">
        <v>43348.634236111116</v>
      </c>
      <c r="B276" s="11" t="str">
        <f>HYPERLINK("https://twitter.com/hp_babak","@hp_babak")</f>
        <v>@hp_babak</v>
      </c>
      <c r="C276" s="6" t="s">
        <v>15913</v>
      </c>
      <c r="D276" s="5" t="s">
        <v>15912</v>
      </c>
      <c r="E276" s="9" t="str">
        <f>HYPERLINK("https://twitter.com/hp_babak/status/1037290068627673089","1037290068627673089")</f>
        <v>1037290068627673089</v>
      </c>
      <c r="F276" s="4"/>
      <c r="G276" s="10" t="s">
        <v>15911</v>
      </c>
      <c r="H276" s="4"/>
      <c r="I276" s="10" t="str">
        <f>HYPERLINK("http://twitter.com/download/android","Twitter for Android")</f>
        <v>Twitter for Android</v>
      </c>
      <c r="J276" s="2">
        <v>4514</v>
      </c>
      <c r="K276" s="2">
        <v>3796</v>
      </c>
      <c r="L276" s="2">
        <v>12</v>
      </c>
      <c r="M276" s="2"/>
      <c r="N276" s="8">
        <v>43141.617291666669</v>
      </c>
      <c r="O276" s="4" t="s">
        <v>15910</v>
      </c>
      <c r="P276" s="3" t="s">
        <v>15909</v>
      </c>
      <c r="Q276" s="4"/>
      <c r="R276" s="4"/>
      <c r="S276" s="9" t="str">
        <f>HYPERLINK("https://pbs.twimg.com/profile_images/1001213015428124673/rRdm76By.jpg","View")</f>
        <v>View</v>
      </c>
    </row>
    <row r="277" spans="1:19" ht="60">
      <c r="A277" s="8">
        <v>43348.63349537037</v>
      </c>
      <c r="B277" s="11" t="str">
        <f>HYPERLINK("https://twitter.com/ARFsh83","@ARFsh83")</f>
        <v>@ARFsh83</v>
      </c>
      <c r="C277" s="6" t="s">
        <v>15908</v>
      </c>
      <c r="D277" s="5" t="s">
        <v>15907</v>
      </c>
      <c r="E277" s="9" t="str">
        <f>HYPERLINK("https://twitter.com/ARFsh83/status/1037289796446695424","1037289796446695424")</f>
        <v>1037289796446695424</v>
      </c>
      <c r="F277" s="10" t="s">
        <v>15906</v>
      </c>
      <c r="G277" s="4"/>
      <c r="H277" s="4"/>
      <c r="I277" s="10" t="str">
        <f>HYPERLINK("http://twitter.com/download/iphone","Twitter for iPhone")</f>
        <v>Twitter for iPhone</v>
      </c>
      <c r="J277" s="2">
        <v>1864</v>
      </c>
      <c r="K277" s="2">
        <v>299</v>
      </c>
      <c r="L277" s="2">
        <v>32</v>
      </c>
      <c r="M277" s="2"/>
      <c r="N277" s="8">
        <v>42311.929976851854</v>
      </c>
      <c r="O277" s="4"/>
      <c r="P277" s="3" t="s">
        <v>15905</v>
      </c>
      <c r="Q277" s="10" t="s">
        <v>15904</v>
      </c>
      <c r="R277" s="4"/>
      <c r="S277" s="9" t="str">
        <f>HYPERLINK("https://pbs.twimg.com/profile_images/1033074127370944516/ttr4Oa3z.jpg","View")</f>
        <v>View</v>
      </c>
    </row>
    <row r="278" spans="1:19" ht="12.5">
      <c r="A278" s="8">
        <v>43348.633020833338</v>
      </c>
      <c r="B278" s="11" t="str">
        <f>HYPERLINK("https://twitter.com/Hamid10011001","@Hamid10011001")</f>
        <v>@Hamid10011001</v>
      </c>
      <c r="C278" s="6" t="s">
        <v>11761</v>
      </c>
      <c r="D278" s="5" t="s">
        <v>15903</v>
      </c>
      <c r="E278" s="9" t="str">
        <f>HYPERLINK("https://twitter.com/Hamid10011001/status/1037289627772706817","1037289627772706817")</f>
        <v>1037289627772706817</v>
      </c>
      <c r="F278" s="4"/>
      <c r="G278" s="4"/>
      <c r="H278" s="4"/>
      <c r="I278" s="10" t="str">
        <f>HYPERLINK("http://twitter.com/download/android","Twitter for Android")</f>
        <v>Twitter for Android</v>
      </c>
      <c r="J278" s="2">
        <v>136</v>
      </c>
      <c r="K278" s="2">
        <v>148</v>
      </c>
      <c r="L278" s="2">
        <v>0</v>
      </c>
      <c r="M278" s="2"/>
      <c r="N278" s="8">
        <v>42819.052199074074</v>
      </c>
      <c r="O278" s="4"/>
      <c r="P278" s="3" t="s">
        <v>11759</v>
      </c>
      <c r="Q278" s="4"/>
      <c r="R278" s="4"/>
      <c r="S278" s="9" t="str">
        <f>HYPERLINK("https://pbs.twimg.com/profile_images/988720045550424065/0brne_mW.jpg","View")</f>
        <v>View</v>
      </c>
    </row>
    <row r="279" spans="1:19" ht="30">
      <c r="A279" s="8">
        <v>43348.63009259259</v>
      </c>
      <c r="B279" s="11" t="str">
        <f>HYPERLINK("https://twitter.com/ParsiSepand","@ParsiSepand")</f>
        <v>@ParsiSepand</v>
      </c>
      <c r="C279" s="6" t="s">
        <v>15902</v>
      </c>
      <c r="D279" s="5" t="s">
        <v>15901</v>
      </c>
      <c r="E279" s="9" t="str">
        <f>HYPERLINK("https://twitter.com/ParsiSepand/status/1037288567121367040","1037288567121367040")</f>
        <v>1037288567121367040</v>
      </c>
      <c r="F279" s="10" t="s">
        <v>15900</v>
      </c>
      <c r="G279" s="4"/>
      <c r="H279" s="4"/>
      <c r="I279" s="10" t="str">
        <f>HYPERLINK("http://twitter.com/download/android","Twitter for Android")</f>
        <v>Twitter for Android</v>
      </c>
      <c r="J279" s="2">
        <v>15</v>
      </c>
      <c r="K279" s="2">
        <v>155</v>
      </c>
      <c r="L279" s="2">
        <v>0</v>
      </c>
      <c r="M279" s="2"/>
      <c r="N279" s="8">
        <v>43341.563750000001</v>
      </c>
      <c r="O279" s="4"/>
      <c r="P279" s="3" t="s">
        <v>15899</v>
      </c>
      <c r="Q279" s="4"/>
      <c r="R279" s="4"/>
      <c r="S279" s="9" t="str">
        <f>HYPERLINK("https://pbs.twimg.com/profile_images/1034730399493173249/KFcuhZUA.jpg","View")</f>
        <v>View</v>
      </c>
    </row>
    <row r="280" spans="1:19" ht="20">
      <c r="A280" s="8">
        <v>43348.629733796297</v>
      </c>
      <c r="B280" s="11" t="str">
        <f>HYPERLINK("https://twitter.com/HesamFatemi","@HesamFatemi")</f>
        <v>@HesamFatemi</v>
      </c>
      <c r="C280" s="6" t="s">
        <v>7255</v>
      </c>
      <c r="D280" s="5" t="s">
        <v>15898</v>
      </c>
      <c r="E280" s="9" t="str">
        <f>HYPERLINK("https://twitter.com/HesamFatemi/status/1037288436871426048","1037288436871426048")</f>
        <v>1037288436871426048</v>
      </c>
      <c r="F280" s="4"/>
      <c r="G280" s="4"/>
      <c r="H280" s="4"/>
      <c r="I280" s="10" t="str">
        <f>HYPERLINK("http://twitter.com/download/android","Twitter for Android")</f>
        <v>Twitter for Android</v>
      </c>
      <c r="J280" s="2">
        <v>4546</v>
      </c>
      <c r="K280" s="2">
        <v>4379</v>
      </c>
      <c r="L280" s="2">
        <v>4</v>
      </c>
      <c r="M280" s="2"/>
      <c r="N280" s="8">
        <v>42959.340115740742</v>
      </c>
      <c r="O280" s="4" t="s">
        <v>324</v>
      </c>
      <c r="P280" s="3" t="s">
        <v>7252</v>
      </c>
      <c r="Q280" s="10" t="s">
        <v>7251</v>
      </c>
      <c r="R280" s="4"/>
      <c r="S280" s="9" t="str">
        <f>HYPERLINK("https://pbs.twimg.com/profile_images/898754912275881990/dSsFVgio.jpg","View")</f>
        <v>View</v>
      </c>
    </row>
    <row r="281" spans="1:19" ht="80">
      <c r="A281" s="8">
        <v>43348.629247685181</v>
      </c>
      <c r="B281" s="11" t="str">
        <f>HYPERLINK("https://twitter.com/SamDoone","@SamDoone")</f>
        <v>@SamDoone</v>
      </c>
      <c r="C281" s="6" t="s">
        <v>6210</v>
      </c>
      <c r="D281" s="5" t="s">
        <v>15897</v>
      </c>
      <c r="E281" s="9" t="str">
        <f>HYPERLINK("https://twitter.com/SamDoone/status/1037288260257673217","1037288260257673217")</f>
        <v>1037288260257673217</v>
      </c>
      <c r="F281" s="10" t="s">
        <v>15896</v>
      </c>
      <c r="G281" s="10" t="s">
        <v>15895</v>
      </c>
      <c r="H281" s="4"/>
      <c r="I281" s="10" t="str">
        <f>HYPERLINK("http://twitter.com","Twitter Web Client")</f>
        <v>Twitter Web Client</v>
      </c>
      <c r="J281" s="2">
        <v>55</v>
      </c>
      <c r="K281" s="2">
        <v>213</v>
      </c>
      <c r="L281" s="2">
        <v>0</v>
      </c>
      <c r="M281" s="2"/>
      <c r="N281" s="8">
        <v>42407.92597222222</v>
      </c>
      <c r="O281" s="4"/>
      <c r="P281" s="3"/>
      <c r="Q281" s="4"/>
      <c r="R281" s="4"/>
      <c r="S281" s="9" t="str">
        <f>HYPERLINK("https://pbs.twimg.com/profile_images/1021361045007286273/IWED7CRV.jpg","View")</f>
        <v>View</v>
      </c>
    </row>
    <row r="282" spans="1:19" ht="30">
      <c r="A282" s="8">
        <v>43348.627847222218</v>
      </c>
      <c r="B282" s="11" t="str">
        <f>HYPERLINK("https://twitter.com/Im_alik","@Im_alik")</f>
        <v>@Im_alik</v>
      </c>
      <c r="C282" s="6" t="s">
        <v>3885</v>
      </c>
      <c r="D282" s="5" t="s">
        <v>15894</v>
      </c>
      <c r="E282" s="9" t="str">
        <f>HYPERLINK("https://twitter.com/Im_alik/status/1037287750037381121","1037287750037381121")</f>
        <v>1037287750037381121</v>
      </c>
      <c r="F282" s="4"/>
      <c r="G282" s="10" t="s">
        <v>15893</v>
      </c>
      <c r="H282" s="4"/>
      <c r="I282" s="10" t="str">
        <f>HYPERLINK("http://twitter.com/download/android","Twitter for Android")</f>
        <v>Twitter for Android</v>
      </c>
      <c r="J282" s="2">
        <v>584</v>
      </c>
      <c r="K282" s="2">
        <v>358</v>
      </c>
      <c r="L282" s="2">
        <v>2</v>
      </c>
      <c r="M282" s="2"/>
      <c r="N282" s="8">
        <v>42844.685277777782</v>
      </c>
      <c r="O282" s="4" t="s">
        <v>3883</v>
      </c>
      <c r="P282" s="3" t="s">
        <v>3882</v>
      </c>
      <c r="Q282" s="4"/>
      <c r="R282" s="4"/>
      <c r="S282" s="9" t="str">
        <f>HYPERLINK("https://pbs.twimg.com/profile_images/1032558055370711040/szyPQDKv.jpg","View")</f>
        <v>View</v>
      </c>
    </row>
    <row r="283" spans="1:19" ht="20">
      <c r="A283" s="8">
        <v>43348.627592592587</v>
      </c>
      <c r="B283" s="11" t="str">
        <f>HYPERLINK("https://twitter.com/zoheirIRAN","@zoheirIRAN")</f>
        <v>@zoheirIRAN</v>
      </c>
      <c r="C283" s="6" t="s">
        <v>15892</v>
      </c>
      <c r="D283" s="5" t="s">
        <v>15891</v>
      </c>
      <c r="E283" s="9" t="str">
        <f>HYPERLINK("https://twitter.com/zoheirIRAN/status/1037287658551173120","1037287658551173120")</f>
        <v>1037287658551173120</v>
      </c>
      <c r="F283" s="4"/>
      <c r="G283" s="4"/>
      <c r="H283" s="4"/>
      <c r="I283" s="10" t="str">
        <f>HYPERLINK("http://twitter.com/download/android","Twitter for Android")</f>
        <v>Twitter for Android</v>
      </c>
      <c r="J283" s="2">
        <v>3830</v>
      </c>
      <c r="K283" s="2">
        <v>270</v>
      </c>
      <c r="L283" s="2">
        <v>28</v>
      </c>
      <c r="M283" s="2"/>
      <c r="N283" s="8">
        <v>41442.947453703702</v>
      </c>
      <c r="O283" s="4"/>
      <c r="P283" s="3" t="s">
        <v>15890</v>
      </c>
      <c r="Q283" s="4"/>
      <c r="R283" s="4"/>
      <c r="S283" s="9" t="str">
        <f>HYPERLINK("https://pbs.twimg.com/profile_images/1011506607858077696/yobI7svn.jpg","View")</f>
        <v>View</v>
      </c>
    </row>
    <row r="284" spans="1:19" ht="40">
      <c r="A284" s="8">
        <v>43348.627523148149</v>
      </c>
      <c r="B284" s="11" t="str">
        <f>HYPERLINK("https://twitter.com/SOUvhVjL5OYNV8e","@SOUvhVjL5OYNV8e")</f>
        <v>@SOUvhVjL5OYNV8e</v>
      </c>
      <c r="C284" s="6" t="s">
        <v>15889</v>
      </c>
      <c r="D284" s="5" t="s">
        <v>15888</v>
      </c>
      <c r="E284" s="9" t="str">
        <f>HYPERLINK("https://twitter.com/SOUvhVjL5OYNV8e/status/1037287632810569734","1037287632810569734")</f>
        <v>1037287632810569734</v>
      </c>
      <c r="F284" s="4"/>
      <c r="G284" s="4"/>
      <c r="H284" s="4"/>
      <c r="I284" s="10" t="str">
        <f>HYPERLINK("http://twitter.com","Twitter Web Client")</f>
        <v>Twitter Web Client</v>
      </c>
      <c r="J284" s="2">
        <v>7</v>
      </c>
      <c r="K284" s="2">
        <v>31</v>
      </c>
      <c r="L284" s="2">
        <v>0</v>
      </c>
      <c r="M284" s="2"/>
      <c r="N284" s="8">
        <v>43314.725416666668</v>
      </c>
      <c r="O284" s="4" t="s">
        <v>1415</v>
      </c>
      <c r="P284" s="3" t="s">
        <v>15887</v>
      </c>
      <c r="Q284" s="4"/>
      <c r="R284" s="4"/>
      <c r="S284" s="9" t="str">
        <f>HYPERLINK("https://pbs.twimg.com/profile_images/1025003755459100672/xrtY_XgR.jpg","View")</f>
        <v>View</v>
      </c>
    </row>
    <row r="285" spans="1:19" ht="50">
      <c r="A285" s="8">
        <v>43348.626423611116</v>
      </c>
      <c r="B285" s="11" t="str">
        <f>HYPERLINK("https://twitter.com/MohammadVahidii","@MohammadVahidii")</f>
        <v>@MohammadVahidii</v>
      </c>
      <c r="C285" s="6" t="s">
        <v>13822</v>
      </c>
      <c r="D285" s="5" t="s">
        <v>15886</v>
      </c>
      <c r="E285" s="9" t="str">
        <f>HYPERLINK("https://twitter.com/MohammadVahidii/status/1037287233898729472","1037287233898729472")</f>
        <v>1037287233898729472</v>
      </c>
      <c r="F285" s="10" t="s">
        <v>15885</v>
      </c>
      <c r="G285" s="4"/>
      <c r="H285" s="4"/>
      <c r="I285" s="10" t="str">
        <f>HYPERLINK("http://twitter.com/download/android","Twitter for Android")</f>
        <v>Twitter for Android</v>
      </c>
      <c r="J285" s="2">
        <v>1102</v>
      </c>
      <c r="K285" s="2">
        <v>152</v>
      </c>
      <c r="L285" s="2">
        <v>6</v>
      </c>
      <c r="M285" s="2"/>
      <c r="N285" s="8">
        <v>43221.03524305555</v>
      </c>
      <c r="O285" s="4" t="s">
        <v>34</v>
      </c>
      <c r="P285" s="3" t="s">
        <v>13820</v>
      </c>
      <c r="Q285" s="10" t="s">
        <v>13819</v>
      </c>
      <c r="R285" s="4"/>
      <c r="S285" s="9" t="str">
        <f>HYPERLINK("https://pbs.twimg.com/profile_images/991054260019212288/iJQPpRhr.jpg","View")</f>
        <v>View</v>
      </c>
    </row>
    <row r="286" spans="1:19" ht="20">
      <c r="A286" s="8">
        <v>43348.625578703708</v>
      </c>
      <c r="B286" s="11" t="str">
        <f>HYPERLINK("https://twitter.com/marzmah","@marzmah")</f>
        <v>@marzmah</v>
      </c>
      <c r="C286" s="6" t="s">
        <v>1808</v>
      </c>
      <c r="D286" s="5" t="s">
        <v>15884</v>
      </c>
      <c r="E286" s="9" t="str">
        <f>HYPERLINK("https://twitter.com/marzmah/status/1037286931196006400","1037286931196006400")</f>
        <v>1037286931196006400</v>
      </c>
      <c r="F286" s="4"/>
      <c r="G286" s="4"/>
      <c r="H286" s="4"/>
      <c r="I286" s="10" t="str">
        <f>HYPERLINK("http://twitter.com/download/android","Twitter for Android")</f>
        <v>Twitter for Android</v>
      </c>
      <c r="J286" s="2">
        <v>54</v>
      </c>
      <c r="K286" s="2">
        <v>90</v>
      </c>
      <c r="L286" s="2">
        <v>1</v>
      </c>
      <c r="M286" s="2"/>
      <c r="N286" s="8">
        <v>43289.667199074072</v>
      </c>
      <c r="O286" s="4"/>
      <c r="P286" s="3" t="s">
        <v>1805</v>
      </c>
      <c r="Q286" s="4"/>
      <c r="R286" s="4"/>
      <c r="S286" s="9" t="str">
        <f>HYPERLINK("https://pbs.twimg.com/profile_images/1015922840636411907/n8uTIVPl.jpg","View")</f>
        <v>View</v>
      </c>
    </row>
    <row r="287" spans="1:19" ht="70">
      <c r="A287" s="8">
        <v>43348.623576388884</v>
      </c>
      <c r="B287" s="11" t="str">
        <f>HYPERLINK("https://twitter.com/b_amini_b","@b_amini_b")</f>
        <v>@b_amini_b</v>
      </c>
      <c r="C287" s="6" t="s">
        <v>15883</v>
      </c>
      <c r="D287" s="5" t="s">
        <v>15882</v>
      </c>
      <c r="E287" s="9" t="str">
        <f>HYPERLINK("https://twitter.com/b_amini_b/status/1037286204943814657","1037286204943814657")</f>
        <v>1037286204943814657</v>
      </c>
      <c r="F287" s="10" t="s">
        <v>15860</v>
      </c>
      <c r="G287" s="4"/>
      <c r="H287" s="4"/>
      <c r="I287" s="10" t="str">
        <f>HYPERLINK("http://twitter.com/download/android","Twitter for Android")</f>
        <v>Twitter for Android</v>
      </c>
      <c r="J287" s="2">
        <v>223</v>
      </c>
      <c r="K287" s="2">
        <v>414</v>
      </c>
      <c r="L287" s="2">
        <v>0</v>
      </c>
      <c r="M287" s="2"/>
      <c r="N287" s="8">
        <v>42896.632523148146</v>
      </c>
      <c r="O287" s="4"/>
      <c r="P287" s="3" t="s">
        <v>15881</v>
      </c>
      <c r="Q287" s="4"/>
      <c r="R287" s="4"/>
      <c r="S287" s="9" t="str">
        <f>HYPERLINK("https://pbs.twimg.com/profile_images/1035119714996051968/pMg1hzKO.jpg","View")</f>
        <v>View</v>
      </c>
    </row>
    <row r="288" spans="1:19" ht="20">
      <c r="A288" s="8">
        <v>43348.623530092591</v>
      </c>
      <c r="B288" s="11" t="str">
        <f>HYPERLINK("https://twitter.com/Btzmw0ygixxzVPf","@Btzmw0ygixxzVPf")</f>
        <v>@Btzmw0ygixxzVPf</v>
      </c>
      <c r="C288" s="6" t="s">
        <v>15880</v>
      </c>
      <c r="D288" s="5" t="s">
        <v>15879</v>
      </c>
      <c r="E288" s="9" t="str">
        <f>HYPERLINK("https://twitter.com/Btzmw0ygixxzVPf/status/1037286187596165120","1037286187596165120")</f>
        <v>1037286187596165120</v>
      </c>
      <c r="F288" s="4"/>
      <c r="G288" s="10" t="s">
        <v>15878</v>
      </c>
      <c r="H288" s="4"/>
      <c r="I288" s="10" t="str">
        <f>HYPERLINK("http://twitter.com/download/android","Twitter for Android")</f>
        <v>Twitter for Android</v>
      </c>
      <c r="J288" s="2">
        <v>43</v>
      </c>
      <c r="K288" s="2">
        <v>35</v>
      </c>
      <c r="L288" s="2">
        <v>0</v>
      </c>
      <c r="M288" s="2"/>
      <c r="N288" s="8">
        <v>43103.587129629625</v>
      </c>
      <c r="O288" s="4" t="s">
        <v>25</v>
      </c>
      <c r="P288" s="3" t="s">
        <v>15877</v>
      </c>
      <c r="Q288" s="4"/>
      <c r="R288" s="4"/>
      <c r="S288" s="9" t="str">
        <f>HYPERLINK("https://pbs.twimg.com/profile_images/948514701117288448/xSHINaSX.jpg","View")</f>
        <v>View</v>
      </c>
    </row>
    <row r="289" spans="1:19" ht="20">
      <c r="A289" s="8">
        <v>43348.623101851852</v>
      </c>
      <c r="B289" s="11" t="str">
        <f>HYPERLINK("https://twitter.com/soheilgrand","@soheilgrand")</f>
        <v>@soheilgrand</v>
      </c>
      <c r="C289" s="6" t="s">
        <v>15876</v>
      </c>
      <c r="D289" s="5" t="s">
        <v>15875</v>
      </c>
      <c r="E289" s="9" t="str">
        <f>HYPERLINK("https://twitter.com/soheilgrand/status/1037286031014408193","1037286031014408193")</f>
        <v>1037286031014408193</v>
      </c>
      <c r="F289" s="4"/>
      <c r="G289" s="4"/>
      <c r="H289" s="4"/>
      <c r="I289" s="10" t="str">
        <f>HYPERLINK("http://twitter.com/download/iphone","Twitter for iPhone")</f>
        <v>Twitter for iPhone</v>
      </c>
      <c r="J289" s="2">
        <v>106</v>
      </c>
      <c r="K289" s="2">
        <v>302</v>
      </c>
      <c r="L289" s="2">
        <v>0</v>
      </c>
      <c r="M289" s="2"/>
      <c r="N289" s="8">
        <v>40086.811828703707</v>
      </c>
      <c r="O289" s="4" t="s">
        <v>34</v>
      </c>
      <c r="P289" s="3"/>
      <c r="Q289" s="10" t="s">
        <v>15874</v>
      </c>
      <c r="R289" s="4"/>
      <c r="S289" s="9" t="str">
        <f>HYPERLINK("https://pbs.twimg.com/profile_images/592231579927355392/PoZ-GpD0.jpg","View")</f>
        <v>View</v>
      </c>
    </row>
    <row r="290" spans="1:19" ht="40">
      <c r="A290" s="8">
        <v>43348.622662037036</v>
      </c>
      <c r="B290" s="11" t="str">
        <f>HYPERLINK("https://twitter.com/vahab_313","@vahab_313")</f>
        <v>@vahab_313</v>
      </c>
      <c r="C290" s="6" t="s">
        <v>15873</v>
      </c>
      <c r="D290" s="5" t="s">
        <v>15872</v>
      </c>
      <c r="E290" s="9" t="str">
        <f>HYPERLINK("https://twitter.com/vahab_313/status/1037285872268402689","1037285872268402689")</f>
        <v>1037285872268402689</v>
      </c>
      <c r="F290" s="4"/>
      <c r="G290" s="4"/>
      <c r="H290" s="4"/>
      <c r="I290" s="10" t="str">
        <f>HYPERLINK("http://twitter.com/download/android","Twitter for Android")</f>
        <v>Twitter for Android</v>
      </c>
      <c r="J290" s="2">
        <v>32</v>
      </c>
      <c r="K290" s="2">
        <v>15</v>
      </c>
      <c r="L290" s="2">
        <v>0</v>
      </c>
      <c r="M290" s="2"/>
      <c r="N290" s="8">
        <v>43315.763344907406</v>
      </c>
      <c r="O290" s="4"/>
      <c r="P290" s="3"/>
      <c r="Q290" s="4"/>
      <c r="R290" s="4"/>
      <c r="S290" s="9" t="str">
        <f>HYPERLINK("https://pbs.twimg.com/profile_images/1034146903745802242/HyIAzIJ7.jpg","View")</f>
        <v>View</v>
      </c>
    </row>
    <row r="291" spans="1:19" ht="20">
      <c r="A291" s="8">
        <v>43348.622395833328</v>
      </c>
      <c r="B291" s="11" t="str">
        <f>HYPERLINK("https://twitter.com/MoHAMAD2258","@MoHAMAD2258")</f>
        <v>@MoHAMAD2258</v>
      </c>
      <c r="C291" s="6" t="s">
        <v>15871</v>
      </c>
      <c r="D291" s="5" t="s">
        <v>15870</v>
      </c>
      <c r="E291" s="9" t="str">
        <f>HYPERLINK("https://twitter.com/MoHAMAD2258/status/1037285775648411648","1037285775648411648")</f>
        <v>1037285775648411648</v>
      </c>
      <c r="F291" s="4"/>
      <c r="G291" s="4"/>
      <c r="H291" s="4"/>
      <c r="I291" s="10" t="str">
        <f>HYPERLINK("http://twitter.com/download/android","Twitter for Android")</f>
        <v>Twitter for Android</v>
      </c>
      <c r="J291" s="2">
        <v>1947</v>
      </c>
      <c r="K291" s="2">
        <v>2865</v>
      </c>
      <c r="L291" s="2">
        <v>4</v>
      </c>
      <c r="M291" s="2"/>
      <c r="N291" s="8">
        <v>43166.441747685181</v>
      </c>
      <c r="O291" s="4" t="s">
        <v>34</v>
      </c>
      <c r="P291" s="3" t="s">
        <v>15869</v>
      </c>
      <c r="Q291" s="4"/>
      <c r="R291" s="4"/>
      <c r="S291" s="9" t="str">
        <f>HYPERLINK("https://pbs.twimg.com/profile_images/1037064706094243840/SCtAK2EV.jpg","View")</f>
        <v>View</v>
      </c>
    </row>
    <row r="292" spans="1:19" ht="30">
      <c r="A292" s="8">
        <v>43348.621990740736</v>
      </c>
      <c r="B292" s="11" t="str">
        <f>HYPERLINK("https://twitter.com/mohammadhaghi4","@mohammadhaghi4")</f>
        <v>@mohammadhaghi4</v>
      </c>
      <c r="C292" s="6" t="s">
        <v>15868</v>
      </c>
      <c r="D292" s="5" t="s">
        <v>15867</v>
      </c>
      <c r="E292" s="9" t="str">
        <f>HYPERLINK("https://twitter.com/mohammadhaghi4/status/1037285627698532353","1037285627698532353")</f>
        <v>1037285627698532353</v>
      </c>
      <c r="F292" s="4"/>
      <c r="G292" s="4"/>
      <c r="H292" s="4"/>
      <c r="I292" s="10" t="str">
        <f>HYPERLINK("http://twitter.com/download/iphone","Twitter for iPhone")</f>
        <v>Twitter for iPhone</v>
      </c>
      <c r="J292" s="2">
        <v>619</v>
      </c>
      <c r="K292" s="2">
        <v>147</v>
      </c>
      <c r="L292" s="2">
        <v>6</v>
      </c>
      <c r="M292" s="2"/>
      <c r="N292" s="8">
        <v>42863.809259259258</v>
      </c>
      <c r="O292" s="4"/>
      <c r="P292" s="3" t="s">
        <v>15866</v>
      </c>
      <c r="Q292" s="4"/>
      <c r="R292" s="4"/>
      <c r="S292" s="9" t="str">
        <f>HYPERLINK("https://pbs.twimg.com/profile_images/1014390701071708160/-l8gTeeK.jpg","View")</f>
        <v>View</v>
      </c>
    </row>
    <row r="293" spans="1:19" ht="40">
      <c r="A293" s="8">
        <v>43348.621631944443</v>
      </c>
      <c r="B293" s="11" t="str">
        <f>HYPERLINK("https://twitter.com/najafimr1","@najafimr1")</f>
        <v>@najafimr1</v>
      </c>
      <c r="C293" s="6" t="s">
        <v>15865</v>
      </c>
      <c r="D293" s="5" t="s">
        <v>15864</v>
      </c>
      <c r="E293" s="9" t="str">
        <f>HYPERLINK("https://twitter.com/najafimr1/status/1037285498350448640","1037285498350448640")</f>
        <v>1037285498350448640</v>
      </c>
      <c r="F293" s="4"/>
      <c r="G293" s="4"/>
      <c r="H293" s="4"/>
      <c r="I293" s="10" t="str">
        <f>HYPERLINK("https://mobile.twitter.com","Twitter Lite")</f>
        <v>Twitter Lite</v>
      </c>
      <c r="J293" s="2">
        <v>8</v>
      </c>
      <c r="K293" s="2">
        <v>30</v>
      </c>
      <c r="L293" s="2">
        <v>0</v>
      </c>
      <c r="M293" s="2"/>
      <c r="N293" s="8">
        <v>43258.716354166667</v>
      </c>
      <c r="O293" s="4"/>
      <c r="P293" s="3"/>
      <c r="Q293" s="4"/>
      <c r="R293" s="4"/>
      <c r="S293" s="2" t="s">
        <v>155</v>
      </c>
    </row>
    <row r="294" spans="1:19" ht="20">
      <c r="A294" s="8">
        <v>43348.62023148148</v>
      </c>
      <c r="B294" s="11" t="str">
        <f>HYPERLINK("https://twitter.com/MahdiPour4","@MahdiPour4")</f>
        <v>@MahdiPour4</v>
      </c>
      <c r="C294" s="6" t="s">
        <v>9894</v>
      </c>
      <c r="D294" s="5" t="s">
        <v>15863</v>
      </c>
      <c r="E294" s="9" t="str">
        <f>HYPERLINK("https://twitter.com/MahdiPour4/status/1037284991296782336","1037284991296782336")</f>
        <v>1037284991296782336</v>
      </c>
      <c r="F294" s="4"/>
      <c r="G294" s="4"/>
      <c r="H294" s="4"/>
      <c r="I294" s="10" t="str">
        <f>HYPERLINK("http://twitter.com/download/android","Twitter for Android")</f>
        <v>Twitter for Android</v>
      </c>
      <c r="J294" s="2">
        <v>930</v>
      </c>
      <c r="K294" s="2">
        <v>872</v>
      </c>
      <c r="L294" s="2">
        <v>1</v>
      </c>
      <c r="M294" s="2"/>
      <c r="N294" s="8">
        <v>43110.333125000005</v>
      </c>
      <c r="O294" s="4"/>
      <c r="P294" s="3" t="s">
        <v>9892</v>
      </c>
      <c r="Q294" s="4"/>
      <c r="R294" s="4"/>
      <c r="S294" s="9" t="str">
        <f>HYPERLINK("https://pbs.twimg.com/profile_images/1022801682596605953/8swDXzog.jpg","View")</f>
        <v>View</v>
      </c>
    </row>
    <row r="295" spans="1:19" ht="20">
      <c r="A295" s="8">
        <v>43348.620081018518</v>
      </c>
      <c r="B295" s="11" t="str">
        <f>HYPERLINK("https://twitter.com/bituexport","@bituexport")</f>
        <v>@bituexport</v>
      </c>
      <c r="C295" s="6" t="s">
        <v>1026</v>
      </c>
      <c r="D295" s="5" t="s">
        <v>15862</v>
      </c>
      <c r="E295" s="9" t="str">
        <f>HYPERLINK("https://twitter.com/bituexport/status/1037284937488117760","1037284937488117760")</f>
        <v>1037284937488117760</v>
      </c>
      <c r="F295" s="4"/>
      <c r="G295" s="4"/>
      <c r="H295" s="4"/>
      <c r="I295" s="10" t="str">
        <f>HYPERLINK("http://twitter.com/download/iphone","Twitter for iPhone")</f>
        <v>Twitter for iPhone</v>
      </c>
      <c r="J295" s="2">
        <v>791</v>
      </c>
      <c r="K295" s="2">
        <v>715</v>
      </c>
      <c r="L295" s="2">
        <v>1</v>
      </c>
      <c r="M295" s="2"/>
      <c r="N295" s="8">
        <v>40009.714120370372</v>
      </c>
      <c r="O295" s="4" t="s">
        <v>133</v>
      </c>
      <c r="P295" s="3" t="s">
        <v>1023</v>
      </c>
      <c r="Q295" s="4"/>
      <c r="R295" s="4"/>
      <c r="S295" s="9" t="str">
        <f>HYPERLINK("https://pbs.twimg.com/profile_images/1023269511095623680/1GmSsfxF.jpg","View")</f>
        <v>View</v>
      </c>
    </row>
    <row r="296" spans="1:19" ht="60">
      <c r="A296" s="8">
        <v>43348.619317129633</v>
      </c>
      <c r="B296" s="11" t="str">
        <f>HYPERLINK("https://twitter.com/mj8166","@mj8166")</f>
        <v>@mj8166</v>
      </c>
      <c r="C296" s="6" t="s">
        <v>1122</v>
      </c>
      <c r="D296" s="5" t="s">
        <v>15861</v>
      </c>
      <c r="E296" s="9" t="str">
        <f>HYPERLINK("https://twitter.com/mj8166/status/1037284658285830144","1037284658285830144")</f>
        <v>1037284658285830144</v>
      </c>
      <c r="F296" s="10" t="s">
        <v>15860</v>
      </c>
      <c r="G296" s="4"/>
      <c r="H296" s="4"/>
      <c r="I296" s="10" t="str">
        <f>HYPERLINK("http://twitter.com/download/android","Twitter for Android")</f>
        <v>Twitter for Android</v>
      </c>
      <c r="J296" s="2">
        <v>87</v>
      </c>
      <c r="K296" s="2">
        <v>503</v>
      </c>
      <c r="L296" s="2">
        <v>0</v>
      </c>
      <c r="M296" s="2"/>
      <c r="N296" s="8">
        <v>42331.851631944446</v>
      </c>
      <c r="O296" s="4" t="s">
        <v>34</v>
      </c>
      <c r="P296" s="3"/>
      <c r="Q296" s="4"/>
      <c r="R296" s="4"/>
      <c r="S296" s="9" t="str">
        <f>HYPERLINK("https://pbs.twimg.com/profile_images/865843253714833408/psX-TtHi.jpg","View")</f>
        <v>View</v>
      </c>
    </row>
    <row r="297" spans="1:19" ht="20">
      <c r="A297" s="8">
        <v>43348.618101851855</v>
      </c>
      <c r="B297" s="11" t="str">
        <f>HYPERLINK("https://twitter.com/soureenaa","@soureenaa")</f>
        <v>@soureenaa</v>
      </c>
      <c r="C297" s="6" t="s">
        <v>15859</v>
      </c>
      <c r="D297" s="5" t="s">
        <v>13331</v>
      </c>
      <c r="E297" s="9" t="str">
        <f>HYPERLINK("https://twitter.com/soureenaa/status/1037284219821510656","1037284219821510656")</f>
        <v>1037284219821510656</v>
      </c>
      <c r="F297" s="4"/>
      <c r="G297" s="4"/>
      <c r="H297" s="4"/>
      <c r="I297" s="10" t="str">
        <f>HYPERLINK("https://mobofa.com","Mobofa")</f>
        <v>Mobofa</v>
      </c>
      <c r="J297" s="2">
        <v>27</v>
      </c>
      <c r="K297" s="2">
        <v>67</v>
      </c>
      <c r="L297" s="2">
        <v>0</v>
      </c>
      <c r="M297" s="2"/>
      <c r="N297" s="8">
        <v>43246.583425925928</v>
      </c>
      <c r="O297" s="4" t="s">
        <v>34</v>
      </c>
      <c r="P297" s="3" t="s">
        <v>15858</v>
      </c>
      <c r="Q297" s="4"/>
      <c r="R297" s="4"/>
      <c r="S297" s="9" t="str">
        <f>HYPERLINK("https://pbs.twimg.com/profile_images/1000310430986915845/S2B31dn1.jpg","View")</f>
        <v>View</v>
      </c>
    </row>
    <row r="298" spans="1:19" ht="20">
      <c r="A298" s="8">
        <v>43348.618101851855</v>
      </c>
      <c r="B298" s="11" t="str">
        <f>HYPERLINK("https://twitter.com/ebimhm","@ebimhm")</f>
        <v>@ebimhm</v>
      </c>
      <c r="C298" s="6" t="s">
        <v>15857</v>
      </c>
      <c r="D298" s="5" t="s">
        <v>13331</v>
      </c>
      <c r="E298" s="9" t="str">
        <f>HYPERLINK("https://twitter.com/ebimhm/status/1037284219779612672","1037284219779612672")</f>
        <v>1037284219779612672</v>
      </c>
      <c r="F298" s="4"/>
      <c r="G298" s="4"/>
      <c r="H298" s="4"/>
      <c r="I298" s="10" t="str">
        <f>HYPERLINK("https://mobofa.com","Mobofa")</f>
        <v>Mobofa</v>
      </c>
      <c r="J298" s="2">
        <v>27</v>
      </c>
      <c r="K298" s="2">
        <v>136</v>
      </c>
      <c r="L298" s="2">
        <v>0</v>
      </c>
      <c r="M298" s="2"/>
      <c r="N298" s="8">
        <v>43237.33871527778</v>
      </c>
      <c r="O298" s="4"/>
      <c r="P298" s="3" t="s">
        <v>15856</v>
      </c>
      <c r="Q298" s="4"/>
      <c r="R298" s="4"/>
      <c r="S298" s="9" t="str">
        <f>HYPERLINK("https://pbs.twimg.com/profile_images/996961657699086336/MDmd0C1k.jpg","View")</f>
        <v>View</v>
      </c>
    </row>
    <row r="299" spans="1:19" ht="20">
      <c r="A299" s="8">
        <v>43348.618101851855</v>
      </c>
      <c r="B299" s="11" t="str">
        <f>HYPERLINK("https://twitter.com/sepehrkn22","@sepehrkn22")</f>
        <v>@sepehrkn22</v>
      </c>
      <c r="C299" s="6" t="s">
        <v>15855</v>
      </c>
      <c r="D299" s="5" t="s">
        <v>13331</v>
      </c>
      <c r="E299" s="9" t="str">
        <f>HYPERLINK("https://twitter.com/sepehrkn22/status/1037284219779571712","1037284219779571712")</f>
        <v>1037284219779571712</v>
      </c>
      <c r="F299" s="4"/>
      <c r="G299" s="4"/>
      <c r="H299" s="4"/>
      <c r="I299" s="10" t="str">
        <f>HYPERLINK("https://mobofa.com","Mobofa")</f>
        <v>Mobofa</v>
      </c>
      <c r="J299" s="2">
        <v>15</v>
      </c>
      <c r="K299" s="2">
        <v>123</v>
      </c>
      <c r="L299" s="2">
        <v>0</v>
      </c>
      <c r="M299" s="2"/>
      <c r="N299" s="8">
        <v>43234.757881944446</v>
      </c>
      <c r="O299" s="4" t="s">
        <v>6168</v>
      </c>
      <c r="P299" s="3" t="s">
        <v>15854</v>
      </c>
      <c r="Q299" s="4"/>
      <c r="R299" s="4"/>
      <c r="S299" s="9" t="str">
        <f>HYPERLINK("https://pbs.twimg.com/profile_images/996025111684812800/Z7dv6LUK.jpg","View")</f>
        <v>View</v>
      </c>
    </row>
    <row r="300" spans="1:19" ht="20">
      <c r="A300" s="8">
        <v>43348.618101851855</v>
      </c>
      <c r="B300" s="11" t="str">
        <f>HYPERLINK("https://twitter.com/ManagerToken","@ManagerToken")</f>
        <v>@ManagerToken</v>
      </c>
      <c r="C300" s="6" t="s">
        <v>15853</v>
      </c>
      <c r="D300" s="5" t="s">
        <v>13331</v>
      </c>
      <c r="E300" s="9" t="str">
        <f>HYPERLINK("https://twitter.com/ManagerToken/status/1037284219137839105","1037284219137839105")</f>
        <v>1037284219137839105</v>
      </c>
      <c r="F300" s="4"/>
      <c r="G300" s="4"/>
      <c r="H300" s="4"/>
      <c r="I300" s="10" t="str">
        <f>HYPERLINK("https://mobofa.com","Mobofa")</f>
        <v>Mobofa</v>
      </c>
      <c r="J300" s="2">
        <v>2</v>
      </c>
      <c r="K300" s="2">
        <v>31</v>
      </c>
      <c r="L300" s="2">
        <v>0</v>
      </c>
      <c r="M300" s="2"/>
      <c r="N300" s="8">
        <v>43260.80777777778</v>
      </c>
      <c r="O300" s="4"/>
      <c r="P300" s="3" t="s">
        <v>15852</v>
      </c>
      <c r="Q300" s="4"/>
      <c r="R300" s="4"/>
      <c r="S300" s="2" t="s">
        <v>155</v>
      </c>
    </row>
    <row r="301" spans="1:19" ht="20">
      <c r="A301" s="8">
        <v>43348.618067129632</v>
      </c>
      <c r="B301" s="11" t="str">
        <f>HYPERLINK("https://twitter.com/GiLaSi","@GiLaSi")</f>
        <v>@GiLaSi</v>
      </c>
      <c r="C301" s="6" t="s">
        <v>15851</v>
      </c>
      <c r="D301" s="5" t="s">
        <v>15850</v>
      </c>
      <c r="E301" s="9" t="str">
        <f>HYPERLINK("https://twitter.com/GiLaSi/status/1037284206752227328","1037284206752227328")</f>
        <v>1037284206752227328</v>
      </c>
      <c r="F301" s="4"/>
      <c r="G301" s="4"/>
      <c r="H301" s="4"/>
      <c r="I301" s="10" t="str">
        <f>HYPERLINK("http://twitter.com/download/android","Twitter for Android")</f>
        <v>Twitter for Android</v>
      </c>
      <c r="J301" s="2">
        <v>6396</v>
      </c>
      <c r="K301" s="2">
        <v>464</v>
      </c>
      <c r="L301" s="2">
        <v>77</v>
      </c>
      <c r="M301" s="2"/>
      <c r="N301" s="8">
        <v>39600.50944444444</v>
      </c>
      <c r="O301" s="4" t="s">
        <v>15849</v>
      </c>
      <c r="P301" s="3" t="s">
        <v>15848</v>
      </c>
      <c r="Q301" s="10" t="s">
        <v>15847</v>
      </c>
      <c r="R301" s="4"/>
      <c r="S301" s="9" t="str">
        <f>HYPERLINK("https://pbs.twimg.com/profile_images/1034874400082980865/VzDxbIo-.jpg","View")</f>
        <v>View</v>
      </c>
    </row>
    <row r="302" spans="1:19" ht="30">
      <c r="A302" s="8">
        <v>43348.6175462963</v>
      </c>
      <c r="B302" s="11" t="str">
        <f>HYPERLINK("https://twitter.com/eng_374","@eng_374")</f>
        <v>@eng_374</v>
      </c>
      <c r="C302" s="6" t="s">
        <v>15846</v>
      </c>
      <c r="D302" s="5" t="s">
        <v>15845</v>
      </c>
      <c r="E302" s="9" t="str">
        <f>HYPERLINK("https://twitter.com/eng_374/status/1037284018658705408","1037284018658705408")</f>
        <v>1037284018658705408</v>
      </c>
      <c r="F302" s="4"/>
      <c r="G302" s="4"/>
      <c r="H302" s="4"/>
      <c r="I302" s="10" t="str">
        <f>HYPERLINK("http://twitter.com/download/android","Twitter for Android")</f>
        <v>Twitter for Android</v>
      </c>
      <c r="J302" s="2">
        <v>585</v>
      </c>
      <c r="K302" s="2">
        <v>613</v>
      </c>
      <c r="L302" s="2">
        <v>1</v>
      </c>
      <c r="M302" s="2"/>
      <c r="N302" s="8">
        <v>43274.44908564815</v>
      </c>
      <c r="O302" s="4" t="s">
        <v>34</v>
      </c>
      <c r="P302" s="3" t="s">
        <v>15844</v>
      </c>
      <c r="Q302" s="4"/>
      <c r="R302" s="4"/>
      <c r="S302" s="9" t="str">
        <f>HYPERLINK("https://pbs.twimg.com/profile_images/1018960722183770113/A-3_UJwz.jpg","View")</f>
        <v>View</v>
      </c>
    </row>
    <row r="303" spans="1:19" ht="30">
      <c r="A303" s="8">
        <v>43348.617083333331</v>
      </c>
      <c r="B303" s="11" t="str">
        <f>HYPERLINK("https://twitter.com/seyedporia","@seyedporia")</f>
        <v>@seyedporia</v>
      </c>
      <c r="C303" s="6" t="s">
        <v>15843</v>
      </c>
      <c r="D303" s="5" t="s">
        <v>15842</v>
      </c>
      <c r="E303" s="9" t="str">
        <f>HYPERLINK("https://twitter.com/seyedporia/status/1037283849779245056","1037283849779245056")</f>
        <v>1037283849779245056</v>
      </c>
      <c r="F303" s="4"/>
      <c r="G303" s="4"/>
      <c r="H303" s="4"/>
      <c r="I303" s="10" t="str">
        <f>HYPERLINK("http://twitter.com/download/android","Twitter for Android")</f>
        <v>Twitter for Android</v>
      </c>
      <c r="J303" s="2">
        <v>875</v>
      </c>
      <c r="K303" s="2">
        <v>806</v>
      </c>
      <c r="L303" s="2">
        <v>1</v>
      </c>
      <c r="M303" s="2"/>
      <c r="N303" s="8">
        <v>42282.690717592588</v>
      </c>
      <c r="O303" s="4" t="s">
        <v>17</v>
      </c>
      <c r="P303" s="3" t="s">
        <v>15841</v>
      </c>
      <c r="Q303" s="4"/>
      <c r="R303" s="4"/>
      <c r="S303" s="9" t="str">
        <f>HYPERLINK("https://pbs.twimg.com/profile_images/1001749721852063744/L4lUbe_2.jpg","View")</f>
        <v>View</v>
      </c>
    </row>
    <row r="304" spans="1:19" ht="12.5">
      <c r="A304" s="8">
        <v>43348.617013888885</v>
      </c>
      <c r="B304" s="11" t="str">
        <f>HYPERLINK("https://twitter.com/mfr00110","@mfr00110")</f>
        <v>@mfr00110</v>
      </c>
      <c r="C304" s="6" t="s">
        <v>14292</v>
      </c>
      <c r="D304" s="5" t="s">
        <v>15840</v>
      </c>
      <c r="E304" s="9" t="str">
        <f>HYPERLINK("https://twitter.com/mfr00110/status/1037283824080756736","1037283824080756736")</f>
        <v>1037283824080756736</v>
      </c>
      <c r="F304" s="4"/>
      <c r="G304" s="4"/>
      <c r="H304" s="4"/>
      <c r="I304" s="10" t="str">
        <f>HYPERLINK("http://twitter.com/download/android","Twitter for Android")</f>
        <v>Twitter for Android</v>
      </c>
      <c r="J304" s="2">
        <v>9</v>
      </c>
      <c r="K304" s="2">
        <v>25</v>
      </c>
      <c r="L304" s="2">
        <v>0</v>
      </c>
      <c r="M304" s="2"/>
      <c r="N304" s="8">
        <v>43307.961030092592</v>
      </c>
      <c r="O304" s="4"/>
      <c r="P304" s="3"/>
      <c r="Q304" s="4"/>
      <c r="R304" s="4"/>
      <c r="S304" s="9" t="str">
        <f>HYPERLINK("https://pbs.twimg.com/profile_images/1036371384799309824/RyQHeG8E.jpg","View")</f>
        <v>View</v>
      </c>
    </row>
    <row r="305" spans="1:19" ht="30">
      <c r="A305" s="8">
        <v>43348.616736111115</v>
      </c>
      <c r="B305" s="11" t="str">
        <f>HYPERLINK("https://twitter.com/EtemadOnline","@EtemadOnline")</f>
        <v>@EtemadOnline</v>
      </c>
      <c r="C305" s="6" t="s">
        <v>9267</v>
      </c>
      <c r="D305" s="5" t="s">
        <v>15839</v>
      </c>
      <c r="E305" s="9" t="str">
        <f>HYPERLINK("https://twitter.com/EtemadOnline/status/1037283726554800128","1037283726554800128")</f>
        <v>1037283726554800128</v>
      </c>
      <c r="F305" s="10" t="s">
        <v>15838</v>
      </c>
      <c r="G305" s="4"/>
      <c r="H305" s="4"/>
      <c r="I305" s="10" t="str">
        <f>HYPERLINK("http://twitter.com","Twitter Web Client")</f>
        <v>Twitter Web Client</v>
      </c>
      <c r="J305" s="2">
        <v>150946</v>
      </c>
      <c r="K305" s="2">
        <v>35</v>
      </c>
      <c r="L305" s="2">
        <v>371</v>
      </c>
      <c r="M305" s="2"/>
      <c r="N305" s="8">
        <v>41740.739247685182</v>
      </c>
      <c r="O305" s="4" t="s">
        <v>9264</v>
      </c>
      <c r="P305" s="3" t="s">
        <v>9263</v>
      </c>
      <c r="Q305" s="10" t="s">
        <v>9262</v>
      </c>
      <c r="R305" s="4"/>
      <c r="S305" s="9" t="str">
        <f>HYPERLINK("https://pbs.twimg.com/profile_images/1023587326537162752/Uj6KCsJ4.jpg","View")</f>
        <v>View</v>
      </c>
    </row>
    <row r="306" spans="1:19" ht="20">
      <c r="A306" s="8">
        <v>43348.616574074069</v>
      </c>
      <c r="B306" s="11" t="str">
        <f>HYPERLINK("https://twitter.com/hajiiGrinof","@hajiiGrinof")</f>
        <v>@hajiiGrinof</v>
      </c>
      <c r="C306" s="6" t="s">
        <v>15448</v>
      </c>
      <c r="D306" s="5" t="s">
        <v>15837</v>
      </c>
      <c r="E306" s="9" t="str">
        <f>HYPERLINK("https://twitter.com/hajiiGrinof/status/1037283665078702082","1037283665078702082")</f>
        <v>1037283665078702082</v>
      </c>
      <c r="F306" s="4"/>
      <c r="G306" s="4"/>
      <c r="H306" s="4"/>
      <c r="I306" s="10" t="str">
        <f>HYPERLINK("http://twitter.com/download/android","Twitter for Android")</f>
        <v>Twitter for Android</v>
      </c>
      <c r="J306" s="2">
        <v>946</v>
      </c>
      <c r="K306" s="2">
        <v>238</v>
      </c>
      <c r="L306" s="2">
        <v>3</v>
      </c>
      <c r="M306" s="2"/>
      <c r="N306" s="8">
        <v>43054.109560185185</v>
      </c>
      <c r="O306" s="4" t="s">
        <v>15446</v>
      </c>
      <c r="P306" s="3" t="s">
        <v>15445</v>
      </c>
      <c r="Q306" s="4"/>
      <c r="R306" s="4"/>
      <c r="S306" s="9" t="str">
        <f>HYPERLINK("https://pbs.twimg.com/profile_images/974740137883193346/z7fQBhXv.jpg","View")</f>
        <v>View</v>
      </c>
    </row>
    <row r="307" spans="1:19" ht="20">
      <c r="A307" s="8">
        <v>43348.616249999999</v>
      </c>
      <c r="B307" s="11" t="str">
        <f>HYPERLINK("https://twitter.com/paranoidmorty","@paranoidmorty")</f>
        <v>@paranoidmorty</v>
      </c>
      <c r="C307" s="6" t="s">
        <v>15836</v>
      </c>
      <c r="D307" s="5" t="s">
        <v>15835</v>
      </c>
      <c r="E307" s="9" t="str">
        <f>HYPERLINK("https://twitter.com/paranoidmorty/status/1037283550553407488","1037283550553407488")</f>
        <v>1037283550553407488</v>
      </c>
      <c r="F307" s="4"/>
      <c r="G307" s="4"/>
      <c r="H307" s="4"/>
      <c r="I307" s="10" t="str">
        <f>HYPERLINK("http://twitter.com/download/android","Twitter for Android")</f>
        <v>Twitter for Android</v>
      </c>
      <c r="J307" s="2">
        <v>549</v>
      </c>
      <c r="K307" s="2">
        <v>851</v>
      </c>
      <c r="L307" s="2">
        <v>9</v>
      </c>
      <c r="M307" s="2"/>
      <c r="N307" s="8">
        <v>40770.947893518518</v>
      </c>
      <c r="O307" s="4" t="s">
        <v>15834</v>
      </c>
      <c r="P307" s="3" t="s">
        <v>15833</v>
      </c>
      <c r="Q307" s="4"/>
      <c r="R307" s="4"/>
      <c r="S307" s="9" t="str">
        <f>HYPERLINK("https://pbs.twimg.com/profile_images/994174438001250305/zqk2YM40.jpg","View")</f>
        <v>View</v>
      </c>
    </row>
    <row r="308" spans="1:19" ht="40">
      <c r="A308" s="8">
        <v>43348.615208333329</v>
      </c>
      <c r="B308" s="11" t="str">
        <f>HYPERLINK("https://twitter.com/amire_tanha","@amire_tanha")</f>
        <v>@amire_tanha</v>
      </c>
      <c r="C308" s="6" t="s">
        <v>9891</v>
      </c>
      <c r="D308" s="5" t="s">
        <v>15832</v>
      </c>
      <c r="E308" s="9" t="str">
        <f>HYPERLINK("https://twitter.com/amire_tanha/status/1037283172076204032","1037283172076204032")</f>
        <v>1037283172076204032</v>
      </c>
      <c r="F308" s="4"/>
      <c r="G308" s="10" t="s">
        <v>15831</v>
      </c>
      <c r="H308" s="4"/>
      <c r="I308" s="10" t="str">
        <f>HYPERLINK("http://twitter.com/download/iphone","Twitter for iPhone")</f>
        <v>Twitter for iPhone</v>
      </c>
      <c r="J308" s="2">
        <v>7138</v>
      </c>
      <c r="K308" s="2">
        <v>3704</v>
      </c>
      <c r="L308" s="2">
        <v>28</v>
      </c>
      <c r="M308" s="2"/>
      <c r="N308" s="8">
        <v>41558.983773148146</v>
      </c>
      <c r="O308" s="4" t="s">
        <v>682</v>
      </c>
      <c r="P308" s="3" t="s">
        <v>9889</v>
      </c>
      <c r="Q308" s="10" t="s">
        <v>9888</v>
      </c>
      <c r="R308" s="4"/>
      <c r="S308" s="9" t="str">
        <f>HYPERLINK("https://pbs.twimg.com/profile_images/1036232878613585920/j3d_Xz4o.jpg","View")</f>
        <v>View</v>
      </c>
    </row>
    <row r="309" spans="1:19" ht="30">
      <c r="A309" s="8">
        <v>43348.615150462967</v>
      </c>
      <c r="B309" s="11" t="str">
        <f>HYPERLINK("https://twitter.com/N_a_r_r_a_t_o_r","@N_a_r_r_a_t_o_r")</f>
        <v>@N_a_r_r_a_t_o_r</v>
      </c>
      <c r="C309" s="6" t="s">
        <v>12003</v>
      </c>
      <c r="D309" s="5" t="s">
        <v>15830</v>
      </c>
      <c r="E309" s="9" t="str">
        <f>HYPERLINK("https://twitter.com/N_a_r_r_a_t_o_r/status/1037283152031559680","1037283152031559680")</f>
        <v>1037283152031559680</v>
      </c>
      <c r="F309" s="4"/>
      <c r="G309" s="4"/>
      <c r="H309" s="4"/>
      <c r="I309" s="10" t="str">
        <f>HYPERLINK("http://twitter.com/download/android","Twitter for Android")</f>
        <v>Twitter for Android</v>
      </c>
      <c r="J309" s="2">
        <v>3302</v>
      </c>
      <c r="K309" s="2">
        <v>2775</v>
      </c>
      <c r="L309" s="2">
        <v>8</v>
      </c>
      <c r="M309" s="2"/>
      <c r="N309" s="8">
        <v>43074.361284722225</v>
      </c>
      <c r="O309" s="4" t="s">
        <v>25</v>
      </c>
      <c r="P309" s="3" t="s">
        <v>12001</v>
      </c>
      <c r="Q309" s="4"/>
      <c r="R309" s="4"/>
      <c r="S309" s="9" t="str">
        <f>HYPERLINK("https://pbs.twimg.com/profile_images/948836632290934785/h0zXmsfI.jpg","View")</f>
        <v>View</v>
      </c>
    </row>
    <row r="310" spans="1:19" ht="40">
      <c r="A310" s="8">
        <v>43348.615150462967</v>
      </c>
      <c r="B310" s="11" t="str">
        <f>HYPERLINK("https://twitter.com/AHirad29414413","@AHirad29414413")</f>
        <v>@AHirad29414413</v>
      </c>
      <c r="C310" s="6" t="s">
        <v>15675</v>
      </c>
      <c r="D310" s="5" t="s">
        <v>15829</v>
      </c>
      <c r="E310" s="9" t="str">
        <f>HYPERLINK("https://twitter.com/AHirad29414413/status/1037283149816819718","1037283149816819718")</f>
        <v>1037283149816819718</v>
      </c>
      <c r="F310" s="4"/>
      <c r="G310" s="10" t="s">
        <v>15828</v>
      </c>
      <c r="H310" s="4"/>
      <c r="I310" s="10" t="str">
        <f>HYPERLINK("http://twitter.com/download/iphone","Twitter for iPhone")</f>
        <v>Twitter for iPhone</v>
      </c>
      <c r="J310" s="2">
        <v>1177</v>
      </c>
      <c r="K310" s="2">
        <v>633</v>
      </c>
      <c r="L310" s="2">
        <v>2</v>
      </c>
      <c r="M310" s="2"/>
      <c r="N310" s="8">
        <v>43128.136192129634</v>
      </c>
      <c r="O310" s="4"/>
      <c r="P310" s="3" t="s">
        <v>15672</v>
      </c>
      <c r="Q310" s="4"/>
      <c r="R310" s="4"/>
      <c r="S310" s="9" t="str">
        <f>HYPERLINK("https://pbs.twimg.com/profile_images/957988013769883648/_5RCl5rk.jpg","View")</f>
        <v>View</v>
      </c>
    </row>
    <row r="311" spans="1:19" ht="20">
      <c r="A311" s="8">
        <v>43348.613900462966</v>
      </c>
      <c r="B311" s="11" t="str">
        <f>HYPERLINK("https://twitter.com/BazrasGhandi","@BazrasGhandi")</f>
        <v>@BazrasGhandi</v>
      </c>
      <c r="C311" s="6" t="s">
        <v>15827</v>
      </c>
      <c r="D311" s="5" t="s">
        <v>15826</v>
      </c>
      <c r="E311" s="9" t="str">
        <f>HYPERLINK("https://twitter.com/BazrasGhandi/status/1037282695934627841","1037282695934627841")</f>
        <v>1037282695934627841</v>
      </c>
      <c r="F311" s="4"/>
      <c r="G311" s="10" t="s">
        <v>15825</v>
      </c>
      <c r="H311" s="4"/>
      <c r="I311" s="10" t="str">
        <f>HYPERLINK("http://twitter.com/download/android","Twitter for Android")</f>
        <v>Twitter for Android</v>
      </c>
      <c r="J311" s="2">
        <v>157</v>
      </c>
      <c r="K311" s="2">
        <v>631</v>
      </c>
      <c r="L311" s="2">
        <v>1</v>
      </c>
      <c r="M311" s="2"/>
      <c r="N311" s="8">
        <v>42443.998703703706</v>
      </c>
      <c r="O311" s="4" t="s">
        <v>15824</v>
      </c>
      <c r="P311" s="3" t="s">
        <v>15823</v>
      </c>
      <c r="Q311" s="4"/>
      <c r="R311" s="4"/>
      <c r="S311" s="9" t="str">
        <f>HYPERLINK("https://pbs.twimg.com/profile_images/1003281518159122432/zC7wH18c.jpg","View")</f>
        <v>View</v>
      </c>
    </row>
    <row r="312" spans="1:19" ht="30">
      <c r="A312" s="8">
        <v>43348.613842592589</v>
      </c>
      <c r="B312" s="11" t="str">
        <f>HYPERLINK("https://twitter.com/amir__2015","@amir__2015")</f>
        <v>@amir__2015</v>
      </c>
      <c r="C312" s="6" t="s">
        <v>15693</v>
      </c>
      <c r="D312" s="5" t="s">
        <v>15822</v>
      </c>
      <c r="E312" s="9" t="str">
        <f>HYPERLINK("https://twitter.com/amir__2015/status/1037282674820505600","1037282674820505600")</f>
        <v>1037282674820505600</v>
      </c>
      <c r="F312" s="4"/>
      <c r="G312" s="4"/>
      <c r="H312" s="4"/>
      <c r="I312" s="10" t="str">
        <f>HYPERLINK("http://twitter.com/download/android","Twitter for Android")</f>
        <v>Twitter for Android</v>
      </c>
      <c r="J312" s="2">
        <v>49</v>
      </c>
      <c r="K312" s="2">
        <v>125</v>
      </c>
      <c r="L312" s="2">
        <v>0</v>
      </c>
      <c r="M312" s="2"/>
      <c r="N312" s="8">
        <v>43205.237245370372</v>
      </c>
      <c r="O312" s="4"/>
      <c r="P312" s="3"/>
      <c r="Q312" s="4"/>
      <c r="R312" s="4"/>
      <c r="S312" s="9" t="str">
        <f>HYPERLINK("https://pbs.twimg.com/profile_images/1002842316602789889/gzGOhp7h.jpg","View")</f>
        <v>View</v>
      </c>
    </row>
    <row r="313" spans="1:19" ht="30">
      <c r="A313" s="8">
        <v>43348.613807870366</v>
      </c>
      <c r="B313" s="11" t="str">
        <f>HYPERLINK("https://twitter.com/sorena_s","@sorena_s")</f>
        <v>@sorena_s</v>
      </c>
      <c r="C313" s="6" t="s">
        <v>15821</v>
      </c>
      <c r="D313" s="5" t="s">
        <v>15820</v>
      </c>
      <c r="E313" s="9" t="str">
        <f>HYPERLINK("https://twitter.com/sorena_s/status/1037282662296236033","1037282662296236033")</f>
        <v>1037282662296236033</v>
      </c>
      <c r="F313" s="4"/>
      <c r="G313" s="4"/>
      <c r="H313" s="4"/>
      <c r="I313" s="10" t="str">
        <f>HYPERLINK("http://twitter.com/download/android","Twitter for Android")</f>
        <v>Twitter for Android</v>
      </c>
      <c r="J313" s="2">
        <v>885</v>
      </c>
      <c r="K313" s="2">
        <v>563</v>
      </c>
      <c r="L313" s="2">
        <v>14</v>
      </c>
      <c r="M313" s="2"/>
      <c r="N313" s="8">
        <v>40784.601400462961</v>
      </c>
      <c r="O313" s="4" t="s">
        <v>15819</v>
      </c>
      <c r="P313" s="3" t="s">
        <v>15818</v>
      </c>
      <c r="Q313" s="10" t="s">
        <v>15817</v>
      </c>
      <c r="R313" s="4"/>
      <c r="S313" s="9" t="str">
        <f>HYPERLINK("https://pbs.twimg.com/profile_images/1012754604101197824/nW5AzNEL.jpg","View")</f>
        <v>View</v>
      </c>
    </row>
    <row r="314" spans="1:19" ht="40">
      <c r="A314" s="8">
        <v>43348.613796296297</v>
      </c>
      <c r="B314" s="11" t="str">
        <f>HYPERLINK("https://twitter.com/hosseini_info","@hosseini_info")</f>
        <v>@hosseini_info</v>
      </c>
      <c r="C314" s="6" t="s">
        <v>15816</v>
      </c>
      <c r="D314" s="5" t="s">
        <v>15815</v>
      </c>
      <c r="E314" s="9" t="str">
        <f>HYPERLINK("https://twitter.com/hosseini_info/status/1037282659943297029","1037282659943297029")</f>
        <v>1037282659943297029</v>
      </c>
      <c r="F314" s="4"/>
      <c r="G314" s="4"/>
      <c r="H314" s="4"/>
      <c r="I314" s="10" t="str">
        <f>HYPERLINK("http://twitter.com/download/android","Twitter for Android")</f>
        <v>Twitter for Android</v>
      </c>
      <c r="J314" s="2">
        <v>2264</v>
      </c>
      <c r="K314" s="2">
        <v>49</v>
      </c>
      <c r="L314" s="2">
        <v>31</v>
      </c>
      <c r="M314" s="2"/>
      <c r="N314" s="8">
        <v>43220.037638888884</v>
      </c>
      <c r="O314" s="4"/>
      <c r="P314" s="3" t="s">
        <v>15814</v>
      </c>
      <c r="Q314" s="10" t="s">
        <v>15813</v>
      </c>
      <c r="R314" s="4"/>
      <c r="S314" s="9" t="str">
        <f>HYPERLINK("https://pbs.twimg.com/profile_images/1002813409778286592/MQE6t63J.jpg","View")</f>
        <v>View</v>
      </c>
    </row>
    <row r="315" spans="1:19" ht="30">
      <c r="A315" s="8">
        <v>43348.613738425927</v>
      </c>
      <c r="B315" s="11" t="str">
        <f>HYPERLINK("https://twitter.com/PooriaGhaderi","@PooriaGhaderi")</f>
        <v>@PooriaGhaderi</v>
      </c>
      <c r="C315" s="6" t="s">
        <v>15812</v>
      </c>
      <c r="D315" s="5" t="s">
        <v>15811</v>
      </c>
      <c r="E315" s="9" t="str">
        <f>HYPERLINK("https://twitter.com/PooriaGhaderi/status/1037282640712351744","1037282640712351744")</f>
        <v>1037282640712351744</v>
      </c>
      <c r="F315" s="4"/>
      <c r="G315" s="4"/>
      <c r="H315" s="4"/>
      <c r="I315" s="10" t="str">
        <f>HYPERLINK("http://twitter.com/download/android","Twitter for Android")</f>
        <v>Twitter for Android</v>
      </c>
      <c r="J315" s="2">
        <v>6</v>
      </c>
      <c r="K315" s="2">
        <v>31</v>
      </c>
      <c r="L315" s="2">
        <v>0</v>
      </c>
      <c r="M315" s="2"/>
      <c r="N315" s="8">
        <v>43112.368032407408</v>
      </c>
      <c r="O315" s="4" t="s">
        <v>743</v>
      </c>
      <c r="P315" s="3" t="s">
        <v>15810</v>
      </c>
      <c r="Q315" s="4"/>
      <c r="R315" s="4"/>
      <c r="S315" s="9" t="str">
        <f>HYPERLINK("https://pbs.twimg.com/profile_images/1026546099031560194/tmUPxpqo.jpg","View")</f>
        <v>View</v>
      </c>
    </row>
    <row r="316" spans="1:19" ht="30">
      <c r="A316" s="8">
        <v>43348.613125000003</v>
      </c>
      <c r="B316" s="11" t="str">
        <f>HYPERLINK("https://twitter.com/BZarasvand","@BZarasvand")</f>
        <v>@BZarasvand</v>
      </c>
      <c r="C316" s="6" t="s">
        <v>15809</v>
      </c>
      <c r="D316" s="5" t="s">
        <v>15808</v>
      </c>
      <c r="E316" s="9" t="str">
        <f>HYPERLINK("https://twitter.com/BZarasvand/status/1037282417235644416","1037282417235644416")</f>
        <v>1037282417235644416</v>
      </c>
      <c r="F316" s="4"/>
      <c r="G316" s="4"/>
      <c r="H316" s="4"/>
      <c r="I316" s="10" t="str">
        <f>HYPERLINK("http://twitter.com/download/android","Twitter for Android")</f>
        <v>Twitter for Android</v>
      </c>
      <c r="J316" s="2">
        <v>9</v>
      </c>
      <c r="K316" s="2">
        <v>68</v>
      </c>
      <c r="L316" s="2">
        <v>0</v>
      </c>
      <c r="M316" s="2"/>
      <c r="N316" s="8">
        <v>41020.038206018522</v>
      </c>
      <c r="O316" s="4" t="s">
        <v>3589</v>
      </c>
      <c r="P316" s="3"/>
      <c r="Q316" s="4"/>
      <c r="R316" s="4"/>
      <c r="S316" s="9" t="str">
        <f>HYPERLINK("https://pbs.twimg.com/profile_images/688484460560535552/snwdFYG5.jpg","View")</f>
        <v>View</v>
      </c>
    </row>
    <row r="317" spans="1:19" ht="30">
      <c r="A317" s="8">
        <v>43348.612476851849</v>
      </c>
      <c r="B317" s="11" t="str">
        <f>HYPERLINK("https://twitter.com/Roozbeh1963","@Roozbeh1963")</f>
        <v>@Roozbeh1963</v>
      </c>
      <c r="C317" s="6" t="s">
        <v>9962</v>
      </c>
      <c r="D317" s="5" t="s">
        <v>15807</v>
      </c>
      <c r="E317" s="9" t="str">
        <f>HYPERLINK("https://twitter.com/Roozbeh1963/status/1037282181868146688","1037282181868146688")</f>
        <v>1037282181868146688</v>
      </c>
      <c r="F317" s="4"/>
      <c r="G317" s="4"/>
      <c r="H317" s="4"/>
      <c r="I317" s="10" t="str">
        <f>HYPERLINK("http://twitter.com/download/android","Twitter for Android")</f>
        <v>Twitter for Android</v>
      </c>
      <c r="J317" s="2">
        <v>6231</v>
      </c>
      <c r="K317" s="2">
        <v>1332</v>
      </c>
      <c r="L317" s="2">
        <v>43</v>
      </c>
      <c r="M317" s="2"/>
      <c r="N317" s="8">
        <v>42474.751875000002</v>
      </c>
      <c r="O317" s="4" t="s">
        <v>9960</v>
      </c>
      <c r="P317" s="3" t="s">
        <v>9959</v>
      </c>
      <c r="Q317" s="4"/>
      <c r="R317" s="4"/>
      <c r="S317" s="9" t="str">
        <f>HYPERLINK("https://pbs.twimg.com/profile_images/943173545332494338/UxFbngss.jpg","View")</f>
        <v>View</v>
      </c>
    </row>
    <row r="318" spans="1:19" ht="20">
      <c r="A318" s="8">
        <v>43348.61246527778</v>
      </c>
      <c r="B318" s="11" t="str">
        <f>HYPERLINK("https://twitter.com/Meghdad_ba67","@Meghdad_ba67")</f>
        <v>@Meghdad_ba67</v>
      </c>
      <c r="C318" s="6" t="s">
        <v>11186</v>
      </c>
      <c r="D318" s="5" t="s">
        <v>15806</v>
      </c>
      <c r="E318" s="9" t="str">
        <f>HYPERLINK("https://twitter.com/Meghdad_ba67/status/1037282178655289344","1037282178655289344")</f>
        <v>1037282178655289344</v>
      </c>
      <c r="F318" s="4"/>
      <c r="G318" s="4"/>
      <c r="H318" s="4"/>
      <c r="I318" s="10" t="str">
        <f>HYPERLINK("http://twitter.com/download/android","Twitter for Android")</f>
        <v>Twitter for Android</v>
      </c>
      <c r="J318" s="2">
        <v>98</v>
      </c>
      <c r="K318" s="2">
        <v>44</v>
      </c>
      <c r="L318" s="2">
        <v>0</v>
      </c>
      <c r="M318" s="2"/>
      <c r="N318" s="8">
        <v>43046.50204861111</v>
      </c>
      <c r="O318" s="4"/>
      <c r="P318" s="3" t="s">
        <v>11184</v>
      </c>
      <c r="Q318" s="4"/>
      <c r="R318" s="4"/>
      <c r="S318" s="9" t="str">
        <f>HYPERLINK("https://pbs.twimg.com/profile_images/995028607943741440/ivH9sFxg.jpg","View")</f>
        <v>View</v>
      </c>
    </row>
    <row r="319" spans="1:19" ht="30">
      <c r="A319" s="8">
        <v>43348.61241898148</v>
      </c>
      <c r="B319" s="11" t="str">
        <f>HYPERLINK("https://twitter.com/ImoMZFR","@ImoMZFR")</f>
        <v>@ImoMZFR</v>
      </c>
      <c r="C319" s="6" t="s">
        <v>15805</v>
      </c>
      <c r="D319" s="5" t="s">
        <v>15804</v>
      </c>
      <c r="E319" s="9" t="str">
        <f>HYPERLINK("https://twitter.com/ImoMZFR/status/1037282161823494144","1037282161823494144")</f>
        <v>1037282161823494144</v>
      </c>
      <c r="F319" s="4"/>
      <c r="G319" s="4"/>
      <c r="H319" s="4"/>
      <c r="I319" s="10" t="str">
        <f>HYPERLINK("http://twitter.com/download/android","Twitter for Android")</f>
        <v>Twitter for Android</v>
      </c>
      <c r="J319" s="2">
        <v>3</v>
      </c>
      <c r="K319" s="2">
        <v>9</v>
      </c>
      <c r="L319" s="2">
        <v>0</v>
      </c>
      <c r="M319" s="2"/>
      <c r="N319" s="8">
        <v>43198.929722222223</v>
      </c>
      <c r="O319" s="4" t="s">
        <v>17</v>
      </c>
      <c r="P319" s="3"/>
      <c r="Q319" s="4"/>
      <c r="R319" s="4"/>
      <c r="S319" s="9" t="str">
        <f>HYPERLINK("https://pbs.twimg.com/profile_images/983073328809291776/-JxV98mz.jpg","View")</f>
        <v>View</v>
      </c>
    </row>
    <row r="320" spans="1:19" ht="40">
      <c r="A320" s="8">
        <v>43348.61209490741</v>
      </c>
      <c r="B320" s="11" t="str">
        <f>HYPERLINK("https://twitter.com/alichahe","@alichahe")</f>
        <v>@alichahe</v>
      </c>
      <c r="C320" s="6" t="s">
        <v>13910</v>
      </c>
      <c r="D320" s="5" t="s">
        <v>15803</v>
      </c>
      <c r="E320" s="9" t="str">
        <f>HYPERLINK("https://twitter.com/alichahe/status/1037282042940149761","1037282042940149761")</f>
        <v>1037282042940149761</v>
      </c>
      <c r="F320" s="4"/>
      <c r="G320" s="4"/>
      <c r="H320" s="4"/>
      <c r="I320" s="10" t="str">
        <f>HYPERLINK("http://twitter.com/download/android","Twitter for Android")</f>
        <v>Twitter for Android</v>
      </c>
      <c r="J320" s="2">
        <v>3235</v>
      </c>
      <c r="K320" s="2">
        <v>3340</v>
      </c>
      <c r="L320" s="2">
        <v>6</v>
      </c>
      <c r="M320" s="2"/>
      <c r="N320" s="8">
        <v>43020.555162037039</v>
      </c>
      <c r="O320" s="4" t="s">
        <v>34</v>
      </c>
      <c r="P320" s="3" t="s">
        <v>13906</v>
      </c>
      <c r="Q320" s="4"/>
      <c r="R320" s="4"/>
      <c r="S320" s="9" t="str">
        <f>HYPERLINK("https://pbs.twimg.com/profile_images/1036485640727261185/bKcLo1-i.jpg","View")</f>
        <v>View</v>
      </c>
    </row>
    <row r="321" spans="1:19" ht="20">
      <c r="A321" s="8">
        <v>43348.610891203702</v>
      </c>
      <c r="B321" s="11" t="str">
        <f>HYPERLINK("https://twitter.com/Dr_A_Bagherian","@Dr_A_Bagherian")</f>
        <v>@Dr_A_Bagherian</v>
      </c>
      <c r="C321" s="6" t="s">
        <v>15802</v>
      </c>
      <c r="D321" s="5" t="s">
        <v>15801</v>
      </c>
      <c r="E321" s="9" t="str">
        <f>HYPERLINK("https://twitter.com/Dr_A_Bagherian/status/1037281608435421184","1037281608435421184")</f>
        <v>1037281608435421184</v>
      </c>
      <c r="F321" s="4"/>
      <c r="G321" s="4"/>
      <c r="H321" s="4"/>
      <c r="I321" s="10" t="str">
        <f>HYPERLINK("http://twitter.com/download/iphone","Twitter for iPhone")</f>
        <v>Twitter for iPhone</v>
      </c>
      <c r="J321" s="2">
        <v>1144</v>
      </c>
      <c r="K321" s="2">
        <v>4897</v>
      </c>
      <c r="L321" s="2">
        <v>0</v>
      </c>
      <c r="M321" s="2"/>
      <c r="N321" s="8">
        <v>43291.048032407409</v>
      </c>
      <c r="O321" s="4" t="s">
        <v>34</v>
      </c>
      <c r="P321" s="3" t="s">
        <v>15800</v>
      </c>
      <c r="Q321" s="10" t="s">
        <v>15799</v>
      </c>
      <c r="R321" s="4"/>
      <c r="S321" s="9" t="str">
        <f>HYPERLINK("https://pbs.twimg.com/profile_images/1016431326231252993/U3gNDzLX.jpg","View")</f>
        <v>View</v>
      </c>
    </row>
    <row r="322" spans="1:19" ht="40">
      <c r="A322" s="8">
        <v>43348.610706018517</v>
      </c>
      <c r="B322" s="11" t="str">
        <f>HYPERLINK("https://twitter.com/MAMOOTTI","@MAMOOTTI")</f>
        <v>@MAMOOTTI</v>
      </c>
      <c r="C322" s="6" t="s">
        <v>12031</v>
      </c>
      <c r="D322" s="5" t="s">
        <v>15798</v>
      </c>
      <c r="E322" s="9" t="str">
        <f>HYPERLINK("https://twitter.com/MAMOOTTI/status/1037281539753697280","1037281539753697280")</f>
        <v>1037281539753697280</v>
      </c>
      <c r="F322" s="4"/>
      <c r="G322" s="4"/>
      <c r="H322" s="4"/>
      <c r="I322" s="10" t="str">
        <f>HYPERLINK("http://twitter.com","Twitter Web Client")</f>
        <v>Twitter Web Client</v>
      </c>
      <c r="J322" s="2">
        <v>9</v>
      </c>
      <c r="K322" s="2">
        <v>30</v>
      </c>
      <c r="L322" s="2">
        <v>0</v>
      </c>
      <c r="M322" s="2"/>
      <c r="N322" s="8">
        <v>43346.61509259259</v>
      </c>
      <c r="O322" s="4"/>
      <c r="P322" s="3"/>
      <c r="Q322" s="4"/>
      <c r="R322" s="4"/>
      <c r="S322" s="2" t="s">
        <v>155</v>
      </c>
    </row>
    <row r="323" spans="1:19" ht="20">
      <c r="A323" s="8">
        <v>43348.610659722224</v>
      </c>
      <c r="B323" s="11" t="str">
        <f>HYPERLINK("https://twitter.com/zeynab_saeidi","@zeynab_saeidi")</f>
        <v>@zeynab_saeidi</v>
      </c>
      <c r="C323" s="6" t="s">
        <v>15797</v>
      </c>
      <c r="D323" s="5" t="s">
        <v>15796</v>
      </c>
      <c r="E323" s="9" t="str">
        <f>HYPERLINK("https://twitter.com/zeynab_saeidi/status/1037281523047849985","1037281523047849985")</f>
        <v>1037281523047849985</v>
      </c>
      <c r="F323" s="4"/>
      <c r="G323" s="4"/>
      <c r="H323" s="4"/>
      <c r="I323" s="10" t="str">
        <f>HYPERLINK("http://twitter.com/download/android","Twitter for Android")</f>
        <v>Twitter for Android</v>
      </c>
      <c r="J323" s="2">
        <v>83</v>
      </c>
      <c r="K323" s="2">
        <v>81</v>
      </c>
      <c r="L323" s="2">
        <v>0</v>
      </c>
      <c r="M323" s="2"/>
      <c r="N323" s="8">
        <v>43305.524467592593</v>
      </c>
      <c r="O323" s="4" t="s">
        <v>17</v>
      </c>
      <c r="P323" s="3" t="s">
        <v>15795</v>
      </c>
      <c r="Q323" s="4"/>
      <c r="R323" s="4"/>
      <c r="S323" s="9" t="str">
        <f>HYPERLINK("https://pbs.twimg.com/profile_images/1022032809744060417/0n-ln67x.jpg","View")</f>
        <v>View</v>
      </c>
    </row>
    <row r="324" spans="1:19" ht="30">
      <c r="A324" s="8">
        <v>43348.610243055555</v>
      </c>
      <c r="B324" s="11" t="str">
        <f>HYPERLINK("https://twitter.com/ali_ba61","@ali_ba61")</f>
        <v>@ali_ba61</v>
      </c>
      <c r="C324" s="6" t="s">
        <v>15794</v>
      </c>
      <c r="D324" s="5" t="s">
        <v>15793</v>
      </c>
      <c r="E324" s="9" t="str">
        <f>HYPERLINK("https://twitter.com/ali_ba61/status/1037281371520159745","1037281371520159745")</f>
        <v>1037281371520159745</v>
      </c>
      <c r="F324" s="10" t="s">
        <v>15792</v>
      </c>
      <c r="G324" s="4"/>
      <c r="H324" s="4"/>
      <c r="I324" s="10" t="str">
        <f>HYPERLINK("http://twitter.com/download/iphone","Twitter for iPhone")</f>
        <v>Twitter for iPhone</v>
      </c>
      <c r="J324" s="2">
        <v>341</v>
      </c>
      <c r="K324" s="2">
        <v>740</v>
      </c>
      <c r="L324" s="2">
        <v>2</v>
      </c>
      <c r="M324" s="2"/>
      <c r="N324" s="8">
        <v>41103.008483796293</v>
      </c>
      <c r="O324" s="4" t="s">
        <v>133</v>
      </c>
      <c r="P324" s="3" t="s">
        <v>15791</v>
      </c>
      <c r="Q324" s="4"/>
      <c r="R324" s="4"/>
      <c r="S324" s="9" t="str">
        <f>HYPERLINK("https://pbs.twimg.com/profile_images/889052965675438080/HBb-hP4h.jpg","View")</f>
        <v>View</v>
      </c>
    </row>
    <row r="325" spans="1:19" ht="30">
      <c r="A325" s="8">
        <v>43348.609722222223</v>
      </c>
      <c r="B325" s="11" t="str">
        <f>HYPERLINK("https://twitter.com/saeid_afsari","@saeid_afsari")</f>
        <v>@saeid_afsari</v>
      </c>
      <c r="C325" s="6" t="s">
        <v>15776</v>
      </c>
      <c r="D325" s="5" t="s">
        <v>15790</v>
      </c>
      <c r="E325" s="9" t="str">
        <f>HYPERLINK("https://twitter.com/saeid_afsari/status/1037281182810034176","1037281182810034176")</f>
        <v>1037281182810034176</v>
      </c>
      <c r="F325" s="4"/>
      <c r="G325" s="4"/>
      <c r="H325" s="4"/>
      <c r="I325" s="10" t="str">
        <f>HYPERLINK("http://twitter.com/download/android","Twitter for Android")</f>
        <v>Twitter for Android</v>
      </c>
      <c r="J325" s="2">
        <v>824</v>
      </c>
      <c r="K325" s="2">
        <v>414</v>
      </c>
      <c r="L325" s="2">
        <v>1</v>
      </c>
      <c r="M325" s="2"/>
      <c r="N325" s="8">
        <v>42698.922372685185</v>
      </c>
      <c r="O325" s="4" t="s">
        <v>15774</v>
      </c>
      <c r="P325" s="3" t="s">
        <v>15773</v>
      </c>
      <c r="Q325" s="10" t="s">
        <v>15772</v>
      </c>
      <c r="R325" s="4"/>
      <c r="S325" s="9" t="str">
        <f>HYPERLINK("https://pbs.twimg.com/profile_images/1027658240115523584/RI8gLQ86.jpg","View")</f>
        <v>View</v>
      </c>
    </row>
    <row r="326" spans="1:19" ht="30">
      <c r="A326" s="8">
        <v>43348.609409722223</v>
      </c>
      <c r="B326" s="11" t="str">
        <f>HYPERLINK("https://twitter.com/MAMOOTTI","@MAMOOTTI")</f>
        <v>@MAMOOTTI</v>
      </c>
      <c r="C326" s="6" t="s">
        <v>12031</v>
      </c>
      <c r="D326" s="5" t="s">
        <v>15789</v>
      </c>
      <c r="E326" s="9" t="str">
        <f>HYPERLINK("https://twitter.com/MAMOOTTI/status/1037281069467361282","1037281069467361282")</f>
        <v>1037281069467361282</v>
      </c>
      <c r="F326" s="4"/>
      <c r="G326" s="4"/>
      <c r="H326" s="4"/>
      <c r="I326" s="10" t="str">
        <f>HYPERLINK("http://twitter.com","Twitter Web Client")</f>
        <v>Twitter Web Client</v>
      </c>
      <c r="J326" s="2">
        <v>9</v>
      </c>
      <c r="K326" s="2">
        <v>30</v>
      </c>
      <c r="L326" s="2">
        <v>0</v>
      </c>
      <c r="M326" s="2"/>
      <c r="N326" s="8">
        <v>43346.61509259259</v>
      </c>
      <c r="O326" s="4"/>
      <c r="P326" s="3"/>
      <c r="Q326" s="4"/>
      <c r="R326" s="4"/>
      <c r="S326" s="2" t="s">
        <v>155</v>
      </c>
    </row>
    <row r="327" spans="1:19" ht="30">
      <c r="A327" s="8">
        <v>43348.609143518523</v>
      </c>
      <c r="B327" s="11" t="str">
        <f>HYPERLINK("https://twitter.com/IranianMediaBox","@IranianMediaBox")</f>
        <v>@IranianMediaBox</v>
      </c>
      <c r="C327" s="6" t="s">
        <v>8870</v>
      </c>
      <c r="D327" s="5" t="s">
        <v>15788</v>
      </c>
      <c r="E327" s="9" t="str">
        <f>HYPERLINK("https://twitter.com/IranianMediaBox/status/1037280974407720960","1037280974407720960")</f>
        <v>1037280974407720960</v>
      </c>
      <c r="F327" s="10" t="s">
        <v>15787</v>
      </c>
      <c r="G327" s="4"/>
      <c r="H327" s="4"/>
      <c r="I327" s="10" t="str">
        <f>HYPERLINK("http://twitter.com","Twitter Web Client")</f>
        <v>Twitter Web Client</v>
      </c>
      <c r="J327" s="2">
        <v>38</v>
      </c>
      <c r="K327" s="2">
        <v>43</v>
      </c>
      <c r="L327" s="2">
        <v>0</v>
      </c>
      <c r="M327" s="2"/>
      <c r="N327" s="8">
        <v>42020.277465277773</v>
      </c>
      <c r="O327" s="4"/>
      <c r="P327" s="3"/>
      <c r="Q327" s="4"/>
      <c r="R327" s="4"/>
      <c r="S327" s="9" t="str">
        <f>HYPERLINK("https://pbs.twimg.com/profile_images/555946300449886210/KCmiQ-Xv.png","View")</f>
        <v>View</v>
      </c>
    </row>
    <row r="328" spans="1:19" ht="30">
      <c r="A328" s="8">
        <v>43348.609097222223</v>
      </c>
      <c r="B328" s="11" t="str">
        <f>HYPERLINK("https://twitter.com/meysamfarahi67","@meysamfarahi67")</f>
        <v>@meysamfarahi67</v>
      </c>
      <c r="C328" s="6" t="s">
        <v>15786</v>
      </c>
      <c r="D328" s="5" t="s">
        <v>15785</v>
      </c>
      <c r="E328" s="9" t="str">
        <f>HYPERLINK("https://twitter.com/meysamfarahi67/status/1037280955797590016","1037280955797590016")</f>
        <v>1037280955797590016</v>
      </c>
      <c r="F328" s="4"/>
      <c r="G328" s="4"/>
      <c r="H328" s="4"/>
      <c r="I328" s="10" t="str">
        <f>HYPERLINK("http://twitter.com/download/android","Twitter for Android")</f>
        <v>Twitter for Android</v>
      </c>
      <c r="J328" s="2">
        <v>342</v>
      </c>
      <c r="K328" s="2">
        <v>1048</v>
      </c>
      <c r="L328" s="2">
        <v>1</v>
      </c>
      <c r="M328" s="2"/>
      <c r="N328" s="8">
        <v>42893.955960648149</v>
      </c>
      <c r="O328" s="4"/>
      <c r="P328" s="3" t="s">
        <v>15784</v>
      </c>
      <c r="Q328" s="10" t="s">
        <v>15783</v>
      </c>
      <c r="R328" s="4"/>
      <c r="S328" s="9" t="str">
        <f>HYPERLINK("https://pbs.twimg.com/profile_images/1028643584893960192/CalPOsPE.jpg","View")</f>
        <v>View</v>
      </c>
    </row>
    <row r="329" spans="1:19" ht="30">
      <c r="A329" s="8">
        <v>43348.607766203699</v>
      </c>
      <c r="B329" s="11" t="str">
        <f>HYPERLINK("https://twitter.com/MAMOOTTI","@MAMOOTTI")</f>
        <v>@MAMOOTTI</v>
      </c>
      <c r="C329" s="6" t="s">
        <v>12031</v>
      </c>
      <c r="D329" s="5" t="s">
        <v>15782</v>
      </c>
      <c r="E329" s="9" t="str">
        <f>HYPERLINK("https://twitter.com/MAMOOTTI/status/1037280473632919554","1037280473632919554")</f>
        <v>1037280473632919554</v>
      </c>
      <c r="F329" s="4"/>
      <c r="G329" s="4"/>
      <c r="H329" s="4"/>
      <c r="I329" s="10" t="str">
        <f>HYPERLINK("http://twitter.com","Twitter Web Client")</f>
        <v>Twitter Web Client</v>
      </c>
      <c r="J329" s="2">
        <v>9</v>
      </c>
      <c r="K329" s="2">
        <v>30</v>
      </c>
      <c r="L329" s="2">
        <v>0</v>
      </c>
      <c r="M329" s="2"/>
      <c r="N329" s="8">
        <v>43346.61509259259</v>
      </c>
      <c r="O329" s="4"/>
      <c r="P329" s="3"/>
      <c r="Q329" s="4"/>
      <c r="R329" s="4"/>
      <c r="S329" s="2" t="s">
        <v>155</v>
      </c>
    </row>
    <row r="330" spans="1:19" ht="30">
      <c r="A330" s="8">
        <v>43348.60737268519</v>
      </c>
      <c r="B330" s="11" t="str">
        <f>HYPERLINK("https://twitter.com/iam_amiran","@iam_amiran")</f>
        <v>@iam_amiran</v>
      </c>
      <c r="C330" s="6" t="s">
        <v>14682</v>
      </c>
      <c r="D330" s="5" t="s">
        <v>15781</v>
      </c>
      <c r="E330" s="9" t="str">
        <f>HYPERLINK("https://twitter.com/iam_amiran/status/1037280329768284160","1037280329768284160")</f>
        <v>1037280329768284160</v>
      </c>
      <c r="F330" s="4"/>
      <c r="G330" s="4"/>
      <c r="H330" s="4"/>
      <c r="I330" s="10" t="str">
        <f>HYPERLINK("http://twitter.com/download/android","Twitter for Android")</f>
        <v>Twitter for Android</v>
      </c>
      <c r="J330" s="2">
        <v>27</v>
      </c>
      <c r="K330" s="2">
        <v>40</v>
      </c>
      <c r="L330" s="2">
        <v>0</v>
      </c>
      <c r="M330" s="2"/>
      <c r="N330" s="8">
        <v>42930.966307870374</v>
      </c>
      <c r="O330" s="4" t="s">
        <v>34</v>
      </c>
      <c r="P330" s="3" t="s">
        <v>14680</v>
      </c>
      <c r="Q330" s="10" t="s">
        <v>14679</v>
      </c>
      <c r="R330" s="4"/>
      <c r="S330" s="9" t="str">
        <f>HYPERLINK("https://pbs.twimg.com/profile_images/1031491096541622274/JymyuHt9.jpg","View")</f>
        <v>View</v>
      </c>
    </row>
    <row r="331" spans="1:19" ht="30">
      <c r="A331" s="8">
        <v>43348.606990740736</v>
      </c>
      <c r="B331" s="11" t="str">
        <f>HYPERLINK("https://twitter.com/esmaeelplusplus","@esmaeelplusplus")</f>
        <v>@esmaeelplusplus</v>
      </c>
      <c r="C331" s="6" t="s">
        <v>15780</v>
      </c>
      <c r="D331" s="5" t="s">
        <v>15779</v>
      </c>
      <c r="E331" s="9" t="str">
        <f>HYPERLINK("https://twitter.com/esmaeelplusplus/status/1037280194627809280","1037280194627809280")</f>
        <v>1037280194627809280</v>
      </c>
      <c r="F331" s="4"/>
      <c r="G331" s="4"/>
      <c r="H331" s="4"/>
      <c r="I331" s="10" t="str">
        <f>HYPERLINK("http://twitter.com/download/iphone","Twitter for iPhone")</f>
        <v>Twitter for iPhone</v>
      </c>
      <c r="J331" s="2">
        <v>539</v>
      </c>
      <c r="K331" s="2">
        <v>624</v>
      </c>
      <c r="L331" s="2">
        <v>4</v>
      </c>
      <c r="M331" s="2"/>
      <c r="N331" s="8">
        <v>41881.69090277778</v>
      </c>
      <c r="O331" s="4" t="s">
        <v>15778</v>
      </c>
      <c r="P331" s="3" t="s">
        <v>15777</v>
      </c>
      <c r="Q331" s="4"/>
      <c r="R331" s="4"/>
      <c r="S331" s="9" t="str">
        <f>HYPERLINK("https://pbs.twimg.com/profile_images/1035617353990590464/eyAXgFKU.jpg","View")</f>
        <v>View</v>
      </c>
    </row>
    <row r="332" spans="1:19" ht="30">
      <c r="A332" s="8">
        <v>43348.606666666667</v>
      </c>
      <c r="B332" s="11" t="str">
        <f>HYPERLINK("https://twitter.com/saeid_afsari","@saeid_afsari")</f>
        <v>@saeid_afsari</v>
      </c>
      <c r="C332" s="6" t="s">
        <v>15776</v>
      </c>
      <c r="D332" s="5" t="s">
        <v>15775</v>
      </c>
      <c r="E332" s="9" t="str">
        <f>HYPERLINK("https://twitter.com/saeid_afsari/status/1037280077678080000","1037280077678080000")</f>
        <v>1037280077678080000</v>
      </c>
      <c r="F332" s="4"/>
      <c r="G332" s="4"/>
      <c r="H332" s="4"/>
      <c r="I332" s="10" t="str">
        <f>HYPERLINK("http://twitter.com/download/android","Twitter for Android")</f>
        <v>Twitter for Android</v>
      </c>
      <c r="J332" s="2">
        <v>824</v>
      </c>
      <c r="K332" s="2">
        <v>414</v>
      </c>
      <c r="L332" s="2">
        <v>1</v>
      </c>
      <c r="M332" s="2"/>
      <c r="N332" s="8">
        <v>42698.922372685185</v>
      </c>
      <c r="O332" s="4" t="s">
        <v>15774</v>
      </c>
      <c r="P332" s="3" t="s">
        <v>15773</v>
      </c>
      <c r="Q332" s="10" t="s">
        <v>15772</v>
      </c>
      <c r="R332" s="4"/>
      <c r="S332" s="9" t="str">
        <f>HYPERLINK("https://pbs.twimg.com/profile_images/1027658240115523584/RI8gLQ86.jpg","View")</f>
        <v>View</v>
      </c>
    </row>
    <row r="333" spans="1:19" ht="40">
      <c r="A333" s="8">
        <v>43348.60664351852</v>
      </c>
      <c r="B333" s="11" t="str">
        <f>HYPERLINK("https://twitter.com/Tasnimnews_Fa","@Tasnimnews_Fa")</f>
        <v>@Tasnimnews_Fa</v>
      </c>
      <c r="C333" s="6" t="s">
        <v>603</v>
      </c>
      <c r="D333" s="5" t="s">
        <v>15771</v>
      </c>
      <c r="E333" s="9" t="str">
        <f>HYPERLINK("https://twitter.com/Tasnimnews_Fa/status/1037280067829882880","1037280067829882880")</f>
        <v>1037280067829882880</v>
      </c>
      <c r="F333" s="10" t="s">
        <v>15770</v>
      </c>
      <c r="G333" s="10" t="s">
        <v>15769</v>
      </c>
      <c r="H333" s="4"/>
      <c r="I333" s="10" t="str">
        <f>HYPERLINK("http://twitter.com","Twitter Web Client")</f>
        <v>Twitter Web Client</v>
      </c>
      <c r="J333" s="2">
        <v>109791</v>
      </c>
      <c r="K333" s="2">
        <v>20</v>
      </c>
      <c r="L333" s="2">
        <v>376</v>
      </c>
      <c r="M333" s="2" t="s">
        <v>80</v>
      </c>
      <c r="N333" s="8">
        <v>41868.671585648146</v>
      </c>
      <c r="O333" s="4" t="s">
        <v>133</v>
      </c>
      <c r="P333" s="3" t="s">
        <v>599</v>
      </c>
      <c r="Q333" s="10" t="s">
        <v>598</v>
      </c>
      <c r="R333" s="4"/>
      <c r="S333" s="9" t="str">
        <f>HYPERLINK("https://pbs.twimg.com/profile_images/942003149430239232/hvLw_1_E.jpg","View")</f>
        <v>View</v>
      </c>
    </row>
    <row r="334" spans="1:19" ht="30">
      <c r="A334" s="8">
        <v>43348.606064814812</v>
      </c>
      <c r="B334" s="11" t="str">
        <f>HYPERLINK("https://twitter.com/DrMsn89","@DrMsn89")</f>
        <v>@DrMsn89</v>
      </c>
      <c r="C334" s="6" t="s">
        <v>15031</v>
      </c>
      <c r="D334" s="5" t="s">
        <v>15768</v>
      </c>
      <c r="E334" s="9" t="str">
        <f>HYPERLINK("https://twitter.com/DrMsn89/status/1037279856030089217","1037279856030089217")</f>
        <v>1037279856030089217</v>
      </c>
      <c r="F334" s="4"/>
      <c r="G334" s="4"/>
      <c r="H334" s="4"/>
      <c r="I334" s="10" t="str">
        <f>HYPERLINK("http://twitter.com/download/iphone","Twitter for iPhone")</f>
        <v>Twitter for iPhone</v>
      </c>
      <c r="J334" s="2">
        <v>506</v>
      </c>
      <c r="K334" s="2">
        <v>866</v>
      </c>
      <c r="L334" s="2">
        <v>1</v>
      </c>
      <c r="M334" s="2"/>
      <c r="N334" s="8">
        <v>42985.849849537037</v>
      </c>
      <c r="O334" s="4" t="s">
        <v>15029</v>
      </c>
      <c r="P334" s="3" t="s">
        <v>15028</v>
      </c>
      <c r="Q334" s="4"/>
      <c r="R334" s="4"/>
      <c r="S334" s="9" t="str">
        <f>HYPERLINK("https://pbs.twimg.com/profile_images/972703696709718017/GmV9YZcK.jpg","View")</f>
        <v>View</v>
      </c>
    </row>
    <row r="335" spans="1:19" ht="20">
      <c r="A335" s="8">
        <v>43348.605914351851</v>
      </c>
      <c r="B335" s="11" t="str">
        <f>HYPERLINK("https://twitter.com/mj8166","@mj8166")</f>
        <v>@mj8166</v>
      </c>
      <c r="C335" s="6" t="s">
        <v>1122</v>
      </c>
      <c r="D335" s="5" t="s">
        <v>15767</v>
      </c>
      <c r="E335" s="9" t="str">
        <f>HYPERLINK("https://twitter.com/mj8166/status/1037279803446095872","1037279803446095872")</f>
        <v>1037279803446095872</v>
      </c>
      <c r="F335" s="4"/>
      <c r="G335" s="4"/>
      <c r="H335" s="4"/>
      <c r="I335" s="10" t="str">
        <f>HYPERLINK("http://twitter.com/download/android","Twitter for Android")</f>
        <v>Twitter for Android</v>
      </c>
      <c r="J335" s="2">
        <v>87</v>
      </c>
      <c r="K335" s="2">
        <v>503</v>
      </c>
      <c r="L335" s="2">
        <v>0</v>
      </c>
      <c r="M335" s="2"/>
      <c r="N335" s="8">
        <v>42331.851631944446</v>
      </c>
      <c r="O335" s="4" t="s">
        <v>34</v>
      </c>
      <c r="P335" s="3"/>
      <c r="Q335" s="4"/>
      <c r="R335" s="4"/>
      <c r="S335" s="9" t="str">
        <f>HYPERLINK("https://pbs.twimg.com/profile_images/865843253714833408/psX-TtHi.jpg","View")</f>
        <v>View</v>
      </c>
    </row>
    <row r="336" spans="1:19" ht="30">
      <c r="A336" s="8">
        <v>43348.605798611112</v>
      </c>
      <c r="B336" s="11" t="str">
        <f>HYPERLINK("https://twitter.com/0paradoxam0","@0paradoxam0")</f>
        <v>@0paradoxam0</v>
      </c>
      <c r="C336" s="6" t="s">
        <v>11846</v>
      </c>
      <c r="D336" s="5" t="s">
        <v>15766</v>
      </c>
      <c r="E336" s="9" t="str">
        <f>HYPERLINK("https://twitter.com/0paradoxam0/status/1037279761234632706","1037279761234632706")</f>
        <v>1037279761234632706</v>
      </c>
      <c r="F336" s="4"/>
      <c r="G336" s="4"/>
      <c r="H336" s="4"/>
      <c r="I336" s="10" t="str">
        <f>HYPERLINK("http://twitter.com/download/android","Twitter for Android")</f>
        <v>Twitter for Android</v>
      </c>
      <c r="J336" s="2">
        <v>377</v>
      </c>
      <c r="K336" s="2">
        <v>183</v>
      </c>
      <c r="L336" s="2">
        <v>2</v>
      </c>
      <c r="M336" s="2"/>
      <c r="N336" s="8">
        <v>41837.599062499998</v>
      </c>
      <c r="O336" s="4" t="s">
        <v>11844</v>
      </c>
      <c r="P336" s="3" t="s">
        <v>11843</v>
      </c>
      <c r="Q336" s="4"/>
      <c r="R336" s="4"/>
      <c r="S336" s="9" t="str">
        <f>HYPERLINK("https://pbs.twimg.com/profile_images/1015475565418176512/pDZ8-tlM.jpg","View")</f>
        <v>View</v>
      </c>
    </row>
    <row r="337" spans="1:19" ht="12.5">
      <c r="A337" s="8">
        <v>43348.605543981481</v>
      </c>
      <c r="B337" s="11" t="str">
        <f>HYPERLINK("https://twitter.com/amir__ho3in","@amir__ho3in")</f>
        <v>@amir__ho3in</v>
      </c>
      <c r="C337" s="6" t="s">
        <v>15765</v>
      </c>
      <c r="D337" s="5" t="s">
        <v>15764</v>
      </c>
      <c r="E337" s="9" t="str">
        <f>HYPERLINK("https://twitter.com/amir__ho3in/status/1037279669123510272","1037279669123510272")</f>
        <v>1037279669123510272</v>
      </c>
      <c r="F337" s="4"/>
      <c r="G337" s="4"/>
      <c r="H337" s="4"/>
      <c r="I337" s="10" t="str">
        <f>HYPERLINK("http://twitter.com/download/android","Twitter for Android")</f>
        <v>Twitter for Android</v>
      </c>
      <c r="J337" s="2">
        <v>199</v>
      </c>
      <c r="K337" s="2">
        <v>670</v>
      </c>
      <c r="L337" s="2">
        <v>1</v>
      </c>
      <c r="M337" s="2"/>
      <c r="N337" s="8">
        <v>42766.684050925927</v>
      </c>
      <c r="O337" s="4" t="s">
        <v>12848</v>
      </c>
      <c r="P337" s="3" t="s">
        <v>15763</v>
      </c>
      <c r="Q337" s="4"/>
      <c r="R337" s="4"/>
      <c r="S337" s="9" t="str">
        <f>HYPERLINK("https://pbs.twimg.com/profile_images/1025449113154973696/302pMBxM.jpg","View")</f>
        <v>View</v>
      </c>
    </row>
    <row r="338" spans="1:19" ht="40">
      <c r="A338" s="8">
        <v>43348.605358796296</v>
      </c>
      <c r="B338" s="11" t="str">
        <f>HYPERLINK("https://twitter.com/Hassan95202463","@Hassan95202463")</f>
        <v>@Hassan95202463</v>
      </c>
      <c r="C338" s="6" t="s">
        <v>9217</v>
      </c>
      <c r="D338" s="5" t="s">
        <v>15762</v>
      </c>
      <c r="E338" s="9" t="str">
        <f>HYPERLINK("https://twitter.com/Hassan95202463/status/1037279600185880577","1037279600185880577")</f>
        <v>1037279600185880577</v>
      </c>
      <c r="F338" s="4"/>
      <c r="G338" s="4"/>
      <c r="H338" s="4"/>
      <c r="I338" s="10" t="str">
        <f>HYPERLINK("http://twitter.com/download/iphone","Twitter for iPhone")</f>
        <v>Twitter for iPhone</v>
      </c>
      <c r="J338" s="2">
        <v>3060</v>
      </c>
      <c r="K338" s="2">
        <v>4158</v>
      </c>
      <c r="L338" s="2">
        <v>2</v>
      </c>
      <c r="M338" s="2"/>
      <c r="N338" s="8">
        <v>43034.944965277777</v>
      </c>
      <c r="O338" s="4" t="s">
        <v>145</v>
      </c>
      <c r="P338" s="3" t="s">
        <v>15761</v>
      </c>
      <c r="Q338" s="4"/>
      <c r="R338" s="4"/>
      <c r="S338" s="9" t="str">
        <f>HYPERLINK("https://pbs.twimg.com/profile_images/996861264872828928/4zNIw7fB.jpg","View")</f>
        <v>View</v>
      </c>
    </row>
    <row r="339" spans="1:19" ht="50">
      <c r="A339" s="8">
        <v>43348.605231481481</v>
      </c>
      <c r="B339" s="11" t="str">
        <f>HYPERLINK("https://twitter.com/ata_afs","@ata_afs")</f>
        <v>@ata_afs</v>
      </c>
      <c r="C339" s="6" t="s">
        <v>1217</v>
      </c>
      <c r="D339" s="5" t="s">
        <v>15760</v>
      </c>
      <c r="E339" s="9" t="str">
        <f>HYPERLINK("https://twitter.com/ata_afs/status/1037279555273154560","1037279555273154560")</f>
        <v>1037279555273154560</v>
      </c>
      <c r="F339" s="10" t="s">
        <v>15759</v>
      </c>
      <c r="G339" s="4"/>
      <c r="H339" s="4"/>
      <c r="I339" s="10" t="str">
        <f>HYPERLINK("http://twitter.com/download/iphone","Twitter for iPhone")</f>
        <v>Twitter for iPhone</v>
      </c>
      <c r="J339" s="2">
        <v>381</v>
      </c>
      <c r="K339" s="2">
        <v>698</v>
      </c>
      <c r="L339" s="2">
        <v>0</v>
      </c>
      <c r="M339" s="2"/>
      <c r="N339" s="8">
        <v>41833.536099537036</v>
      </c>
      <c r="O339" s="4" t="s">
        <v>34</v>
      </c>
      <c r="P339" s="3" t="s">
        <v>1213</v>
      </c>
      <c r="Q339" s="4"/>
      <c r="R339" s="4"/>
      <c r="S339" s="9" t="str">
        <f>HYPERLINK("https://pbs.twimg.com/profile_images/958374868008960000/IRXSv5-C.jpg","View")</f>
        <v>View</v>
      </c>
    </row>
    <row r="340" spans="1:19" ht="30">
      <c r="A340" s="8">
        <v>43348.605115740742</v>
      </c>
      <c r="B340" s="11" t="str">
        <f>HYPERLINK("https://twitter.com/SajjadTolou","@SajjadTolou")</f>
        <v>@SajjadTolou</v>
      </c>
      <c r="C340" s="6" t="s">
        <v>15758</v>
      </c>
      <c r="D340" s="5" t="s">
        <v>15757</v>
      </c>
      <c r="E340" s="9" t="str">
        <f>HYPERLINK("https://twitter.com/SajjadTolou/status/1037279514659700736","1037279514659700736")</f>
        <v>1037279514659700736</v>
      </c>
      <c r="F340" s="4"/>
      <c r="G340" s="4"/>
      <c r="H340" s="4"/>
      <c r="I340" s="10" t="str">
        <f>HYPERLINK("http://twitter.com/download/android","Twitter for Android")</f>
        <v>Twitter for Android</v>
      </c>
      <c r="J340" s="2">
        <v>132</v>
      </c>
      <c r="K340" s="2">
        <v>171</v>
      </c>
      <c r="L340" s="2">
        <v>0</v>
      </c>
      <c r="M340" s="2"/>
      <c r="N340" s="8">
        <v>42759.599687499998</v>
      </c>
      <c r="O340" s="4"/>
      <c r="P340" s="3"/>
      <c r="Q340" s="4"/>
      <c r="R340" s="4"/>
      <c r="S340" s="9" t="str">
        <f>HYPERLINK("https://pbs.twimg.com/profile_images/823913680026869760/LG4APioc.jpg","View")</f>
        <v>View</v>
      </c>
    </row>
    <row r="341" spans="1:19" ht="20">
      <c r="A341" s="8">
        <v>43348.604212962964</v>
      </c>
      <c r="B341" s="11" t="str">
        <f>HYPERLINK("https://twitter.com/edalat313","@edalat313")</f>
        <v>@edalat313</v>
      </c>
      <c r="C341" s="6" t="s">
        <v>373</v>
      </c>
      <c r="D341" s="5" t="s">
        <v>15756</v>
      </c>
      <c r="E341" s="9" t="str">
        <f>HYPERLINK("https://twitter.com/edalat313/status/1037279187818749952","1037279187818749952")</f>
        <v>1037279187818749952</v>
      </c>
      <c r="F341" s="4"/>
      <c r="G341" s="4"/>
      <c r="H341" s="4"/>
      <c r="I341" s="10" t="str">
        <f>HYPERLINK("http://twitter.com/download/android","Twitter for Android")</f>
        <v>Twitter for Android</v>
      </c>
      <c r="J341" s="2">
        <v>682</v>
      </c>
      <c r="K341" s="2">
        <v>538</v>
      </c>
      <c r="L341" s="2">
        <v>4</v>
      </c>
      <c r="M341" s="2"/>
      <c r="N341" s="8">
        <v>42902.21837962963</v>
      </c>
      <c r="O341" s="4" t="s">
        <v>370</v>
      </c>
      <c r="P341" s="3" t="s">
        <v>369</v>
      </c>
      <c r="Q341" s="4"/>
      <c r="R341" s="4"/>
      <c r="S341" s="9" t="str">
        <f>HYPERLINK("https://pbs.twimg.com/profile_images/876595734983966720/7MSnG3D_.jpg","View")</f>
        <v>View</v>
      </c>
    </row>
    <row r="342" spans="1:19" ht="30">
      <c r="A342" s="8">
        <v>43348.604155092587</v>
      </c>
      <c r="B342" s="11" t="str">
        <f>HYPERLINK("https://twitter.com/Roshangari_ir","@Roshangari_ir")</f>
        <v>@Roshangari_ir</v>
      </c>
      <c r="C342" s="11" t="s">
        <v>5770</v>
      </c>
      <c r="D342" s="5" t="s">
        <v>15755</v>
      </c>
      <c r="E342" s="9" t="str">
        <f>HYPERLINK("https://twitter.com/Roshangari_ir/status/1037279167862202368","1037279167862202368")</f>
        <v>1037279167862202368</v>
      </c>
      <c r="F342" s="4"/>
      <c r="G342" s="10" t="s">
        <v>15754</v>
      </c>
      <c r="H342" s="4"/>
      <c r="I342" s="10" t="str">
        <f>HYPERLINK("http://twitter.com","Twitter Web Client")</f>
        <v>Twitter Web Client</v>
      </c>
      <c r="J342" s="2">
        <v>5866</v>
      </c>
      <c r="K342" s="2">
        <v>4692</v>
      </c>
      <c r="L342" s="2">
        <v>17</v>
      </c>
      <c r="M342" s="2"/>
      <c r="N342" s="8">
        <v>41759.410682870366</v>
      </c>
      <c r="O342" s="4"/>
      <c r="P342" s="3"/>
      <c r="Q342" s="4"/>
      <c r="R342" s="4"/>
      <c r="S342" s="9" t="str">
        <f>HYPERLINK("https://pbs.twimg.com/profile_images/968820789456748546/nwIwZqCA.jpg","View")</f>
        <v>View</v>
      </c>
    </row>
    <row r="343" spans="1:19" ht="20">
      <c r="A343" s="8">
        <v>43348.604131944448</v>
      </c>
      <c r="B343" s="11" t="str">
        <f>HYPERLINK("https://twitter.com/bayanitwt","@bayanitwt")</f>
        <v>@bayanitwt</v>
      </c>
      <c r="C343" s="6" t="s">
        <v>14177</v>
      </c>
      <c r="D343" s="5" t="s">
        <v>15753</v>
      </c>
      <c r="E343" s="9" t="str">
        <f>HYPERLINK("https://twitter.com/bayanitwt/status/1037279158882185216","1037279158882185216")</f>
        <v>1037279158882185216</v>
      </c>
      <c r="F343" s="4"/>
      <c r="G343" s="4"/>
      <c r="H343" s="4"/>
      <c r="I343" s="10" t="str">
        <f>HYPERLINK("http://twitter.com","Twitter Web Client")</f>
        <v>Twitter Web Client</v>
      </c>
      <c r="J343" s="2">
        <v>706</v>
      </c>
      <c r="K343" s="2">
        <v>632</v>
      </c>
      <c r="L343" s="2">
        <v>1</v>
      </c>
      <c r="M343" s="2"/>
      <c r="N343" s="8">
        <v>40684.752291666664</v>
      </c>
      <c r="O343" s="4" t="s">
        <v>104</v>
      </c>
      <c r="P343" s="3" t="s">
        <v>14175</v>
      </c>
      <c r="Q343" s="4"/>
      <c r="R343" s="4"/>
      <c r="S343" s="9" t="str">
        <f>HYPERLINK("https://pbs.twimg.com/profile_images/1036285700742819840/gn6zUInm.jpg","View")</f>
        <v>View</v>
      </c>
    </row>
    <row r="344" spans="1:19" ht="30">
      <c r="A344" s="8">
        <v>43348.604074074072</v>
      </c>
      <c r="B344" s="11" t="str">
        <f>HYPERLINK("https://twitter.com/Amirabbasnori2","@Amirabbasnori2")</f>
        <v>@Amirabbasnori2</v>
      </c>
      <c r="C344" s="6" t="s">
        <v>15752</v>
      </c>
      <c r="D344" s="5" t="s">
        <v>15751</v>
      </c>
      <c r="E344" s="9" t="str">
        <f>HYPERLINK("https://twitter.com/Amirabbasnori2/status/1037279137189322752","1037279137189322752")</f>
        <v>1037279137189322752</v>
      </c>
      <c r="F344" s="4"/>
      <c r="G344" s="4"/>
      <c r="H344" s="4"/>
      <c r="I344" s="10" t="str">
        <f>HYPERLINK("http://twitter.com/download/android","Twitter for Android")</f>
        <v>Twitter for Android</v>
      </c>
      <c r="J344" s="2">
        <v>6</v>
      </c>
      <c r="K344" s="2">
        <v>10</v>
      </c>
      <c r="L344" s="2">
        <v>0</v>
      </c>
      <c r="M344" s="2"/>
      <c r="N344" s="8">
        <v>43269.236284722225</v>
      </c>
      <c r="O344" s="4"/>
      <c r="P344" s="3"/>
      <c r="Q344" s="4"/>
      <c r="R344" s="4"/>
      <c r="S344" s="9" t="str">
        <f>HYPERLINK("https://pbs.twimg.com/profile_images/1008624187903275009/NgEsr33o.jpg","View")</f>
        <v>View</v>
      </c>
    </row>
    <row r="345" spans="1:19" ht="40">
      <c r="A345" s="8">
        <v>43348.604027777779</v>
      </c>
      <c r="B345" s="11" t="str">
        <f>HYPERLINK("https://twitter.com/aghazadeh811","@aghazadeh811")</f>
        <v>@aghazadeh811</v>
      </c>
      <c r="C345" s="6" t="s">
        <v>12104</v>
      </c>
      <c r="D345" s="5" t="s">
        <v>15750</v>
      </c>
      <c r="E345" s="9" t="str">
        <f>HYPERLINK("https://twitter.com/aghazadeh811/status/1037279119145410560","1037279119145410560")</f>
        <v>1037279119145410560</v>
      </c>
      <c r="F345" s="4"/>
      <c r="G345" s="4"/>
      <c r="H345" s="4"/>
      <c r="I345" s="10" t="str">
        <f>HYPERLINK("http://twitter.com/download/android","Twitter for Android")</f>
        <v>Twitter for Android</v>
      </c>
      <c r="J345" s="2">
        <v>4202</v>
      </c>
      <c r="K345" s="2">
        <v>442</v>
      </c>
      <c r="L345" s="2">
        <v>22</v>
      </c>
      <c r="M345" s="2"/>
      <c r="N345" s="8">
        <v>42545.83803240741</v>
      </c>
      <c r="O345" s="4"/>
      <c r="P345" s="3"/>
      <c r="Q345" s="4"/>
      <c r="R345" s="4"/>
      <c r="S345" s="9" t="str">
        <f>HYPERLINK("https://pbs.twimg.com/profile_images/1000420417671127041/maYNUW7I.jpg","View")</f>
        <v>View</v>
      </c>
    </row>
    <row r="346" spans="1:19" ht="20">
      <c r="A346" s="8">
        <v>43348.60324074074</v>
      </c>
      <c r="B346" s="11" t="str">
        <f>HYPERLINK("https://twitter.com/revayateman","@revayateman")</f>
        <v>@revayateman</v>
      </c>
      <c r="C346" s="6" t="s">
        <v>2668</v>
      </c>
      <c r="D346" s="5" t="s">
        <v>15749</v>
      </c>
      <c r="E346" s="9" t="str">
        <f>HYPERLINK("https://twitter.com/revayateman/status/1037278833827885056","1037278833827885056")</f>
        <v>1037278833827885056</v>
      </c>
      <c r="F346" s="4"/>
      <c r="G346" s="4"/>
      <c r="H346" s="4"/>
      <c r="I346" s="10" t="str">
        <f>HYPERLINK("http://twitter.com/download/android","Twitter for Android")</f>
        <v>Twitter for Android</v>
      </c>
      <c r="J346" s="2">
        <v>1307</v>
      </c>
      <c r="K346" s="2">
        <v>1473</v>
      </c>
      <c r="L346" s="2">
        <v>2</v>
      </c>
      <c r="M346" s="2"/>
      <c r="N346" s="8">
        <v>43142.102812500001</v>
      </c>
      <c r="O346" s="4"/>
      <c r="P346" s="3"/>
      <c r="Q346" s="4"/>
      <c r="R346" s="4"/>
      <c r="S346" s="9" t="str">
        <f>HYPERLINK("https://pbs.twimg.com/profile_images/1009529903597879296/HjmoU0O9.jpg","View")</f>
        <v>View</v>
      </c>
    </row>
    <row r="347" spans="1:19" ht="30">
      <c r="A347" s="8">
        <v>43348.601956018523</v>
      </c>
      <c r="B347" s="11" t="str">
        <f>HYPERLINK("https://twitter.com/ISNAMEDIA","@ISNAMEDIA")</f>
        <v>@ISNAMEDIA</v>
      </c>
      <c r="C347" s="6" t="s">
        <v>13235</v>
      </c>
      <c r="D347" s="5" t="s">
        <v>15748</v>
      </c>
      <c r="E347" s="9" t="str">
        <f>HYPERLINK("https://twitter.com/ISNAMEDIA/status/1037278369564577792","1037278369564577792")</f>
        <v>1037278369564577792</v>
      </c>
      <c r="F347" s="10" t="s">
        <v>15747</v>
      </c>
      <c r="G347" s="10" t="s">
        <v>15746</v>
      </c>
      <c r="H347" s="4"/>
      <c r="I347" s="10" t="str">
        <f>HYPERLINK("http://twitter.com","Twitter Web Client")</f>
        <v>Twitter Web Client</v>
      </c>
      <c r="J347" s="2">
        <v>724</v>
      </c>
      <c r="K347" s="2">
        <v>118</v>
      </c>
      <c r="L347" s="2">
        <v>11</v>
      </c>
      <c r="M347" s="2"/>
      <c r="N347" s="8">
        <v>43209.806666666671</v>
      </c>
      <c r="O347" s="4" t="s">
        <v>145</v>
      </c>
      <c r="P347" s="3" t="s">
        <v>13231</v>
      </c>
      <c r="Q347" s="4"/>
      <c r="R347" s="4"/>
      <c r="S347" s="9" t="str">
        <f>HYPERLINK("https://pbs.twimg.com/profile_images/992338208410296320/VmaNd33c.jpg","View")</f>
        <v>View</v>
      </c>
    </row>
    <row r="348" spans="1:19" ht="20">
      <c r="A348" s="8">
        <v>43348.601909722223</v>
      </c>
      <c r="B348" s="11" t="str">
        <f>HYPERLINK("https://twitter.com/BVR273","@BVR273")</f>
        <v>@BVR273</v>
      </c>
      <c r="C348" s="6" t="s">
        <v>15745</v>
      </c>
      <c r="D348" s="5" t="s">
        <v>15744</v>
      </c>
      <c r="E348" s="9" t="str">
        <f>HYPERLINK("https://twitter.com/BVR273/status/1037278352653074433","1037278352653074433")</f>
        <v>1037278352653074433</v>
      </c>
      <c r="F348" s="4"/>
      <c r="G348" s="4"/>
      <c r="H348" s="4"/>
      <c r="I348" s="10" t="str">
        <f>HYPERLINK("http://twitter.com/download/android","Twitter for Android")</f>
        <v>Twitter for Android</v>
      </c>
      <c r="J348" s="2">
        <v>94</v>
      </c>
      <c r="K348" s="2">
        <v>89</v>
      </c>
      <c r="L348" s="2">
        <v>0</v>
      </c>
      <c r="M348" s="2"/>
      <c r="N348" s="8">
        <v>42959.853877314818</v>
      </c>
      <c r="O348" s="4" t="s">
        <v>34</v>
      </c>
      <c r="P348" s="3" t="s">
        <v>15743</v>
      </c>
      <c r="Q348" s="4"/>
      <c r="R348" s="4"/>
      <c r="S348" s="9" t="str">
        <f>HYPERLINK("https://pbs.twimg.com/profile_images/1006167971277037568/GulS1Wn6.jpg","View")</f>
        <v>View</v>
      </c>
    </row>
    <row r="349" spans="1:19" ht="12.5">
      <c r="A349" s="8">
        <v>43348.601238425923</v>
      </c>
      <c r="B349" s="11" t="str">
        <f>HYPERLINK("https://twitter.com/Htcarc","@Htcarc")</f>
        <v>@Htcarc</v>
      </c>
      <c r="C349" s="6" t="s">
        <v>10651</v>
      </c>
      <c r="D349" s="5" t="s">
        <v>15742</v>
      </c>
      <c r="E349" s="9" t="str">
        <f>HYPERLINK("https://twitter.com/Htcarc/status/1037278107424772096","1037278107424772096")</f>
        <v>1037278107424772096</v>
      </c>
      <c r="F349" s="4"/>
      <c r="G349" s="4"/>
      <c r="H349" s="4"/>
      <c r="I349" s="10" t="str">
        <f>HYPERLINK("http://twitter.com/download/iphone","Twitter for iPhone")</f>
        <v>Twitter for iPhone</v>
      </c>
      <c r="J349" s="2">
        <v>461</v>
      </c>
      <c r="K349" s="2">
        <v>1842</v>
      </c>
      <c r="L349" s="2">
        <v>1</v>
      </c>
      <c r="M349" s="2"/>
      <c r="N349" s="8">
        <v>40573.577118055553</v>
      </c>
      <c r="O349" s="4" t="s">
        <v>10649</v>
      </c>
      <c r="P349" s="3" t="s">
        <v>10648</v>
      </c>
      <c r="Q349" s="4"/>
      <c r="R349" s="4"/>
      <c r="S349" s="9" t="str">
        <f>HYPERLINK("https://pbs.twimg.com/profile_images/1009074827293069312/Z84R5-LL.jpg","View")</f>
        <v>View</v>
      </c>
    </row>
    <row r="350" spans="1:19" ht="30">
      <c r="A350" s="8">
        <v>43348.600914351853</v>
      </c>
      <c r="B350" s="11" t="str">
        <f>HYPERLINK("https://twitter.com/hyper_out","@hyper_out")</f>
        <v>@hyper_out</v>
      </c>
      <c r="C350" s="6" t="s">
        <v>15741</v>
      </c>
      <c r="D350" s="5" t="s">
        <v>15740</v>
      </c>
      <c r="E350" s="9" t="str">
        <f>HYPERLINK("https://twitter.com/hyper_out/status/1037277991305469957","1037277991305469957")</f>
        <v>1037277991305469957</v>
      </c>
      <c r="F350" s="4"/>
      <c r="G350" s="4"/>
      <c r="H350" s="4"/>
      <c r="I350" s="10" t="str">
        <f>HYPERLINK("http://twitter.com/download/iphone","Twitter for iPhone")</f>
        <v>Twitter for iPhone</v>
      </c>
      <c r="J350" s="2">
        <v>189</v>
      </c>
      <c r="K350" s="2">
        <v>481</v>
      </c>
      <c r="L350" s="2">
        <v>0</v>
      </c>
      <c r="M350" s="2"/>
      <c r="N350" s="8">
        <v>43232.482731481483</v>
      </c>
      <c r="O350" s="4" t="s">
        <v>34</v>
      </c>
      <c r="P350" s="3" t="s">
        <v>15739</v>
      </c>
      <c r="Q350" s="4"/>
      <c r="R350" s="4"/>
      <c r="S350" s="9" t="str">
        <f>HYPERLINK("https://pbs.twimg.com/profile_images/1016882198115438593/5IyWx2jG.jpg","View")</f>
        <v>View</v>
      </c>
    </row>
    <row r="351" spans="1:19" ht="40">
      <c r="A351" s="8">
        <v>43348.600347222222</v>
      </c>
      <c r="B351" s="11" t="str">
        <f>HYPERLINK("https://twitter.com/SPakroo","@SPakroo")</f>
        <v>@SPakroo</v>
      </c>
      <c r="C351" s="6" t="s">
        <v>4824</v>
      </c>
      <c r="D351" s="5" t="s">
        <v>15738</v>
      </c>
      <c r="E351" s="9" t="str">
        <f>HYPERLINK("https://twitter.com/SPakroo/status/1037277784949719040","1037277784949719040")</f>
        <v>1037277784949719040</v>
      </c>
      <c r="F351" s="4"/>
      <c r="G351" s="4"/>
      <c r="H351" s="4"/>
      <c r="I351" s="10" t="str">
        <f>HYPERLINK("http://twitter.com","Twitter Web Client")</f>
        <v>Twitter Web Client</v>
      </c>
      <c r="J351" s="2">
        <v>6</v>
      </c>
      <c r="K351" s="2">
        <v>25</v>
      </c>
      <c r="L351" s="2">
        <v>0</v>
      </c>
      <c r="M351" s="2"/>
      <c r="N351" s="8">
        <v>43310.822800925926</v>
      </c>
      <c r="O351" s="4"/>
      <c r="P351" s="3"/>
      <c r="Q351" s="4"/>
      <c r="R351" s="4"/>
      <c r="S351" s="9" t="str">
        <f>HYPERLINK("https://pbs.twimg.com/profile_images/1026468958969331713/pXihc-bs.jpg","View")</f>
        <v>View</v>
      </c>
    </row>
    <row r="352" spans="1:19" ht="40">
      <c r="A352" s="8">
        <v>43348.600115740745</v>
      </c>
      <c r="B352" s="11" t="str">
        <f>HYPERLINK("https://twitter.com/researcher217","@researcher217")</f>
        <v>@researcher217</v>
      </c>
      <c r="C352" s="6" t="s">
        <v>15737</v>
      </c>
      <c r="D352" s="5" t="s">
        <v>15736</v>
      </c>
      <c r="E352" s="9" t="str">
        <f>HYPERLINK("https://twitter.com/researcher217/status/1037277701911060480","1037277701911060480")</f>
        <v>1037277701911060480</v>
      </c>
      <c r="F352" s="4"/>
      <c r="G352" s="4"/>
      <c r="H352" s="4"/>
      <c r="I352" s="10" t="str">
        <f>HYPERLINK("http://twitter.com/download/android","Twitter for Android")</f>
        <v>Twitter for Android</v>
      </c>
      <c r="J352" s="2">
        <v>272</v>
      </c>
      <c r="K352" s="2">
        <v>262</v>
      </c>
      <c r="L352" s="2">
        <v>0</v>
      </c>
      <c r="M352" s="2"/>
      <c r="N352" s="8">
        <v>42651.707372685181</v>
      </c>
      <c r="O352" s="4" t="s">
        <v>763</v>
      </c>
      <c r="P352" s="3" t="s">
        <v>15735</v>
      </c>
      <c r="Q352" s="4"/>
      <c r="R352" s="4"/>
      <c r="S352" s="9" t="str">
        <f>HYPERLINK("https://pbs.twimg.com/profile_images/1014246152521297926/1oQpRqV-.jpg","View")</f>
        <v>View</v>
      </c>
    </row>
    <row r="353" spans="1:19" ht="20">
      <c r="A353" s="8">
        <v>43348.599756944444</v>
      </c>
      <c r="B353" s="11" t="str">
        <f>HYPERLINK("https://twitter.com/khakshir_3","@khakshir_3")</f>
        <v>@khakshir_3</v>
      </c>
      <c r="C353" s="6" t="s">
        <v>15734</v>
      </c>
      <c r="D353" s="5" t="s">
        <v>15733</v>
      </c>
      <c r="E353" s="9" t="str">
        <f>HYPERLINK("https://twitter.com/khakshir_3/status/1037277572097363968","1037277572097363968")</f>
        <v>1037277572097363968</v>
      </c>
      <c r="F353" s="4"/>
      <c r="G353" s="4"/>
      <c r="H353" s="4"/>
      <c r="I353" s="10" t="str">
        <f>HYPERLINK("https://mobile.twitter.com","Mobile Web (M2)")</f>
        <v>Mobile Web (M2)</v>
      </c>
      <c r="J353" s="2">
        <v>101</v>
      </c>
      <c r="K353" s="2">
        <v>151</v>
      </c>
      <c r="L353" s="2">
        <v>1</v>
      </c>
      <c r="M353" s="2"/>
      <c r="N353" s="8">
        <v>42767.602835648147</v>
      </c>
      <c r="O353" s="4"/>
      <c r="P353" s="3" t="s">
        <v>15732</v>
      </c>
      <c r="Q353" s="4"/>
      <c r="R353" s="4"/>
      <c r="S353" s="9" t="str">
        <f>HYPERLINK("https://pbs.twimg.com/profile_images/1001722620784660481/dTa15vfl.jpg","View")</f>
        <v>View</v>
      </c>
    </row>
    <row r="354" spans="1:19" ht="40">
      <c r="A354" s="8">
        <v>43348.59946759259</v>
      </c>
      <c r="B354" s="11" t="str">
        <f>HYPERLINK("https://twitter.com/mohtashamiali","@mohtashamiali")</f>
        <v>@mohtashamiali</v>
      </c>
      <c r="C354" s="6" t="s">
        <v>7353</v>
      </c>
      <c r="D354" s="5" t="s">
        <v>15731</v>
      </c>
      <c r="E354" s="9" t="str">
        <f>HYPERLINK("https://twitter.com/mohtashamiali/status/1037277467403276288","1037277467403276288")</f>
        <v>1037277467403276288</v>
      </c>
      <c r="F354" s="4"/>
      <c r="G354" s="4"/>
      <c r="H354" s="4"/>
      <c r="I354" s="10" t="str">
        <f>HYPERLINK("http://twitter.com/download/android","Twitter for Android")</f>
        <v>Twitter for Android</v>
      </c>
      <c r="J354" s="2">
        <v>87</v>
      </c>
      <c r="K354" s="2">
        <v>327</v>
      </c>
      <c r="L354" s="2">
        <v>0</v>
      </c>
      <c r="M354" s="2"/>
      <c r="N354" s="8">
        <v>41009.426215277781</v>
      </c>
      <c r="O354" s="4" t="s">
        <v>17</v>
      </c>
      <c r="P354" s="3" t="s">
        <v>7351</v>
      </c>
      <c r="Q354" s="4"/>
      <c r="R354" s="4"/>
      <c r="S354" s="9" t="str">
        <f>HYPERLINK("https://pbs.twimg.com/profile_images/1034659948733640704/K5xyZzEd.jpg","View")</f>
        <v>View</v>
      </c>
    </row>
    <row r="355" spans="1:19" ht="30">
      <c r="A355" s="8">
        <v>43348.598750000005</v>
      </c>
      <c r="B355" s="11" t="str">
        <f>HYPERLINK("https://twitter.com/SamDoone","@SamDoone")</f>
        <v>@SamDoone</v>
      </c>
      <c r="C355" s="6" t="s">
        <v>6210</v>
      </c>
      <c r="D355" s="5" t="s">
        <v>15730</v>
      </c>
      <c r="E355" s="9" t="str">
        <f>HYPERLINK("https://twitter.com/SamDoone/status/1037277206655979520","1037277206655979520")</f>
        <v>1037277206655979520</v>
      </c>
      <c r="F355" s="4"/>
      <c r="G355" s="4"/>
      <c r="H355" s="4"/>
      <c r="I355" s="10" t="str">
        <f>HYPERLINK("http://twitter.com","Twitter Web Client")</f>
        <v>Twitter Web Client</v>
      </c>
      <c r="J355" s="2">
        <v>55</v>
      </c>
      <c r="K355" s="2">
        <v>213</v>
      </c>
      <c r="L355" s="2">
        <v>0</v>
      </c>
      <c r="M355" s="2"/>
      <c r="N355" s="8">
        <v>42407.92597222222</v>
      </c>
      <c r="O355" s="4"/>
      <c r="P355" s="3"/>
      <c r="Q355" s="4"/>
      <c r="R355" s="4"/>
      <c r="S355" s="9" t="str">
        <f>HYPERLINK("https://pbs.twimg.com/profile_images/1021361045007286273/IWED7CRV.jpg","View")</f>
        <v>View</v>
      </c>
    </row>
    <row r="356" spans="1:19" ht="30">
      <c r="A356" s="8">
        <v>43348.598333333328</v>
      </c>
      <c r="B356" s="11" t="str">
        <f>HYPERLINK("https://twitter.com/majidpaksima","@majidpaksima")</f>
        <v>@majidpaksima</v>
      </c>
      <c r="C356" s="6" t="s">
        <v>7022</v>
      </c>
      <c r="D356" s="5" t="s">
        <v>15729</v>
      </c>
      <c r="E356" s="9" t="str">
        <f>HYPERLINK("https://twitter.com/majidpaksima/status/1037277057481228289","1037277057481228289")</f>
        <v>1037277057481228289</v>
      </c>
      <c r="F356" s="4"/>
      <c r="G356" s="4"/>
      <c r="H356" s="4"/>
      <c r="I356" s="10" t="str">
        <f>HYPERLINK("http://twitter.com","Twitter Web Client")</f>
        <v>Twitter Web Client</v>
      </c>
      <c r="J356" s="2">
        <v>1102</v>
      </c>
      <c r="K356" s="2">
        <v>811</v>
      </c>
      <c r="L356" s="2">
        <v>1</v>
      </c>
      <c r="M356" s="2"/>
      <c r="N356" s="8">
        <v>42608.821273148147</v>
      </c>
      <c r="O356" s="4" t="s">
        <v>133</v>
      </c>
      <c r="P356" s="3" t="s">
        <v>7020</v>
      </c>
      <c r="Q356" s="4"/>
      <c r="R356" s="4"/>
      <c r="S356" s="9" t="str">
        <f>HYPERLINK("https://pbs.twimg.com/profile_images/961237403330588673/OV4ebEUW.jpg","View")</f>
        <v>View</v>
      </c>
    </row>
    <row r="357" spans="1:19" ht="20">
      <c r="A357" s="8">
        <v>43348.597615740742</v>
      </c>
      <c r="B357" s="11" t="str">
        <f>HYPERLINK("https://twitter.com/HojjatRaez","@HojjatRaez")</f>
        <v>@HojjatRaez</v>
      </c>
      <c r="C357" s="6" t="s">
        <v>15728</v>
      </c>
      <c r="D357" s="5" t="s">
        <v>15727</v>
      </c>
      <c r="E357" s="9" t="str">
        <f>HYPERLINK("https://twitter.com/HojjatRaez/status/1037276797984010240","1037276797984010240")</f>
        <v>1037276797984010240</v>
      </c>
      <c r="F357" s="4"/>
      <c r="G357" s="10" t="s">
        <v>15726</v>
      </c>
      <c r="H357" s="4"/>
      <c r="I357" s="10" t="str">
        <f>HYPERLINK("http://twitter.com/download/android","Twitter for Android")</f>
        <v>Twitter for Android</v>
      </c>
      <c r="J357" s="2">
        <v>204</v>
      </c>
      <c r="K357" s="2">
        <v>632</v>
      </c>
      <c r="L357" s="2">
        <v>0</v>
      </c>
      <c r="M357" s="2"/>
      <c r="N357" s="8">
        <v>42854.510081018518</v>
      </c>
      <c r="O357" s="4" t="s">
        <v>1601</v>
      </c>
      <c r="P357" s="3" t="s">
        <v>15725</v>
      </c>
      <c r="Q357" s="4"/>
      <c r="R357" s="4"/>
      <c r="S357" s="9" t="str">
        <f>HYPERLINK("https://pbs.twimg.com/profile_images/1023693156301385731/uV_367vF.jpg","View")</f>
        <v>View</v>
      </c>
    </row>
    <row r="358" spans="1:19" ht="40">
      <c r="A358" s="8">
        <v>43348.597395833334</v>
      </c>
      <c r="B358" s="11" t="str">
        <f>HYPERLINK("https://twitter.com/KhosroshahiAmin","@KhosroshahiAmin")</f>
        <v>@KhosroshahiAmin</v>
      </c>
      <c r="C358" s="6" t="s">
        <v>3163</v>
      </c>
      <c r="D358" s="5" t="s">
        <v>15724</v>
      </c>
      <c r="E358" s="9" t="str">
        <f>HYPERLINK("https://twitter.com/KhosroshahiAmin/status/1037276716681650176","1037276716681650176")</f>
        <v>1037276716681650176</v>
      </c>
      <c r="F358" s="4"/>
      <c r="G358" s="4"/>
      <c r="H358" s="4"/>
      <c r="I358" s="10" t="str">
        <f>HYPERLINK("http://twitter.com","Twitter Web Client")</f>
        <v>Twitter Web Client</v>
      </c>
      <c r="J358" s="2">
        <v>2132</v>
      </c>
      <c r="K358" s="2">
        <v>772</v>
      </c>
      <c r="L358" s="2">
        <v>62</v>
      </c>
      <c r="M358" s="2"/>
      <c r="N358" s="8">
        <v>41927.698252314818</v>
      </c>
      <c r="O358" s="4" t="s">
        <v>133</v>
      </c>
      <c r="P358" s="3" t="s">
        <v>3161</v>
      </c>
      <c r="Q358" s="10" t="s">
        <v>3160</v>
      </c>
      <c r="R358" s="4"/>
      <c r="S358" s="9" t="str">
        <f>HYPERLINK("https://pbs.twimg.com/profile_images/580397795791757315/TMCNALrQ.jpg","View")</f>
        <v>View</v>
      </c>
    </row>
    <row r="359" spans="1:19" ht="20">
      <c r="A359" s="8">
        <v>43348.596400462964</v>
      </c>
      <c r="B359" s="11" t="str">
        <f>HYPERLINK("https://twitter.com/msahebkari","@msahebkari")</f>
        <v>@msahebkari</v>
      </c>
      <c r="C359" s="6" t="s">
        <v>15723</v>
      </c>
      <c r="D359" s="5" t="s">
        <v>15722</v>
      </c>
      <c r="E359" s="9" t="str">
        <f>HYPERLINK("https://twitter.com/msahebkari/status/1037276355736621057","1037276355736621057")</f>
        <v>1037276355736621057</v>
      </c>
      <c r="F359" s="4"/>
      <c r="G359" s="10" t="s">
        <v>15721</v>
      </c>
      <c r="H359" s="4"/>
      <c r="I359" s="10" t="str">
        <f>HYPERLINK("http://twitter.com/download/android","Twitter for Android")</f>
        <v>Twitter for Android</v>
      </c>
      <c r="J359" s="2">
        <v>88</v>
      </c>
      <c r="K359" s="2">
        <v>21</v>
      </c>
      <c r="L359" s="2">
        <v>0</v>
      </c>
      <c r="M359" s="2"/>
      <c r="N359" s="8">
        <v>42956.634062500001</v>
      </c>
      <c r="O359" s="4"/>
      <c r="P359" s="3" t="s">
        <v>15720</v>
      </c>
      <c r="Q359" s="4"/>
      <c r="R359" s="4"/>
      <c r="S359" s="9" t="str">
        <f>HYPERLINK("https://pbs.twimg.com/profile_images/1035943650360995840/tlbnFfFB.jpg","View")</f>
        <v>View</v>
      </c>
    </row>
    <row r="360" spans="1:19" ht="40">
      <c r="A360" s="8">
        <v>43348.596296296295</v>
      </c>
      <c r="B360" s="11" t="str">
        <f>HYPERLINK("https://twitter.com/masoudghasemii","@masoudghasemii")</f>
        <v>@masoudghasemii</v>
      </c>
      <c r="C360" s="6" t="s">
        <v>15719</v>
      </c>
      <c r="D360" s="5" t="s">
        <v>15718</v>
      </c>
      <c r="E360" s="9" t="str">
        <f>HYPERLINK("https://twitter.com/masoudghasemii/status/1037276316398178305","1037276316398178305")</f>
        <v>1037276316398178305</v>
      </c>
      <c r="F360" s="4"/>
      <c r="G360" s="4"/>
      <c r="H360" s="4"/>
      <c r="I360" s="10" t="str">
        <f>HYPERLINK("http://twitter.com/download/android","Twitter for Android")</f>
        <v>Twitter for Android</v>
      </c>
      <c r="J360" s="2">
        <v>101</v>
      </c>
      <c r="K360" s="2">
        <v>99</v>
      </c>
      <c r="L360" s="2">
        <v>0</v>
      </c>
      <c r="M360" s="2"/>
      <c r="N360" s="8">
        <v>42758.468032407407</v>
      </c>
      <c r="O360" s="4" t="s">
        <v>15717</v>
      </c>
      <c r="P360" s="3" t="s">
        <v>15716</v>
      </c>
      <c r="Q360" s="4"/>
      <c r="R360" s="4"/>
      <c r="S360" s="9" t="str">
        <f>HYPERLINK("https://pbs.twimg.com/profile_images/836260438472077312/XazeB4To.jpg","View")</f>
        <v>View</v>
      </c>
    </row>
    <row r="361" spans="1:19" ht="80">
      <c r="A361" s="8">
        <v>43348.595243055555</v>
      </c>
      <c r="B361" s="11" t="str">
        <f>HYPERLINK("https://twitter.com/R_Rajabpour","@R_Rajabpour")</f>
        <v>@R_Rajabpour</v>
      </c>
      <c r="C361" s="6" t="s">
        <v>14328</v>
      </c>
      <c r="D361" s="5" t="s">
        <v>15715</v>
      </c>
      <c r="E361" s="9" t="str">
        <f>HYPERLINK("https://twitter.com/R_Rajabpour/status/1037275934150324224","1037275934150324224")</f>
        <v>1037275934150324224</v>
      </c>
      <c r="F361" s="4" t="s">
        <v>15714</v>
      </c>
      <c r="G361" s="4"/>
      <c r="H361" s="4"/>
      <c r="I361" s="10" t="str">
        <f>HYPERLINK("http://twitter.com/download/android","Twitter for Android")</f>
        <v>Twitter for Android</v>
      </c>
      <c r="J361" s="2">
        <v>2341</v>
      </c>
      <c r="K361" s="2">
        <v>2193</v>
      </c>
      <c r="L361" s="2">
        <v>8</v>
      </c>
      <c r="M361" s="2"/>
      <c r="N361" s="8">
        <v>42749.728622685187</v>
      </c>
      <c r="O361" s="4" t="s">
        <v>8823</v>
      </c>
      <c r="P361" s="3" t="s">
        <v>14326</v>
      </c>
      <c r="Q361" s="4"/>
      <c r="R361" s="4"/>
      <c r="S361" s="9" t="str">
        <f>HYPERLINK("https://pbs.twimg.com/profile_images/1012507887497895936/23oc7GBi.jpg","View")</f>
        <v>View</v>
      </c>
    </row>
    <row r="362" spans="1:19" ht="20">
      <c r="A362" s="8">
        <v>43348.595162037032</v>
      </c>
      <c r="B362" s="11" t="str">
        <f>HYPERLINK("https://twitter.com/banoye_ariyai","@banoye_ariyai")</f>
        <v>@banoye_ariyai</v>
      </c>
      <c r="C362" s="6" t="s">
        <v>15713</v>
      </c>
      <c r="D362" s="5" t="s">
        <v>15712</v>
      </c>
      <c r="E362" s="9" t="str">
        <f>HYPERLINK("https://twitter.com/banoye_ariyai/status/1037275904853073922","1037275904853073922")</f>
        <v>1037275904853073922</v>
      </c>
      <c r="F362" s="4"/>
      <c r="G362" s="10" t="s">
        <v>15711</v>
      </c>
      <c r="H362" s="4"/>
      <c r="I362" s="10" t="str">
        <f>HYPERLINK("http://twitter.com/download/android","Twitter for Android")</f>
        <v>Twitter for Android</v>
      </c>
      <c r="J362" s="2">
        <v>2058</v>
      </c>
      <c r="K362" s="2">
        <v>1026</v>
      </c>
      <c r="L362" s="2">
        <v>5</v>
      </c>
      <c r="M362" s="2"/>
      <c r="N362" s="8">
        <v>42961.923379629632</v>
      </c>
      <c r="O362" s="4" t="s">
        <v>15710</v>
      </c>
      <c r="P362" s="3" t="s">
        <v>15709</v>
      </c>
      <c r="Q362" s="4"/>
      <c r="R362" s="4"/>
      <c r="S362" s="9" t="str">
        <f>HYPERLINK("https://pbs.twimg.com/profile_images/1033443065837613057/ybleZXsH.jpg","View")</f>
        <v>View</v>
      </c>
    </row>
    <row r="363" spans="1:19" ht="40">
      <c r="A363" s="8">
        <v>43348.594594907408</v>
      </c>
      <c r="B363" s="11" t="str">
        <f>HYPERLINK("https://twitter.com/MahmoodyAli","@MahmoodyAli")</f>
        <v>@MahmoodyAli</v>
      </c>
      <c r="C363" s="6" t="s">
        <v>7269</v>
      </c>
      <c r="D363" s="5" t="s">
        <v>15708</v>
      </c>
      <c r="E363" s="9" t="str">
        <f>HYPERLINK("https://twitter.com/MahmoodyAli/status/1037275703375523840","1037275703375523840")</f>
        <v>1037275703375523840</v>
      </c>
      <c r="F363" s="4"/>
      <c r="G363" s="10" t="s">
        <v>15707</v>
      </c>
      <c r="H363" s="4"/>
      <c r="I363" s="10" t="str">
        <f>HYPERLINK("http://twitter.com","Twitter Web Client")</f>
        <v>Twitter Web Client</v>
      </c>
      <c r="J363" s="2">
        <v>252</v>
      </c>
      <c r="K363" s="2">
        <v>522</v>
      </c>
      <c r="L363" s="2">
        <v>1</v>
      </c>
      <c r="M363" s="2"/>
      <c r="N363" s="8">
        <v>42919.53806712963</v>
      </c>
      <c r="O363" s="4"/>
      <c r="P363" s="3"/>
      <c r="Q363" s="4"/>
      <c r="R363" s="4"/>
      <c r="S363" s="9" t="str">
        <f>HYPERLINK("https://pbs.twimg.com/profile_images/1023228268437233665/9dcEnhOZ.jpg","View")</f>
        <v>View</v>
      </c>
    </row>
    <row r="364" spans="1:19" ht="20">
      <c r="A364" s="8">
        <v>43348.59443287037</v>
      </c>
      <c r="B364" s="11" t="str">
        <f>HYPERLINK("https://twitter.com/Mesterhonest","@Mesterhonest")</f>
        <v>@Mesterhonest</v>
      </c>
      <c r="C364" s="6" t="s">
        <v>15706</v>
      </c>
      <c r="D364" s="5" t="s">
        <v>15705</v>
      </c>
      <c r="E364" s="9" t="str">
        <f>HYPERLINK("https://twitter.com/Mesterhonest/status/1037275644609130496","1037275644609130496")</f>
        <v>1037275644609130496</v>
      </c>
      <c r="F364" s="4"/>
      <c r="G364" s="4"/>
      <c r="H364" s="4"/>
      <c r="I364" s="10" t="str">
        <f>HYPERLINK("http://twitter.com/download/android","Twitter for Android")</f>
        <v>Twitter for Android</v>
      </c>
      <c r="J364" s="2">
        <v>368</v>
      </c>
      <c r="K364" s="2">
        <v>211</v>
      </c>
      <c r="L364" s="2">
        <v>0</v>
      </c>
      <c r="M364" s="2"/>
      <c r="N364" s="8">
        <v>43215.765405092592</v>
      </c>
      <c r="O364" s="4" t="s">
        <v>15704</v>
      </c>
      <c r="P364" s="3" t="s">
        <v>15703</v>
      </c>
      <c r="Q364" s="4"/>
      <c r="R364" s="4"/>
      <c r="S364" s="9" t="str">
        <f>HYPERLINK("https://pbs.twimg.com/profile_images/1018524869456269312/xpjoFjHR.jpg","View")</f>
        <v>View</v>
      </c>
    </row>
    <row r="365" spans="1:19" ht="40">
      <c r="A365" s="8">
        <v>43348.594201388885</v>
      </c>
      <c r="B365" s="11" t="str">
        <f>HYPERLINK("https://twitter.com/Er5ac7MDiUiLMPQ","@Er5ac7MDiUiLMPQ")</f>
        <v>@Er5ac7MDiUiLMPQ</v>
      </c>
      <c r="C365" s="6" t="s">
        <v>8361</v>
      </c>
      <c r="D365" s="5" t="s">
        <v>15702</v>
      </c>
      <c r="E365" s="9" t="str">
        <f>HYPERLINK("https://twitter.com/Er5ac7MDiUiLMPQ/status/1037275558495830017","1037275558495830017")</f>
        <v>1037275558495830017</v>
      </c>
      <c r="F365" s="4"/>
      <c r="G365" s="10" t="s">
        <v>15701</v>
      </c>
      <c r="H365" s="4"/>
      <c r="I365" s="10" t="str">
        <f>HYPERLINK("https://mobile.twitter.com","Twitter Lite")</f>
        <v>Twitter Lite</v>
      </c>
      <c r="J365" s="2">
        <v>0</v>
      </c>
      <c r="K365" s="2">
        <v>2</v>
      </c>
      <c r="L365" s="2">
        <v>0</v>
      </c>
      <c r="M365" s="2"/>
      <c r="N365" s="8">
        <v>43306.505844907406</v>
      </c>
      <c r="O365" s="4"/>
      <c r="P365" s="3"/>
      <c r="Q365" s="4"/>
      <c r="R365" s="4"/>
      <c r="S365" s="2" t="s">
        <v>155</v>
      </c>
    </row>
    <row r="366" spans="1:19" ht="12.5">
      <c r="A366" s="8">
        <v>43348.593564814815</v>
      </c>
      <c r="B366" s="11" t="str">
        <f>HYPERLINK("https://twitter.com/bif_straganof","@bif_straganof")</f>
        <v>@bif_straganof</v>
      </c>
      <c r="C366" s="6" t="s">
        <v>15700</v>
      </c>
      <c r="D366" s="5" t="s">
        <v>15699</v>
      </c>
      <c r="E366" s="9" t="str">
        <f>HYPERLINK("https://twitter.com/bif_straganof/status/1037275329830768640","1037275329830768640")</f>
        <v>1037275329830768640</v>
      </c>
      <c r="F366" s="4"/>
      <c r="G366" s="4"/>
      <c r="H366" s="4"/>
      <c r="I366" s="10" t="str">
        <f>HYPERLINK("http://twitter.com/download/android","Twitter for Android")</f>
        <v>Twitter for Android</v>
      </c>
      <c r="J366" s="2">
        <v>364</v>
      </c>
      <c r="K366" s="2">
        <v>308</v>
      </c>
      <c r="L366" s="2">
        <v>0</v>
      </c>
      <c r="M366" s="2"/>
      <c r="N366" s="8">
        <v>43290.131296296298</v>
      </c>
      <c r="O366" s="4" t="s">
        <v>15698</v>
      </c>
      <c r="P366" s="3" t="s">
        <v>15697</v>
      </c>
      <c r="Q366" s="4"/>
      <c r="R366" s="4"/>
      <c r="S366" s="9" t="str">
        <f>HYPERLINK("https://pbs.twimg.com/profile_images/1016091219263410177/RoXseYBx.jpg","View")</f>
        <v>View</v>
      </c>
    </row>
    <row r="367" spans="1:19" ht="20">
      <c r="A367" s="8">
        <v>43348.59275462963</v>
      </c>
      <c r="B367" s="11" t="str">
        <f>HYPERLINK("https://twitter.com/LayaniMehdi","@LayaniMehdi")</f>
        <v>@LayaniMehdi</v>
      </c>
      <c r="C367" s="6" t="s">
        <v>15696</v>
      </c>
      <c r="D367" s="5" t="s">
        <v>15695</v>
      </c>
      <c r="E367" s="9" t="str">
        <f>HYPERLINK("https://twitter.com/LayaniMehdi/status/1037275033482289153","1037275033482289153")</f>
        <v>1037275033482289153</v>
      </c>
      <c r="F367" s="4"/>
      <c r="G367" s="4"/>
      <c r="H367" s="4"/>
      <c r="I367" s="10" t="str">
        <f>HYPERLINK("http://twitter.com/download/iphone","Twitter for iPhone")</f>
        <v>Twitter for iPhone</v>
      </c>
      <c r="J367" s="2">
        <v>20</v>
      </c>
      <c r="K367" s="2">
        <v>41</v>
      </c>
      <c r="L367" s="2">
        <v>0</v>
      </c>
      <c r="M367" s="2"/>
      <c r="N367" s="8">
        <v>42876.400300925925</v>
      </c>
      <c r="O367" s="4"/>
      <c r="P367" s="3" t="s">
        <v>15694</v>
      </c>
      <c r="Q367" s="4"/>
      <c r="R367" s="4"/>
      <c r="S367" s="9" t="str">
        <f>HYPERLINK("https://pbs.twimg.com/profile_images/1037006695896104962/OpydgFni.jpg","View")</f>
        <v>View</v>
      </c>
    </row>
    <row r="368" spans="1:19" ht="20">
      <c r="A368" s="8">
        <v>43348.591874999998</v>
      </c>
      <c r="B368" s="11" t="str">
        <f>HYPERLINK("https://twitter.com/deadendcalm","@deadendcalm")</f>
        <v>@deadendcalm</v>
      </c>
      <c r="C368" s="6" t="s">
        <v>15693</v>
      </c>
      <c r="D368" s="5" t="s">
        <v>15692</v>
      </c>
      <c r="E368" s="9" t="str">
        <f>HYPERLINK("https://twitter.com/deadendcalm/status/1037274714983550977","1037274714983550977")</f>
        <v>1037274714983550977</v>
      </c>
      <c r="F368" s="4"/>
      <c r="G368" s="4"/>
      <c r="H368" s="4"/>
      <c r="I368" s="10" t="str">
        <f>HYPERLINK("http://twitter.com/download/android","Twitter for Android")</f>
        <v>Twitter for Android</v>
      </c>
      <c r="J368" s="2">
        <v>6</v>
      </c>
      <c r="K368" s="2">
        <v>7</v>
      </c>
      <c r="L368" s="2">
        <v>0</v>
      </c>
      <c r="M368" s="2"/>
      <c r="N368" s="8">
        <v>43237.518090277779</v>
      </c>
      <c r="O368" s="4" t="s">
        <v>17</v>
      </c>
      <c r="P368" s="3" t="s">
        <v>15691</v>
      </c>
      <c r="Q368" s="4"/>
      <c r="R368" s="4"/>
      <c r="S368" s="9" t="str">
        <f>HYPERLINK("https://pbs.twimg.com/profile_images/1007590953413238784/8LjDiD8v.jpg","View")</f>
        <v>View</v>
      </c>
    </row>
    <row r="369" spans="1:19" ht="12.5">
      <c r="A369" s="8">
        <v>43348.590613425928</v>
      </c>
      <c r="B369" s="11" t="str">
        <f>HYPERLINK("https://twitter.com/y4ser8","@y4ser8")</f>
        <v>@y4ser8</v>
      </c>
      <c r="C369" s="6" t="s">
        <v>15690</v>
      </c>
      <c r="D369" s="5" t="s">
        <v>15689</v>
      </c>
      <c r="E369" s="9" t="str">
        <f>HYPERLINK("https://twitter.com/y4ser8/status/1037274260237176832","1037274260237176832")</f>
        <v>1037274260237176832</v>
      </c>
      <c r="F369" s="4"/>
      <c r="G369" s="4"/>
      <c r="H369" s="4"/>
      <c r="I369" s="10" t="str">
        <f>HYPERLINK("http://twitter.com/download/android","Twitter for Android")</f>
        <v>Twitter for Android</v>
      </c>
      <c r="J369" s="2">
        <v>75</v>
      </c>
      <c r="K369" s="2">
        <v>134</v>
      </c>
      <c r="L369" s="2">
        <v>1</v>
      </c>
      <c r="M369" s="2"/>
      <c r="N369" s="8">
        <v>42812.235439814816</v>
      </c>
      <c r="O369" s="4" t="s">
        <v>1601</v>
      </c>
      <c r="P369" s="3" t="s">
        <v>15688</v>
      </c>
      <c r="Q369" s="4"/>
      <c r="R369" s="4"/>
      <c r="S369" s="9" t="str">
        <f>HYPERLINK("https://pbs.twimg.com/profile_images/865203552087449608/ByX9TFB1.jpg","View")</f>
        <v>View</v>
      </c>
    </row>
    <row r="370" spans="1:19" ht="40">
      <c r="A370" s="8">
        <v>43348.588784722218</v>
      </c>
      <c r="B370" s="11" t="str">
        <f>HYPERLINK("https://twitter.com/Er5ac7MDiUiLMPQ","@Er5ac7MDiUiLMPQ")</f>
        <v>@Er5ac7MDiUiLMPQ</v>
      </c>
      <c r="C370" s="6" t="s">
        <v>8361</v>
      </c>
      <c r="D370" s="5" t="s">
        <v>15687</v>
      </c>
      <c r="E370" s="9" t="str">
        <f>HYPERLINK("https://twitter.com/Er5ac7MDiUiLMPQ/status/1037273594043219968","1037273594043219968")</f>
        <v>1037273594043219968</v>
      </c>
      <c r="F370" s="4"/>
      <c r="G370" s="10" t="s">
        <v>15686</v>
      </c>
      <c r="H370" s="4"/>
      <c r="I370" s="10" t="str">
        <f>HYPERLINK("https://mobile.twitter.com","Twitter Lite")</f>
        <v>Twitter Lite</v>
      </c>
      <c r="J370" s="2">
        <v>0</v>
      </c>
      <c r="K370" s="2">
        <v>2</v>
      </c>
      <c r="L370" s="2">
        <v>0</v>
      </c>
      <c r="M370" s="2"/>
      <c r="N370" s="8">
        <v>43306.505844907406</v>
      </c>
      <c r="O370" s="4"/>
      <c r="P370" s="3"/>
      <c r="Q370" s="4"/>
      <c r="R370" s="4"/>
      <c r="S370" s="2" t="s">
        <v>155</v>
      </c>
    </row>
    <row r="371" spans="1:19" ht="20">
      <c r="A371" s="8">
        <v>43348.587835648148</v>
      </c>
      <c r="B371" s="11" t="str">
        <f>HYPERLINK("https://twitter.com/mrym87ir","@mrym87ir")</f>
        <v>@mrym87ir</v>
      </c>
      <c r="C371" s="6" t="s">
        <v>15685</v>
      </c>
      <c r="D371" s="5" t="s">
        <v>15684</v>
      </c>
      <c r="E371" s="9" t="str">
        <f>HYPERLINK("https://twitter.com/mrym87ir/status/1037273251779624960","1037273251779624960")</f>
        <v>1037273251779624960</v>
      </c>
      <c r="F371" s="4"/>
      <c r="G371" s="10" t="s">
        <v>15683</v>
      </c>
      <c r="H371" s="4"/>
      <c r="I371" s="10" t="str">
        <f>HYPERLINK("http://twitter.com/download/android","Twitter for Android")</f>
        <v>Twitter for Android</v>
      </c>
      <c r="J371" s="2">
        <v>105</v>
      </c>
      <c r="K371" s="2">
        <v>59</v>
      </c>
      <c r="L371" s="2">
        <v>1</v>
      </c>
      <c r="M371" s="2"/>
      <c r="N371" s="8">
        <v>42910.465729166666</v>
      </c>
      <c r="O371" s="4" t="s">
        <v>15682</v>
      </c>
      <c r="P371" s="3" t="s">
        <v>15681</v>
      </c>
      <c r="Q371" s="4"/>
      <c r="R371" s="4"/>
      <c r="S371" s="9" t="str">
        <f>HYPERLINK("https://pbs.twimg.com/profile_images/1035492912262520832/3ilqG5NU.jpg","View")</f>
        <v>View</v>
      </c>
    </row>
    <row r="372" spans="1:19" ht="30">
      <c r="A372" s="8">
        <v>43348.5855787037</v>
      </c>
      <c r="B372" s="11" t="str">
        <f>HYPERLINK("https://twitter.com/amerentinaa","@amerentinaa")</f>
        <v>@amerentinaa</v>
      </c>
      <c r="C372" s="6" t="s">
        <v>15680</v>
      </c>
      <c r="D372" s="5" t="s">
        <v>15679</v>
      </c>
      <c r="E372" s="9" t="str">
        <f>HYPERLINK("https://twitter.com/amerentinaa/status/1037272433793875973","1037272433793875973")</f>
        <v>1037272433793875973</v>
      </c>
      <c r="F372" s="4"/>
      <c r="G372" s="4"/>
      <c r="H372" s="4"/>
      <c r="I372" s="10" t="str">
        <f>HYPERLINK("https://mobile.twitter.com","Twitter Lite")</f>
        <v>Twitter Lite</v>
      </c>
      <c r="J372" s="2">
        <v>6</v>
      </c>
      <c r="K372" s="2">
        <v>13</v>
      </c>
      <c r="L372" s="2">
        <v>0</v>
      </c>
      <c r="M372" s="2"/>
      <c r="N372" s="8">
        <v>43229.726469907408</v>
      </c>
      <c r="O372" s="4"/>
      <c r="P372" s="3" t="s">
        <v>15678</v>
      </c>
      <c r="Q372" s="4"/>
      <c r="R372" s="4"/>
      <c r="S372" s="9" t="str">
        <f>HYPERLINK("https://pbs.twimg.com/profile_images/1018093671118499841/dZ3WSKKI.jpg","View")</f>
        <v>View</v>
      </c>
    </row>
    <row r="373" spans="1:19" ht="40">
      <c r="A373" s="8">
        <v>43348.585231481484</v>
      </c>
      <c r="B373" s="11" t="str">
        <f>HYPERLINK("https://twitter.com/sazandegii","@sazandegii")</f>
        <v>@sazandegii</v>
      </c>
      <c r="C373" s="6" t="s">
        <v>4156</v>
      </c>
      <c r="D373" s="5" t="s">
        <v>15677</v>
      </c>
      <c r="E373" s="9" t="str">
        <f>HYPERLINK("https://twitter.com/sazandegii/status/1037272307973189632","1037272307973189632")</f>
        <v>1037272307973189632</v>
      </c>
      <c r="F373" s="4"/>
      <c r="G373" s="4"/>
      <c r="H373" s="4"/>
      <c r="I373" s="10" t="str">
        <f>HYPERLINK("http://twitter.com","Twitter Web Client")</f>
        <v>Twitter Web Client</v>
      </c>
      <c r="J373" s="2">
        <v>790</v>
      </c>
      <c r="K373" s="2">
        <v>75</v>
      </c>
      <c r="L373" s="2">
        <v>14</v>
      </c>
      <c r="M373" s="2"/>
      <c r="N373" s="8">
        <v>43144.881296296298</v>
      </c>
      <c r="O373" s="4" t="s">
        <v>104</v>
      </c>
      <c r="P373" s="3" t="s">
        <v>4153</v>
      </c>
      <c r="Q373" s="4"/>
      <c r="R373" s="4"/>
      <c r="S373" s="9" t="str">
        <f>HYPERLINK("https://pbs.twimg.com/profile_images/970996181366202368/iBGYCP3F.jpg","View")</f>
        <v>View</v>
      </c>
    </row>
    <row r="374" spans="1:19" ht="40">
      <c r="A374" s="8">
        <v>43348.584675925929</v>
      </c>
      <c r="B374" s="11" t="str">
        <f>HYPERLINK("https://twitter.com/sazandegii","@sazandegii")</f>
        <v>@sazandegii</v>
      </c>
      <c r="C374" s="6" t="s">
        <v>4156</v>
      </c>
      <c r="D374" s="5" t="s">
        <v>15676</v>
      </c>
      <c r="E374" s="9" t="str">
        <f>HYPERLINK("https://twitter.com/sazandegii/status/1037272105732263936","1037272105732263936")</f>
        <v>1037272105732263936</v>
      </c>
      <c r="F374" s="4"/>
      <c r="G374" s="4"/>
      <c r="H374" s="4"/>
      <c r="I374" s="10" t="str">
        <f>HYPERLINK("http://twitter.com","Twitter Web Client")</f>
        <v>Twitter Web Client</v>
      </c>
      <c r="J374" s="2">
        <v>790</v>
      </c>
      <c r="K374" s="2">
        <v>75</v>
      </c>
      <c r="L374" s="2">
        <v>14</v>
      </c>
      <c r="M374" s="2"/>
      <c r="N374" s="8">
        <v>43144.881296296298</v>
      </c>
      <c r="O374" s="4" t="s">
        <v>104</v>
      </c>
      <c r="P374" s="3" t="s">
        <v>4153</v>
      </c>
      <c r="Q374" s="4"/>
      <c r="R374" s="4"/>
      <c r="S374" s="9" t="str">
        <f>HYPERLINK("https://pbs.twimg.com/profile_images/970996181366202368/iBGYCP3F.jpg","View")</f>
        <v>View</v>
      </c>
    </row>
    <row r="375" spans="1:19" ht="40">
      <c r="A375" s="8">
        <v>43348.583414351851</v>
      </c>
      <c r="B375" s="11" t="str">
        <f>HYPERLINK("https://twitter.com/AHirad29414413","@AHirad29414413")</f>
        <v>@AHirad29414413</v>
      </c>
      <c r="C375" s="6" t="s">
        <v>15675</v>
      </c>
      <c r="D375" s="5" t="s">
        <v>15674</v>
      </c>
      <c r="E375" s="9" t="str">
        <f>HYPERLINK("https://twitter.com/AHirad29414413/status/1037271650868195329","1037271650868195329")</f>
        <v>1037271650868195329</v>
      </c>
      <c r="F375" s="4"/>
      <c r="G375" s="10" t="s">
        <v>15673</v>
      </c>
      <c r="H375" s="4"/>
      <c r="I375" s="10" t="str">
        <f>HYPERLINK("http://twitter.com/download/iphone","Twitter for iPhone")</f>
        <v>Twitter for iPhone</v>
      </c>
      <c r="J375" s="2">
        <v>1175</v>
      </c>
      <c r="K375" s="2">
        <v>632</v>
      </c>
      <c r="L375" s="2">
        <v>2</v>
      </c>
      <c r="M375" s="2"/>
      <c r="N375" s="8">
        <v>43128.136192129634</v>
      </c>
      <c r="O375" s="4"/>
      <c r="P375" s="3" t="s">
        <v>15672</v>
      </c>
      <c r="Q375" s="4"/>
      <c r="R375" s="4"/>
      <c r="S375" s="9" t="str">
        <f>HYPERLINK("https://pbs.twimg.com/profile_images/957988013769883648/_5RCl5rk.jpg","View")</f>
        <v>View</v>
      </c>
    </row>
    <row r="376" spans="1:19" ht="20">
      <c r="A376" s="8">
        <v>43348.583078703705</v>
      </c>
      <c r="B376" s="11" t="str">
        <f>HYPERLINK("https://twitter.com/Rohoolah_Zam","@Rohoolah_Zam")</f>
        <v>@Rohoolah_Zam</v>
      </c>
      <c r="C376" s="6" t="s">
        <v>1145</v>
      </c>
      <c r="D376" s="5" t="s">
        <v>15671</v>
      </c>
      <c r="E376" s="9" t="str">
        <f>HYPERLINK("https://twitter.com/Rohoolah_Zam/status/1037271527178338305","1037271527178338305")</f>
        <v>1037271527178338305</v>
      </c>
      <c r="F376" s="4"/>
      <c r="G376" s="4"/>
      <c r="H376" s="4"/>
      <c r="I376" s="10" t="str">
        <f>HYPERLINK("http://twitter.com/download/android","Twitter for Android")</f>
        <v>Twitter for Android</v>
      </c>
      <c r="J376" s="2">
        <v>51</v>
      </c>
      <c r="K376" s="2">
        <v>34</v>
      </c>
      <c r="L376" s="2">
        <v>0</v>
      </c>
      <c r="M376" s="2"/>
      <c r="N376" s="8">
        <v>43332.135138888887</v>
      </c>
      <c r="O376" s="4" t="s">
        <v>1143</v>
      </c>
      <c r="P376" s="3" t="s">
        <v>1142</v>
      </c>
      <c r="Q376" s="10" t="s">
        <v>1141</v>
      </c>
      <c r="R376" s="4"/>
      <c r="S376" s="9" t="str">
        <f>HYPERLINK("https://pbs.twimg.com/profile_images/1031672579759726595/6qlzY6gT.jpg","View")</f>
        <v>View</v>
      </c>
    </row>
    <row r="377" spans="1:19" ht="40">
      <c r="A377" s="8">
        <v>43348.583009259259</v>
      </c>
      <c r="B377" s="11" t="str">
        <f>HYPERLINK("https://twitter.com/ManlyManStyle","@ManlyManStyle")</f>
        <v>@ManlyManStyle</v>
      </c>
      <c r="C377" s="6" t="s">
        <v>15670</v>
      </c>
      <c r="D377" s="5" t="s">
        <v>15669</v>
      </c>
      <c r="E377" s="9" t="str">
        <f>HYPERLINK("https://twitter.com/ManlyManStyle/status/1037271502947840000","1037271502947840000")</f>
        <v>1037271502947840000</v>
      </c>
      <c r="F377" s="4"/>
      <c r="G377" s="4"/>
      <c r="H377" s="4"/>
      <c r="I377" s="10" t="str">
        <f>HYPERLINK("http://twitter.com/download/android","Twitter for Android")</f>
        <v>Twitter for Android</v>
      </c>
      <c r="J377" s="2">
        <v>99</v>
      </c>
      <c r="K377" s="2">
        <v>431</v>
      </c>
      <c r="L377" s="2">
        <v>0</v>
      </c>
      <c r="M377" s="2"/>
      <c r="N377" s="8">
        <v>43232.582152777773</v>
      </c>
      <c r="O377" s="4" t="s">
        <v>324</v>
      </c>
      <c r="P377" s="3" t="s">
        <v>15668</v>
      </c>
      <c r="Q377" s="4"/>
      <c r="R377" s="4"/>
      <c r="S377" s="9" t="str">
        <f>HYPERLINK("https://pbs.twimg.com/profile_images/1033606205581746176/nvnB8zba.jpg","View")</f>
        <v>View</v>
      </c>
    </row>
    <row r="378" spans="1:19" ht="40">
      <c r="A378" s="8">
        <v>43348.582638888889</v>
      </c>
      <c r="B378" s="11" t="str">
        <f>HYPERLINK("https://twitter.com/news365_online","@news365_online")</f>
        <v>@news365_online</v>
      </c>
      <c r="C378" s="6" t="s">
        <v>2325</v>
      </c>
      <c r="D378" s="5" t="s">
        <v>15667</v>
      </c>
      <c r="E378" s="9" t="str">
        <f>HYPERLINK("https://twitter.com/news365_online/status/1037271366674862080","1037271366674862080")</f>
        <v>1037271366674862080</v>
      </c>
      <c r="F378" s="4"/>
      <c r="G378" s="4"/>
      <c r="H378" s="4"/>
      <c r="I378" s="10" t="str">
        <f>HYPERLINK("http://twitter.com/download/android","Twitter for Android")</f>
        <v>Twitter for Android</v>
      </c>
      <c r="J378" s="2">
        <v>809</v>
      </c>
      <c r="K378" s="2">
        <v>333</v>
      </c>
      <c r="L378" s="2">
        <v>7</v>
      </c>
      <c r="M378" s="2"/>
      <c r="N378" s="8">
        <v>42809.003078703703</v>
      </c>
      <c r="O378" s="4" t="s">
        <v>34</v>
      </c>
      <c r="P378" s="3" t="s">
        <v>2322</v>
      </c>
      <c r="Q378" s="10" t="s">
        <v>2321</v>
      </c>
      <c r="R378" s="4"/>
      <c r="S378" s="9" t="str">
        <f>HYPERLINK("https://pbs.twimg.com/profile_images/923199727667220480/A0Mv4a_i.jpg","View")</f>
        <v>View</v>
      </c>
    </row>
    <row r="379" spans="1:19" ht="50">
      <c r="A379" s="8">
        <v>43348.581979166665</v>
      </c>
      <c r="B379" s="11" t="str">
        <f>HYPERLINK("https://twitter.com/javanane_irani","@javanane_irani")</f>
        <v>@javanane_irani</v>
      </c>
      <c r="C379" s="6" t="s">
        <v>2173</v>
      </c>
      <c r="D379" s="5" t="s">
        <v>15666</v>
      </c>
      <c r="E379" s="9" t="str">
        <f>HYPERLINK("https://twitter.com/javanane_irani/status/1037271127792467968","1037271127792467968")</f>
        <v>1037271127792467968</v>
      </c>
      <c r="F379" s="10" t="s">
        <v>15665</v>
      </c>
      <c r="G379" s="10" t="s">
        <v>15664</v>
      </c>
      <c r="H379" s="4"/>
      <c r="I379" s="10" t="str">
        <f>HYPERLINK("http://twitter.com","Twitter Web Client")</f>
        <v>Twitter Web Client</v>
      </c>
      <c r="J379" s="2">
        <v>6638</v>
      </c>
      <c r="K379" s="2">
        <v>7228</v>
      </c>
      <c r="L379" s="2">
        <v>4</v>
      </c>
      <c r="M379" s="2"/>
      <c r="N379" s="8">
        <v>43134.614490740743</v>
      </c>
      <c r="O379" s="4" t="s">
        <v>104</v>
      </c>
      <c r="P379" s="3" t="s">
        <v>2171</v>
      </c>
      <c r="Q379" s="4"/>
      <c r="R379" s="4"/>
      <c r="S379" s="9" t="str">
        <f>HYPERLINK("https://pbs.twimg.com/profile_images/975343201245523973/K32OCytB.jpg","View")</f>
        <v>View</v>
      </c>
    </row>
    <row r="380" spans="1:19" ht="30">
      <c r="A380" s="8">
        <v>43348.581712962958</v>
      </c>
      <c r="B380" s="11" t="str">
        <f>HYPERLINK("https://twitter.com/ata_afs","@ata_afs")</f>
        <v>@ata_afs</v>
      </c>
      <c r="C380" s="6" t="s">
        <v>1217</v>
      </c>
      <c r="D380" s="5" t="s">
        <v>15663</v>
      </c>
      <c r="E380" s="9" t="str">
        <f>HYPERLINK("https://twitter.com/ata_afs/status/1037271035131748353","1037271035131748353")</f>
        <v>1037271035131748353</v>
      </c>
      <c r="F380" s="4"/>
      <c r="G380" s="4"/>
      <c r="H380" s="4"/>
      <c r="I380" s="10" t="str">
        <f>HYPERLINK("http://twitter.com/download/iphone","Twitter for iPhone")</f>
        <v>Twitter for iPhone</v>
      </c>
      <c r="J380" s="2">
        <v>382</v>
      </c>
      <c r="K380" s="2">
        <v>697</v>
      </c>
      <c r="L380" s="2">
        <v>0</v>
      </c>
      <c r="M380" s="2"/>
      <c r="N380" s="8">
        <v>41833.536099537036</v>
      </c>
      <c r="O380" s="4" t="s">
        <v>34</v>
      </c>
      <c r="P380" s="3" t="s">
        <v>1213</v>
      </c>
      <c r="Q380" s="4"/>
      <c r="R380" s="4"/>
      <c r="S380" s="9" t="str">
        <f>HYPERLINK("https://pbs.twimg.com/profile_images/958374868008960000/IRXSv5-C.jpg","View")</f>
        <v>View</v>
      </c>
    </row>
    <row r="381" spans="1:19" ht="30">
      <c r="A381" s="8">
        <v>43348.580810185187</v>
      </c>
      <c r="B381" s="11" t="str">
        <f>HYPERLINK("https://twitter.com/masomehAnvari","@masomehAnvari")</f>
        <v>@masomehAnvari</v>
      </c>
      <c r="C381" s="6" t="s">
        <v>3012</v>
      </c>
      <c r="D381" s="5" t="s">
        <v>15662</v>
      </c>
      <c r="E381" s="9" t="str">
        <f>HYPERLINK("https://twitter.com/masomehAnvari/status/1037270706944462848","1037270706944462848")</f>
        <v>1037270706944462848</v>
      </c>
      <c r="F381" s="4"/>
      <c r="G381" s="4"/>
      <c r="H381" s="4"/>
      <c r="I381" s="10" t="str">
        <f>HYPERLINK("http://twitter.com/download/android","Twitter for Android")</f>
        <v>Twitter for Android</v>
      </c>
      <c r="J381" s="2">
        <v>27</v>
      </c>
      <c r="K381" s="2">
        <v>26</v>
      </c>
      <c r="L381" s="2">
        <v>0</v>
      </c>
      <c r="M381" s="2"/>
      <c r="N381" s="8">
        <v>43335.482187500005</v>
      </c>
      <c r="O381" s="4" t="s">
        <v>3009</v>
      </c>
      <c r="P381" s="3" t="s">
        <v>15661</v>
      </c>
      <c r="Q381" s="4"/>
      <c r="R381" s="4"/>
      <c r="S381" s="9" t="str">
        <f>HYPERLINK("https://pbs.twimg.com/profile_images/1036557361173938177/Cwc8CboD.jpg","View")</f>
        <v>View</v>
      </c>
    </row>
    <row r="382" spans="1:19" ht="20">
      <c r="A382" s="8">
        <v>43348.580717592587</v>
      </c>
      <c r="B382" s="11" t="str">
        <f>HYPERLINK("https://twitter.com/Mehrdadsalimi6","@Mehrdadsalimi6")</f>
        <v>@Mehrdadsalimi6</v>
      </c>
      <c r="C382" s="6" t="s">
        <v>15660</v>
      </c>
      <c r="D382" s="5" t="s">
        <v>15659</v>
      </c>
      <c r="E382" s="9" t="str">
        <f>HYPERLINK("https://twitter.com/Mehrdadsalimi6/status/1037270673104678912","1037270673104678912")</f>
        <v>1037270673104678912</v>
      </c>
      <c r="F382" s="4"/>
      <c r="G382" s="4"/>
      <c r="H382" s="4"/>
      <c r="I382" s="10" t="str">
        <f>HYPERLINK("http://twitter.com","Twitter Web Client")</f>
        <v>Twitter Web Client</v>
      </c>
      <c r="J382" s="2">
        <v>50</v>
      </c>
      <c r="K382" s="2">
        <v>173</v>
      </c>
      <c r="L382" s="2">
        <v>0</v>
      </c>
      <c r="M382" s="2"/>
      <c r="N382" s="8">
        <v>42463.80569444444</v>
      </c>
      <c r="O382" s="4" t="s">
        <v>34</v>
      </c>
      <c r="P382" s="3"/>
      <c r="Q382" s="4"/>
      <c r="R382" s="4"/>
      <c r="S382" s="9" t="str">
        <f>HYPERLINK("https://pbs.twimg.com/profile_images/950746420281249793/oXA09wRn.jpg","View")</f>
        <v>View</v>
      </c>
    </row>
    <row r="383" spans="1:19" ht="40">
      <c r="A383" s="8">
        <v>43348.580601851849</v>
      </c>
      <c r="B383" s="11" t="str">
        <f>HYPERLINK("https://twitter.com/Majiidmohamadi","@Majiidmohamadi")</f>
        <v>@Majiidmohamadi</v>
      </c>
      <c r="C383" s="6" t="s">
        <v>6427</v>
      </c>
      <c r="D383" s="5" t="s">
        <v>15658</v>
      </c>
      <c r="E383" s="9" t="str">
        <f>HYPERLINK("https://twitter.com/Majiidmohamadi/status/1037270631761567744","1037270631761567744")</f>
        <v>1037270631761567744</v>
      </c>
      <c r="F383" s="4"/>
      <c r="G383" s="4"/>
      <c r="H383" s="4"/>
      <c r="I383" s="10" t="str">
        <f>HYPERLINK("http://twitter.com/download/android","Twitter for Android")</f>
        <v>Twitter for Android</v>
      </c>
      <c r="J383" s="2">
        <v>111</v>
      </c>
      <c r="K383" s="2">
        <v>130</v>
      </c>
      <c r="L383" s="2">
        <v>0</v>
      </c>
      <c r="M383" s="2"/>
      <c r="N383" s="8">
        <v>43175.708310185189</v>
      </c>
      <c r="O383" s="4" t="s">
        <v>17</v>
      </c>
      <c r="P383" s="3" t="s">
        <v>6425</v>
      </c>
      <c r="Q383" s="4"/>
      <c r="R383" s="4"/>
      <c r="S383" s="9" t="str">
        <f>HYPERLINK("https://pbs.twimg.com/profile_images/1037273853620375552/B7shtAuQ.jpg","View")</f>
        <v>View</v>
      </c>
    </row>
    <row r="384" spans="1:19" ht="60">
      <c r="A384" s="8">
        <v>43348.580358796295</v>
      </c>
      <c r="B384" s="11" t="str">
        <f>HYPERLINK("https://twitter.com/ElaheEs","@ElaheEs")</f>
        <v>@ElaheEs</v>
      </c>
      <c r="C384" s="6" t="s">
        <v>8623</v>
      </c>
      <c r="D384" s="5" t="s">
        <v>15657</v>
      </c>
      <c r="E384" s="9" t="str">
        <f>HYPERLINK("https://twitter.com/ElaheEs/status/1037270543773433856","1037270543773433856")</f>
        <v>1037270543773433856</v>
      </c>
      <c r="F384" s="10" t="s">
        <v>15095</v>
      </c>
      <c r="G384" s="4"/>
      <c r="H384" s="4"/>
      <c r="I384" s="10" t="str">
        <f>HYPERLINK("http://twitter.com/download/iphone","Twitter for iPhone")</f>
        <v>Twitter for iPhone</v>
      </c>
      <c r="J384" s="2">
        <v>85</v>
      </c>
      <c r="K384" s="2">
        <v>158</v>
      </c>
      <c r="L384" s="2">
        <v>0</v>
      </c>
      <c r="M384" s="2"/>
      <c r="N384" s="8">
        <v>40731.59211805556</v>
      </c>
      <c r="O384" s="4"/>
      <c r="P384" s="3" t="s">
        <v>8620</v>
      </c>
      <c r="Q384" s="4"/>
      <c r="R384" s="4"/>
      <c r="S384" s="9" t="str">
        <f>HYPERLINK("https://pbs.twimg.com/profile_images/1030710816671232000/xQQDdh5h.jpg","View")</f>
        <v>View</v>
      </c>
    </row>
    <row r="385" spans="1:19" ht="40">
      <c r="A385" s="8">
        <v>43348.579988425925</v>
      </c>
      <c r="B385" s="11" t="str">
        <f>HYPERLINK("https://twitter.com/Kiyanara","@Kiyanara")</f>
        <v>@Kiyanara</v>
      </c>
      <c r="C385" s="6" t="s">
        <v>2162</v>
      </c>
      <c r="D385" s="5" t="s">
        <v>15656</v>
      </c>
      <c r="E385" s="9" t="str">
        <f>HYPERLINK("https://twitter.com/Kiyanara/status/1037270410130157569","1037270410130157569")</f>
        <v>1037270410130157569</v>
      </c>
      <c r="F385" s="4"/>
      <c r="G385" s="4"/>
      <c r="H385" s="4"/>
      <c r="I385" s="10" t="str">
        <f>HYPERLINK("http://twitter.com","Twitter Web Client")</f>
        <v>Twitter Web Client</v>
      </c>
      <c r="J385" s="2">
        <v>294</v>
      </c>
      <c r="K385" s="2">
        <v>229</v>
      </c>
      <c r="L385" s="2">
        <v>2</v>
      </c>
      <c r="M385" s="2"/>
      <c r="N385" s="8">
        <v>41155.709988425922</v>
      </c>
      <c r="O385" s="4" t="s">
        <v>2159</v>
      </c>
      <c r="P385" s="3" t="s">
        <v>2158</v>
      </c>
      <c r="Q385" s="4"/>
      <c r="R385" s="4"/>
      <c r="S385" s="9" t="str">
        <f>HYPERLINK("https://pbs.twimg.com/profile_images/1016974331086176256/AIsihCYT.jpg","View")</f>
        <v>View</v>
      </c>
    </row>
    <row r="386" spans="1:19" ht="20">
      <c r="A386" s="8">
        <v>43348.579641203702</v>
      </c>
      <c r="B386" s="11" t="str">
        <f>HYPERLINK("https://twitter.com/rh_heydari","@rh_heydari")</f>
        <v>@rh_heydari</v>
      </c>
      <c r="C386" s="6" t="s">
        <v>15655</v>
      </c>
      <c r="D386" s="5" t="s">
        <v>15654</v>
      </c>
      <c r="E386" s="9" t="str">
        <f>HYPERLINK("https://twitter.com/rh_heydari/status/1037270280262041601","1037270280262041601")</f>
        <v>1037270280262041601</v>
      </c>
      <c r="F386" s="4"/>
      <c r="G386" s="4"/>
      <c r="H386" s="4"/>
      <c r="I386" s="10" t="str">
        <f>HYPERLINK("http://twitter.com/download/android","Twitter for Android")</f>
        <v>Twitter for Android</v>
      </c>
      <c r="J386" s="2">
        <v>2504</v>
      </c>
      <c r="K386" s="2">
        <v>1089</v>
      </c>
      <c r="L386" s="2">
        <v>7</v>
      </c>
      <c r="M386" s="2"/>
      <c r="N386" s="8">
        <v>40769.117025462961</v>
      </c>
      <c r="O386" s="4" t="s">
        <v>17</v>
      </c>
      <c r="P386" s="3" t="s">
        <v>15653</v>
      </c>
      <c r="Q386" s="4"/>
      <c r="R386" s="4"/>
      <c r="S386" s="9" t="str">
        <f>HYPERLINK("https://pbs.twimg.com/profile_images/1033955050127810562/CVeHiY5X.jpg","View")</f>
        <v>View</v>
      </c>
    </row>
    <row r="387" spans="1:19" ht="30">
      <c r="A387" s="8">
        <v>43348.579594907409</v>
      </c>
      <c r="B387" s="11" t="str">
        <f>HYPERLINK("https://twitter.com/yaalii_110","@yaalii_110")</f>
        <v>@yaalii_110</v>
      </c>
      <c r="C387" s="6" t="s">
        <v>1224</v>
      </c>
      <c r="D387" s="5" t="s">
        <v>15652</v>
      </c>
      <c r="E387" s="9" t="str">
        <f>HYPERLINK("https://twitter.com/yaalii_110/status/1037270264327880705","1037270264327880705")</f>
        <v>1037270264327880705</v>
      </c>
      <c r="F387" s="4"/>
      <c r="G387" s="10" t="s">
        <v>15651</v>
      </c>
      <c r="H387" s="4"/>
      <c r="I387" s="10" t="str">
        <f>HYPERLINK("http://twitter.com/download/android","Twitter for Android")</f>
        <v>Twitter for Android</v>
      </c>
      <c r="J387" s="2">
        <v>349</v>
      </c>
      <c r="K387" s="2">
        <v>236</v>
      </c>
      <c r="L387" s="2">
        <v>2</v>
      </c>
      <c r="M387" s="2"/>
      <c r="N387" s="8">
        <v>43246.990578703699</v>
      </c>
      <c r="O387" s="4"/>
      <c r="P387" s="3" t="s">
        <v>1222</v>
      </c>
      <c r="Q387" s="4"/>
      <c r="R387" s="4"/>
      <c r="S387" s="9" t="str">
        <f>HYPERLINK("https://pbs.twimg.com/profile_images/1000459175330279425/q_IXc2Kn.jpg","View")</f>
        <v>View</v>
      </c>
    </row>
    <row r="388" spans="1:19" ht="30">
      <c r="A388" s="8">
        <v>43348.579201388886</v>
      </c>
      <c r="B388" s="11" t="str">
        <f>HYPERLINK("https://twitter.com/doctoramirali","@doctoramirali")</f>
        <v>@doctoramirali</v>
      </c>
      <c r="C388" s="6" t="s">
        <v>15650</v>
      </c>
      <c r="D388" s="5" t="s">
        <v>15649</v>
      </c>
      <c r="E388" s="9" t="str">
        <f>HYPERLINK("https://twitter.com/doctoramirali/status/1037270123944534017","1037270123944534017")</f>
        <v>1037270123944534017</v>
      </c>
      <c r="F388" s="4"/>
      <c r="G388" s="4"/>
      <c r="H388" s="4"/>
      <c r="I388" s="10" t="str">
        <f>HYPERLINK("http://twitter.com","Twitter Web Client")</f>
        <v>Twitter Web Client</v>
      </c>
      <c r="J388" s="2">
        <v>137</v>
      </c>
      <c r="K388" s="2">
        <v>353</v>
      </c>
      <c r="L388" s="2">
        <v>0</v>
      </c>
      <c r="M388" s="2"/>
      <c r="N388" s="8">
        <v>41386.947534722218</v>
      </c>
      <c r="O388" s="4" t="s">
        <v>34</v>
      </c>
      <c r="P388" s="3" t="s">
        <v>15648</v>
      </c>
      <c r="Q388" s="4"/>
      <c r="R388" s="4"/>
      <c r="S388" s="9" t="str">
        <f>HYPERLINK("https://pbs.twimg.com/profile_images/1024218448564506624/YHNqiEHI.jpg","View")</f>
        <v>View</v>
      </c>
    </row>
    <row r="389" spans="1:19" ht="12.5">
      <c r="A389" s="8">
        <v>43348.577384259261</v>
      </c>
      <c r="B389" s="11" t="str">
        <f>HYPERLINK("https://twitter.com/baharehjadidian","@baharehjadidian")</f>
        <v>@baharehjadidian</v>
      </c>
      <c r="C389" s="6" t="s">
        <v>4408</v>
      </c>
      <c r="D389" s="5" t="s">
        <v>15647</v>
      </c>
      <c r="E389" s="9" t="str">
        <f>HYPERLINK("https://twitter.com/baharehjadidian/status/1037269465354960896","1037269465354960896")</f>
        <v>1037269465354960896</v>
      </c>
      <c r="F389" s="4"/>
      <c r="G389" s="10" t="s">
        <v>15646</v>
      </c>
      <c r="H389" s="4"/>
      <c r="I389" s="10" t="str">
        <f>HYPERLINK("http://twitter.com","Twitter Web Client")</f>
        <v>Twitter Web Client</v>
      </c>
      <c r="J389" s="2">
        <v>6958</v>
      </c>
      <c r="K389" s="2">
        <v>4440</v>
      </c>
      <c r="L389" s="2">
        <v>43</v>
      </c>
      <c r="M389" s="2"/>
      <c r="N389" s="8">
        <v>42600.016215277778</v>
      </c>
      <c r="O389" s="4" t="s">
        <v>4405</v>
      </c>
      <c r="P389" s="3" t="s">
        <v>4404</v>
      </c>
      <c r="Q389" s="4"/>
      <c r="R389" s="4"/>
      <c r="S389" s="9" t="str">
        <f>HYPERLINK("https://pbs.twimg.com/profile_images/1011335330329489409/kQCoLm_c.jpg","View")</f>
        <v>View</v>
      </c>
    </row>
    <row r="390" spans="1:19" ht="30">
      <c r="A390" s="8">
        <v>43348.577210648145</v>
      </c>
      <c r="B390" s="11" t="str">
        <f>HYPERLINK("https://twitter.com/aghapedro","@aghapedro")</f>
        <v>@aghapedro</v>
      </c>
      <c r="C390" s="6" t="s">
        <v>15645</v>
      </c>
      <c r="D390" s="5" t="s">
        <v>15644</v>
      </c>
      <c r="E390" s="9" t="str">
        <f>HYPERLINK("https://twitter.com/aghapedro/status/1037269402700468224","1037269402700468224")</f>
        <v>1037269402700468224</v>
      </c>
      <c r="F390" s="4"/>
      <c r="G390" s="4"/>
      <c r="H390" s="4"/>
      <c r="I390" s="10" t="str">
        <f>HYPERLINK("http://twitter.com/download/iphone","Twitter for iPhone")</f>
        <v>Twitter for iPhone</v>
      </c>
      <c r="J390" s="2">
        <v>228</v>
      </c>
      <c r="K390" s="2">
        <v>184</v>
      </c>
      <c r="L390" s="2">
        <v>0</v>
      </c>
      <c r="M390" s="2"/>
      <c r="N390" s="8">
        <v>41724.374490740738</v>
      </c>
      <c r="O390" s="4"/>
      <c r="P390" s="3"/>
      <c r="Q390" s="4"/>
      <c r="R390" s="4"/>
      <c r="S390" s="9" t="str">
        <f>HYPERLINK("https://pbs.twimg.com/profile_images/1023544990201532416/QJ8IxgGA.jpg","View")</f>
        <v>View</v>
      </c>
    </row>
    <row r="391" spans="1:19" ht="30">
      <c r="A391" s="8">
        <v>43348.576585648145</v>
      </c>
      <c r="B391" s="11" t="str">
        <f>HYPERLINK("https://twitter.com/Bidaadd","@Bidaadd")</f>
        <v>@Bidaadd</v>
      </c>
      <c r="C391" s="6" t="s">
        <v>15643</v>
      </c>
      <c r="D391" s="5" t="s">
        <v>15642</v>
      </c>
      <c r="E391" s="9" t="str">
        <f>HYPERLINK("https://twitter.com/Bidaadd/status/1037269175511797761","1037269175511797761")</f>
        <v>1037269175511797761</v>
      </c>
      <c r="F391" s="4"/>
      <c r="G391" s="10" t="s">
        <v>15641</v>
      </c>
      <c r="H391" s="4"/>
      <c r="I391" s="10" t="str">
        <f>HYPERLINK("http://twitter.com/download/android","Twitter for Android")</f>
        <v>Twitter for Android</v>
      </c>
      <c r="J391" s="2">
        <v>367</v>
      </c>
      <c r="K391" s="2">
        <v>689</v>
      </c>
      <c r="L391" s="2">
        <v>1</v>
      </c>
      <c r="M391" s="2"/>
      <c r="N391" s="8">
        <v>43000.69667824074</v>
      </c>
      <c r="O391" s="4"/>
      <c r="P391" s="3" t="s">
        <v>15640</v>
      </c>
      <c r="Q391" s="4"/>
      <c r="R391" s="4"/>
      <c r="S391" s="9" t="str">
        <f>HYPERLINK("https://pbs.twimg.com/profile_images/986148729722990592/AiDRg_JE.jpg","View")</f>
        <v>View</v>
      </c>
    </row>
    <row r="392" spans="1:19" ht="40">
      <c r="A392" s="8">
        <v>43348.576377314814</v>
      </c>
      <c r="B392" s="11" t="str">
        <f>HYPERLINK("https://twitter.com/VahidAzimnia","@VahidAzimnia")</f>
        <v>@VahidAzimnia</v>
      </c>
      <c r="C392" s="6" t="s">
        <v>10901</v>
      </c>
      <c r="D392" s="5" t="s">
        <v>15639</v>
      </c>
      <c r="E392" s="9" t="str">
        <f>HYPERLINK("https://twitter.com/VahidAzimnia/status/1037269100995784705","1037269100995784705")</f>
        <v>1037269100995784705</v>
      </c>
      <c r="F392" s="4"/>
      <c r="G392" s="4"/>
      <c r="H392" s="4"/>
      <c r="I392" s="10" t="str">
        <f>HYPERLINK("http://twitter.com","Twitter Web Client")</f>
        <v>Twitter Web Client</v>
      </c>
      <c r="J392" s="2">
        <v>75</v>
      </c>
      <c r="K392" s="2">
        <v>119</v>
      </c>
      <c r="L392" s="2">
        <v>0</v>
      </c>
      <c r="M392" s="2"/>
      <c r="N392" s="8">
        <v>42996.578888888893</v>
      </c>
      <c r="O392" s="4" t="s">
        <v>1415</v>
      </c>
      <c r="P392" s="3" t="s">
        <v>10899</v>
      </c>
      <c r="Q392" s="10" t="s">
        <v>10898</v>
      </c>
      <c r="R392" s="4"/>
      <c r="S392" s="9" t="str">
        <f>HYPERLINK("https://pbs.twimg.com/profile_images/1026457639293779969/sKefZjZT.jpg","View")</f>
        <v>View</v>
      </c>
    </row>
    <row r="393" spans="1:19" ht="30">
      <c r="A393" s="8">
        <v>43348.576053240744</v>
      </c>
      <c r="B393" s="11" t="str">
        <f>HYPERLINK("https://twitter.com/soorennn","@soorennn")</f>
        <v>@soorennn</v>
      </c>
      <c r="C393" s="6" t="s">
        <v>2382</v>
      </c>
      <c r="D393" s="5" t="s">
        <v>15638</v>
      </c>
      <c r="E393" s="9" t="str">
        <f>HYPERLINK("https://twitter.com/soorennn/status/1037268982523473920","1037268982523473920")</f>
        <v>1037268982523473920</v>
      </c>
      <c r="F393" s="4"/>
      <c r="G393" s="10" t="s">
        <v>15637</v>
      </c>
      <c r="H393" s="4"/>
      <c r="I393" s="10" t="str">
        <f>HYPERLINK("http://twitter.com/download/android","Twitter for Android")</f>
        <v>Twitter for Android</v>
      </c>
      <c r="J393" s="2">
        <v>1393</v>
      </c>
      <c r="K393" s="2">
        <v>1369</v>
      </c>
      <c r="L393" s="2">
        <v>0</v>
      </c>
      <c r="M393" s="2"/>
      <c r="N393" s="8">
        <v>41341.522962962961</v>
      </c>
      <c r="O393" s="4"/>
      <c r="P393" s="3" t="s">
        <v>2379</v>
      </c>
      <c r="Q393" s="4"/>
      <c r="R393" s="4"/>
      <c r="S393" s="9" t="str">
        <f>HYPERLINK("https://pbs.twimg.com/profile_images/1036647638479921152/sjX-RFeY.jpg","View")</f>
        <v>View</v>
      </c>
    </row>
    <row r="394" spans="1:19" ht="20">
      <c r="A394" s="8">
        <v>43348.57603009259</v>
      </c>
      <c r="B394" s="11" t="str">
        <f>HYPERLINK("https://twitter.com/Majiidmohamadi","@Majiidmohamadi")</f>
        <v>@Majiidmohamadi</v>
      </c>
      <c r="C394" s="6" t="s">
        <v>6427</v>
      </c>
      <c r="D394" s="5" t="s">
        <v>15636</v>
      </c>
      <c r="E394" s="9" t="str">
        <f>HYPERLINK("https://twitter.com/Majiidmohamadi/status/1037268975330189312","1037268975330189312")</f>
        <v>1037268975330189312</v>
      </c>
      <c r="F394" s="4"/>
      <c r="G394" s="10" t="s">
        <v>15635</v>
      </c>
      <c r="H394" s="4"/>
      <c r="I394" s="10" t="str">
        <f>HYPERLINK("http://twitter.com/download/android","Twitter for Android")</f>
        <v>Twitter for Android</v>
      </c>
      <c r="J394" s="2">
        <v>111</v>
      </c>
      <c r="K394" s="2">
        <v>130</v>
      </c>
      <c r="L394" s="2">
        <v>0</v>
      </c>
      <c r="M394" s="2"/>
      <c r="N394" s="8">
        <v>43175.708310185189</v>
      </c>
      <c r="O394" s="4" t="s">
        <v>17</v>
      </c>
      <c r="P394" s="3" t="s">
        <v>6425</v>
      </c>
      <c r="Q394" s="4"/>
      <c r="R394" s="4"/>
      <c r="S394" s="9" t="str">
        <f>HYPERLINK("https://pbs.twimg.com/profile_images/1037273853620375552/B7shtAuQ.jpg","View")</f>
        <v>View</v>
      </c>
    </row>
    <row r="395" spans="1:19" ht="40">
      <c r="A395" s="8">
        <v>43348.575891203705</v>
      </c>
      <c r="B395" s="11" t="str">
        <f>HYPERLINK("https://twitter.com/pouya6m6n","@pouya6m6n")</f>
        <v>@pouya6m6n</v>
      </c>
      <c r="C395" s="6" t="s">
        <v>15634</v>
      </c>
      <c r="D395" s="5" t="s">
        <v>15633</v>
      </c>
      <c r="E395" s="9" t="str">
        <f>HYPERLINK("https://twitter.com/pouya6m6n/status/1037268921458610177","1037268921458610177")</f>
        <v>1037268921458610177</v>
      </c>
      <c r="F395" s="4"/>
      <c r="G395" s="4"/>
      <c r="H395" s="4"/>
      <c r="I395" s="10" t="str">
        <f>HYPERLINK("http://twitter.com/download/android","Twitter for Android")</f>
        <v>Twitter for Android</v>
      </c>
      <c r="J395" s="2">
        <v>5</v>
      </c>
      <c r="K395" s="2">
        <v>41</v>
      </c>
      <c r="L395" s="2">
        <v>0</v>
      </c>
      <c r="M395" s="2"/>
      <c r="N395" s="8">
        <v>41075.123425925922</v>
      </c>
      <c r="O395" s="4" t="s">
        <v>8898</v>
      </c>
      <c r="P395" s="3" t="s">
        <v>15632</v>
      </c>
      <c r="Q395" s="4"/>
      <c r="R395" s="4"/>
      <c r="S395" s="9" t="str">
        <f>HYPERLINK("https://pbs.twimg.com/profile_images/1034015036975575041/ZN3cfOTA.jpg","View")</f>
        <v>View</v>
      </c>
    </row>
    <row r="396" spans="1:19" ht="12.5">
      <c r="A396" s="8">
        <v>43348.575694444444</v>
      </c>
      <c r="B396" s="11" t="str">
        <f>HYPERLINK("https://twitter.com/KakavandShirin","@KakavandShirin")</f>
        <v>@KakavandShirin</v>
      </c>
      <c r="C396" s="6" t="s">
        <v>5060</v>
      </c>
      <c r="D396" s="5" t="s">
        <v>15631</v>
      </c>
      <c r="E396" s="9" t="str">
        <f>HYPERLINK("https://twitter.com/KakavandShirin/status/1037268852181225472","1037268852181225472")</f>
        <v>1037268852181225472</v>
      </c>
      <c r="F396" s="4"/>
      <c r="G396" s="4"/>
      <c r="H396" s="4"/>
      <c r="I396" s="10" t="str">
        <f>HYPERLINK("http://twitter.com/download/android","Twitter for Android")</f>
        <v>Twitter for Android</v>
      </c>
      <c r="J396" s="2">
        <v>7</v>
      </c>
      <c r="K396" s="2">
        <v>24</v>
      </c>
      <c r="L396" s="2">
        <v>0</v>
      </c>
      <c r="M396" s="2"/>
      <c r="N396" s="8">
        <v>43262.974155092597</v>
      </c>
      <c r="O396" s="4" t="s">
        <v>104</v>
      </c>
      <c r="P396" s="3" t="s">
        <v>5058</v>
      </c>
      <c r="Q396" s="4"/>
      <c r="R396" s="4"/>
      <c r="S396" s="9" t="str">
        <f>HYPERLINK("https://pbs.twimg.com/profile_images/1029644748158656512/A5BGRMXM.jpg","View")</f>
        <v>View</v>
      </c>
    </row>
    <row r="397" spans="1:19" ht="40">
      <c r="A397" s="8">
        <v>43348.575648148151</v>
      </c>
      <c r="B397" s="11" t="str">
        <f>HYPERLINK("https://twitter.com/Reetus050","@Reetus050")</f>
        <v>@Reetus050</v>
      </c>
      <c r="C397" s="6" t="s">
        <v>15630</v>
      </c>
      <c r="D397" s="5" t="s">
        <v>15629</v>
      </c>
      <c r="E397" s="9" t="str">
        <f>HYPERLINK("https://twitter.com/Reetus050/status/1037268835567628288","1037268835567628288")</f>
        <v>1037268835567628288</v>
      </c>
      <c r="F397" s="4"/>
      <c r="G397" s="4"/>
      <c r="H397" s="4"/>
      <c r="I397" s="10" t="str">
        <f>HYPERLINK("http://twitter.com/download/android","Twitter for Android")</f>
        <v>Twitter for Android</v>
      </c>
      <c r="J397" s="2">
        <v>378</v>
      </c>
      <c r="K397" s="2">
        <v>210</v>
      </c>
      <c r="L397" s="2">
        <v>0</v>
      </c>
      <c r="M397" s="2"/>
      <c r="N397" s="8">
        <v>43340.581226851849</v>
      </c>
      <c r="O397" s="4" t="s">
        <v>2777</v>
      </c>
      <c r="P397" s="3" t="s">
        <v>15628</v>
      </c>
      <c r="Q397" s="4"/>
      <c r="R397" s="4"/>
      <c r="S397" s="9" t="str">
        <f>HYPERLINK("https://pbs.twimg.com/profile_images/1035406792635895809/aNbnJVF0.jpg","View")</f>
        <v>View</v>
      </c>
    </row>
    <row r="398" spans="1:19" ht="70">
      <c r="A398" s="8">
        <v>43348.575439814813</v>
      </c>
      <c r="B398" s="11" t="str">
        <f>HYPERLINK("https://twitter.com/maximilyun","@maximilyun")</f>
        <v>@maximilyun</v>
      </c>
      <c r="C398" s="6" t="s">
        <v>15627</v>
      </c>
      <c r="D398" s="5" t="s">
        <v>15626</v>
      </c>
      <c r="E398" s="9" t="str">
        <f>HYPERLINK("https://twitter.com/maximilyun/status/1037268758505508864","1037268758505508864")</f>
        <v>1037268758505508864</v>
      </c>
      <c r="F398" s="10" t="s">
        <v>15625</v>
      </c>
      <c r="G398" s="4"/>
      <c r="H398" s="4"/>
      <c r="I398" s="10" t="str">
        <f>HYPERLINK("http://twitter.com","Twitter Web Client")</f>
        <v>Twitter Web Client</v>
      </c>
      <c r="J398" s="2">
        <v>241</v>
      </c>
      <c r="K398" s="2">
        <v>304</v>
      </c>
      <c r="L398" s="2">
        <v>0</v>
      </c>
      <c r="M398" s="2"/>
      <c r="N398" s="8">
        <v>42765.803564814814</v>
      </c>
      <c r="O398" s="4" t="s">
        <v>15624</v>
      </c>
      <c r="P398" s="3" t="s">
        <v>15623</v>
      </c>
      <c r="Q398" s="4"/>
      <c r="R398" s="4"/>
      <c r="S398" s="9" t="str">
        <f>HYPERLINK("https://pbs.twimg.com/profile_images/1002574852442730497/ONzuEIbT.jpg","View")</f>
        <v>View</v>
      </c>
    </row>
    <row r="399" spans="1:19" ht="20">
      <c r="A399" s="8">
        <v>43348.57430555555</v>
      </c>
      <c r="B399" s="11" t="str">
        <f>HYPERLINK("https://twitter.com/dongorush","@dongorush")</f>
        <v>@dongorush</v>
      </c>
      <c r="C399" s="6" t="s">
        <v>15622</v>
      </c>
      <c r="D399" s="5" t="s">
        <v>15621</v>
      </c>
      <c r="E399" s="9" t="str">
        <f>HYPERLINK("https://twitter.com/dongorush/status/1037268348801871872","1037268348801871872")</f>
        <v>1037268348801871872</v>
      </c>
      <c r="F399" s="4"/>
      <c r="G399" s="4"/>
      <c r="H399" s="4"/>
      <c r="I399" s="10" t="str">
        <f>HYPERLINK("http://twitter.com/download/iphone","Twitter for iPhone")</f>
        <v>Twitter for iPhone</v>
      </c>
      <c r="J399" s="2">
        <v>261</v>
      </c>
      <c r="K399" s="2">
        <v>371</v>
      </c>
      <c r="L399" s="2">
        <v>1</v>
      </c>
      <c r="M399" s="2"/>
      <c r="N399" s="8">
        <v>40298.723900462966</v>
      </c>
      <c r="O399" s="4"/>
      <c r="P399" s="3" t="s">
        <v>15620</v>
      </c>
      <c r="Q399" s="4"/>
      <c r="R399" s="4"/>
      <c r="S399" s="9" t="str">
        <f>HYPERLINK("https://pbs.twimg.com/profile_images/1027525384684888064/_HZJ6Ix8.jpg","View")</f>
        <v>View</v>
      </c>
    </row>
    <row r="400" spans="1:19" ht="30">
      <c r="A400" s="8">
        <v>43348.574189814812</v>
      </c>
      <c r="B400" s="11" t="str">
        <f>HYPERLINK("https://twitter.com/KamaliSajad","@KamaliSajad")</f>
        <v>@KamaliSajad</v>
      </c>
      <c r="C400" s="6" t="s">
        <v>13504</v>
      </c>
      <c r="D400" s="5" t="s">
        <v>15619</v>
      </c>
      <c r="E400" s="9" t="str">
        <f>HYPERLINK("https://twitter.com/KamaliSajad/status/1037268305592107009","1037268305592107009")</f>
        <v>1037268305592107009</v>
      </c>
      <c r="F400" s="4"/>
      <c r="G400" s="4"/>
      <c r="H400" s="4"/>
      <c r="I400" s="10" t="str">
        <f>HYPERLINK("https://mobile.twitter.com","Twitter Lite")</f>
        <v>Twitter Lite</v>
      </c>
      <c r="J400" s="2">
        <v>461</v>
      </c>
      <c r="K400" s="2">
        <v>179</v>
      </c>
      <c r="L400" s="2">
        <v>4</v>
      </c>
      <c r="M400" s="2"/>
      <c r="N400" s="8">
        <v>42758.641053240739</v>
      </c>
      <c r="O400" s="4" t="s">
        <v>13502</v>
      </c>
      <c r="P400" s="3" t="s">
        <v>13501</v>
      </c>
      <c r="Q400" s="4"/>
      <c r="R400" s="4"/>
      <c r="S400" s="9" t="str">
        <f>HYPERLINK("https://pbs.twimg.com/profile_images/1002854540167794690/yXvROA2-.jpg","View")</f>
        <v>View</v>
      </c>
    </row>
    <row r="401" spans="1:19" ht="40">
      <c r="A401" s="8">
        <v>43348.574097222227</v>
      </c>
      <c r="B401" s="11" t="str">
        <f>HYPERLINK("https://twitter.com/Hosseinkomail","@Hosseinkomail")</f>
        <v>@Hosseinkomail</v>
      </c>
      <c r="C401" s="6" t="s">
        <v>15618</v>
      </c>
      <c r="D401" s="5" t="s">
        <v>15617</v>
      </c>
      <c r="E401" s="9" t="str">
        <f>HYPERLINK("https://twitter.com/Hosseinkomail/status/1037268273388290048","1037268273388290048")</f>
        <v>1037268273388290048</v>
      </c>
      <c r="F401" s="4"/>
      <c r="G401" s="4"/>
      <c r="H401" s="4"/>
      <c r="I401" s="10" t="str">
        <f>HYPERLINK("http://twitter.com/download/android","Twitter for Android")</f>
        <v>Twitter for Android</v>
      </c>
      <c r="J401" s="2">
        <v>107</v>
      </c>
      <c r="K401" s="2">
        <v>19</v>
      </c>
      <c r="L401" s="2">
        <v>0</v>
      </c>
      <c r="M401" s="2"/>
      <c r="N401" s="8">
        <v>43100.032662037032</v>
      </c>
      <c r="O401" s="4"/>
      <c r="P401" s="3" t="s">
        <v>15616</v>
      </c>
      <c r="Q401" s="4"/>
      <c r="R401" s="4"/>
      <c r="S401" s="9" t="str">
        <f>HYPERLINK("https://pbs.twimg.com/profile_images/947224176829616128/eEDLEff6.jpg","View")</f>
        <v>View</v>
      </c>
    </row>
    <row r="402" spans="1:19" ht="40">
      <c r="A402" s="8">
        <v>43348.573749999996</v>
      </c>
      <c r="B402" s="11" t="str">
        <f>HYPERLINK("https://twitter.com/EkvaneDiv","@EkvaneDiv")</f>
        <v>@EkvaneDiv</v>
      </c>
      <c r="C402" s="6" t="s">
        <v>15615</v>
      </c>
      <c r="D402" s="5" t="s">
        <v>15614</v>
      </c>
      <c r="E402" s="9" t="str">
        <f>HYPERLINK("https://twitter.com/EkvaneDiv/status/1037268146686701569","1037268146686701569")</f>
        <v>1037268146686701569</v>
      </c>
      <c r="F402" s="4"/>
      <c r="G402" s="4"/>
      <c r="H402" s="4"/>
      <c r="I402" s="10" t="str">
        <f>HYPERLINK("http://twitter.com/download/android","Twitter for Android")</f>
        <v>Twitter for Android</v>
      </c>
      <c r="J402" s="2">
        <v>86</v>
      </c>
      <c r="K402" s="2">
        <v>213</v>
      </c>
      <c r="L402" s="2">
        <v>2</v>
      </c>
      <c r="M402" s="2"/>
      <c r="N402" s="8">
        <v>41541.914930555555</v>
      </c>
      <c r="O402" s="4" t="s">
        <v>133</v>
      </c>
      <c r="P402" s="3" t="s">
        <v>15613</v>
      </c>
      <c r="Q402" s="4"/>
      <c r="R402" s="4"/>
      <c r="S402" s="9" t="str">
        <f>HYPERLINK("https://pbs.twimg.com/profile_images/1035932149130711040/wwkuTYEu.jpg","View")</f>
        <v>View</v>
      </c>
    </row>
    <row r="403" spans="1:19" ht="40">
      <c r="A403" s="8">
        <v>43348.573726851857</v>
      </c>
      <c r="B403" s="11" t="str">
        <f>HYPERLINK("https://twitter.com/OmidPouraziz","@OmidPouraziz")</f>
        <v>@OmidPouraziz</v>
      </c>
      <c r="C403" s="6" t="s">
        <v>4605</v>
      </c>
      <c r="D403" s="5" t="s">
        <v>15612</v>
      </c>
      <c r="E403" s="9" t="str">
        <f>HYPERLINK("https://twitter.com/OmidPouraziz/status/1037268138113605632","1037268138113605632")</f>
        <v>1037268138113605632</v>
      </c>
      <c r="F403" s="4"/>
      <c r="G403" s="4"/>
      <c r="H403" s="4"/>
      <c r="I403" s="10" t="str">
        <f>HYPERLINK("http://twitter.com/download/iphone","Twitter for iPhone")</f>
        <v>Twitter for iPhone</v>
      </c>
      <c r="J403" s="2">
        <v>172</v>
      </c>
      <c r="K403" s="2">
        <v>669</v>
      </c>
      <c r="L403" s="2">
        <v>1</v>
      </c>
      <c r="M403" s="2"/>
      <c r="N403" s="8">
        <v>41593.060752314814</v>
      </c>
      <c r="O403" s="4" t="s">
        <v>4603</v>
      </c>
      <c r="P403" s="3" t="s">
        <v>11708</v>
      </c>
      <c r="Q403" s="10" t="s">
        <v>4601</v>
      </c>
      <c r="R403" s="4"/>
      <c r="S403" s="9" t="str">
        <f>HYPERLINK("https://pbs.twimg.com/profile_images/1037110342822838272/p8L4hKNh.jpg","View")</f>
        <v>View</v>
      </c>
    </row>
    <row r="404" spans="1:19" ht="40">
      <c r="A404" s="8">
        <v>43348.573425925926</v>
      </c>
      <c r="B404" s="11" t="str">
        <f>HYPERLINK("https://twitter.com/mmoeeni","@mmoeeni")</f>
        <v>@mmoeeni</v>
      </c>
      <c r="C404" s="6" t="s">
        <v>5516</v>
      </c>
      <c r="D404" s="5" t="s">
        <v>15611</v>
      </c>
      <c r="E404" s="9" t="str">
        <f>HYPERLINK("https://twitter.com/mmoeeni/status/1037268031775232002","1037268031775232002")</f>
        <v>1037268031775232002</v>
      </c>
      <c r="F404" s="4"/>
      <c r="G404" s="10" t="s">
        <v>15610</v>
      </c>
      <c r="H404" s="4"/>
      <c r="I404" s="10" t="str">
        <f>HYPERLINK("http://twitter.com","Twitter Web Client")</f>
        <v>Twitter Web Client</v>
      </c>
      <c r="J404" s="2">
        <v>6350</v>
      </c>
      <c r="K404" s="2">
        <v>376</v>
      </c>
      <c r="L404" s="2">
        <v>78</v>
      </c>
      <c r="M404" s="2"/>
      <c r="N404" s="8">
        <v>40166.718182870369</v>
      </c>
      <c r="O404" s="4" t="s">
        <v>5513</v>
      </c>
      <c r="P404" s="3" t="s">
        <v>5512</v>
      </c>
      <c r="Q404" s="10" t="s">
        <v>5511</v>
      </c>
      <c r="R404" s="4"/>
      <c r="S404" s="9" t="str">
        <f>HYPERLINK("https://pbs.twimg.com/profile_images/943019308430475264/nyznB58g.jpg","View")</f>
        <v>View</v>
      </c>
    </row>
    <row r="405" spans="1:19" ht="40">
      <c r="A405" s="8">
        <v>43348.573333333334</v>
      </c>
      <c r="B405" s="11" t="str">
        <f>HYPERLINK("https://twitter.com/kh_ahmadreza","@kh_ahmadreza")</f>
        <v>@kh_ahmadreza</v>
      </c>
      <c r="C405" s="6" t="s">
        <v>15609</v>
      </c>
      <c r="D405" s="5" t="s">
        <v>15608</v>
      </c>
      <c r="E405" s="9" t="str">
        <f>HYPERLINK("https://twitter.com/kh_ahmadreza/status/1037267998329978882","1037267998329978882")</f>
        <v>1037267998329978882</v>
      </c>
      <c r="F405" s="4"/>
      <c r="G405" s="4"/>
      <c r="H405" s="4"/>
      <c r="I405" s="10" t="str">
        <f>HYPERLINK("http://twitter.com/download/android","Twitter for Android")</f>
        <v>Twitter for Android</v>
      </c>
      <c r="J405" s="2">
        <v>31</v>
      </c>
      <c r="K405" s="2">
        <v>21</v>
      </c>
      <c r="L405" s="2">
        <v>0</v>
      </c>
      <c r="M405" s="2"/>
      <c r="N405" s="8">
        <v>43034.369293981479</v>
      </c>
      <c r="O405" s="4" t="s">
        <v>2193</v>
      </c>
      <c r="P405" s="3" t="s">
        <v>15607</v>
      </c>
      <c r="Q405" s="4"/>
      <c r="R405" s="4"/>
      <c r="S405" s="9" t="str">
        <f>HYPERLINK("https://pbs.twimg.com/profile_images/923479198924144642/_LHkMRLX.jpg","View")</f>
        <v>View</v>
      </c>
    </row>
    <row r="406" spans="1:19" ht="40">
      <c r="A406" s="8">
        <v>43348.572789351849</v>
      </c>
      <c r="B406" s="11" t="str">
        <f>HYPERLINK("https://twitter.com/Omidam_Hamin","@Omidam_Hamin")</f>
        <v>@Omidam_Hamin</v>
      </c>
      <c r="C406" s="6" t="s">
        <v>6949</v>
      </c>
      <c r="D406" s="5" t="s">
        <v>15606</v>
      </c>
      <c r="E406" s="9" t="str">
        <f>HYPERLINK("https://twitter.com/Omidam_Hamin/status/1037267797796179968","1037267797796179968")</f>
        <v>1037267797796179968</v>
      </c>
      <c r="F406" s="10" t="s">
        <v>15605</v>
      </c>
      <c r="G406" s="10" t="s">
        <v>15604</v>
      </c>
      <c r="H406" s="4"/>
      <c r="I406" s="10" t="str">
        <f>HYPERLINK("http://twitter.com/download/android","Twitter for Android")</f>
        <v>Twitter for Android</v>
      </c>
      <c r="J406" s="2">
        <v>1380</v>
      </c>
      <c r="K406" s="2">
        <v>1558</v>
      </c>
      <c r="L406" s="2">
        <v>5</v>
      </c>
      <c r="M406" s="2"/>
      <c r="N406" s="8">
        <v>43134.987071759257</v>
      </c>
      <c r="O406" s="4" t="s">
        <v>6946</v>
      </c>
      <c r="P406" s="3" t="s">
        <v>6945</v>
      </c>
      <c r="Q406" s="4"/>
      <c r="R406" s="4"/>
      <c r="S406" s="9" t="str">
        <f>HYPERLINK("https://pbs.twimg.com/profile_images/959884726608723970/p9MALHAG.jpg","View")</f>
        <v>View</v>
      </c>
    </row>
    <row r="407" spans="1:19" ht="30">
      <c r="A407" s="8">
        <v>43348.572766203702</v>
      </c>
      <c r="B407" s="11" t="str">
        <f>HYPERLINK("https://twitter.com/mersadirani","@mersadirani")</f>
        <v>@mersadirani</v>
      </c>
      <c r="C407" s="6" t="s">
        <v>10660</v>
      </c>
      <c r="D407" s="5" t="s">
        <v>15603</v>
      </c>
      <c r="E407" s="9" t="str">
        <f>HYPERLINK("https://twitter.com/mersadirani/status/1037267789562753024","1037267789562753024")</f>
        <v>1037267789562753024</v>
      </c>
      <c r="F407" s="4"/>
      <c r="G407" s="10" t="s">
        <v>15602</v>
      </c>
      <c r="H407" s="4"/>
      <c r="I407" s="10" t="str">
        <f>HYPERLINK("http://twitter.com","Twitter Web Client")</f>
        <v>Twitter Web Client</v>
      </c>
      <c r="J407" s="2">
        <v>82</v>
      </c>
      <c r="K407" s="2">
        <v>99</v>
      </c>
      <c r="L407" s="2">
        <v>1</v>
      </c>
      <c r="M407" s="2"/>
      <c r="N407" s="8">
        <v>42818.974259259259</v>
      </c>
      <c r="O407" s="4" t="s">
        <v>682</v>
      </c>
      <c r="P407" s="3"/>
      <c r="Q407" s="4"/>
      <c r="R407" s="4"/>
      <c r="S407" s="9" t="str">
        <f>HYPERLINK("https://pbs.twimg.com/profile_images/919513494508261377/ufN6oOut.jpg","View")</f>
        <v>View</v>
      </c>
    </row>
    <row r="408" spans="1:19" ht="30">
      <c r="A408" s="8">
        <v>43348.57203703704</v>
      </c>
      <c r="B408" s="11" t="str">
        <f>HYPERLINK("https://twitter.com/soheil_zk","@soheil_zk")</f>
        <v>@soheil_zk</v>
      </c>
      <c r="C408" s="6" t="s">
        <v>15601</v>
      </c>
      <c r="D408" s="5" t="s">
        <v>15600</v>
      </c>
      <c r="E408" s="9" t="str">
        <f>HYPERLINK("https://twitter.com/soheil_zk/status/1037267528698015745","1037267528698015745")</f>
        <v>1037267528698015745</v>
      </c>
      <c r="F408" s="4"/>
      <c r="G408" s="4"/>
      <c r="H408" s="4"/>
      <c r="I408" s="10" t="str">
        <f>HYPERLINK("http://twitter.com","Twitter Web Client")</f>
        <v>Twitter Web Client</v>
      </c>
      <c r="J408" s="2">
        <v>154</v>
      </c>
      <c r="K408" s="2">
        <v>260</v>
      </c>
      <c r="L408" s="2">
        <v>1</v>
      </c>
      <c r="M408" s="2"/>
      <c r="N408" s="8">
        <v>40463.497858796298</v>
      </c>
      <c r="O408" s="4" t="s">
        <v>324</v>
      </c>
      <c r="P408" s="3" t="s">
        <v>15599</v>
      </c>
      <c r="Q408" s="10" t="s">
        <v>15598</v>
      </c>
      <c r="R408" s="4"/>
      <c r="S408" s="9" t="str">
        <f>HYPERLINK("https://pbs.twimg.com/profile_images/1005709956740407297/Lv2flU2g.jpg","View")</f>
        <v>View</v>
      </c>
    </row>
    <row r="409" spans="1:19" ht="20">
      <c r="A409" s="8">
        <v>43348.570960648147</v>
      </c>
      <c r="B409" s="11" t="str">
        <f>HYPERLINK("https://twitter.com/yaalii_110","@yaalii_110")</f>
        <v>@yaalii_110</v>
      </c>
      <c r="C409" s="6" t="s">
        <v>1224</v>
      </c>
      <c r="D409" s="5" t="s">
        <v>15597</v>
      </c>
      <c r="E409" s="9" t="str">
        <f>HYPERLINK("https://twitter.com/yaalii_110/status/1037267135838515200","1037267135838515200")</f>
        <v>1037267135838515200</v>
      </c>
      <c r="F409" s="4"/>
      <c r="G409" s="10" t="s">
        <v>15596</v>
      </c>
      <c r="H409" s="4"/>
      <c r="I409" s="10" t="str">
        <f>HYPERLINK("http://twitter.com/download/android","Twitter for Android")</f>
        <v>Twitter for Android</v>
      </c>
      <c r="J409" s="2">
        <v>349</v>
      </c>
      <c r="K409" s="2">
        <v>236</v>
      </c>
      <c r="L409" s="2">
        <v>2</v>
      </c>
      <c r="M409" s="2"/>
      <c r="N409" s="8">
        <v>43246.990578703699</v>
      </c>
      <c r="O409" s="4"/>
      <c r="P409" s="3" t="s">
        <v>1222</v>
      </c>
      <c r="Q409" s="4"/>
      <c r="R409" s="4"/>
      <c r="S409" s="9" t="str">
        <f>HYPERLINK("https://pbs.twimg.com/profile_images/1000459175330279425/q_IXc2Kn.jpg","View")</f>
        <v>View</v>
      </c>
    </row>
    <row r="410" spans="1:19" ht="30">
      <c r="A410" s="8">
        <v>43348.570844907408</v>
      </c>
      <c r="B410" s="11" t="str">
        <f>HYPERLINK("https://twitter.com/seyyedehtesham","@seyyedehtesham")</f>
        <v>@seyyedehtesham</v>
      </c>
      <c r="C410" s="6" t="s">
        <v>9937</v>
      </c>
      <c r="D410" s="5" t="s">
        <v>15595</v>
      </c>
      <c r="E410" s="9" t="str">
        <f>HYPERLINK("https://twitter.com/seyyedehtesham/status/1037267096332328960","1037267096332328960")</f>
        <v>1037267096332328960</v>
      </c>
      <c r="F410" s="4"/>
      <c r="G410" s="4"/>
      <c r="H410" s="4"/>
      <c r="I410" s="10" t="str">
        <f>HYPERLINK("http://twitter.com/download/android","Twitter for Android")</f>
        <v>Twitter for Android</v>
      </c>
      <c r="J410" s="2">
        <v>3076</v>
      </c>
      <c r="K410" s="2">
        <v>454</v>
      </c>
      <c r="L410" s="2">
        <v>25</v>
      </c>
      <c r="M410" s="2"/>
      <c r="N410" s="8">
        <v>41451.7894212963</v>
      </c>
      <c r="O410" s="4"/>
      <c r="P410" s="3" t="s">
        <v>9935</v>
      </c>
      <c r="Q410" s="4"/>
      <c r="R410" s="4"/>
      <c r="S410" s="9" t="str">
        <f>HYPERLINK("https://pbs.twimg.com/profile_images/935798516777193472/GZLzsxol.jpg","View")</f>
        <v>View</v>
      </c>
    </row>
    <row r="411" spans="1:19" ht="20">
      <c r="A411" s="8">
        <v>43348.569895833338</v>
      </c>
      <c r="B411" s="11" t="str">
        <f>HYPERLINK("https://twitter.com/A_berrrr","@A_berrrr")</f>
        <v>@A_berrrr</v>
      </c>
      <c r="C411" s="6" t="s">
        <v>3368</v>
      </c>
      <c r="D411" s="5" t="s">
        <v>15594</v>
      </c>
      <c r="E411" s="9" t="str">
        <f>HYPERLINK("https://twitter.com/A_berrrr/status/1037266749782151168","1037266749782151168")</f>
        <v>1037266749782151168</v>
      </c>
      <c r="F411" s="4"/>
      <c r="G411" s="4"/>
      <c r="H411" s="4"/>
      <c r="I411" s="10" t="str">
        <f>HYPERLINK("http://twitter.com/download/android","Twitter for Android")</f>
        <v>Twitter for Android</v>
      </c>
      <c r="J411" s="2">
        <v>95</v>
      </c>
      <c r="K411" s="2">
        <v>257</v>
      </c>
      <c r="L411" s="2">
        <v>0</v>
      </c>
      <c r="M411" s="2"/>
      <c r="N411" s="8">
        <v>42409.990405092598</v>
      </c>
      <c r="O411" s="4"/>
      <c r="P411" s="3" t="s">
        <v>3366</v>
      </c>
      <c r="Q411" s="4"/>
      <c r="R411" s="4"/>
      <c r="S411" s="9" t="str">
        <f>HYPERLINK("https://pbs.twimg.com/profile_images/1028857074287931392/mbJFb049.jpg","View")</f>
        <v>View</v>
      </c>
    </row>
    <row r="412" spans="1:19" ht="30">
      <c r="A412" s="8">
        <v>43348.568356481483</v>
      </c>
      <c r="B412" s="11" t="str">
        <f>HYPERLINK("https://twitter.com/morghehamsaye","@morghehamsaye")</f>
        <v>@morghehamsaye</v>
      </c>
      <c r="C412" s="6" t="s">
        <v>15593</v>
      </c>
      <c r="D412" s="5" t="s">
        <v>15592</v>
      </c>
      <c r="E412" s="9" t="str">
        <f>HYPERLINK("https://twitter.com/morghehamsaye/status/1037266191574880256","1037266191574880256")</f>
        <v>1037266191574880256</v>
      </c>
      <c r="F412" s="4"/>
      <c r="G412" s="4"/>
      <c r="H412" s="4"/>
      <c r="I412" s="10" t="str">
        <f>HYPERLINK("http://twitter.com/download/android","Twitter for Android")</f>
        <v>Twitter for Android</v>
      </c>
      <c r="J412" s="2">
        <v>7</v>
      </c>
      <c r="K412" s="2">
        <v>65</v>
      </c>
      <c r="L412" s="2">
        <v>0</v>
      </c>
      <c r="M412" s="2"/>
      <c r="N412" s="8">
        <v>43237.613854166666</v>
      </c>
      <c r="O412" s="4" t="s">
        <v>15591</v>
      </c>
      <c r="P412" s="3" t="s">
        <v>15590</v>
      </c>
      <c r="Q412" s="4"/>
      <c r="R412" s="4"/>
      <c r="S412" s="9" t="str">
        <f>HYPERLINK("https://pbs.twimg.com/profile_images/997059609646059520/reja-mqY.jpg","View")</f>
        <v>View</v>
      </c>
    </row>
    <row r="413" spans="1:19" ht="12.5">
      <c r="A413" s="8">
        <v>43348.567199074074</v>
      </c>
      <c r="B413" s="11" t="str">
        <f>HYPERLINK("https://twitter.com/Fatima1983krm","@Fatima1983krm")</f>
        <v>@Fatima1983krm</v>
      </c>
      <c r="C413" s="6" t="s">
        <v>15589</v>
      </c>
      <c r="D413" s="5" t="s">
        <v>15588</v>
      </c>
      <c r="E413" s="9" t="str">
        <f>HYPERLINK("https://twitter.com/Fatima1983krm/status/1037265773746483200","1037265773746483200")</f>
        <v>1037265773746483200</v>
      </c>
      <c r="F413" s="4"/>
      <c r="G413" s="10" t="s">
        <v>15587</v>
      </c>
      <c r="H413" s="4"/>
      <c r="I413" s="10" t="str">
        <f>HYPERLINK("http://twitter.com","Twitter Web Client")</f>
        <v>Twitter Web Client</v>
      </c>
      <c r="J413" s="2">
        <v>2976</v>
      </c>
      <c r="K413" s="2">
        <v>1762</v>
      </c>
      <c r="L413" s="2">
        <v>7</v>
      </c>
      <c r="M413" s="2"/>
      <c r="N413" s="8">
        <v>43141.533842592587</v>
      </c>
      <c r="O413" s="4" t="s">
        <v>133</v>
      </c>
      <c r="P413" s="3" t="s">
        <v>15586</v>
      </c>
      <c r="Q413" s="4"/>
      <c r="R413" s="4"/>
      <c r="S413" s="9" t="str">
        <f>HYPERLINK("https://pbs.twimg.com/profile_images/992316417599942657/oq8kgSIS.jpg","View")</f>
        <v>View</v>
      </c>
    </row>
    <row r="414" spans="1:19" ht="20">
      <c r="A414" s="8">
        <v>43348.566388888888</v>
      </c>
      <c r="B414" s="11" t="str">
        <f>HYPERLINK("https://twitter.com/X_Gladiator83","@X_Gladiator83")</f>
        <v>@X_Gladiator83</v>
      </c>
      <c r="C414" s="6" t="s">
        <v>15585</v>
      </c>
      <c r="D414" s="5" t="s">
        <v>15584</v>
      </c>
      <c r="E414" s="9" t="str">
        <f>HYPERLINK("https://twitter.com/X_Gladiator83/status/1037265480661299200","1037265480661299200")</f>
        <v>1037265480661299200</v>
      </c>
      <c r="F414" s="4"/>
      <c r="G414" s="10" t="s">
        <v>15583</v>
      </c>
      <c r="H414" s="4"/>
      <c r="I414" s="10" t="str">
        <f>HYPERLINK("http://twitter.com/download/android","Twitter for Android")</f>
        <v>Twitter for Android</v>
      </c>
      <c r="J414" s="2">
        <v>3</v>
      </c>
      <c r="K414" s="2">
        <v>12</v>
      </c>
      <c r="L414" s="2">
        <v>0</v>
      </c>
      <c r="M414" s="2"/>
      <c r="N414" s="8">
        <v>43347.9221412037</v>
      </c>
      <c r="O414" s="4" t="s">
        <v>15582</v>
      </c>
      <c r="P414" s="3" t="s">
        <v>15581</v>
      </c>
      <c r="Q414" s="4"/>
      <c r="R414" s="4"/>
      <c r="S414" s="9" t="str">
        <f>HYPERLINK("https://pbs.twimg.com/profile_images/1037086497269317632/Ys94sCPD.jpg","View")</f>
        <v>View</v>
      </c>
    </row>
    <row r="415" spans="1:19" ht="40">
      <c r="A415" s="8">
        <v>43348.56621527778</v>
      </c>
      <c r="B415" s="11" t="str">
        <f>HYPERLINK("https://twitter.com/kazem_alireza","@kazem_alireza")</f>
        <v>@kazem_alireza</v>
      </c>
      <c r="C415" s="6" t="s">
        <v>15580</v>
      </c>
      <c r="D415" s="5" t="s">
        <v>15579</v>
      </c>
      <c r="E415" s="9" t="str">
        <f>HYPERLINK("https://twitter.com/kazem_alireza/status/1037265418472316928","1037265418472316928")</f>
        <v>1037265418472316928</v>
      </c>
      <c r="F415" s="4"/>
      <c r="G415" s="4"/>
      <c r="H415" s="4"/>
      <c r="I415" s="10" t="str">
        <f>HYPERLINK("http://twitter.com","Twitter Web Client")</f>
        <v>Twitter Web Client</v>
      </c>
      <c r="J415" s="2">
        <v>6005</v>
      </c>
      <c r="K415" s="2">
        <v>1656</v>
      </c>
      <c r="L415" s="2">
        <v>33</v>
      </c>
      <c r="M415" s="2"/>
      <c r="N415" s="8">
        <v>42660.998460648145</v>
      </c>
      <c r="O415" s="4" t="s">
        <v>15578</v>
      </c>
      <c r="P415" s="3" t="s">
        <v>15577</v>
      </c>
      <c r="Q415" s="10" t="s">
        <v>15576</v>
      </c>
      <c r="R415" s="4"/>
      <c r="S415" s="9" t="str">
        <f>HYPERLINK("https://pbs.twimg.com/profile_images/788120280040341504/gNXCjHl5.jpg","View")</f>
        <v>View</v>
      </c>
    </row>
    <row r="416" spans="1:19" ht="20">
      <c r="A416" s="8">
        <v>43348.564965277779</v>
      </c>
      <c r="B416" s="11" t="str">
        <f>HYPERLINK("https://twitter.com/Badbadak4","@Badbadak4")</f>
        <v>@Badbadak4</v>
      </c>
      <c r="C416" s="6" t="s">
        <v>13169</v>
      </c>
      <c r="D416" s="5" t="s">
        <v>15575</v>
      </c>
      <c r="E416" s="9" t="str">
        <f>HYPERLINK("https://twitter.com/Badbadak4/status/1037264961964269568","1037264961964269568")</f>
        <v>1037264961964269568</v>
      </c>
      <c r="F416" s="4"/>
      <c r="G416" s="4"/>
      <c r="H416" s="4"/>
      <c r="I416" s="10" t="str">
        <f>HYPERLINK("http://twitter.com/download/android","Twitter for Android")</f>
        <v>Twitter for Android</v>
      </c>
      <c r="J416" s="2">
        <v>275</v>
      </c>
      <c r="K416" s="2">
        <v>309</v>
      </c>
      <c r="L416" s="2">
        <v>0</v>
      </c>
      <c r="M416" s="2"/>
      <c r="N416" s="8">
        <v>43190.957592592589</v>
      </c>
      <c r="O416" s="4"/>
      <c r="P416" s="3" t="s">
        <v>13167</v>
      </c>
      <c r="Q416" s="4"/>
      <c r="R416" s="4"/>
      <c r="S416" s="9" t="str">
        <f>HYPERLINK("https://pbs.twimg.com/profile_images/980333403085197312/WDo2yKlC.jpg","View")</f>
        <v>View</v>
      </c>
    </row>
    <row r="417" spans="1:19" ht="20">
      <c r="A417" s="8">
        <v>43348.564965277779</v>
      </c>
      <c r="B417" s="11" t="str">
        <f>HYPERLINK("https://twitter.com/MaralArhami","@MaralArhami")</f>
        <v>@MaralArhami</v>
      </c>
      <c r="C417" s="6" t="s">
        <v>15574</v>
      </c>
      <c r="D417" s="5" t="s">
        <v>15573</v>
      </c>
      <c r="E417" s="9" t="str">
        <f>HYPERLINK("https://twitter.com/MaralArhami/status/1037264961926512640","1037264961926512640")</f>
        <v>1037264961926512640</v>
      </c>
      <c r="F417" s="4"/>
      <c r="G417" s="4"/>
      <c r="H417" s="4"/>
      <c r="I417" s="10" t="str">
        <f>HYPERLINK("http://twitter.com/download/iphone","Twitter for iPhone")</f>
        <v>Twitter for iPhone</v>
      </c>
      <c r="J417" s="2">
        <v>31</v>
      </c>
      <c r="K417" s="2">
        <v>27</v>
      </c>
      <c r="L417" s="2">
        <v>0</v>
      </c>
      <c r="M417" s="2"/>
      <c r="N417" s="8">
        <v>42915.113055555557</v>
      </c>
      <c r="O417" s="4" t="s">
        <v>34</v>
      </c>
      <c r="P417" s="3" t="s">
        <v>15572</v>
      </c>
      <c r="Q417" s="10" t="s">
        <v>15571</v>
      </c>
      <c r="R417" s="4"/>
      <c r="S417" s="9" t="str">
        <f>HYPERLINK("https://pbs.twimg.com/profile_images/970616097698443264/ZLl49Fiq.jpg","View")</f>
        <v>View</v>
      </c>
    </row>
    <row r="418" spans="1:19" ht="30">
      <c r="A418" s="8">
        <v>43348.564328703702</v>
      </c>
      <c r="B418" s="11" t="str">
        <f>HYPERLINK("https://twitter.com/Robinshabani","@Robinshabani")</f>
        <v>@Robinshabani</v>
      </c>
      <c r="C418" s="6" t="s">
        <v>13928</v>
      </c>
      <c r="D418" s="5" t="s">
        <v>15570</v>
      </c>
      <c r="E418" s="9" t="str">
        <f>HYPERLINK("https://twitter.com/Robinshabani/status/1037264732481146880","1037264732481146880")</f>
        <v>1037264732481146880</v>
      </c>
      <c r="F418" s="4"/>
      <c r="G418" s="4"/>
      <c r="H418" s="4"/>
      <c r="I418" s="10" t="str">
        <f>HYPERLINK("http://twitter.com/download/android","Twitter for Android")</f>
        <v>Twitter for Android</v>
      </c>
      <c r="J418" s="2">
        <v>33</v>
      </c>
      <c r="K418" s="2">
        <v>96</v>
      </c>
      <c r="L418" s="2">
        <v>0</v>
      </c>
      <c r="M418" s="2"/>
      <c r="N418" s="8">
        <v>43275.614722222221</v>
      </c>
      <c r="O418" s="4"/>
      <c r="P418" s="3" t="s">
        <v>13926</v>
      </c>
      <c r="Q418" s="4"/>
      <c r="R418" s="4"/>
      <c r="S418" s="9" t="str">
        <f>HYPERLINK("https://pbs.twimg.com/profile_images/1010831611066281986/bXaMk_zv.jpg","View")</f>
        <v>View</v>
      </c>
    </row>
    <row r="419" spans="1:19" ht="30">
      <c r="A419" s="8">
        <v>43348.563773148147</v>
      </c>
      <c r="B419" s="11" t="str">
        <f>HYPERLINK("https://twitter.com/dowlatshahlaw","@dowlatshahlaw")</f>
        <v>@dowlatshahlaw</v>
      </c>
      <c r="C419" s="6" t="s">
        <v>15569</v>
      </c>
      <c r="D419" s="5" t="s">
        <v>15568</v>
      </c>
      <c r="E419" s="9" t="str">
        <f>HYPERLINK("https://twitter.com/dowlatshahlaw/status/1037264530777276416","1037264530777276416")</f>
        <v>1037264530777276416</v>
      </c>
      <c r="F419" s="4"/>
      <c r="G419" s="4"/>
      <c r="H419" s="4"/>
      <c r="I419" s="10" t="str">
        <f>HYPERLINK("http://twitter.com/download/iphone","Twitter for iPhone")</f>
        <v>Twitter for iPhone</v>
      </c>
      <c r="J419" s="2">
        <v>96</v>
      </c>
      <c r="K419" s="2">
        <v>212</v>
      </c>
      <c r="L419" s="2">
        <v>0</v>
      </c>
      <c r="M419" s="2"/>
      <c r="N419" s="8">
        <v>43017.903726851851</v>
      </c>
      <c r="O419" s="4" t="s">
        <v>133</v>
      </c>
      <c r="P419" s="3"/>
      <c r="Q419" s="4"/>
      <c r="R419" s="4"/>
      <c r="S419" s="9" t="str">
        <f>HYPERLINK("https://pbs.twimg.com/profile_images/917455714427207685/MC6jl7QL.jpg","View")</f>
        <v>View</v>
      </c>
    </row>
    <row r="420" spans="1:19" ht="30">
      <c r="A420" s="8">
        <v>43348.563692129625</v>
      </c>
      <c r="B420" s="11" t="str">
        <f>HYPERLINK("https://twitter.com/velayat_b","@velayat_b")</f>
        <v>@velayat_b</v>
      </c>
      <c r="C420" s="6" t="s">
        <v>10654</v>
      </c>
      <c r="D420" s="5" t="s">
        <v>15567</v>
      </c>
      <c r="E420" s="9" t="str">
        <f>HYPERLINK("https://twitter.com/velayat_b/status/1037264500636966912","1037264500636966912")</f>
        <v>1037264500636966912</v>
      </c>
      <c r="F420" s="4"/>
      <c r="G420" s="4"/>
      <c r="H420" s="4"/>
      <c r="I420" s="10" t="str">
        <f>HYPERLINK("http://twitter.com/download/android","Twitter for Android")</f>
        <v>Twitter for Android</v>
      </c>
      <c r="J420" s="2">
        <v>1048</v>
      </c>
      <c r="K420" s="2">
        <v>856</v>
      </c>
      <c r="L420" s="2">
        <v>1</v>
      </c>
      <c r="M420" s="2"/>
      <c r="N420" s="8">
        <v>42989.963680555556</v>
      </c>
      <c r="O420" s="4" t="s">
        <v>25</v>
      </c>
      <c r="P420" s="3"/>
      <c r="Q420" s="4"/>
      <c r="R420" s="4"/>
      <c r="S420" s="9" t="str">
        <f>HYPERLINK("https://pbs.twimg.com/profile_images/1005589219383771137/gU73TkX8.jpg","View")</f>
        <v>View</v>
      </c>
    </row>
    <row r="421" spans="1:19" ht="80">
      <c r="A421" s="8">
        <v>43348.563599537039</v>
      </c>
      <c r="B421" s="11" t="str">
        <f>HYPERLINK("https://twitter.com/Demos_sr","@Demos_sr")</f>
        <v>@Demos_sr</v>
      </c>
      <c r="C421" s="6" t="s">
        <v>15566</v>
      </c>
      <c r="D421" s="5" t="s">
        <v>15565</v>
      </c>
      <c r="E421" s="9" t="str">
        <f>HYPERLINK("https://twitter.com/Demos_sr/status/1037264469817081857","1037264469817081857")</f>
        <v>1037264469817081857</v>
      </c>
      <c r="F421" s="10" t="s">
        <v>15564</v>
      </c>
      <c r="G421" s="10" t="s">
        <v>15563</v>
      </c>
      <c r="H421" s="4"/>
      <c r="I421" s="10" t="str">
        <f>HYPERLINK("http://twitter.com","Twitter Web Client")</f>
        <v>Twitter Web Client</v>
      </c>
      <c r="J421" s="2">
        <v>997</v>
      </c>
      <c r="K421" s="2">
        <v>1298</v>
      </c>
      <c r="L421" s="2">
        <v>1</v>
      </c>
      <c r="M421" s="2"/>
      <c r="N421" s="8">
        <v>41506.421076388891</v>
      </c>
      <c r="O421" s="4" t="s">
        <v>34</v>
      </c>
      <c r="P421" s="3" t="s">
        <v>15562</v>
      </c>
      <c r="Q421" s="4"/>
      <c r="R421" s="4"/>
      <c r="S421" s="9" t="str">
        <f>HYPERLINK("https://pbs.twimg.com/profile_images/948473280989511681/lxHQhFAH.jpg","View")</f>
        <v>View</v>
      </c>
    </row>
    <row r="422" spans="1:19" ht="30">
      <c r="A422" s="8">
        <v>43348.563275462962</v>
      </c>
      <c r="B422" s="11" t="str">
        <f>HYPERLINK("https://twitter.com/Tigerrr800","@Tigerrr800")</f>
        <v>@Tigerrr800</v>
      </c>
      <c r="C422" s="6" t="s">
        <v>15561</v>
      </c>
      <c r="D422" s="5" t="s">
        <v>15560</v>
      </c>
      <c r="E422" s="9" t="str">
        <f>HYPERLINK("https://twitter.com/Tigerrr800/status/1037264351936307200","1037264351936307200")</f>
        <v>1037264351936307200</v>
      </c>
      <c r="F422" s="4"/>
      <c r="G422" s="10" t="s">
        <v>15559</v>
      </c>
      <c r="H422" s="4"/>
      <c r="I422" s="10" t="str">
        <f>HYPERLINK("http://twitter.com","Twitter Web Client")</f>
        <v>Twitter Web Client</v>
      </c>
      <c r="J422" s="2">
        <v>1893</v>
      </c>
      <c r="K422" s="2">
        <v>217</v>
      </c>
      <c r="L422" s="2">
        <v>8</v>
      </c>
      <c r="M422" s="2"/>
      <c r="N422" s="8">
        <v>42353.346990740742</v>
      </c>
      <c r="O422" s="4"/>
      <c r="P422" s="3" t="s">
        <v>15558</v>
      </c>
      <c r="Q422" s="10" t="s">
        <v>15557</v>
      </c>
      <c r="R422" s="4"/>
      <c r="S422" s="9" t="str">
        <f>HYPERLINK("https://pbs.twimg.com/profile_images/957972945258909697/4TwpQln0.jpg","View")</f>
        <v>View</v>
      </c>
    </row>
    <row r="423" spans="1:19" ht="20">
      <c r="A423" s="8">
        <v>43348.563148148147</v>
      </c>
      <c r="B423" s="11" t="str">
        <f>HYPERLINK("https://twitter.com/msfenderski","@msfenderski")</f>
        <v>@msfenderski</v>
      </c>
      <c r="C423" s="6" t="s">
        <v>8160</v>
      </c>
      <c r="D423" s="5" t="s">
        <v>15556</v>
      </c>
      <c r="E423" s="9" t="str">
        <f>HYPERLINK("https://twitter.com/msfenderski/status/1037264306868563968","1037264306868563968")</f>
        <v>1037264306868563968</v>
      </c>
      <c r="F423" s="4"/>
      <c r="G423" s="4"/>
      <c r="H423" s="4"/>
      <c r="I423" s="10" t="str">
        <f>HYPERLINK("http://twitter.com/download/iphone","Twitter for iPhone")</f>
        <v>Twitter for iPhone</v>
      </c>
      <c r="J423" s="2">
        <v>772</v>
      </c>
      <c r="K423" s="2">
        <v>336</v>
      </c>
      <c r="L423" s="2">
        <v>7</v>
      </c>
      <c r="M423" s="2"/>
      <c r="N423" s="8">
        <v>42386.412974537037</v>
      </c>
      <c r="O423" s="4"/>
      <c r="P423" s="3" t="s">
        <v>8158</v>
      </c>
      <c r="Q423" s="4"/>
      <c r="R423" s="4"/>
      <c r="S423" s="9" t="str">
        <f>HYPERLINK("https://pbs.twimg.com/profile_images/1013904783596507137/kd9JyRrR.jpg","View")</f>
        <v>View</v>
      </c>
    </row>
    <row r="424" spans="1:19" ht="20">
      <c r="A424" s="8">
        <v>43348.563067129631</v>
      </c>
      <c r="B424" s="11" t="str">
        <f>HYPERLINK("https://twitter.com/mahdi_1369","@mahdi_1369")</f>
        <v>@mahdi_1369</v>
      </c>
      <c r="C424" s="6" t="s">
        <v>15555</v>
      </c>
      <c r="D424" s="5" t="s">
        <v>15554</v>
      </c>
      <c r="E424" s="9" t="str">
        <f>HYPERLINK("https://twitter.com/mahdi_1369/status/1037264276627615744","1037264276627615744")</f>
        <v>1037264276627615744</v>
      </c>
      <c r="F424" s="4"/>
      <c r="G424" s="4"/>
      <c r="H424" s="4"/>
      <c r="I424" s="10" t="str">
        <f>HYPERLINK("https://mobile.twitter.com","Twitter Lite")</f>
        <v>Twitter Lite</v>
      </c>
      <c r="J424" s="2">
        <v>1239</v>
      </c>
      <c r="K424" s="2">
        <v>1320</v>
      </c>
      <c r="L424" s="2">
        <v>2</v>
      </c>
      <c r="M424" s="2"/>
      <c r="N424" s="8">
        <v>42907.12700231481</v>
      </c>
      <c r="O424" s="4" t="s">
        <v>17</v>
      </c>
      <c r="P424" s="3" t="s">
        <v>15553</v>
      </c>
      <c r="Q424" s="4"/>
      <c r="R424" s="4"/>
      <c r="S424" s="9" t="str">
        <f>HYPERLINK("https://pbs.twimg.com/profile_images/1031471792513277952/5fbadHTX.jpg","View")</f>
        <v>View</v>
      </c>
    </row>
    <row r="425" spans="1:19" ht="40">
      <c r="A425" s="8">
        <v>43348.561793981484</v>
      </c>
      <c r="B425" s="11" t="str">
        <f>HYPERLINK("https://twitter.com/jamejamCPI","@jamejamCPI")</f>
        <v>@jamejamCPI</v>
      </c>
      <c r="C425" s="6" t="s">
        <v>5625</v>
      </c>
      <c r="D425" s="5" t="s">
        <v>15552</v>
      </c>
      <c r="E425" s="9" t="str">
        <f>HYPERLINK("https://twitter.com/jamejamCPI/status/1037263814755082242","1037263814755082242")</f>
        <v>1037263814755082242</v>
      </c>
      <c r="F425" s="4"/>
      <c r="G425" s="4"/>
      <c r="H425" s="4"/>
      <c r="I425" s="10" t="str">
        <f>HYPERLINK("http://twitter.com","Twitter Web Client")</f>
        <v>Twitter Web Client</v>
      </c>
      <c r="J425" s="2">
        <v>26664</v>
      </c>
      <c r="K425" s="2">
        <v>1414</v>
      </c>
      <c r="L425" s="2">
        <v>138</v>
      </c>
      <c r="M425" s="2"/>
      <c r="N425" s="8">
        <v>41548.76021990741</v>
      </c>
      <c r="O425" s="4" t="s">
        <v>5622</v>
      </c>
      <c r="P425" s="3" t="s">
        <v>5621</v>
      </c>
      <c r="Q425" s="10" t="s">
        <v>5620</v>
      </c>
      <c r="R425" s="4"/>
      <c r="S425" s="9" t="str">
        <f>HYPERLINK("https://pbs.twimg.com/profile_images/1016553348819046405/PBNorYe4.jpg","View")</f>
        <v>View</v>
      </c>
    </row>
    <row r="426" spans="1:19" ht="12.5">
      <c r="A426" s="8">
        <v>43348.561747685184</v>
      </c>
      <c r="B426" s="11" t="str">
        <f>HYPERLINK("https://twitter.com/mshia14","@mshia14")</f>
        <v>@mshia14</v>
      </c>
      <c r="C426" s="6" t="s">
        <v>12538</v>
      </c>
      <c r="D426" s="5" t="s">
        <v>15551</v>
      </c>
      <c r="E426" s="9" t="str">
        <f>HYPERLINK("https://twitter.com/mshia14/status/1037263799408123904","1037263799408123904")</f>
        <v>1037263799408123904</v>
      </c>
      <c r="F426" s="4"/>
      <c r="G426" s="4"/>
      <c r="H426" s="4"/>
      <c r="I426" s="10" t="str">
        <f>HYPERLINK("http://twitter.com","Twitter Web Client")</f>
        <v>Twitter Web Client</v>
      </c>
      <c r="J426" s="2">
        <v>63</v>
      </c>
      <c r="K426" s="2">
        <v>59</v>
      </c>
      <c r="L426" s="2">
        <v>0</v>
      </c>
      <c r="M426" s="2"/>
      <c r="N426" s="8">
        <v>43219.559942129628</v>
      </c>
      <c r="O426" s="4" t="s">
        <v>34</v>
      </c>
      <c r="P426" s="3" t="s">
        <v>12535</v>
      </c>
      <c r="Q426" s="4"/>
      <c r="R426" s="4"/>
      <c r="S426" s="9" t="str">
        <f>HYPERLINK("https://pbs.twimg.com/profile_images/1014581119717597184/X5GSPLYV.jpg","View")</f>
        <v>View</v>
      </c>
    </row>
    <row r="427" spans="1:19" ht="20">
      <c r="A427" s="8">
        <v>43348.561099537037</v>
      </c>
      <c r="B427" s="11" t="str">
        <f>HYPERLINK("https://twitter.com/RasulA68","@RasulA68")</f>
        <v>@RasulA68</v>
      </c>
      <c r="C427" s="6" t="s">
        <v>15550</v>
      </c>
      <c r="D427" s="5" t="s">
        <v>15549</v>
      </c>
      <c r="E427" s="9" t="str">
        <f>HYPERLINK("https://twitter.com/RasulA68/status/1037263563566592000","1037263563566592000")</f>
        <v>1037263563566592000</v>
      </c>
      <c r="F427" s="4"/>
      <c r="G427" s="4"/>
      <c r="H427" s="4"/>
      <c r="I427" s="10" t="str">
        <f>HYPERLINK("http://twitter.com/download/android","Twitter for Android")</f>
        <v>Twitter for Android</v>
      </c>
      <c r="J427" s="2">
        <v>134</v>
      </c>
      <c r="K427" s="2">
        <v>175</v>
      </c>
      <c r="L427" s="2">
        <v>0</v>
      </c>
      <c r="M427" s="2"/>
      <c r="N427" s="8">
        <v>43074.026631944449</v>
      </c>
      <c r="O427" s="4"/>
      <c r="P427" s="3" t="s">
        <v>15548</v>
      </c>
      <c r="Q427" s="4"/>
      <c r="R427" s="4"/>
      <c r="S427" s="9" t="str">
        <f>HYPERLINK("https://pbs.twimg.com/profile_images/939551556344696833/WsS54Ufg.jpg","View")</f>
        <v>View</v>
      </c>
    </row>
    <row r="428" spans="1:19" ht="40">
      <c r="A428" s="8">
        <v>43348.560624999998</v>
      </c>
      <c r="B428" s="11" t="str">
        <f>HYPERLINK("https://twitter.com/iranii0","@iranii0")</f>
        <v>@iranii0</v>
      </c>
      <c r="C428" s="6" t="s">
        <v>15547</v>
      </c>
      <c r="D428" s="5" t="s">
        <v>15546</v>
      </c>
      <c r="E428" s="9" t="str">
        <f>HYPERLINK("https://twitter.com/iranii0/status/1037263391382007809","1037263391382007809")</f>
        <v>1037263391382007809</v>
      </c>
      <c r="F428" s="4"/>
      <c r="G428" s="4"/>
      <c r="H428" s="4"/>
      <c r="I428" s="10" t="str">
        <f>HYPERLINK("http://twitter.com/download/android","Twitter for Android")</f>
        <v>Twitter for Android</v>
      </c>
      <c r="J428" s="2">
        <v>1</v>
      </c>
      <c r="K428" s="2">
        <v>25</v>
      </c>
      <c r="L428" s="2">
        <v>0</v>
      </c>
      <c r="M428" s="2"/>
      <c r="N428" s="8">
        <v>43102.532824074078</v>
      </c>
      <c r="O428" s="4"/>
      <c r="P428" s="3"/>
      <c r="Q428" s="4"/>
      <c r="R428" s="4"/>
      <c r="S428" s="9" t="str">
        <f>HYPERLINK("https://pbs.twimg.com/profile_images/1028982417367941120/UTMB5MEF.jpg","View")</f>
        <v>View</v>
      </c>
    </row>
    <row r="429" spans="1:19" ht="40">
      <c r="A429" s="8">
        <v>43348.560312500005</v>
      </c>
      <c r="B429" s="11" t="str">
        <f>HYPERLINK("https://twitter.com/Gfaghfouri","@Gfaghfouri")</f>
        <v>@Gfaghfouri</v>
      </c>
      <c r="C429" s="6" t="s">
        <v>13892</v>
      </c>
      <c r="D429" s="5" t="s">
        <v>15545</v>
      </c>
      <c r="E429" s="9" t="str">
        <f>HYPERLINK("https://twitter.com/Gfaghfouri/status/1037263278852820992","1037263278852820992")</f>
        <v>1037263278852820992</v>
      </c>
      <c r="F429" s="4"/>
      <c r="G429" s="4"/>
      <c r="H429" s="4"/>
      <c r="I429" s="10" t="str">
        <f>HYPERLINK("http://twitter.com","Twitter Web Client")</f>
        <v>Twitter Web Client</v>
      </c>
      <c r="J429" s="2">
        <v>26670</v>
      </c>
      <c r="K429" s="2">
        <v>1306</v>
      </c>
      <c r="L429" s="2">
        <v>127</v>
      </c>
      <c r="M429" s="2" t="s">
        <v>80</v>
      </c>
      <c r="N429" s="8">
        <v>41451.526423611111</v>
      </c>
      <c r="O429" s="4" t="s">
        <v>13890</v>
      </c>
      <c r="P429" s="3" t="s">
        <v>13889</v>
      </c>
      <c r="Q429" s="10" t="s">
        <v>13888</v>
      </c>
      <c r="R429" s="4"/>
      <c r="S429" s="9" t="str">
        <f>HYPERLINK("https://pbs.twimg.com/profile_images/995309977135927298/xzvABJ7g.jpg","View")</f>
        <v>View</v>
      </c>
    </row>
    <row r="430" spans="1:19" ht="30">
      <c r="A430" s="8">
        <v>43348.559699074074</v>
      </c>
      <c r="B430" s="11" t="str">
        <f>HYPERLINK("https://twitter.com/mehran_miar","@mehran_miar")</f>
        <v>@mehran_miar</v>
      </c>
      <c r="C430" s="6" t="s">
        <v>15544</v>
      </c>
      <c r="D430" s="5" t="s">
        <v>15543</v>
      </c>
      <c r="E430" s="9" t="str">
        <f>HYPERLINK("https://twitter.com/mehran_miar/status/1037263056622051328","1037263056622051328")</f>
        <v>1037263056622051328</v>
      </c>
      <c r="F430" s="4"/>
      <c r="G430" s="4"/>
      <c r="H430" s="4"/>
      <c r="I430" s="10" t="str">
        <f>HYPERLINK("http://twitter.com/download/android","Twitter for Android")</f>
        <v>Twitter for Android</v>
      </c>
      <c r="J430" s="2">
        <v>2</v>
      </c>
      <c r="K430" s="2">
        <v>6</v>
      </c>
      <c r="L430" s="2">
        <v>0</v>
      </c>
      <c r="M430" s="2"/>
      <c r="N430" s="8">
        <v>43140.022557870368</v>
      </c>
      <c r="O430" s="4" t="s">
        <v>15542</v>
      </c>
      <c r="P430" s="3"/>
      <c r="Q430" s="4"/>
      <c r="R430" s="4"/>
      <c r="S430" s="9" t="str">
        <f>HYPERLINK("https://pbs.twimg.com/profile_images/1005889970794647552/rV-zsCzO.jpg","View")</f>
        <v>View</v>
      </c>
    </row>
    <row r="431" spans="1:19" ht="50">
      <c r="A431" s="8">
        <v>43348.559027777781</v>
      </c>
      <c r="B431" s="11" t="str">
        <f>HYPERLINK("https://twitter.com/Karen_MoEian","@Karen_MoEian")</f>
        <v>@Karen_MoEian</v>
      </c>
      <c r="C431" s="6" t="s">
        <v>9567</v>
      </c>
      <c r="D431" s="5" t="s">
        <v>15541</v>
      </c>
      <c r="E431" s="9" t="str">
        <f>HYPERLINK("https://twitter.com/Karen_MoEian/status/1037262813046206464","1037262813046206464")</f>
        <v>1037262813046206464</v>
      </c>
      <c r="F431" s="4"/>
      <c r="G431" s="4"/>
      <c r="H431" s="4"/>
      <c r="I431" s="10" t="str">
        <f>HYPERLINK("http://twitter.com/download/android","Twitter for Android")</f>
        <v>Twitter for Android</v>
      </c>
      <c r="J431" s="2">
        <v>292</v>
      </c>
      <c r="K431" s="2">
        <v>195</v>
      </c>
      <c r="L431" s="2">
        <v>0</v>
      </c>
      <c r="M431" s="2"/>
      <c r="N431" s="8">
        <v>40934.962754629625</v>
      </c>
      <c r="O431" s="4"/>
      <c r="P431" s="3" t="s">
        <v>9564</v>
      </c>
      <c r="Q431" s="4"/>
      <c r="R431" s="4"/>
      <c r="S431" s="9" t="str">
        <f>HYPERLINK("https://pbs.twimg.com/profile_images/1037258236691443712/pcP7Amu-.jpg","View")</f>
        <v>View</v>
      </c>
    </row>
    <row r="432" spans="1:19" ht="12.5">
      <c r="A432" s="8">
        <v>43348.558807870373</v>
      </c>
      <c r="B432" s="11" t="str">
        <f>HYPERLINK("https://twitter.com/N_a_r_r_a_t_o_r","@N_a_r_r_a_t_o_r")</f>
        <v>@N_a_r_r_a_t_o_r</v>
      </c>
      <c r="C432" s="6" t="s">
        <v>12003</v>
      </c>
      <c r="D432" s="5" t="s">
        <v>15540</v>
      </c>
      <c r="E432" s="9" t="str">
        <f>HYPERLINK("https://twitter.com/N_a_r_r_a_t_o_r/status/1037262731160838144","1037262731160838144")</f>
        <v>1037262731160838144</v>
      </c>
      <c r="F432" s="4"/>
      <c r="G432" s="4"/>
      <c r="H432" s="4"/>
      <c r="I432" s="10" t="str">
        <f>HYPERLINK("http://twitter.com/download/android","Twitter for Android")</f>
        <v>Twitter for Android</v>
      </c>
      <c r="J432" s="2">
        <v>3302</v>
      </c>
      <c r="K432" s="2">
        <v>2775</v>
      </c>
      <c r="L432" s="2">
        <v>8</v>
      </c>
      <c r="M432" s="2"/>
      <c r="N432" s="8">
        <v>43074.361284722225</v>
      </c>
      <c r="O432" s="4" t="s">
        <v>25</v>
      </c>
      <c r="P432" s="3" t="s">
        <v>12001</v>
      </c>
      <c r="Q432" s="4"/>
      <c r="R432" s="4"/>
      <c r="S432" s="9" t="str">
        <f>HYPERLINK("https://pbs.twimg.com/profile_images/948836632290934785/h0zXmsfI.jpg","View")</f>
        <v>View</v>
      </c>
    </row>
    <row r="433" spans="1:19" ht="30">
      <c r="A433" s="8">
        <v>43348.558356481481</v>
      </c>
      <c r="B433" s="11" t="str">
        <f>HYPERLINK("https://twitter.com/sepisoad","@sepisoad")</f>
        <v>@sepisoad</v>
      </c>
      <c r="C433" s="6" t="s">
        <v>15539</v>
      </c>
      <c r="D433" s="5" t="s">
        <v>15538</v>
      </c>
      <c r="E433" s="9" t="str">
        <f>HYPERLINK("https://twitter.com/sepisoad/status/1037262569197715456","1037262569197715456")</f>
        <v>1037262569197715456</v>
      </c>
      <c r="F433" s="4"/>
      <c r="G433" s="4"/>
      <c r="H433" s="4"/>
      <c r="I433" s="10" t="str">
        <f>HYPERLINK("http://twitter.com/download/android","Twitter for Android")</f>
        <v>Twitter for Android</v>
      </c>
      <c r="J433" s="2">
        <v>125</v>
      </c>
      <c r="K433" s="2">
        <v>75</v>
      </c>
      <c r="L433" s="2">
        <v>3</v>
      </c>
      <c r="M433" s="2"/>
      <c r="N433" s="8">
        <v>40415.124745370369</v>
      </c>
      <c r="O433" s="4" t="s">
        <v>2221</v>
      </c>
      <c r="P433" s="3" t="s">
        <v>15537</v>
      </c>
      <c r="Q433" s="10" t="s">
        <v>15536</v>
      </c>
      <c r="R433" s="4"/>
      <c r="S433" s="9" t="str">
        <f>HYPERLINK("https://pbs.twimg.com/profile_images/822739796112146434/F3Qeq2Wp.jpg","View")</f>
        <v>View</v>
      </c>
    </row>
    <row r="434" spans="1:19" ht="20">
      <c r="A434" s="8">
        <v>43348.557800925926</v>
      </c>
      <c r="B434" s="11" t="str">
        <f>HYPERLINK("https://twitter.com/towhaten","@towhaten")</f>
        <v>@towhaten</v>
      </c>
      <c r="C434" s="6" t="s">
        <v>1897</v>
      </c>
      <c r="D434" s="5" t="s">
        <v>15535</v>
      </c>
      <c r="E434" s="9" t="str">
        <f>HYPERLINK("https://twitter.com/towhaten/status/1037262366843592704","1037262366843592704")</f>
        <v>1037262366843592704</v>
      </c>
      <c r="F434" s="4"/>
      <c r="G434" s="4"/>
      <c r="H434" s="4"/>
      <c r="I434" s="10" t="str">
        <f>HYPERLINK("http://twitter.com/download/iphone","Twitter for iPhone")</f>
        <v>Twitter for iPhone</v>
      </c>
      <c r="J434" s="2">
        <v>596</v>
      </c>
      <c r="K434" s="2">
        <v>621</v>
      </c>
      <c r="L434" s="2">
        <v>0</v>
      </c>
      <c r="M434" s="2"/>
      <c r="N434" s="8">
        <v>42770.027233796296</v>
      </c>
      <c r="O434" s="4" t="s">
        <v>1894</v>
      </c>
      <c r="P434" s="3" t="s">
        <v>1893</v>
      </c>
      <c r="Q434" s="4"/>
      <c r="R434" s="4"/>
      <c r="S434" s="9" t="str">
        <f>HYPERLINK("https://pbs.twimg.com/profile_images/1036347256931274752/5PjqdVFU.jpg","View")</f>
        <v>View</v>
      </c>
    </row>
    <row r="435" spans="1:19" ht="50">
      <c r="A435" s="8">
        <v>43348.557638888888</v>
      </c>
      <c r="B435" s="11" t="str">
        <f>HYPERLINK("https://twitter.com/Brucewayn1939","@Brucewayn1939")</f>
        <v>@Brucewayn1939</v>
      </c>
      <c r="C435" s="6" t="s">
        <v>15534</v>
      </c>
      <c r="D435" s="5" t="s">
        <v>15533</v>
      </c>
      <c r="E435" s="9" t="str">
        <f>HYPERLINK("https://twitter.com/Brucewayn1939/status/1037262310698627073","1037262310698627073")</f>
        <v>1037262310698627073</v>
      </c>
      <c r="F435" s="10" t="s">
        <v>15532</v>
      </c>
      <c r="G435" s="10" t="s">
        <v>15531</v>
      </c>
      <c r="H435" s="4"/>
      <c r="I435" s="10" t="str">
        <f>HYPERLINK("http://twitter.com/download/android","Twitter for Android")</f>
        <v>Twitter for Android</v>
      </c>
      <c r="J435" s="2">
        <v>432</v>
      </c>
      <c r="K435" s="2">
        <v>1040</v>
      </c>
      <c r="L435" s="2">
        <v>0</v>
      </c>
      <c r="M435" s="2"/>
      <c r="N435" s="8">
        <v>43168.68414351852</v>
      </c>
      <c r="O435" s="4" t="s">
        <v>15530</v>
      </c>
      <c r="P435" s="3" t="s">
        <v>15529</v>
      </c>
      <c r="Q435" s="4"/>
      <c r="R435" s="4"/>
      <c r="S435" s="9" t="str">
        <f>HYPERLINK("https://pbs.twimg.com/profile_images/1008197574438850561/Xp_lq_5O.jpg","View")</f>
        <v>View</v>
      </c>
    </row>
    <row r="436" spans="1:19" ht="20">
      <c r="A436" s="8">
        <v>43348.55746527778</v>
      </c>
      <c r="B436" s="11" t="str">
        <f>HYPERLINK("https://twitter.com/vejdane_shoma","@vejdane_shoma")</f>
        <v>@vejdane_shoma</v>
      </c>
      <c r="C436" s="6" t="s">
        <v>6732</v>
      </c>
      <c r="D436" s="5" t="s">
        <v>15528</v>
      </c>
      <c r="E436" s="9" t="str">
        <f>HYPERLINK("https://twitter.com/vejdane_shoma/status/1037262247108792320","1037262247108792320")</f>
        <v>1037262247108792320</v>
      </c>
      <c r="F436" s="4"/>
      <c r="G436" s="4"/>
      <c r="H436" s="4"/>
      <c r="I436" s="10" t="str">
        <f>HYPERLINK("http://twitter.com/download/android","Twitter for Android")</f>
        <v>Twitter for Android</v>
      </c>
      <c r="J436" s="2">
        <v>227</v>
      </c>
      <c r="K436" s="2">
        <v>430</v>
      </c>
      <c r="L436" s="2">
        <v>0</v>
      </c>
      <c r="M436" s="2"/>
      <c r="N436" s="8">
        <v>43247.378611111111</v>
      </c>
      <c r="O436" s="4" t="s">
        <v>6730</v>
      </c>
      <c r="P436" s="3" t="s">
        <v>6729</v>
      </c>
      <c r="Q436" s="4"/>
      <c r="R436" s="4"/>
      <c r="S436" s="9" t="str">
        <f>HYPERLINK("https://pbs.twimg.com/profile_images/1000602139775963136/2KElpfIu.jpg","View")</f>
        <v>View</v>
      </c>
    </row>
    <row r="437" spans="1:19" ht="40">
      <c r="A437" s="8">
        <v>43348.557210648149</v>
      </c>
      <c r="B437" s="11" t="str">
        <f>HYPERLINK("https://twitter.com/Ol6jnihCocF9DN7","@Ol6jnihCocF9DN7")</f>
        <v>@Ol6jnihCocF9DN7</v>
      </c>
      <c r="C437" s="6" t="s">
        <v>15527</v>
      </c>
      <c r="D437" s="5" t="s">
        <v>15526</v>
      </c>
      <c r="E437" s="9" t="str">
        <f>HYPERLINK("https://twitter.com/Ol6jnihCocF9DN7/status/1037262154154631170","1037262154154631170")</f>
        <v>1037262154154631170</v>
      </c>
      <c r="F437" s="4"/>
      <c r="G437" s="10" t="s">
        <v>15525</v>
      </c>
      <c r="H437" s="4"/>
      <c r="I437" s="10" t="str">
        <f>HYPERLINK("http://twitter.com/download/android","Twitter for Android")</f>
        <v>Twitter for Android</v>
      </c>
      <c r="J437" s="2">
        <v>44</v>
      </c>
      <c r="K437" s="2">
        <v>160</v>
      </c>
      <c r="L437" s="2">
        <v>0</v>
      </c>
      <c r="M437" s="2"/>
      <c r="N437" s="8">
        <v>42949.542604166665</v>
      </c>
      <c r="O437" s="4" t="s">
        <v>15524</v>
      </c>
      <c r="P437" s="3" t="s">
        <v>15523</v>
      </c>
      <c r="Q437" s="4"/>
      <c r="R437" s="4"/>
      <c r="S437" s="9" t="str">
        <f>HYPERLINK("https://pbs.twimg.com/profile_images/965890180467933184/v8gqWNVB.jpg","View")</f>
        <v>View</v>
      </c>
    </row>
    <row r="438" spans="1:19" ht="12.5">
      <c r="A438" s="8">
        <v>43348.55704861111</v>
      </c>
      <c r="B438" s="11" t="str">
        <f>HYPERLINK("https://twitter.com/mardazadiran","@mardazadiran")</f>
        <v>@mardazadiran</v>
      </c>
      <c r="C438" s="6" t="s">
        <v>15522</v>
      </c>
      <c r="D438" s="5" t="s">
        <v>15521</v>
      </c>
      <c r="E438" s="9" t="str">
        <f>HYPERLINK("https://twitter.com/mardazadiran/status/1037262096465940480","1037262096465940480")</f>
        <v>1037262096465940480</v>
      </c>
      <c r="F438" s="4"/>
      <c r="G438" s="4"/>
      <c r="H438" s="4"/>
      <c r="I438" s="10" t="str">
        <f>HYPERLINK("http://twitter.com","Twitter Web Client")</f>
        <v>Twitter Web Client</v>
      </c>
      <c r="J438" s="2">
        <v>229</v>
      </c>
      <c r="K438" s="2">
        <v>140</v>
      </c>
      <c r="L438" s="2">
        <v>1</v>
      </c>
      <c r="M438" s="2"/>
      <c r="N438" s="8">
        <v>43138.455138888894</v>
      </c>
      <c r="O438" s="4" t="s">
        <v>25</v>
      </c>
      <c r="P438" s="3"/>
      <c r="Q438" s="4"/>
      <c r="R438" s="4"/>
      <c r="S438" s="9" t="str">
        <f>HYPERLINK("https://pbs.twimg.com/profile_images/1001316953166770176/q6vOraQU.jpg","View")</f>
        <v>View</v>
      </c>
    </row>
    <row r="439" spans="1:19" ht="20">
      <c r="A439" s="8">
        <v>43348.556655092594</v>
      </c>
      <c r="B439" s="11" t="str">
        <f>HYPERLINK("https://twitter.com/Entekhab_News","@Entekhab_News")</f>
        <v>@Entekhab_News</v>
      </c>
      <c r="C439" s="6" t="s">
        <v>519</v>
      </c>
      <c r="D439" s="5" t="s">
        <v>15520</v>
      </c>
      <c r="E439" s="9" t="str">
        <f>HYPERLINK("https://twitter.com/Entekhab_News/status/1037261954048565248","1037261954048565248")</f>
        <v>1037261954048565248</v>
      </c>
      <c r="F439" s="4"/>
      <c r="G439" s="10" t="s">
        <v>15519</v>
      </c>
      <c r="H439" s="4"/>
      <c r="I439" s="10" t="str">
        <f>HYPERLINK("http://twitter.com/download/android","Twitter for Android")</f>
        <v>Twitter for Android</v>
      </c>
      <c r="J439" s="2">
        <v>16206</v>
      </c>
      <c r="K439" s="2">
        <v>0</v>
      </c>
      <c r="L439" s="2">
        <v>152</v>
      </c>
      <c r="M439" s="2"/>
      <c r="N439" s="8">
        <v>41846.90483796296</v>
      </c>
      <c r="O439" s="4" t="s">
        <v>244</v>
      </c>
      <c r="P439" s="3" t="s">
        <v>517</v>
      </c>
      <c r="Q439" s="10" t="s">
        <v>516</v>
      </c>
      <c r="R439" s="4"/>
      <c r="S439" s="9" t="str">
        <f>HYPERLINK("https://pbs.twimg.com/profile_images/840302676332146689/objFI1sw.jpg","View")</f>
        <v>View</v>
      </c>
    </row>
    <row r="440" spans="1:19" ht="40">
      <c r="A440" s="8">
        <v>43348.556631944448</v>
      </c>
      <c r="B440" s="11" t="str">
        <f>HYPERLINK("https://twitter.com/khoshha28195446","@khoshha28195446")</f>
        <v>@khoshha28195446</v>
      </c>
      <c r="C440" s="6" t="s">
        <v>15518</v>
      </c>
      <c r="D440" s="5" t="s">
        <v>15517</v>
      </c>
      <c r="E440" s="9" t="str">
        <f>HYPERLINK("https://twitter.com/khoshha28195446/status/1037261945966145536","1037261945966145536")</f>
        <v>1037261945966145536</v>
      </c>
      <c r="F440" s="4"/>
      <c r="G440" s="10" t="s">
        <v>15516</v>
      </c>
      <c r="H440" s="4"/>
      <c r="I440" s="10" t="str">
        <f>HYPERLINK("http://twitter.com/download/android","Twitter for Android")</f>
        <v>Twitter for Android</v>
      </c>
      <c r="J440" s="2">
        <v>604</v>
      </c>
      <c r="K440" s="2">
        <v>66</v>
      </c>
      <c r="L440" s="2">
        <v>1</v>
      </c>
      <c r="M440" s="2"/>
      <c r="N440" s="8">
        <v>43245.688634259262</v>
      </c>
      <c r="O440" s="4" t="s">
        <v>15515</v>
      </c>
      <c r="P440" s="3" t="s">
        <v>15514</v>
      </c>
      <c r="Q440" s="4"/>
      <c r="R440" s="4"/>
      <c r="S440" s="9" t="str">
        <f>HYPERLINK("https://pbs.twimg.com/profile_images/1000003442935586818/xlOzalFL.jpg","View")</f>
        <v>View</v>
      </c>
    </row>
    <row r="441" spans="1:19" ht="20">
      <c r="A441" s="8">
        <v>43348.553101851852</v>
      </c>
      <c r="B441" s="11" t="str">
        <f>HYPERLINK("https://twitter.com/new_sheikh","@new_sheikh")</f>
        <v>@new_sheikh</v>
      </c>
      <c r="C441" s="6" t="s">
        <v>1354</v>
      </c>
      <c r="D441" s="5" t="s">
        <v>15513</v>
      </c>
      <c r="E441" s="9" t="str">
        <f>HYPERLINK("https://twitter.com/new_sheikh/status/1037260663406714880","1037260663406714880")</f>
        <v>1037260663406714880</v>
      </c>
      <c r="F441" s="4"/>
      <c r="G441" s="4"/>
      <c r="H441" s="4"/>
      <c r="I441" s="10" t="str">
        <f>HYPERLINK("http://twitter.com/download/android","Twitter for Android")</f>
        <v>Twitter for Android</v>
      </c>
      <c r="J441" s="2">
        <v>1523</v>
      </c>
      <c r="K441" s="2">
        <v>895</v>
      </c>
      <c r="L441" s="2">
        <v>1</v>
      </c>
      <c r="M441" s="2"/>
      <c r="N441" s="8">
        <v>43175.448726851857</v>
      </c>
      <c r="O441" s="4" t="s">
        <v>1352</v>
      </c>
      <c r="P441" s="3" t="s">
        <v>1351</v>
      </c>
      <c r="Q441" s="4"/>
      <c r="R441" s="4"/>
      <c r="S441" s="9" t="str">
        <f>HYPERLINK("https://pbs.twimg.com/profile_images/1014723119183990784/pgI0yxZS.jpg","View")</f>
        <v>View</v>
      </c>
    </row>
    <row r="442" spans="1:19" ht="12.5">
      <c r="A442" s="8">
        <v>43348.552465277782</v>
      </c>
      <c r="B442" s="11" t="str">
        <f>HYPERLINK("https://twitter.com/mamgholii","@mamgholii")</f>
        <v>@mamgholii</v>
      </c>
      <c r="C442" s="6" t="s">
        <v>15512</v>
      </c>
      <c r="D442" s="5" t="s">
        <v>15511</v>
      </c>
      <c r="E442" s="9" t="str">
        <f>HYPERLINK("https://twitter.com/mamgholii/status/1037260434502508544","1037260434502508544")</f>
        <v>1037260434502508544</v>
      </c>
      <c r="F442" s="4"/>
      <c r="G442" s="4"/>
      <c r="H442" s="4"/>
      <c r="I442" s="10" t="str">
        <f>HYPERLINK("http://twitter.com/download/iphone","Twitter for iPhone")</f>
        <v>Twitter for iPhone</v>
      </c>
      <c r="J442" s="2">
        <v>160</v>
      </c>
      <c r="K442" s="2">
        <v>158</v>
      </c>
      <c r="L442" s="2">
        <v>0</v>
      </c>
      <c r="M442" s="2"/>
      <c r="N442" s="8">
        <v>43303.543252314819</v>
      </c>
      <c r="O442" s="4" t="s">
        <v>15510</v>
      </c>
      <c r="P442" s="3" t="s">
        <v>15509</v>
      </c>
      <c r="Q442" s="4"/>
      <c r="R442" s="4"/>
      <c r="S442" s="9" t="str">
        <f>HYPERLINK("https://pbs.twimg.com/profile_images/1036041055643291648/46V7PLtS.jpg","View")</f>
        <v>View</v>
      </c>
    </row>
    <row r="443" spans="1:19" ht="40">
      <c r="A443" s="8">
        <v>43348.552465277782</v>
      </c>
      <c r="B443" s="11" t="str">
        <f>HYPERLINK("https://twitter.com/AminBabazadeh2","@AminBabazadeh2")</f>
        <v>@AminBabazadeh2</v>
      </c>
      <c r="C443" s="6" t="s">
        <v>13219</v>
      </c>
      <c r="D443" s="5" t="s">
        <v>15508</v>
      </c>
      <c r="E443" s="9" t="str">
        <f>HYPERLINK("https://twitter.com/AminBabazadeh2/status/1037260434473189377","1037260434473189377")</f>
        <v>1037260434473189377</v>
      </c>
      <c r="F443" s="4"/>
      <c r="G443" s="4"/>
      <c r="H443" s="4"/>
      <c r="I443" s="10" t="str">
        <f>HYPERLINK("http://twitter.com/download/android","Twitter for Android")</f>
        <v>Twitter for Android</v>
      </c>
      <c r="J443" s="2">
        <v>1596</v>
      </c>
      <c r="K443" s="2">
        <v>1878</v>
      </c>
      <c r="L443" s="2">
        <v>4</v>
      </c>
      <c r="M443" s="2"/>
      <c r="N443" s="8">
        <v>42740.667476851857</v>
      </c>
      <c r="O443" s="4"/>
      <c r="P443" s="3" t="s">
        <v>13217</v>
      </c>
      <c r="Q443" s="10" t="s">
        <v>13216</v>
      </c>
      <c r="R443" s="4"/>
      <c r="S443" s="9" t="str">
        <f>HYPERLINK("https://pbs.twimg.com/profile_images/1014177014767644672/01hl5BLJ.jpg","View")</f>
        <v>View</v>
      </c>
    </row>
    <row r="444" spans="1:19" ht="20">
      <c r="A444" s="8">
        <v>43348.55190972222</v>
      </c>
      <c r="B444" s="11" t="str">
        <f>HYPERLINK("https://twitter.com/EHSAN05205348","@EHSAN05205348")</f>
        <v>@EHSAN05205348</v>
      </c>
      <c r="C444" s="6" t="s">
        <v>15507</v>
      </c>
      <c r="D444" s="5" t="s">
        <v>15506</v>
      </c>
      <c r="E444" s="9" t="str">
        <f>HYPERLINK("https://twitter.com/EHSAN05205348/status/1037260232454361088","1037260232454361088")</f>
        <v>1037260232454361088</v>
      </c>
      <c r="F444" s="4"/>
      <c r="G444" s="4"/>
      <c r="H444" s="4"/>
      <c r="I444" s="10" t="str">
        <f>HYPERLINK("http://twitter.com","Twitter Web Client")</f>
        <v>Twitter Web Client</v>
      </c>
      <c r="J444" s="2">
        <v>126</v>
      </c>
      <c r="K444" s="2">
        <v>157</v>
      </c>
      <c r="L444" s="2">
        <v>0</v>
      </c>
      <c r="M444" s="2"/>
      <c r="N444" s="8">
        <v>43263.235497685186</v>
      </c>
      <c r="O444" s="4" t="s">
        <v>34</v>
      </c>
      <c r="P444" s="3" t="s">
        <v>15505</v>
      </c>
      <c r="Q444" s="4"/>
      <c r="R444" s="4"/>
      <c r="S444" s="9" t="str">
        <f>HYPERLINK("https://pbs.twimg.com/profile_images/1012645816798830592/a-_N4zvB.jpg","View")</f>
        <v>View</v>
      </c>
    </row>
    <row r="445" spans="1:19" ht="20">
      <c r="A445" s="8">
        <v>43348.551435185189</v>
      </c>
      <c r="B445" s="11" t="str">
        <f>HYPERLINK("https://twitter.com/samanismm","@samanismm")</f>
        <v>@samanismm</v>
      </c>
      <c r="C445" s="6" t="s">
        <v>15504</v>
      </c>
      <c r="D445" s="5" t="s">
        <v>13331</v>
      </c>
      <c r="E445" s="9" t="str">
        <f>HYPERLINK("https://twitter.com/samanismm/status/1037260061381283840","1037260061381283840")</f>
        <v>1037260061381283840</v>
      </c>
      <c r="F445" s="4"/>
      <c r="G445" s="4"/>
      <c r="H445" s="4"/>
      <c r="I445" s="10" t="str">
        <f>HYPERLINK("https://mobofa.com","Mobofa")</f>
        <v>Mobofa</v>
      </c>
      <c r="J445" s="2">
        <v>56</v>
      </c>
      <c r="K445" s="2">
        <v>251</v>
      </c>
      <c r="L445" s="2">
        <v>0</v>
      </c>
      <c r="M445" s="2"/>
      <c r="N445" s="8">
        <v>43243.565312499995</v>
      </c>
      <c r="O445" s="4"/>
      <c r="P445" s="3" t="s">
        <v>15503</v>
      </c>
      <c r="Q445" s="4"/>
      <c r="R445" s="4"/>
      <c r="S445" s="9" t="str">
        <f>HYPERLINK("https://pbs.twimg.com/profile_images/999217554756321281/72joEu3A.jpg","View")</f>
        <v>View</v>
      </c>
    </row>
    <row r="446" spans="1:19" ht="20">
      <c r="A446" s="8">
        <v>43348.551435185189</v>
      </c>
      <c r="B446" s="11" t="str">
        <f>HYPERLINK("https://twitter.com/leylyyy","@leylyyy")</f>
        <v>@leylyyy</v>
      </c>
      <c r="C446" s="6" t="s">
        <v>15502</v>
      </c>
      <c r="D446" s="5" t="s">
        <v>13331</v>
      </c>
      <c r="E446" s="9" t="str">
        <f>HYPERLINK("https://twitter.com/leylyyy/status/1037260061381255168","1037260061381255168")</f>
        <v>1037260061381255168</v>
      </c>
      <c r="F446" s="4"/>
      <c r="G446" s="4"/>
      <c r="H446" s="4"/>
      <c r="I446" s="10" t="str">
        <f>HYPERLINK("https://mobofa.com","Mobofa")</f>
        <v>Mobofa</v>
      </c>
      <c r="J446" s="2">
        <v>30</v>
      </c>
      <c r="K446" s="2">
        <v>98</v>
      </c>
      <c r="L446" s="2">
        <v>0</v>
      </c>
      <c r="M446" s="2"/>
      <c r="N446" s="8">
        <v>43246.556932870371</v>
      </c>
      <c r="O446" s="4"/>
      <c r="P446" s="3"/>
      <c r="Q446" s="4"/>
      <c r="R446" s="4"/>
      <c r="S446" s="9" t="str">
        <f>HYPERLINK("https://pbs.twimg.com/profile_images/1000299408154595328/1imVewz0.jpg","View")</f>
        <v>View</v>
      </c>
    </row>
    <row r="447" spans="1:19" ht="30">
      <c r="A447" s="8">
        <v>43348.551076388889</v>
      </c>
      <c r="B447" s="11" t="str">
        <f>HYPERLINK("https://twitter.com/AChagharvand","@AChagharvand")</f>
        <v>@AChagharvand</v>
      </c>
      <c r="C447" s="6" t="s">
        <v>15501</v>
      </c>
      <c r="D447" s="5" t="s">
        <v>15500</v>
      </c>
      <c r="E447" s="9" t="str">
        <f>HYPERLINK("https://twitter.com/AChagharvand/status/1037259930804383744","1037259930804383744")</f>
        <v>1037259930804383744</v>
      </c>
      <c r="F447" s="4"/>
      <c r="G447" s="4"/>
      <c r="H447" s="4"/>
      <c r="I447" s="10" t="str">
        <f>HYPERLINK("http://twitter.com/download/iphone","Twitter for iPhone")</f>
        <v>Twitter for iPhone</v>
      </c>
      <c r="J447" s="2">
        <v>3</v>
      </c>
      <c r="K447" s="2">
        <v>50</v>
      </c>
      <c r="L447" s="2">
        <v>0</v>
      </c>
      <c r="M447" s="2"/>
      <c r="N447" s="8">
        <v>43232.949918981481</v>
      </c>
      <c r="O447" s="4" t="s">
        <v>282</v>
      </c>
      <c r="P447" s="3" t="s">
        <v>15499</v>
      </c>
      <c r="Q447" s="4"/>
      <c r="R447" s="4"/>
      <c r="S447" s="9" t="str">
        <f>HYPERLINK("https://pbs.twimg.com/profile_images/995370764726603776/J4AkIeDV.jpg","View")</f>
        <v>View</v>
      </c>
    </row>
    <row r="448" spans="1:19" ht="40">
      <c r="A448" s="8">
        <v>43348.550625000003</v>
      </c>
      <c r="B448" s="11" t="str">
        <f>HYPERLINK("https://twitter.com/hamidsafaei1","@hamidsafaei1")</f>
        <v>@hamidsafaei1</v>
      </c>
      <c r="C448" s="6" t="s">
        <v>12611</v>
      </c>
      <c r="D448" s="5" t="s">
        <v>15498</v>
      </c>
      <c r="E448" s="9" t="str">
        <f>HYPERLINK("https://twitter.com/hamidsafaei1/status/1037259765066477568","1037259765066477568")</f>
        <v>1037259765066477568</v>
      </c>
      <c r="F448" s="4"/>
      <c r="G448" s="4"/>
      <c r="H448" s="4"/>
      <c r="I448" s="10" t="str">
        <f>HYPERLINK("http://twitter.com/download/iphone","Twitter for iPhone")</f>
        <v>Twitter for iPhone</v>
      </c>
      <c r="J448" s="2">
        <v>9</v>
      </c>
      <c r="K448" s="2">
        <v>27</v>
      </c>
      <c r="L448" s="2">
        <v>0</v>
      </c>
      <c r="M448" s="2"/>
      <c r="N448" s="8">
        <v>43220.870439814811</v>
      </c>
      <c r="O448" s="4" t="s">
        <v>5808</v>
      </c>
      <c r="P448" s="3"/>
      <c r="Q448" s="4"/>
      <c r="R448" s="4"/>
      <c r="S448" s="9" t="str">
        <f>HYPERLINK("https://pbs.twimg.com/profile_images/990990546054340608/UURmd_ZU.jpg","View")</f>
        <v>View</v>
      </c>
    </row>
    <row r="449" spans="1:19" ht="20">
      <c r="A449" s="8">
        <v>43348.550613425927</v>
      </c>
      <c r="B449" s="11" t="str">
        <f>HYPERLINK("https://twitter.com/m_hassan_z","@m_hassan_z")</f>
        <v>@m_hassan_z</v>
      </c>
      <c r="C449" s="6" t="s">
        <v>15497</v>
      </c>
      <c r="D449" s="5" t="s">
        <v>15496</v>
      </c>
      <c r="E449" s="9" t="str">
        <f>HYPERLINK("https://twitter.com/m_hassan_z/status/1037259761069318147","1037259761069318147")</f>
        <v>1037259761069318147</v>
      </c>
      <c r="F449" s="4"/>
      <c r="G449" s="10" t="s">
        <v>15495</v>
      </c>
      <c r="H449" s="4"/>
      <c r="I449" s="10" t="str">
        <f>HYPERLINK("http://twitter.com/download/android","Twitter for Android")</f>
        <v>Twitter for Android</v>
      </c>
      <c r="J449" s="2">
        <v>241</v>
      </c>
      <c r="K449" s="2">
        <v>294</v>
      </c>
      <c r="L449" s="2">
        <v>0</v>
      </c>
      <c r="M449" s="2"/>
      <c r="N449" s="8">
        <v>42944.93913194444</v>
      </c>
      <c r="O449" s="4" t="s">
        <v>15494</v>
      </c>
      <c r="P449" s="3" t="s">
        <v>15493</v>
      </c>
      <c r="Q449" s="4"/>
      <c r="R449" s="4"/>
      <c r="S449" s="9" t="str">
        <f>HYPERLINK("https://pbs.twimg.com/profile_images/994912417758044161/7Pm41cxI.jpg","View")</f>
        <v>View</v>
      </c>
    </row>
    <row r="450" spans="1:19" ht="40">
      <c r="A450" s="8">
        <v>43348.55059027778</v>
      </c>
      <c r="B450" s="11" t="str">
        <f>HYPERLINK("https://twitter.com/sedsa135","@sedsa135")</f>
        <v>@sedsa135</v>
      </c>
      <c r="C450" s="6" t="s">
        <v>15492</v>
      </c>
      <c r="D450" s="5" t="s">
        <v>15491</v>
      </c>
      <c r="E450" s="9" t="str">
        <f>HYPERLINK("https://twitter.com/sedsa135/status/1037259754777796608","1037259754777796608")</f>
        <v>1037259754777796608</v>
      </c>
      <c r="F450" s="10" t="s">
        <v>15490</v>
      </c>
      <c r="G450" s="10" t="s">
        <v>15489</v>
      </c>
      <c r="H450" s="4"/>
      <c r="I450" s="10" t="str">
        <f>HYPERLINK("http://twitter.com/download/android","Twitter for Android")</f>
        <v>Twitter for Android</v>
      </c>
      <c r="J450" s="2">
        <v>698</v>
      </c>
      <c r="K450" s="2">
        <v>589</v>
      </c>
      <c r="L450" s="2">
        <v>0</v>
      </c>
      <c r="M450" s="2"/>
      <c r="N450" s="8">
        <v>42381.883657407408</v>
      </c>
      <c r="O450" s="4"/>
      <c r="P450" s="3" t="s">
        <v>15488</v>
      </c>
      <c r="Q450" s="4"/>
      <c r="R450" s="4"/>
      <c r="S450" s="9" t="str">
        <f>HYPERLINK("https://pbs.twimg.com/profile_images/1014073676185198592/GBAAyoaF.jpg","View")</f>
        <v>View</v>
      </c>
    </row>
    <row r="451" spans="1:19" ht="20">
      <c r="A451" s="8">
        <v>43348.550532407404</v>
      </c>
      <c r="B451" s="11" t="str">
        <f>HYPERLINK("https://twitter.com/Entekhab_News","@Entekhab_News")</f>
        <v>@Entekhab_News</v>
      </c>
      <c r="C451" s="6" t="s">
        <v>519</v>
      </c>
      <c r="D451" s="5" t="s">
        <v>15487</v>
      </c>
      <c r="E451" s="9" t="str">
        <f>HYPERLINK("https://twitter.com/Entekhab_News/status/1037259735374942210","1037259735374942210")</f>
        <v>1037259735374942210</v>
      </c>
      <c r="F451" s="4"/>
      <c r="G451" s="10" t="s">
        <v>15486</v>
      </c>
      <c r="H451" s="4"/>
      <c r="I451" s="10" t="str">
        <f>HYPERLINK("http://twitter.com/download/android","Twitter for Android")</f>
        <v>Twitter for Android</v>
      </c>
      <c r="J451" s="2">
        <v>16206</v>
      </c>
      <c r="K451" s="2">
        <v>0</v>
      </c>
      <c r="L451" s="2">
        <v>152</v>
      </c>
      <c r="M451" s="2"/>
      <c r="N451" s="8">
        <v>41846.90483796296</v>
      </c>
      <c r="O451" s="4" t="s">
        <v>244</v>
      </c>
      <c r="P451" s="3" t="s">
        <v>517</v>
      </c>
      <c r="Q451" s="10" t="s">
        <v>516</v>
      </c>
      <c r="R451" s="4"/>
      <c r="S451" s="9" t="str">
        <f>HYPERLINK("https://pbs.twimg.com/profile_images/840302676332146689/objFI1sw.jpg","View")</f>
        <v>View</v>
      </c>
    </row>
    <row r="452" spans="1:19" ht="30">
      <c r="A452" s="8">
        <v>43348.550243055557</v>
      </c>
      <c r="B452" s="11" t="str">
        <f>HYPERLINK("https://twitter.com/tahasale_c","@tahasale_c")</f>
        <v>@tahasale_c</v>
      </c>
      <c r="C452" s="6" t="s">
        <v>2438</v>
      </c>
      <c r="D452" s="5" t="s">
        <v>15485</v>
      </c>
      <c r="E452" s="9" t="str">
        <f>HYPERLINK("https://twitter.com/tahasale_c/status/1037259627250044928","1037259627250044928")</f>
        <v>1037259627250044928</v>
      </c>
      <c r="F452" s="4"/>
      <c r="G452" s="4"/>
      <c r="H452" s="4"/>
      <c r="I452" s="10" t="str">
        <f>HYPERLINK("http://twitter.com/download/iphone","Twitter for iPhone")</f>
        <v>Twitter for iPhone</v>
      </c>
      <c r="J452" s="2">
        <v>131</v>
      </c>
      <c r="K452" s="2">
        <v>129</v>
      </c>
      <c r="L452" s="2">
        <v>0</v>
      </c>
      <c r="M452" s="2"/>
      <c r="N452" s="8">
        <v>42737.54106481481</v>
      </c>
      <c r="O452" s="4"/>
      <c r="P452" s="3" t="s">
        <v>15484</v>
      </c>
      <c r="Q452" s="4"/>
      <c r="R452" s="4"/>
      <c r="S452" s="9" t="str">
        <f>HYPERLINK("https://pbs.twimg.com/profile_images/914176426617851904/9gbFigsG.jpg","View")</f>
        <v>View</v>
      </c>
    </row>
    <row r="453" spans="1:19" ht="40">
      <c r="A453" s="8">
        <v>43348.549351851849</v>
      </c>
      <c r="B453" s="11" t="str">
        <f>HYPERLINK("https://twitter.com/_memoll_","@_memoll_")</f>
        <v>@_memoll_</v>
      </c>
      <c r="C453" s="6" t="s">
        <v>15483</v>
      </c>
      <c r="D453" s="5" t="s">
        <v>15482</v>
      </c>
      <c r="E453" s="9" t="str">
        <f>HYPERLINK("https://twitter.com/_memoll_/status/1037259305970479104","1037259305970479104")</f>
        <v>1037259305970479104</v>
      </c>
      <c r="F453" s="4"/>
      <c r="G453" s="4"/>
      <c r="H453" s="4"/>
      <c r="I453" s="10" t="str">
        <f>HYPERLINK("http://twitter.com/download/android","Twitter for Android")</f>
        <v>Twitter for Android</v>
      </c>
      <c r="J453" s="2">
        <v>23</v>
      </c>
      <c r="K453" s="2">
        <v>67</v>
      </c>
      <c r="L453" s="2">
        <v>0</v>
      </c>
      <c r="M453" s="2"/>
      <c r="N453" s="8">
        <v>42605.454247685186</v>
      </c>
      <c r="O453" s="4" t="s">
        <v>324</v>
      </c>
      <c r="P453" s="3" t="s">
        <v>15481</v>
      </c>
      <c r="Q453" s="4"/>
      <c r="R453" s="4"/>
      <c r="S453" s="9" t="str">
        <f>HYPERLINK("https://pbs.twimg.com/profile_images/1013202251438018560/Le-eg2rH.jpg","View")</f>
        <v>View</v>
      </c>
    </row>
    <row r="454" spans="1:19" ht="50">
      <c r="A454" s="8">
        <v>43348.548831018517</v>
      </c>
      <c r="B454" s="11" t="str">
        <f>HYPERLINK("https://twitter.com/samsam_313","@samsam_313")</f>
        <v>@samsam_313</v>
      </c>
      <c r="C454" s="6" t="s">
        <v>11196</v>
      </c>
      <c r="D454" s="5" t="s">
        <v>15480</v>
      </c>
      <c r="E454" s="9" t="str">
        <f>HYPERLINK("https://twitter.com/samsam_313/status/1037259118442991616","1037259118442991616")</f>
        <v>1037259118442991616</v>
      </c>
      <c r="F454" s="4"/>
      <c r="G454" s="10" t="s">
        <v>15479</v>
      </c>
      <c r="H454" s="4"/>
      <c r="I454" s="10" t="str">
        <f>HYPERLINK("http://twitter.com","Twitter Web Client")</f>
        <v>Twitter Web Client</v>
      </c>
      <c r="J454" s="2">
        <v>82</v>
      </c>
      <c r="K454" s="2">
        <v>118</v>
      </c>
      <c r="L454" s="2">
        <v>1</v>
      </c>
      <c r="M454" s="2"/>
      <c r="N454" s="8">
        <v>43219.924722222218</v>
      </c>
      <c r="O454" s="4" t="s">
        <v>5507</v>
      </c>
      <c r="P454" s="3" t="s">
        <v>11193</v>
      </c>
      <c r="Q454" s="10" t="s">
        <v>11192</v>
      </c>
      <c r="R454" s="4"/>
      <c r="S454" s="9" t="str">
        <f>HYPERLINK("https://pbs.twimg.com/profile_images/1034419990525440002/bIVQmb3z.jpg","View")</f>
        <v>View</v>
      </c>
    </row>
    <row r="455" spans="1:19" ht="40">
      <c r="A455" s="8">
        <v>43348.547523148147</v>
      </c>
      <c r="B455" s="11" t="str">
        <f>HYPERLINK("https://twitter.com/freedommesenger","@freedommesenger")</f>
        <v>@freedommesenger</v>
      </c>
      <c r="C455" s="6" t="s">
        <v>808</v>
      </c>
      <c r="D455" s="5" t="s">
        <v>15478</v>
      </c>
      <c r="E455" s="9" t="str">
        <f>HYPERLINK("https://twitter.com/freedommesenger/status/1037258644604309504","1037258644604309504")</f>
        <v>1037258644604309504</v>
      </c>
      <c r="F455" s="4"/>
      <c r="G455" s="10" t="s">
        <v>15477</v>
      </c>
      <c r="H455" s="4"/>
      <c r="I455" s="10" t="str">
        <f>HYPERLINK("http://twitter.com/download/iphone","Twitter for iPhone")</f>
        <v>Twitter for iPhone</v>
      </c>
      <c r="J455" s="2">
        <v>7822</v>
      </c>
      <c r="K455" s="2">
        <v>32</v>
      </c>
      <c r="L455" s="2">
        <v>262</v>
      </c>
      <c r="M455" s="2"/>
      <c r="N455" s="8">
        <v>40052.203796296293</v>
      </c>
      <c r="O455" s="4" t="s">
        <v>805</v>
      </c>
      <c r="P455" s="3" t="s">
        <v>804</v>
      </c>
      <c r="Q455" s="10" t="s">
        <v>803</v>
      </c>
      <c r="R455" s="4"/>
      <c r="S455" s="9" t="str">
        <f>HYPERLINK("https://pbs.twimg.com/profile_images/756008327/youtube_icon_01.jpg","View")</f>
        <v>View</v>
      </c>
    </row>
    <row r="456" spans="1:19" ht="20">
      <c r="A456" s="8">
        <v>43348.546261574069</v>
      </c>
      <c r="B456" s="11" t="str">
        <f>HYPERLINK("https://twitter.com/danceswwolve","@danceswwolve")</f>
        <v>@danceswwolve</v>
      </c>
      <c r="C456" s="6" t="s">
        <v>15476</v>
      </c>
      <c r="D456" s="5" t="s">
        <v>15475</v>
      </c>
      <c r="E456" s="9" t="str">
        <f>HYPERLINK("https://twitter.com/danceswwolve/status/1037258186523389952","1037258186523389952")</f>
        <v>1037258186523389952</v>
      </c>
      <c r="F456" s="4"/>
      <c r="G456" s="4"/>
      <c r="H456" s="4"/>
      <c r="I456" s="10" t="str">
        <f>HYPERLINK("http://twitter.com","Twitter Web Client")</f>
        <v>Twitter Web Client</v>
      </c>
      <c r="J456" s="2">
        <v>13</v>
      </c>
      <c r="K456" s="2">
        <v>89</v>
      </c>
      <c r="L456" s="2">
        <v>0</v>
      </c>
      <c r="M456" s="2"/>
      <c r="N456" s="8">
        <v>42418.378750000003</v>
      </c>
      <c r="O456" s="4"/>
      <c r="P456" s="3"/>
      <c r="Q456" s="4"/>
      <c r="R456" s="4"/>
      <c r="S456" s="9" t="str">
        <f>HYPERLINK("https://pbs.twimg.com/profile_images/773123266718359552/Cf6Juxjv.jpg","View")</f>
        <v>View</v>
      </c>
    </row>
    <row r="457" spans="1:19" ht="40">
      <c r="A457" s="8">
        <v>43348.54550925926</v>
      </c>
      <c r="B457" s="11" t="str">
        <f>HYPERLINK("https://twitter.com/Tasnimnews_Fa","@Tasnimnews_Fa")</f>
        <v>@Tasnimnews_Fa</v>
      </c>
      <c r="C457" s="6" t="s">
        <v>603</v>
      </c>
      <c r="D457" s="5" t="s">
        <v>15474</v>
      </c>
      <c r="E457" s="9" t="str">
        <f>HYPERLINK("https://twitter.com/Tasnimnews_Fa/status/1037257912891187200","1037257912891187200")</f>
        <v>1037257912891187200</v>
      </c>
      <c r="F457" s="10" t="s">
        <v>15473</v>
      </c>
      <c r="G457" s="10" t="s">
        <v>15472</v>
      </c>
      <c r="H457" s="4"/>
      <c r="I457" s="10" t="str">
        <f>HYPERLINK("http://twitter.com","Twitter Web Client")</f>
        <v>Twitter Web Client</v>
      </c>
      <c r="J457" s="2">
        <v>109782</v>
      </c>
      <c r="K457" s="2">
        <v>20</v>
      </c>
      <c r="L457" s="2">
        <v>376</v>
      </c>
      <c r="M457" s="2" t="s">
        <v>80</v>
      </c>
      <c r="N457" s="8">
        <v>41868.671585648146</v>
      </c>
      <c r="O457" s="4" t="s">
        <v>133</v>
      </c>
      <c r="P457" s="3" t="s">
        <v>599</v>
      </c>
      <c r="Q457" s="10" t="s">
        <v>598</v>
      </c>
      <c r="R457" s="4"/>
      <c r="S457" s="9" t="str">
        <f>HYPERLINK("https://pbs.twimg.com/profile_images/942003149430239232/hvLw_1_E.jpg","View")</f>
        <v>View</v>
      </c>
    </row>
    <row r="458" spans="1:19" ht="40">
      <c r="A458" s="8">
        <v>43348.545092592598</v>
      </c>
      <c r="B458" s="11" t="str">
        <f>HYPERLINK("https://twitter.com/Persian_hero62","@Persian_hero62")</f>
        <v>@Persian_hero62</v>
      </c>
      <c r="C458" s="6" t="s">
        <v>3349</v>
      </c>
      <c r="D458" s="5" t="s">
        <v>15471</v>
      </c>
      <c r="E458" s="9" t="str">
        <f>HYPERLINK("https://twitter.com/Persian_hero62/status/1037257761216753664","1037257761216753664")</f>
        <v>1037257761216753664</v>
      </c>
      <c r="F458" s="4"/>
      <c r="G458" s="4"/>
      <c r="H458" s="4"/>
      <c r="I458" s="10" t="str">
        <f>HYPERLINK("http://twitter.com/download/android","Twitter for Android")</f>
        <v>Twitter for Android</v>
      </c>
      <c r="J458" s="2">
        <v>226</v>
      </c>
      <c r="K458" s="2">
        <v>442</v>
      </c>
      <c r="L458" s="2">
        <v>0</v>
      </c>
      <c r="M458" s="2"/>
      <c r="N458" s="8">
        <v>41158.024398148147</v>
      </c>
      <c r="O458" s="4" t="s">
        <v>25</v>
      </c>
      <c r="P458" s="3" t="s">
        <v>3346</v>
      </c>
      <c r="Q458" s="4"/>
      <c r="R458" s="4"/>
      <c r="S458" s="9" t="str">
        <f>HYPERLINK("https://pbs.twimg.com/profile_images/1010539204672180225/kDrO1zwo.jpg","View")</f>
        <v>View</v>
      </c>
    </row>
    <row r="459" spans="1:19" ht="20">
      <c r="A459" s="8">
        <v>43348.544548611113</v>
      </c>
      <c r="B459" s="11" t="str">
        <f>HYPERLINK("https://twitter.com/RezaAsa17775799","@RezaAsa17775799")</f>
        <v>@RezaAsa17775799</v>
      </c>
      <c r="C459" s="6" t="s">
        <v>15470</v>
      </c>
      <c r="D459" s="5" t="s">
        <v>15469</v>
      </c>
      <c r="E459" s="9" t="str">
        <f>HYPERLINK("https://twitter.com/RezaAsa17775799/status/1037257566680743937","1037257566680743937")</f>
        <v>1037257566680743937</v>
      </c>
      <c r="F459" s="4"/>
      <c r="G459" s="4"/>
      <c r="H459" s="4"/>
      <c r="I459" s="10" t="str">
        <f>HYPERLINK("http://twitter.com/download/android","Twitter for Android")</f>
        <v>Twitter for Android</v>
      </c>
      <c r="J459" s="2">
        <v>20</v>
      </c>
      <c r="K459" s="2">
        <v>53</v>
      </c>
      <c r="L459" s="2">
        <v>0</v>
      </c>
      <c r="M459" s="2"/>
      <c r="N459" s="8">
        <v>42734.704074074078</v>
      </c>
      <c r="O459" s="4" t="s">
        <v>3589</v>
      </c>
      <c r="P459" s="3" t="s">
        <v>15468</v>
      </c>
      <c r="Q459" s="4"/>
      <c r="R459" s="4"/>
      <c r="S459" s="9" t="str">
        <f>HYPERLINK("https://pbs.twimg.com/profile_images/1035028868300767232/OUE5qQVV.jpg","View")</f>
        <v>View</v>
      </c>
    </row>
    <row r="460" spans="1:19" ht="30">
      <c r="A460" s="8">
        <v>43348.543969907405</v>
      </c>
      <c r="B460" s="11" t="str">
        <f>HYPERLINK("https://twitter.com/freedommesenger","@freedommesenger")</f>
        <v>@freedommesenger</v>
      </c>
      <c r="C460" s="6" t="s">
        <v>808</v>
      </c>
      <c r="D460" s="5" t="s">
        <v>15467</v>
      </c>
      <c r="E460" s="9" t="str">
        <f>HYPERLINK("https://twitter.com/freedommesenger/status/1037257354759352320","1037257354759352320")</f>
        <v>1037257354759352320</v>
      </c>
      <c r="F460" s="4"/>
      <c r="G460" s="10" t="s">
        <v>15466</v>
      </c>
      <c r="H460" s="4"/>
      <c r="I460" s="10" t="str">
        <f>HYPERLINK("http://twitter.com/download/iphone","Twitter for iPhone")</f>
        <v>Twitter for iPhone</v>
      </c>
      <c r="J460" s="2">
        <v>7822</v>
      </c>
      <c r="K460" s="2">
        <v>32</v>
      </c>
      <c r="L460" s="2">
        <v>262</v>
      </c>
      <c r="M460" s="2"/>
      <c r="N460" s="8">
        <v>40052.203796296293</v>
      </c>
      <c r="O460" s="4" t="s">
        <v>805</v>
      </c>
      <c r="P460" s="3" t="s">
        <v>804</v>
      </c>
      <c r="Q460" s="10" t="s">
        <v>803</v>
      </c>
      <c r="R460" s="4"/>
      <c r="S460" s="9" t="str">
        <f>HYPERLINK("https://pbs.twimg.com/profile_images/756008327/youtube_icon_01.jpg","View")</f>
        <v>View</v>
      </c>
    </row>
    <row r="461" spans="1:19" ht="30">
      <c r="A461" s="8">
        <v>43348.543310185181</v>
      </c>
      <c r="B461" s="11" t="str">
        <f>HYPERLINK("https://twitter.com/erfan256","@erfan256")</f>
        <v>@erfan256</v>
      </c>
      <c r="C461" s="6" t="s">
        <v>15465</v>
      </c>
      <c r="D461" s="5" t="s">
        <v>15464</v>
      </c>
      <c r="E461" s="9" t="str">
        <f>HYPERLINK("https://twitter.com/erfan256/status/1037257115562336256","1037257115562336256")</f>
        <v>1037257115562336256</v>
      </c>
      <c r="F461" s="4"/>
      <c r="G461" s="4"/>
      <c r="H461" s="4"/>
      <c r="I461" s="10" t="str">
        <f>HYPERLINK("http://twitter.com/download/android","Twitter for Android")</f>
        <v>Twitter for Android</v>
      </c>
      <c r="J461" s="2">
        <v>33</v>
      </c>
      <c r="K461" s="2">
        <v>32</v>
      </c>
      <c r="L461" s="2">
        <v>0</v>
      </c>
      <c r="M461" s="2"/>
      <c r="N461" s="8">
        <v>42617.516377314816</v>
      </c>
      <c r="O461" s="4"/>
      <c r="P461" s="3" t="s">
        <v>15463</v>
      </c>
      <c r="Q461" s="4"/>
      <c r="R461" s="4"/>
      <c r="S461" s="9" t="str">
        <f>HYPERLINK("https://pbs.twimg.com/profile_images/1036471663632809985/k2V6BUDp.jpg","View")</f>
        <v>View</v>
      </c>
    </row>
    <row r="462" spans="1:19" ht="80">
      <c r="A462" s="8">
        <v>43348.542731481481</v>
      </c>
      <c r="B462" s="11" t="str">
        <f>HYPERLINK("https://twitter.com/aghapourkh","@aghapourkh")</f>
        <v>@aghapourkh</v>
      </c>
      <c r="C462" s="6" t="s">
        <v>15462</v>
      </c>
      <c r="D462" s="5" t="s">
        <v>15461</v>
      </c>
      <c r="E462" s="9" t="str">
        <f>HYPERLINK("https://twitter.com/aghapourkh/status/1037256905314447360","1037256905314447360")</f>
        <v>1037256905314447360</v>
      </c>
      <c r="F462" s="10" t="s">
        <v>15460</v>
      </c>
      <c r="G462" s="4"/>
      <c r="H462" s="4"/>
      <c r="I462" s="10" t="str">
        <f>HYPERLINK("http://twitter.com/download/android","Twitter for Android")</f>
        <v>Twitter for Android</v>
      </c>
      <c r="J462" s="2">
        <v>164</v>
      </c>
      <c r="K462" s="2">
        <v>532</v>
      </c>
      <c r="L462" s="2">
        <v>0</v>
      </c>
      <c r="M462" s="2"/>
      <c r="N462" s="8">
        <v>43253.843807870369</v>
      </c>
      <c r="O462" s="4" t="s">
        <v>34</v>
      </c>
      <c r="P462" s="3" t="s">
        <v>15459</v>
      </c>
      <c r="Q462" s="4"/>
      <c r="R462" s="4"/>
      <c r="S462" s="9" t="str">
        <f>HYPERLINK("https://pbs.twimg.com/profile_images/1002944291940065280/RK_bkkAH.jpg","View")</f>
        <v>View</v>
      </c>
    </row>
    <row r="463" spans="1:19" ht="40">
      <c r="A463" s="8">
        <v>43348.541481481487</v>
      </c>
      <c r="B463" s="11" t="str">
        <f>HYPERLINK("https://twitter.com/SHAMousavi","@SHAMousavi")</f>
        <v>@SHAMousavi</v>
      </c>
      <c r="C463" s="6" t="s">
        <v>15458</v>
      </c>
      <c r="D463" s="5" t="s">
        <v>15457</v>
      </c>
      <c r="E463" s="9" t="str">
        <f>HYPERLINK("https://twitter.com/SHAMousavi/status/1037256451637563392","1037256451637563392")</f>
        <v>1037256451637563392</v>
      </c>
      <c r="F463" s="4"/>
      <c r="G463" s="10" t="s">
        <v>15456</v>
      </c>
      <c r="H463" s="4"/>
      <c r="I463" s="10" t="str">
        <f>HYPERLINK("http://twitter.com/download/android","Twitter for Android")</f>
        <v>Twitter for Android</v>
      </c>
      <c r="J463" s="2">
        <v>5</v>
      </c>
      <c r="K463" s="2">
        <v>9</v>
      </c>
      <c r="L463" s="2">
        <v>0</v>
      </c>
      <c r="M463" s="2"/>
      <c r="N463" s="8">
        <v>43312.968599537038</v>
      </c>
      <c r="O463" s="4" t="s">
        <v>4061</v>
      </c>
      <c r="P463" s="3" t="s">
        <v>15455</v>
      </c>
      <c r="Q463" s="4"/>
      <c r="R463" s="4"/>
      <c r="S463" s="9" t="str">
        <f>HYPERLINK("https://pbs.twimg.com/profile_images/1024393055472939010/m1nibLBk.jpg","View")</f>
        <v>View</v>
      </c>
    </row>
    <row r="464" spans="1:19" ht="20">
      <c r="A464" s="8">
        <v>43348.541469907403</v>
      </c>
      <c r="B464" s="11" t="str">
        <f>HYPERLINK("https://twitter.com/Plusboy7916","@Plusboy7916")</f>
        <v>@Plusboy7916</v>
      </c>
      <c r="C464" s="6" t="s">
        <v>2132</v>
      </c>
      <c r="D464" s="5" t="s">
        <v>15454</v>
      </c>
      <c r="E464" s="9" t="str">
        <f>HYPERLINK("https://twitter.com/Plusboy7916/status/1037256447434915840","1037256447434915840")</f>
        <v>1037256447434915840</v>
      </c>
      <c r="F464" s="4"/>
      <c r="G464" s="4"/>
      <c r="H464" s="4"/>
      <c r="I464" s="10" t="str">
        <f>HYPERLINK("https://mobile.twitter.com","Twitter Lite")</f>
        <v>Twitter Lite</v>
      </c>
      <c r="J464" s="2">
        <v>865</v>
      </c>
      <c r="K464" s="2">
        <v>993</v>
      </c>
      <c r="L464" s="2">
        <v>1</v>
      </c>
      <c r="M464" s="2"/>
      <c r="N464" s="8">
        <v>43103.001979166671</v>
      </c>
      <c r="O464" s="4"/>
      <c r="P464" s="3" t="s">
        <v>2130</v>
      </c>
      <c r="Q464" s="4"/>
      <c r="R464" s="4"/>
      <c r="S464" s="9" t="str">
        <f>HYPERLINK("https://pbs.twimg.com/profile_images/989969258158403584/7PZPWCMH.jpg","View")</f>
        <v>View</v>
      </c>
    </row>
    <row r="465" spans="1:19" ht="40">
      <c r="A465" s="8">
        <v>43348.541307870371</v>
      </c>
      <c r="B465" s="11" t="str">
        <f>HYPERLINK("https://twitter.com/CafeChy","@CafeChy")</f>
        <v>@CafeChy</v>
      </c>
      <c r="C465" s="6" t="s">
        <v>8176</v>
      </c>
      <c r="D465" s="5" t="s">
        <v>15453</v>
      </c>
      <c r="E465" s="9" t="str">
        <f>HYPERLINK("https://twitter.com/CafeChy/status/1037256390467874818","1037256390467874818")</f>
        <v>1037256390467874818</v>
      </c>
      <c r="F465" s="4"/>
      <c r="G465" s="10" t="s">
        <v>15452</v>
      </c>
      <c r="H465" s="4"/>
      <c r="I465" s="10" t="str">
        <f>HYPERLINK("http://twitter.com/download/iphone","Twitter for iPhone")</f>
        <v>Twitter for iPhone</v>
      </c>
      <c r="J465" s="2">
        <v>411</v>
      </c>
      <c r="K465" s="2">
        <v>149</v>
      </c>
      <c r="L465" s="2">
        <v>5</v>
      </c>
      <c r="M465" s="2"/>
      <c r="N465" s="8">
        <v>39994.765775462962</v>
      </c>
      <c r="O465" s="4" t="s">
        <v>894</v>
      </c>
      <c r="P465" s="3" t="s">
        <v>8174</v>
      </c>
      <c r="Q465" s="10" t="s">
        <v>8173</v>
      </c>
      <c r="R465" s="4"/>
      <c r="S465" s="9" t="str">
        <f>HYPERLINK("https://pbs.twimg.com/profile_images/561620834435883008/qkdFicEK.jpeg","View")</f>
        <v>View</v>
      </c>
    </row>
    <row r="466" spans="1:19" ht="20">
      <c r="A466" s="8">
        <v>43348.541180555556</v>
      </c>
      <c r="B466" s="11" t="str">
        <f>HYPERLINK("https://twitter.com/mohammadlar752","@mohammadlar752")</f>
        <v>@mohammadlar752</v>
      </c>
      <c r="C466" s="6" t="s">
        <v>15451</v>
      </c>
      <c r="D466" s="5" t="s">
        <v>15450</v>
      </c>
      <c r="E466" s="9" t="str">
        <f>HYPERLINK("https://twitter.com/mohammadlar752/status/1037256344137609216","1037256344137609216")</f>
        <v>1037256344137609216</v>
      </c>
      <c r="F466" s="4"/>
      <c r="G466" s="10" t="s">
        <v>15449</v>
      </c>
      <c r="H466" s="4"/>
      <c r="I466" s="10" t="str">
        <f>HYPERLINK("http://twitter.com/download/android","Twitter for Android")</f>
        <v>Twitter for Android</v>
      </c>
      <c r="J466" s="2">
        <v>2</v>
      </c>
      <c r="K466" s="2">
        <v>10</v>
      </c>
      <c r="L466" s="2">
        <v>0</v>
      </c>
      <c r="M466" s="2"/>
      <c r="N466" s="8">
        <v>43341.433032407411</v>
      </c>
      <c r="O466" s="4"/>
      <c r="P466" s="3" t="s">
        <v>3608</v>
      </c>
      <c r="Q466" s="4"/>
      <c r="R466" s="4"/>
      <c r="S466" s="9" t="str">
        <f>HYPERLINK("https://pbs.twimg.com/profile_images/1035593085751840768/1oqGZzcC.jpg","View")</f>
        <v>View</v>
      </c>
    </row>
    <row r="467" spans="1:19" ht="40">
      <c r="A467" s="8">
        <v>43348.540543981479</v>
      </c>
      <c r="B467" s="11" t="str">
        <f>HYPERLINK("https://twitter.com/hajiiGrinof","@hajiiGrinof")</f>
        <v>@hajiiGrinof</v>
      </c>
      <c r="C467" s="6" t="s">
        <v>15448</v>
      </c>
      <c r="D467" s="5" t="s">
        <v>15447</v>
      </c>
      <c r="E467" s="9" t="str">
        <f>HYPERLINK("https://twitter.com/hajiiGrinof/status/1037256115732459520","1037256115732459520")</f>
        <v>1037256115732459520</v>
      </c>
      <c r="F467" s="4"/>
      <c r="G467" s="4"/>
      <c r="H467" s="4"/>
      <c r="I467" s="10" t="str">
        <f>HYPERLINK("http://twitter.com/download/android","Twitter for Android")</f>
        <v>Twitter for Android</v>
      </c>
      <c r="J467" s="2">
        <v>945</v>
      </c>
      <c r="K467" s="2">
        <v>238</v>
      </c>
      <c r="L467" s="2">
        <v>3</v>
      </c>
      <c r="M467" s="2"/>
      <c r="N467" s="8">
        <v>43054.109560185185</v>
      </c>
      <c r="O467" s="4" t="s">
        <v>15446</v>
      </c>
      <c r="P467" s="3" t="s">
        <v>15445</v>
      </c>
      <c r="Q467" s="4"/>
      <c r="R467" s="4"/>
      <c r="S467" s="9" t="str">
        <f>HYPERLINK("https://pbs.twimg.com/profile_images/974740137883193346/z7fQBhXv.jpg","View")</f>
        <v>View</v>
      </c>
    </row>
    <row r="468" spans="1:19" ht="40">
      <c r="A468" s="8">
        <v>43348.540405092594</v>
      </c>
      <c r="B468" s="11" t="str">
        <f>HYPERLINK("https://twitter.com/teimourimohsen","@teimourimohsen")</f>
        <v>@teimourimohsen</v>
      </c>
      <c r="C468" s="6" t="s">
        <v>537</v>
      </c>
      <c r="D468" s="5" t="s">
        <v>15444</v>
      </c>
      <c r="E468" s="9" t="str">
        <f>HYPERLINK("https://twitter.com/teimourimohsen/status/1037256061772857344","1037256061772857344")</f>
        <v>1037256061772857344</v>
      </c>
      <c r="F468" s="4"/>
      <c r="G468" s="4"/>
      <c r="H468" s="4"/>
      <c r="I468" s="10" t="str">
        <f>HYPERLINK("http://twitter.com","Twitter Web Client")</f>
        <v>Twitter Web Client</v>
      </c>
      <c r="J468" s="2">
        <v>278</v>
      </c>
      <c r="K468" s="2">
        <v>369</v>
      </c>
      <c r="L468" s="2">
        <v>0</v>
      </c>
      <c r="M468" s="2"/>
      <c r="N468" s="8">
        <v>40870.485555555555</v>
      </c>
      <c r="O468" s="4" t="s">
        <v>133</v>
      </c>
      <c r="P468" s="3" t="s">
        <v>15443</v>
      </c>
      <c r="Q468" s="4"/>
      <c r="R468" s="4"/>
      <c r="S468" s="9" t="str">
        <f>HYPERLINK("https://pbs.twimg.com/profile_images/1031124970573840384/YenL6NJ5.jpg","View")</f>
        <v>View</v>
      </c>
    </row>
    <row r="469" spans="1:19" ht="30">
      <c r="A469" s="8">
        <v>43348.539722222224</v>
      </c>
      <c r="B469" s="11" t="str">
        <f>HYPERLINK("https://twitter.com/sepehr_khorami","@sepehr_khorami")</f>
        <v>@sepehr_khorami</v>
      </c>
      <c r="C469" s="6" t="s">
        <v>12226</v>
      </c>
      <c r="D469" s="5" t="s">
        <v>15442</v>
      </c>
      <c r="E469" s="9" t="str">
        <f>HYPERLINK("https://twitter.com/sepehr_khorami/status/1037255817714704384","1037255817714704384")</f>
        <v>1037255817714704384</v>
      </c>
      <c r="F469" s="4"/>
      <c r="G469" s="4"/>
      <c r="H469" s="4"/>
      <c r="I469" s="10" t="str">
        <f>HYPERLINK("http://twitter.com/download/android","Twitter for Android")</f>
        <v>Twitter for Android</v>
      </c>
      <c r="J469" s="2">
        <v>3182</v>
      </c>
      <c r="K469" s="2">
        <v>980</v>
      </c>
      <c r="L469" s="2">
        <v>21</v>
      </c>
      <c r="M469" s="2"/>
      <c r="N469" s="8">
        <v>42861.588171296295</v>
      </c>
      <c r="O469" s="4" t="s">
        <v>133</v>
      </c>
      <c r="P469" s="3" t="s">
        <v>12223</v>
      </c>
      <c r="Q469" s="4"/>
      <c r="R469" s="4"/>
      <c r="S469" s="9" t="str">
        <f>HYPERLINK("https://pbs.twimg.com/profile_images/1031668416090963968/OYJvX9q_.jpg","View")</f>
        <v>View</v>
      </c>
    </row>
    <row r="470" spans="1:19" ht="12.5">
      <c r="A470" s="8">
        <v>43348.538981481484</v>
      </c>
      <c r="B470" s="11" t="str">
        <f>HYPERLINK("https://twitter.com/Mohsen_ab77","@Mohsen_ab77")</f>
        <v>@Mohsen_ab77</v>
      </c>
      <c r="C470" s="6" t="s">
        <v>1823</v>
      </c>
      <c r="D470" s="5" t="s">
        <v>15441</v>
      </c>
      <c r="E470" s="9" t="str">
        <f>HYPERLINK("https://twitter.com/Mohsen_ab77/status/1037255547089768448","1037255547089768448")</f>
        <v>1037255547089768448</v>
      </c>
      <c r="F470" s="4"/>
      <c r="G470" s="4"/>
      <c r="H470" s="4"/>
      <c r="I470" s="10" t="str">
        <f>HYPERLINK("http://twitter.com/download/android","Twitter for Android")</f>
        <v>Twitter for Android</v>
      </c>
      <c r="J470" s="2">
        <v>0</v>
      </c>
      <c r="K470" s="2">
        <v>0</v>
      </c>
      <c r="L470" s="2">
        <v>0</v>
      </c>
      <c r="M470" s="2"/>
      <c r="N470" s="8">
        <v>43197.054490740746</v>
      </c>
      <c r="O470" s="4"/>
      <c r="P470" s="3"/>
      <c r="Q470" s="4"/>
      <c r="R470" s="4"/>
      <c r="S470" s="2" t="s">
        <v>155</v>
      </c>
    </row>
    <row r="471" spans="1:19" ht="30">
      <c r="A471" s="8">
        <v>43348.538831018523</v>
      </c>
      <c r="B471" s="11" t="str">
        <f>HYPERLINK("https://twitter.com/mtrrad2","@mtrrad2")</f>
        <v>@mtrrad2</v>
      </c>
      <c r="C471" s="6" t="s">
        <v>15440</v>
      </c>
      <c r="D471" s="5" t="s">
        <v>15439</v>
      </c>
      <c r="E471" s="9" t="str">
        <f>HYPERLINK("https://twitter.com/mtrrad2/status/1037255495223070720","1037255495223070720")</f>
        <v>1037255495223070720</v>
      </c>
      <c r="F471" s="10" t="s">
        <v>15438</v>
      </c>
      <c r="G471" s="4"/>
      <c r="H471" s="4"/>
      <c r="I471" s="10" t="str">
        <f>HYPERLINK("http://twitter.com","Twitter Web Client")</f>
        <v>Twitter Web Client</v>
      </c>
      <c r="J471" s="2">
        <v>754</v>
      </c>
      <c r="K471" s="2">
        <v>1415</v>
      </c>
      <c r="L471" s="2">
        <v>0</v>
      </c>
      <c r="M471" s="2"/>
      <c r="N471" s="8">
        <v>42466.54241898148</v>
      </c>
      <c r="O471" s="4" t="s">
        <v>34</v>
      </c>
      <c r="P471" s="3" t="s">
        <v>15437</v>
      </c>
      <c r="Q471" s="4"/>
      <c r="R471" s="4"/>
      <c r="S471" s="9" t="str">
        <f>HYPERLINK("https://pbs.twimg.com/profile_images/1016937892243894273/hJ6tbvu7.jpg","View")</f>
        <v>View</v>
      </c>
    </row>
    <row r="472" spans="1:19" ht="20">
      <c r="A472" s="8">
        <v>43348.538784722223</v>
      </c>
      <c r="B472" s="11" t="str">
        <f>HYPERLINK("https://twitter.com/mohammad1748","@mohammad1748")</f>
        <v>@mohammad1748</v>
      </c>
      <c r="C472" s="6" t="s">
        <v>15436</v>
      </c>
      <c r="D472" s="5" t="s">
        <v>15435</v>
      </c>
      <c r="E472" s="9" t="str">
        <f>HYPERLINK("https://twitter.com/mohammad1748/status/1037255478030622721","1037255478030622721")</f>
        <v>1037255478030622721</v>
      </c>
      <c r="F472" s="4"/>
      <c r="G472" s="10" t="s">
        <v>15434</v>
      </c>
      <c r="H472" s="4"/>
      <c r="I472" s="10" t="str">
        <f>HYPERLINK("http://twitter.com/download/iphone","Twitter for iPhone")</f>
        <v>Twitter for iPhone</v>
      </c>
      <c r="J472" s="2">
        <v>278</v>
      </c>
      <c r="K472" s="2">
        <v>137</v>
      </c>
      <c r="L472" s="2">
        <v>1</v>
      </c>
      <c r="M472" s="2"/>
      <c r="N472" s="8">
        <v>40717.807847222226</v>
      </c>
      <c r="O472" s="4" t="s">
        <v>15433</v>
      </c>
      <c r="P472" s="3" t="s">
        <v>15432</v>
      </c>
      <c r="Q472" s="4"/>
      <c r="R472" s="4"/>
      <c r="S472" s="9" t="str">
        <f>HYPERLINK("https://pbs.twimg.com/profile_images/884703933351903233/pAvCMJaO.jpg","View")</f>
        <v>View</v>
      </c>
    </row>
    <row r="473" spans="1:19" ht="20">
      <c r="A473" s="8">
        <v>43348.538101851853</v>
      </c>
      <c r="B473" s="11" t="str">
        <f>HYPERLINK("https://twitter.com/SinaKurd96","@SinaKurd96")</f>
        <v>@SinaKurd96</v>
      </c>
      <c r="C473" s="6" t="s">
        <v>15431</v>
      </c>
      <c r="D473" s="5" t="s">
        <v>15430</v>
      </c>
      <c r="E473" s="9" t="str">
        <f>HYPERLINK("https://twitter.com/SinaKurd96/status/1037255230067552256","1037255230067552256")</f>
        <v>1037255230067552256</v>
      </c>
      <c r="F473" s="4"/>
      <c r="G473" s="4"/>
      <c r="H473" s="4"/>
      <c r="I473" s="10" t="str">
        <f>HYPERLINK("http://twitter.com/download/android","Twitter for Android")</f>
        <v>Twitter for Android</v>
      </c>
      <c r="J473" s="2">
        <v>617</v>
      </c>
      <c r="K473" s="2">
        <v>659</v>
      </c>
      <c r="L473" s="2">
        <v>0</v>
      </c>
      <c r="M473" s="2"/>
      <c r="N473" s="8">
        <v>43137.622071759259</v>
      </c>
      <c r="O473" s="4" t="s">
        <v>6632</v>
      </c>
      <c r="P473" s="3" t="s">
        <v>15429</v>
      </c>
      <c r="Q473" s="4"/>
      <c r="R473" s="4"/>
      <c r="S473" s="9" t="str">
        <f>HYPERLINK("https://pbs.twimg.com/profile_images/960840384057233413/1WorqaO7.jpg","View")</f>
        <v>View</v>
      </c>
    </row>
    <row r="474" spans="1:19" ht="30">
      <c r="A474" s="8">
        <v>43348.537997685184</v>
      </c>
      <c r="B474" s="11" t="str">
        <f>HYPERLINK("https://twitter.com/saeednevesht","@saeednevesht")</f>
        <v>@saeednevesht</v>
      </c>
      <c r="C474" s="6" t="s">
        <v>10786</v>
      </c>
      <c r="D474" s="5" t="s">
        <v>15428</v>
      </c>
      <c r="E474" s="9" t="str">
        <f>HYPERLINK("https://twitter.com/saeednevesht/status/1037255189877678080","1037255189877678080")</f>
        <v>1037255189877678080</v>
      </c>
      <c r="F474" s="4"/>
      <c r="G474" s="4"/>
      <c r="H474" s="4"/>
      <c r="I474" s="10" t="str">
        <f>HYPERLINK("http://twitter.com","Twitter Web Client")</f>
        <v>Twitter Web Client</v>
      </c>
      <c r="J474" s="2">
        <v>1183</v>
      </c>
      <c r="K474" s="2">
        <v>573</v>
      </c>
      <c r="L474" s="2">
        <v>9</v>
      </c>
      <c r="M474" s="2"/>
      <c r="N474" s="8">
        <v>42736.475914351853</v>
      </c>
      <c r="O474" s="4" t="s">
        <v>34</v>
      </c>
      <c r="P474" s="3" t="s">
        <v>10784</v>
      </c>
      <c r="Q474" s="10" t="s">
        <v>10783</v>
      </c>
      <c r="R474" s="4"/>
      <c r="S474" s="9" t="str">
        <f>HYPERLINK("https://pbs.twimg.com/profile_images/950656891222360064/U27eYLPQ.jpg","View")</f>
        <v>View</v>
      </c>
    </row>
    <row r="475" spans="1:19" ht="12.5">
      <c r="A475" s="8">
        <v>43348.53770833333</v>
      </c>
      <c r="B475" s="11" t="str">
        <f>HYPERLINK("https://twitter.com/adib_foroutan","@adib_foroutan")</f>
        <v>@adib_foroutan</v>
      </c>
      <c r="C475" s="6" t="s">
        <v>15427</v>
      </c>
      <c r="D475" s="5" t="s">
        <v>15426</v>
      </c>
      <c r="E475" s="9" t="str">
        <f>HYPERLINK("https://twitter.com/adib_foroutan/status/1037255087540846593","1037255087540846593")</f>
        <v>1037255087540846593</v>
      </c>
      <c r="F475" s="4"/>
      <c r="G475" s="4"/>
      <c r="H475" s="4"/>
      <c r="I475" s="10" t="str">
        <f>HYPERLINK("http://twitter.com/download/iphone","Twitter for iPhone")</f>
        <v>Twitter for iPhone</v>
      </c>
      <c r="J475" s="2">
        <v>46</v>
      </c>
      <c r="K475" s="2">
        <v>106</v>
      </c>
      <c r="L475" s="2">
        <v>0</v>
      </c>
      <c r="M475" s="2"/>
      <c r="N475" s="8">
        <v>43304.068148148144</v>
      </c>
      <c r="O475" s="4" t="s">
        <v>34</v>
      </c>
      <c r="P475" s="3" t="s">
        <v>15425</v>
      </c>
      <c r="Q475" s="4"/>
      <c r="R475" s="4"/>
      <c r="S475" s="9" t="str">
        <f>HYPERLINK("https://pbs.twimg.com/profile_images/1025466303669317632/gw3GdO1B.jpg","View")</f>
        <v>View</v>
      </c>
    </row>
    <row r="476" spans="1:19" ht="40">
      <c r="A476" s="8">
        <v>43348.535925925928</v>
      </c>
      <c r="B476" s="11" t="str">
        <f>HYPERLINK("https://twitter.com/NuldHYs8UoOl73d","@NuldHYs8UoOl73d")</f>
        <v>@NuldHYs8UoOl73d</v>
      </c>
      <c r="C476" s="6" t="s">
        <v>395</v>
      </c>
      <c r="D476" s="5" t="s">
        <v>15424</v>
      </c>
      <c r="E476" s="9" t="str">
        <f>HYPERLINK("https://twitter.com/NuldHYs8UoOl73d/status/1037254438732423173","1037254438732423173")</f>
        <v>1037254438732423173</v>
      </c>
      <c r="F476" s="4"/>
      <c r="G476" s="10" t="s">
        <v>15423</v>
      </c>
      <c r="H476" s="4"/>
      <c r="I476" s="10" t="str">
        <f>HYPERLINK("http://twitter.com/download/android","Twitter for Android")</f>
        <v>Twitter for Android</v>
      </c>
      <c r="J476" s="2">
        <v>6</v>
      </c>
      <c r="K476" s="2">
        <v>3</v>
      </c>
      <c r="L476" s="2">
        <v>0</v>
      </c>
      <c r="M476" s="2"/>
      <c r="N476" s="8">
        <v>43105.644571759258</v>
      </c>
      <c r="O476" s="4"/>
      <c r="P476" s="3"/>
      <c r="Q476" s="4"/>
      <c r="R476" s="4"/>
      <c r="S476" s="2" t="s">
        <v>155</v>
      </c>
    </row>
    <row r="477" spans="1:19" ht="40">
      <c r="A477" s="8">
        <v>43348.534513888888</v>
      </c>
      <c r="B477" s="11" t="str">
        <f>HYPERLINK("https://twitter.com/edalatkhah59","@edalatkhah59")</f>
        <v>@edalatkhah59</v>
      </c>
      <c r="C477" s="6" t="s">
        <v>15422</v>
      </c>
      <c r="D477" s="5" t="s">
        <v>15421</v>
      </c>
      <c r="E477" s="9" t="str">
        <f>HYPERLINK("https://twitter.com/edalatkhah59/status/1037253930680504320","1037253930680504320")</f>
        <v>1037253930680504320</v>
      </c>
      <c r="F477" s="4"/>
      <c r="G477" s="4"/>
      <c r="H477" s="4"/>
      <c r="I477" s="10" t="str">
        <f>HYPERLINK("http://twitter.com/download/android","Twitter for Android")</f>
        <v>Twitter for Android</v>
      </c>
      <c r="J477" s="2">
        <v>249</v>
      </c>
      <c r="K477" s="2">
        <v>433</v>
      </c>
      <c r="L477" s="2">
        <v>1</v>
      </c>
      <c r="M477" s="2"/>
      <c r="N477" s="8">
        <v>42971.069733796292</v>
      </c>
      <c r="O477" s="4" t="s">
        <v>34</v>
      </c>
      <c r="P477" s="3" t="s">
        <v>15420</v>
      </c>
      <c r="Q477" s="4"/>
      <c r="R477" s="4"/>
      <c r="S477" s="9" t="str">
        <f>HYPERLINK("https://pbs.twimg.com/profile_images/900466436832763904/k-JvNRpe.jpg","View")</f>
        <v>View</v>
      </c>
    </row>
    <row r="478" spans="1:19" ht="12.5">
      <c r="A478" s="8">
        <v>43348.534432870365</v>
      </c>
      <c r="B478" s="11" t="str">
        <f>HYPERLINK("https://twitter.com/Hasanjuventin0","@Hasanjuventin0")</f>
        <v>@Hasanjuventin0</v>
      </c>
      <c r="C478" s="6" t="s">
        <v>5522</v>
      </c>
      <c r="D478" s="5" t="s">
        <v>15419</v>
      </c>
      <c r="E478" s="9" t="str">
        <f>HYPERLINK("https://twitter.com/Hasanjuventin0/status/1037253897872699392","1037253897872699392")</f>
        <v>1037253897872699392</v>
      </c>
      <c r="F478" s="4"/>
      <c r="G478" s="4"/>
      <c r="H478" s="4"/>
      <c r="I478" s="10" t="str">
        <f>HYPERLINK("http://twitter.com","Twitter Web Client")</f>
        <v>Twitter Web Client</v>
      </c>
      <c r="J478" s="2">
        <v>922</v>
      </c>
      <c r="K478" s="2">
        <v>344</v>
      </c>
      <c r="L478" s="2">
        <v>7</v>
      </c>
      <c r="M478" s="2"/>
      <c r="N478" s="8">
        <v>40548.643587962964</v>
      </c>
      <c r="O478" s="4" t="s">
        <v>5519</v>
      </c>
      <c r="P478" s="3" t="s">
        <v>5518</v>
      </c>
      <c r="Q478" s="10" t="s">
        <v>9458</v>
      </c>
      <c r="R478" s="4"/>
      <c r="S478" s="9" t="str">
        <f>HYPERLINK("https://pbs.twimg.com/profile_images/1036950244238532609/VxJUrY40.jpg","View")</f>
        <v>View</v>
      </c>
    </row>
    <row r="479" spans="1:19" ht="20">
      <c r="A479" s="8">
        <v>43348.534236111111</v>
      </c>
      <c r="B479" s="11" t="str">
        <f>HYPERLINK("https://twitter.com/seyyedehtesham","@seyyedehtesham")</f>
        <v>@seyyedehtesham</v>
      </c>
      <c r="C479" s="6" t="s">
        <v>9937</v>
      </c>
      <c r="D479" s="5" t="s">
        <v>15418</v>
      </c>
      <c r="E479" s="9" t="str">
        <f>HYPERLINK("https://twitter.com/seyyedehtesham/status/1037253826720542720","1037253826720542720")</f>
        <v>1037253826720542720</v>
      </c>
      <c r="F479" s="4"/>
      <c r="G479" s="4"/>
      <c r="H479" s="4"/>
      <c r="I479" s="10" t="str">
        <f>HYPERLINK("http://twitter.com/download/android","Twitter for Android")</f>
        <v>Twitter for Android</v>
      </c>
      <c r="J479" s="2">
        <v>3079</v>
      </c>
      <c r="K479" s="2">
        <v>455</v>
      </c>
      <c r="L479" s="2">
        <v>28</v>
      </c>
      <c r="M479" s="2"/>
      <c r="N479" s="8">
        <v>41451.7894212963</v>
      </c>
      <c r="O479" s="4"/>
      <c r="P479" s="3" t="s">
        <v>9935</v>
      </c>
      <c r="Q479" s="4"/>
      <c r="R479" s="4"/>
      <c r="S479" s="9" t="str">
        <f>HYPERLINK("https://pbs.twimg.com/profile_images/935798516777193472/GZLzsxol.jpg","View")</f>
        <v>View</v>
      </c>
    </row>
    <row r="480" spans="1:19" ht="40">
      <c r="A480" s="8">
        <v>43348.533842592587</v>
      </c>
      <c r="B480" s="11" t="str">
        <f>HYPERLINK("https://twitter.com/mysamcivil","@mysamcivil")</f>
        <v>@mysamcivil</v>
      </c>
      <c r="C480" s="6" t="s">
        <v>14044</v>
      </c>
      <c r="D480" s="5" t="s">
        <v>15417</v>
      </c>
      <c r="E480" s="9" t="str">
        <f>HYPERLINK("https://twitter.com/mysamcivil/status/1037253686664126465","1037253686664126465")</f>
        <v>1037253686664126465</v>
      </c>
      <c r="F480" s="4"/>
      <c r="G480" s="4"/>
      <c r="H480" s="4"/>
      <c r="I480" s="10" t="str">
        <f>HYPERLINK("http://twitter.com/download/android","Twitter for Android")</f>
        <v>Twitter for Android</v>
      </c>
      <c r="J480" s="2">
        <v>441</v>
      </c>
      <c r="K480" s="2">
        <v>496</v>
      </c>
      <c r="L480" s="2">
        <v>1</v>
      </c>
      <c r="M480" s="2"/>
      <c r="N480" s="8">
        <v>42982.73537037037</v>
      </c>
      <c r="O480" s="4" t="s">
        <v>5369</v>
      </c>
      <c r="P480" s="3" t="s">
        <v>14042</v>
      </c>
      <c r="Q480" s="4"/>
      <c r="R480" s="4"/>
      <c r="S480" s="9" t="str">
        <f>HYPERLINK("https://pbs.twimg.com/profile_images/1036917611563339776/tVUOlGjv.jpg","View")</f>
        <v>View</v>
      </c>
    </row>
    <row r="481" spans="1:19" ht="12.5">
      <c r="A481" s="8">
        <v>43348.532766203702</v>
      </c>
      <c r="B481" s="11" t="str">
        <f>HYPERLINK("https://twitter.com/Hsn_Bahramian","@Hsn_Bahramian")</f>
        <v>@Hsn_Bahramian</v>
      </c>
      <c r="C481" s="6" t="s">
        <v>15416</v>
      </c>
      <c r="D481" s="5" t="s">
        <v>15415</v>
      </c>
      <c r="E481" s="9" t="str">
        <f>HYPERLINK("https://twitter.com/Hsn_Bahramian/status/1037253294492659713","1037253294492659713")</f>
        <v>1037253294492659713</v>
      </c>
      <c r="F481" s="4"/>
      <c r="G481" s="4"/>
      <c r="H481" s="4"/>
      <c r="I481" s="10" t="str">
        <f>HYPERLINK("https://mobile.twitter.com","Twitter Lite")</f>
        <v>Twitter Lite</v>
      </c>
      <c r="J481" s="2">
        <v>29</v>
      </c>
      <c r="K481" s="2">
        <v>59</v>
      </c>
      <c r="L481" s="2">
        <v>0</v>
      </c>
      <c r="M481" s="2"/>
      <c r="N481" s="8">
        <v>42907.759027777778</v>
      </c>
      <c r="O481" s="4"/>
      <c r="P481" s="3"/>
      <c r="Q481" s="4"/>
      <c r="R481" s="4"/>
      <c r="S481" s="9" t="str">
        <f>HYPERLINK("https://pbs.twimg.com/profile_images/880757409089703936/W4MVhFoq.jpg","View")</f>
        <v>View</v>
      </c>
    </row>
    <row r="482" spans="1:19" ht="20">
      <c r="A482" s="8">
        <v>43348.531793981485</v>
      </c>
      <c r="B482" s="11" t="str">
        <f>HYPERLINK("https://twitter.com/hassanighani","@hassanighani")</f>
        <v>@hassanighani</v>
      </c>
      <c r="C482" s="6" t="s">
        <v>15414</v>
      </c>
      <c r="D482" s="5" t="s">
        <v>15413</v>
      </c>
      <c r="E482" s="9" t="str">
        <f>HYPERLINK("https://twitter.com/hassanighani/status/1037252944679325696","1037252944679325696")</f>
        <v>1037252944679325696</v>
      </c>
      <c r="F482" s="4"/>
      <c r="G482" s="4"/>
      <c r="H482" s="4"/>
      <c r="I482" s="10" t="str">
        <f>HYPERLINK("http://twitter.com","Twitter Web Client")</f>
        <v>Twitter Web Client</v>
      </c>
      <c r="J482" s="2">
        <v>1266</v>
      </c>
      <c r="K482" s="2">
        <v>437</v>
      </c>
      <c r="L482" s="2">
        <v>11</v>
      </c>
      <c r="M482" s="2"/>
      <c r="N482" s="8">
        <v>40957.650439814817</v>
      </c>
      <c r="O482" s="4" t="s">
        <v>2221</v>
      </c>
      <c r="P482" s="3" t="s">
        <v>15412</v>
      </c>
      <c r="Q482" s="4"/>
      <c r="R482" s="4"/>
      <c r="S482" s="9" t="str">
        <f>HYPERLINK("https://pbs.twimg.com/profile_images/712047566649688064/_30qWTi1.jpg","View")</f>
        <v>View</v>
      </c>
    </row>
    <row r="483" spans="1:19" ht="30">
      <c r="A483" s="8">
        <v>43348.531655092593</v>
      </c>
      <c r="B483" s="11" t="str">
        <f>HYPERLINK("https://twitter.com/seyyedehtesham","@seyyedehtesham")</f>
        <v>@seyyedehtesham</v>
      </c>
      <c r="C483" s="6" t="s">
        <v>9937</v>
      </c>
      <c r="D483" s="5" t="s">
        <v>15411</v>
      </c>
      <c r="E483" s="9" t="str">
        <f>HYPERLINK("https://twitter.com/seyyedehtesham/status/1037252892720353280","1037252892720353280")</f>
        <v>1037252892720353280</v>
      </c>
      <c r="F483" s="4"/>
      <c r="G483" s="4"/>
      <c r="H483" s="4"/>
      <c r="I483" s="10" t="str">
        <f>HYPERLINK("http://twitter.com/download/android","Twitter for Android")</f>
        <v>Twitter for Android</v>
      </c>
      <c r="J483" s="2">
        <v>3079</v>
      </c>
      <c r="K483" s="2">
        <v>455</v>
      </c>
      <c r="L483" s="2">
        <v>28</v>
      </c>
      <c r="M483" s="2"/>
      <c r="N483" s="8">
        <v>41451.7894212963</v>
      </c>
      <c r="O483" s="4"/>
      <c r="P483" s="3" t="s">
        <v>9935</v>
      </c>
      <c r="Q483" s="4"/>
      <c r="R483" s="4"/>
      <c r="S483" s="9" t="str">
        <f>HYPERLINK("https://pbs.twimg.com/profile_images/935798516777193472/GZLzsxol.jpg","View")</f>
        <v>View</v>
      </c>
    </row>
    <row r="484" spans="1:19" ht="50">
      <c r="A484" s="8">
        <v>43348.530590277776</v>
      </c>
      <c r="B484" s="11" t="str">
        <f>HYPERLINK("https://twitter.com/nazokbin_ir","@nazokbin_ir")</f>
        <v>@nazokbin_ir</v>
      </c>
      <c r="C484" s="6" t="s">
        <v>3320</v>
      </c>
      <c r="D484" s="5" t="s">
        <v>15410</v>
      </c>
      <c r="E484" s="9" t="str">
        <f>HYPERLINK("https://twitter.com/nazokbin_ir/status/1037252505263108096","1037252505263108096")</f>
        <v>1037252505263108096</v>
      </c>
      <c r="F484" s="4"/>
      <c r="G484" s="10" t="s">
        <v>15409</v>
      </c>
      <c r="H484" s="4"/>
      <c r="I484" s="10" t="str">
        <f>HYPERLINK("http://twitter.com","Twitter Web Client")</f>
        <v>Twitter Web Client</v>
      </c>
      <c r="J484" s="2">
        <v>1217</v>
      </c>
      <c r="K484" s="2">
        <v>377</v>
      </c>
      <c r="L484" s="2">
        <v>9</v>
      </c>
      <c r="M484" s="2"/>
      <c r="N484" s="8">
        <v>42611.051342592589</v>
      </c>
      <c r="O484" s="4" t="s">
        <v>3318</v>
      </c>
      <c r="P484" s="3" t="s">
        <v>3317</v>
      </c>
      <c r="Q484" s="10" t="s">
        <v>3316</v>
      </c>
      <c r="R484" s="4"/>
      <c r="S484" s="9" t="str">
        <f>HYPERLINK("https://pbs.twimg.com/profile_images/1036527843835080704/IGEdZZJ5.jpg","View")</f>
        <v>View</v>
      </c>
    </row>
    <row r="485" spans="1:19" ht="90">
      <c r="A485" s="8">
        <v>43348.528449074074</v>
      </c>
      <c r="B485" s="11" t="str">
        <f>HYPERLINK("https://twitter.com/pooriast","@pooriast")</f>
        <v>@pooriast</v>
      </c>
      <c r="C485" s="6" t="s">
        <v>10943</v>
      </c>
      <c r="D485" s="5" t="s">
        <v>15408</v>
      </c>
      <c r="E485" s="9" t="str">
        <f>HYPERLINK("https://twitter.com/pooriast/status/1037251730101231616","1037251730101231616")</f>
        <v>1037251730101231616</v>
      </c>
      <c r="F485" s="10" t="s">
        <v>15407</v>
      </c>
      <c r="G485" s="10" t="s">
        <v>15406</v>
      </c>
      <c r="H485" s="4"/>
      <c r="I485" s="10" t="str">
        <f>HYPERLINK("http://twitter.com/download/android","Twitter for Android")</f>
        <v>Twitter for Android</v>
      </c>
      <c r="J485" s="2">
        <v>14052</v>
      </c>
      <c r="K485" s="2">
        <v>2525</v>
      </c>
      <c r="L485" s="2">
        <v>250</v>
      </c>
      <c r="M485" s="2"/>
      <c r="N485" s="8">
        <v>41144.852407407408</v>
      </c>
      <c r="O485" s="4"/>
      <c r="P485" s="3" t="s">
        <v>10941</v>
      </c>
      <c r="Q485" s="10" t="s">
        <v>10940</v>
      </c>
      <c r="R485" s="4"/>
      <c r="S485" s="9" t="str">
        <f>HYPERLINK("https://pbs.twimg.com/profile_images/1032936822068989952/kp-yDE1v.jpg","View")</f>
        <v>View</v>
      </c>
    </row>
    <row r="486" spans="1:19" ht="30">
      <c r="A486" s="8">
        <v>43348.528379629628</v>
      </c>
      <c r="B486" s="11" t="str">
        <f>HYPERLINK("https://twitter.com/mehrshadparhadi","@mehrshadparhadi")</f>
        <v>@mehrshadparhadi</v>
      </c>
      <c r="C486" s="6" t="s">
        <v>15405</v>
      </c>
      <c r="D486" s="5" t="s">
        <v>15404</v>
      </c>
      <c r="E486" s="9" t="str">
        <f>HYPERLINK("https://twitter.com/mehrshadparhadi/status/1037251706944450560","1037251706944450560")</f>
        <v>1037251706944450560</v>
      </c>
      <c r="F486" s="4"/>
      <c r="G486" s="4"/>
      <c r="H486" s="4"/>
      <c r="I486" s="10" t="str">
        <f>HYPERLINK("http://twitter.com","Twitter Web Client")</f>
        <v>Twitter Web Client</v>
      </c>
      <c r="J486" s="2">
        <v>1524</v>
      </c>
      <c r="K486" s="2">
        <v>1290</v>
      </c>
      <c r="L486" s="2">
        <v>4</v>
      </c>
      <c r="M486" s="2"/>
      <c r="N486" s="8">
        <v>42813.820868055554</v>
      </c>
      <c r="O486" s="4" t="s">
        <v>15403</v>
      </c>
      <c r="P486" s="3" t="s">
        <v>15402</v>
      </c>
      <c r="Q486" s="4"/>
      <c r="R486" s="4"/>
      <c r="S486" s="9" t="str">
        <f>HYPERLINK("https://pbs.twimg.com/profile_images/1024999782119555072/1WnIPd8I.jpg","View")</f>
        <v>View</v>
      </c>
    </row>
    <row r="487" spans="1:19" ht="20">
      <c r="A487" s="8">
        <v>43348.528182870374</v>
      </c>
      <c r="B487" s="11" t="str">
        <f>HYPERLINK("https://twitter.com/MAMOOTTI","@MAMOOTTI")</f>
        <v>@MAMOOTTI</v>
      </c>
      <c r="C487" s="6" t="s">
        <v>12031</v>
      </c>
      <c r="D487" s="5" t="s">
        <v>15401</v>
      </c>
      <c r="E487" s="9" t="str">
        <f>HYPERLINK("https://twitter.com/MAMOOTTI/status/1037251634437529601","1037251634437529601")</f>
        <v>1037251634437529601</v>
      </c>
      <c r="F487" s="4"/>
      <c r="G487" s="4"/>
      <c r="H487" s="4"/>
      <c r="I487" s="10" t="str">
        <f>HYPERLINK("http://twitter.com","Twitter Web Client")</f>
        <v>Twitter Web Client</v>
      </c>
      <c r="J487" s="2">
        <v>8</v>
      </c>
      <c r="K487" s="2">
        <v>29</v>
      </c>
      <c r="L487" s="2">
        <v>0</v>
      </c>
      <c r="M487" s="2"/>
      <c r="N487" s="8">
        <v>43346.61509259259</v>
      </c>
      <c r="O487" s="4"/>
      <c r="P487" s="3"/>
      <c r="Q487" s="4"/>
      <c r="R487" s="4"/>
      <c r="S487" s="2" t="s">
        <v>155</v>
      </c>
    </row>
    <row r="488" spans="1:19" ht="40">
      <c r="A488" s="8">
        <v>43348.52752314815</v>
      </c>
      <c r="B488" s="11" t="str">
        <f>HYPERLINK("https://twitter.com/javanane_irani","@javanane_irani")</f>
        <v>@javanane_irani</v>
      </c>
      <c r="C488" s="6" t="s">
        <v>2173</v>
      </c>
      <c r="D488" s="5" t="s">
        <v>15400</v>
      </c>
      <c r="E488" s="9" t="str">
        <f>HYPERLINK("https://twitter.com/javanane_irani/status/1037251394519146496","1037251394519146496")</f>
        <v>1037251394519146496</v>
      </c>
      <c r="F488" s="4"/>
      <c r="G488" s="4"/>
      <c r="H488" s="4"/>
      <c r="I488" s="10" t="str">
        <f>HYPERLINK("http://twitter.com","Twitter Web Client")</f>
        <v>Twitter Web Client</v>
      </c>
      <c r="J488" s="2">
        <v>6632</v>
      </c>
      <c r="K488" s="2">
        <v>7227</v>
      </c>
      <c r="L488" s="2">
        <v>4</v>
      </c>
      <c r="M488" s="2"/>
      <c r="N488" s="8">
        <v>43134.614490740743</v>
      </c>
      <c r="O488" s="4" t="s">
        <v>104</v>
      </c>
      <c r="P488" s="3" t="s">
        <v>2171</v>
      </c>
      <c r="Q488" s="4"/>
      <c r="R488" s="4"/>
      <c r="S488" s="9" t="str">
        <f>HYPERLINK("https://pbs.twimg.com/profile_images/975343201245523973/K32OCytB.jpg","View")</f>
        <v>View</v>
      </c>
    </row>
    <row r="489" spans="1:19" ht="20">
      <c r="A489" s="8">
        <v>43348.527199074073</v>
      </c>
      <c r="B489" s="11" t="str">
        <f>HYPERLINK("https://twitter.com/seyyedjavad92","@seyyedjavad92")</f>
        <v>@seyyedjavad92</v>
      </c>
      <c r="C489" s="6" t="s">
        <v>2108</v>
      </c>
      <c r="D489" s="5" t="s">
        <v>15399</v>
      </c>
      <c r="E489" s="9" t="str">
        <f>HYPERLINK("https://twitter.com/seyyedjavad92/status/1037251276478865408","1037251276478865408")</f>
        <v>1037251276478865408</v>
      </c>
      <c r="F489" s="4"/>
      <c r="G489" s="4"/>
      <c r="H489" s="4"/>
      <c r="I489" s="10" t="str">
        <f>HYPERLINK("http://twitter.com/download/android","Twitter for Android")</f>
        <v>Twitter for Android</v>
      </c>
      <c r="J489" s="2">
        <v>129</v>
      </c>
      <c r="K489" s="2">
        <v>123</v>
      </c>
      <c r="L489" s="2">
        <v>1</v>
      </c>
      <c r="M489" s="2"/>
      <c r="N489" s="8">
        <v>41612.475891203707</v>
      </c>
      <c r="O489" s="4"/>
      <c r="P489" s="3" t="s">
        <v>2106</v>
      </c>
      <c r="Q489" s="4"/>
      <c r="R489" s="4"/>
      <c r="S489" s="9" t="str">
        <f>HYPERLINK("https://pbs.twimg.com/profile_images/1004423608138194945/NlJmGAov.jpg","View")</f>
        <v>View</v>
      </c>
    </row>
    <row r="490" spans="1:19" ht="40">
      <c r="A490" s="8">
        <v>43348.526354166665</v>
      </c>
      <c r="B490" s="11" t="str">
        <f>HYPERLINK("https://twitter.com/Mohsenm78","@Mohsenm78")</f>
        <v>@Mohsenm78</v>
      </c>
      <c r="C490" s="6" t="s">
        <v>1823</v>
      </c>
      <c r="D490" s="5" t="s">
        <v>15398</v>
      </c>
      <c r="E490" s="9" t="str">
        <f>HYPERLINK("https://twitter.com/Mohsenm78/status/1037250971238387712","1037250971238387712")</f>
        <v>1037250971238387712</v>
      </c>
      <c r="F490" s="4"/>
      <c r="G490" s="4"/>
      <c r="H490" s="4"/>
      <c r="I490" s="10" t="str">
        <f>HYPERLINK("http://twitter.com/download/android","Twitter for Android")</f>
        <v>Twitter for Android</v>
      </c>
      <c r="J490" s="2">
        <v>0</v>
      </c>
      <c r="K490" s="2">
        <v>6</v>
      </c>
      <c r="L490" s="2">
        <v>0</v>
      </c>
      <c r="M490" s="2"/>
      <c r="N490" s="8">
        <v>43348.149664351848</v>
      </c>
      <c r="O490" s="4" t="s">
        <v>133</v>
      </c>
      <c r="P490" s="3"/>
      <c r="Q490" s="4"/>
      <c r="R490" s="4"/>
      <c r="S490" s="9" t="str">
        <f>HYPERLINK("https://pbs.twimg.com/profile_images/1037116562367504384/JcMs2o7n.jpg","View")</f>
        <v>View</v>
      </c>
    </row>
    <row r="491" spans="1:19" ht="20">
      <c r="A491" s="8">
        <v>43348.526134259257</v>
      </c>
      <c r="B491" s="11" t="str">
        <f>HYPERLINK("https://twitter.com/Tasnimnews_Fa","@Tasnimnews_Fa")</f>
        <v>@Tasnimnews_Fa</v>
      </c>
      <c r="C491" s="6" t="s">
        <v>603</v>
      </c>
      <c r="D491" s="5" t="s">
        <v>15397</v>
      </c>
      <c r="E491" s="9" t="str">
        <f>HYPERLINK("https://twitter.com/Tasnimnews_Fa/status/1037250890770595842","1037250890770595842")</f>
        <v>1037250890770595842</v>
      </c>
      <c r="F491" s="4"/>
      <c r="G491" s="10" t="s">
        <v>15396</v>
      </c>
      <c r="H491" s="4"/>
      <c r="I491" s="10" t="str">
        <f>HYPERLINK("http://twitter.com","Twitter Web Client")</f>
        <v>Twitter Web Client</v>
      </c>
      <c r="J491" s="2">
        <v>109782</v>
      </c>
      <c r="K491" s="2">
        <v>20</v>
      </c>
      <c r="L491" s="2">
        <v>376</v>
      </c>
      <c r="M491" s="2" t="s">
        <v>80</v>
      </c>
      <c r="N491" s="8">
        <v>41868.671585648146</v>
      </c>
      <c r="O491" s="4" t="s">
        <v>133</v>
      </c>
      <c r="P491" s="3" t="s">
        <v>599</v>
      </c>
      <c r="Q491" s="10" t="s">
        <v>598</v>
      </c>
      <c r="R491" s="4"/>
      <c r="S491" s="9" t="str">
        <f>HYPERLINK("https://pbs.twimg.com/profile_images/942003149430239232/hvLw_1_E.jpg","View")</f>
        <v>View</v>
      </c>
    </row>
    <row r="492" spans="1:19" ht="40">
      <c r="A492" s="8">
        <v>43348.52506944444</v>
      </c>
      <c r="B492" s="11" t="str">
        <f>HYPERLINK("https://twitter.com/fadak11011","@fadak11011")</f>
        <v>@fadak11011</v>
      </c>
      <c r="C492" s="6" t="s">
        <v>15395</v>
      </c>
      <c r="D492" s="5" t="s">
        <v>15394</v>
      </c>
      <c r="E492" s="9" t="str">
        <f>HYPERLINK("https://twitter.com/fadak11011/status/1037250505532231680","1037250505532231680")</f>
        <v>1037250505532231680</v>
      </c>
      <c r="F492" s="4"/>
      <c r="G492" s="10" t="s">
        <v>15393</v>
      </c>
      <c r="H492" s="4"/>
      <c r="I492" s="10" t="str">
        <f>HYPERLINK("http://twitter.com/download/android","Twitter for Android")</f>
        <v>Twitter for Android</v>
      </c>
      <c r="J492" s="2">
        <v>1032</v>
      </c>
      <c r="K492" s="2">
        <v>1398</v>
      </c>
      <c r="L492" s="2">
        <v>2</v>
      </c>
      <c r="M492" s="2"/>
      <c r="N492" s="8">
        <v>43261.913356481484</v>
      </c>
      <c r="O492" s="4"/>
      <c r="P492" s="3" t="s">
        <v>15392</v>
      </c>
      <c r="Q492" s="4"/>
      <c r="R492" s="4"/>
      <c r="S492" s="9" t="str">
        <f>HYPERLINK("https://pbs.twimg.com/profile_images/1031876177856749569/2bIiE_yH.jpg","View")</f>
        <v>View</v>
      </c>
    </row>
    <row r="493" spans="1:19" ht="40">
      <c r="A493" s="8">
        <v>43348.524837962963</v>
      </c>
      <c r="B493" s="11" t="str">
        <f>HYPERLINK("https://twitter.com/Plusboy7916","@Plusboy7916")</f>
        <v>@Plusboy7916</v>
      </c>
      <c r="C493" s="6" t="s">
        <v>2132</v>
      </c>
      <c r="D493" s="5" t="s">
        <v>15391</v>
      </c>
      <c r="E493" s="9" t="str">
        <f>HYPERLINK("https://twitter.com/Plusboy7916/status/1037250421272797185","1037250421272797185")</f>
        <v>1037250421272797185</v>
      </c>
      <c r="F493" s="4"/>
      <c r="G493" s="4"/>
      <c r="H493" s="4"/>
      <c r="I493" s="10" t="str">
        <f>HYPERLINK("https://mobile.twitter.com","Twitter Lite")</f>
        <v>Twitter Lite</v>
      </c>
      <c r="J493" s="2">
        <v>865</v>
      </c>
      <c r="K493" s="2">
        <v>993</v>
      </c>
      <c r="L493" s="2">
        <v>1</v>
      </c>
      <c r="M493" s="2"/>
      <c r="N493" s="8">
        <v>43103.001979166671</v>
      </c>
      <c r="O493" s="4"/>
      <c r="P493" s="3" t="s">
        <v>2130</v>
      </c>
      <c r="Q493" s="4"/>
      <c r="R493" s="4"/>
      <c r="S493" s="9" t="str">
        <f>HYPERLINK("https://pbs.twimg.com/profile_images/989969258158403584/7PZPWCMH.jpg","View")</f>
        <v>View</v>
      </c>
    </row>
    <row r="494" spans="1:19" ht="20">
      <c r="A494" s="8">
        <v>43348.524710648147</v>
      </c>
      <c r="B494" s="11" t="str">
        <f>HYPERLINK("https://twitter.com/saneey_a","@saneey_a")</f>
        <v>@saneey_a</v>
      </c>
      <c r="C494" s="6" t="s">
        <v>15390</v>
      </c>
      <c r="D494" s="5" t="s">
        <v>15389</v>
      </c>
      <c r="E494" s="9" t="str">
        <f>HYPERLINK("https://twitter.com/saneey_a/status/1037250376477671424","1037250376477671424")</f>
        <v>1037250376477671424</v>
      </c>
      <c r="F494" s="4"/>
      <c r="G494" s="4"/>
      <c r="H494" s="4"/>
      <c r="I494" s="10" t="str">
        <f>HYPERLINK("http://twitter.com/download/iphone","Twitter for iPhone")</f>
        <v>Twitter for iPhone</v>
      </c>
      <c r="J494" s="2">
        <v>71</v>
      </c>
      <c r="K494" s="2">
        <v>210</v>
      </c>
      <c r="L494" s="2">
        <v>0</v>
      </c>
      <c r="M494" s="2"/>
      <c r="N494" s="8">
        <v>42643.468807870369</v>
      </c>
      <c r="O494" s="4" t="s">
        <v>7532</v>
      </c>
      <c r="P494" s="3" t="s">
        <v>15388</v>
      </c>
      <c r="Q494" s="4"/>
      <c r="R494" s="4"/>
      <c r="S494" s="9" t="str">
        <f>HYPERLINK("https://pbs.twimg.com/profile_images/824312652549816320/epeorCem.jpg","View")</f>
        <v>View</v>
      </c>
    </row>
    <row r="495" spans="1:19" ht="30">
      <c r="A495" s="8">
        <v>43348.524375000001</v>
      </c>
      <c r="B495" s="11" t="str">
        <f>HYPERLINK("https://twitter.com/mahmoodgholami6","@mahmoodgholami6")</f>
        <v>@mahmoodgholami6</v>
      </c>
      <c r="C495" s="6" t="s">
        <v>3896</v>
      </c>
      <c r="D495" s="5" t="s">
        <v>15387</v>
      </c>
      <c r="E495" s="9" t="str">
        <f>HYPERLINK("https://twitter.com/mahmoodgholami6/status/1037250254444347392","1037250254444347392")</f>
        <v>1037250254444347392</v>
      </c>
      <c r="F495" s="4"/>
      <c r="G495" s="10" t="s">
        <v>15386</v>
      </c>
      <c r="H495" s="4"/>
      <c r="I495" s="10" t="str">
        <f>HYPERLINK("http://twitter.com","Twitter Web Client")</f>
        <v>Twitter Web Client</v>
      </c>
      <c r="J495" s="2">
        <v>4259</v>
      </c>
      <c r="K495" s="2">
        <v>3456</v>
      </c>
      <c r="L495" s="2">
        <v>4</v>
      </c>
      <c r="M495" s="2"/>
      <c r="N495" s="8">
        <v>42809.931446759263</v>
      </c>
      <c r="O495" s="4" t="s">
        <v>3893</v>
      </c>
      <c r="P495" s="3" t="s">
        <v>3892</v>
      </c>
      <c r="Q495" s="4"/>
      <c r="R495" s="4"/>
      <c r="S495" s="9" t="str">
        <f>HYPERLINK("https://pbs.twimg.com/profile_images/863690682233266177/aRXcaD0i.jpg","View")</f>
        <v>View</v>
      </c>
    </row>
    <row r="496" spans="1:19" ht="20">
      <c r="A496" s="8">
        <v>43348.523692129631</v>
      </c>
      <c r="B496" s="11" t="str">
        <f>HYPERLINK("https://twitter.com/AminBabazadeh2","@AminBabazadeh2")</f>
        <v>@AminBabazadeh2</v>
      </c>
      <c r="C496" s="6" t="s">
        <v>13219</v>
      </c>
      <c r="D496" s="5" t="s">
        <v>15385</v>
      </c>
      <c r="E496" s="9" t="str">
        <f>HYPERLINK("https://twitter.com/AminBabazadeh2/status/1037250005151690752","1037250005151690752")</f>
        <v>1037250005151690752</v>
      </c>
      <c r="F496" s="4"/>
      <c r="G496" s="4"/>
      <c r="H496" s="4"/>
      <c r="I496" s="10" t="str">
        <f>HYPERLINK("http://twitter.com/download/android","Twitter for Android")</f>
        <v>Twitter for Android</v>
      </c>
      <c r="J496" s="2">
        <v>1596</v>
      </c>
      <c r="K496" s="2">
        <v>1878</v>
      </c>
      <c r="L496" s="2">
        <v>4</v>
      </c>
      <c r="M496" s="2"/>
      <c r="N496" s="8">
        <v>42740.667476851857</v>
      </c>
      <c r="O496" s="4"/>
      <c r="P496" s="3" t="s">
        <v>13217</v>
      </c>
      <c r="Q496" s="10" t="s">
        <v>13216</v>
      </c>
      <c r="R496" s="4"/>
      <c r="S496" s="9" t="str">
        <f>HYPERLINK("https://pbs.twimg.com/profile_images/1014177014767644672/01hl5BLJ.jpg","View")</f>
        <v>View</v>
      </c>
    </row>
    <row r="497" spans="1:19" ht="40">
      <c r="A497" s="8">
        <v>43348.523240740746</v>
      </c>
      <c r="B497" s="11" t="str">
        <f>HYPERLINK("https://twitter.com/PaltinoSam","@PaltinoSam")</f>
        <v>@PaltinoSam</v>
      </c>
      <c r="C497" s="6" t="s">
        <v>15384</v>
      </c>
      <c r="D497" s="5" t="s">
        <v>15383</v>
      </c>
      <c r="E497" s="9" t="str">
        <f>HYPERLINK("https://twitter.com/PaltinoSam/status/1037249841695543296","1037249841695543296")</f>
        <v>1037249841695543296</v>
      </c>
      <c r="F497" s="4"/>
      <c r="G497" s="4"/>
      <c r="H497" s="4"/>
      <c r="I497" s="10" t="str">
        <f>HYPERLINK("http://twitter.com/download/android","Twitter for Android")</f>
        <v>Twitter for Android</v>
      </c>
      <c r="J497" s="2">
        <v>2</v>
      </c>
      <c r="K497" s="2">
        <v>0</v>
      </c>
      <c r="L497" s="2">
        <v>0</v>
      </c>
      <c r="M497" s="2"/>
      <c r="N497" s="8">
        <v>43343.009236111116</v>
      </c>
      <c r="O497" s="4" t="s">
        <v>15382</v>
      </c>
      <c r="P497" s="3"/>
      <c r="Q497" s="4"/>
      <c r="R497" s="4"/>
      <c r="S497" s="9" t="str">
        <f>HYPERLINK("https://pbs.twimg.com/profile_images/1037250372706988032/R_hYxPCv.jpg","View")</f>
        <v>View</v>
      </c>
    </row>
    <row r="498" spans="1:19" ht="20">
      <c r="A498" s="8">
        <v>43348.522604166668</v>
      </c>
      <c r="B498" s="11" t="str">
        <f>HYPERLINK("https://twitter.com/AliParvin83","@AliParvin83")</f>
        <v>@AliParvin83</v>
      </c>
      <c r="C498" s="6" t="s">
        <v>15381</v>
      </c>
      <c r="D498" s="5" t="s">
        <v>15380</v>
      </c>
      <c r="E498" s="9" t="str">
        <f>HYPERLINK("https://twitter.com/AliParvin83/status/1037249614045429760","1037249614045429760")</f>
        <v>1037249614045429760</v>
      </c>
      <c r="F498" s="4"/>
      <c r="G498" s="4"/>
      <c r="H498" s="4"/>
      <c r="I498" s="10" t="str">
        <f>HYPERLINK("http://twitter.com/download/android","Twitter for Android")</f>
        <v>Twitter for Android</v>
      </c>
      <c r="J498" s="2">
        <v>104</v>
      </c>
      <c r="K498" s="2">
        <v>35</v>
      </c>
      <c r="L498" s="2">
        <v>0</v>
      </c>
      <c r="M498" s="2"/>
      <c r="N498" s="8">
        <v>42691.444386574076</v>
      </c>
      <c r="O498" s="4"/>
      <c r="P498" s="3" t="s">
        <v>15379</v>
      </c>
      <c r="Q498" s="4"/>
      <c r="R498" s="4"/>
      <c r="S498" s="9" t="str">
        <f>HYPERLINK("https://pbs.twimg.com/profile_images/802926517118345217/L7ukLjhC.jpg","View")</f>
        <v>View</v>
      </c>
    </row>
    <row r="499" spans="1:19" ht="40">
      <c r="A499" s="8">
        <v>43348.522604166668</v>
      </c>
      <c r="B499" s="11" t="str">
        <f>HYPERLINK("https://twitter.com/ardavan_sijani","@ardavan_sijani")</f>
        <v>@ardavan_sijani</v>
      </c>
      <c r="C499" s="6" t="s">
        <v>2371</v>
      </c>
      <c r="D499" s="5" t="s">
        <v>15378</v>
      </c>
      <c r="E499" s="9" t="str">
        <f>HYPERLINK("https://twitter.com/ardavan_sijani/status/1037249611616931840","1037249611616931840")</f>
        <v>1037249611616931840</v>
      </c>
      <c r="F499" s="4"/>
      <c r="G499" s="10" t="s">
        <v>15377</v>
      </c>
      <c r="H499" s="4"/>
      <c r="I499" s="10" t="str">
        <f>HYPERLINK("http://twitter.com/download/android","Twitter for Android")</f>
        <v>Twitter for Android</v>
      </c>
      <c r="J499" s="2">
        <v>734</v>
      </c>
      <c r="K499" s="2">
        <v>1381</v>
      </c>
      <c r="L499" s="2">
        <v>3</v>
      </c>
      <c r="M499" s="2"/>
      <c r="N499" s="8">
        <v>42496.528865740736</v>
      </c>
      <c r="O499" s="4" t="s">
        <v>2368</v>
      </c>
      <c r="P499" s="3" t="s">
        <v>2367</v>
      </c>
      <c r="Q499" s="10" t="s">
        <v>2366</v>
      </c>
      <c r="R499" s="4"/>
      <c r="S499" s="9" t="str">
        <f>HYPERLINK("https://pbs.twimg.com/profile_images/871020529758720000/deDU-kB0.jpg","View")</f>
        <v>View</v>
      </c>
    </row>
    <row r="500" spans="1:19" ht="40">
      <c r="A500" s="8">
        <v>43348.52065972222</v>
      </c>
      <c r="B500" s="11" t="str">
        <f>HYPERLINK("https://twitter.com/Jkazemi1375","@Jkazemi1375")</f>
        <v>@Jkazemi1375</v>
      </c>
      <c r="C500" s="6" t="s">
        <v>10105</v>
      </c>
      <c r="D500" s="5" t="s">
        <v>15376</v>
      </c>
      <c r="E500" s="9" t="str">
        <f>HYPERLINK("https://twitter.com/Jkazemi1375/status/1037248907812712448","1037248907812712448")</f>
        <v>1037248907812712448</v>
      </c>
      <c r="F500" s="4"/>
      <c r="G500" s="10" t="s">
        <v>15375</v>
      </c>
      <c r="H500" s="4"/>
      <c r="I500" s="10" t="str">
        <f>HYPERLINK("https://mobile.twitter.com","Twitter Lite")</f>
        <v>Twitter Lite</v>
      </c>
      <c r="J500" s="2">
        <v>129</v>
      </c>
      <c r="K500" s="2">
        <v>47</v>
      </c>
      <c r="L500" s="2">
        <v>0</v>
      </c>
      <c r="M500" s="2"/>
      <c r="N500" s="8">
        <v>42855.782002314816</v>
      </c>
      <c r="O500" s="4" t="s">
        <v>10102</v>
      </c>
      <c r="P500" s="3" t="s">
        <v>10101</v>
      </c>
      <c r="Q500" s="4"/>
      <c r="R500" s="4"/>
      <c r="S500" s="9" t="str">
        <f>HYPERLINK("https://pbs.twimg.com/profile_images/1013759385577934848/1qiBMvHf.jpg","View")</f>
        <v>View</v>
      </c>
    </row>
    <row r="501" spans="1:19" ht="30">
      <c r="A501" s="8">
        <v>43348.520497685182</v>
      </c>
      <c r="B501" s="11" t="str">
        <f>HYPERLINK("https://twitter.com/rezabrowsel","@rezabrowsel")</f>
        <v>@rezabrowsel</v>
      </c>
      <c r="C501" s="6" t="s">
        <v>15374</v>
      </c>
      <c r="D501" s="5" t="s">
        <v>15373</v>
      </c>
      <c r="E501" s="9" t="str">
        <f>HYPERLINK("https://twitter.com/rezabrowsel/status/1037248849172033536","1037248849172033536")</f>
        <v>1037248849172033536</v>
      </c>
      <c r="F501" s="4"/>
      <c r="G501" s="4"/>
      <c r="H501" s="4"/>
      <c r="I501" s="10" t="str">
        <f>HYPERLINK("http://twitter.com/download/android","Twitter for Android")</f>
        <v>Twitter for Android</v>
      </c>
      <c r="J501" s="2">
        <v>82</v>
      </c>
      <c r="K501" s="2">
        <v>375</v>
      </c>
      <c r="L501" s="2">
        <v>1</v>
      </c>
      <c r="M501" s="2"/>
      <c r="N501" s="8">
        <v>39992.002870370372</v>
      </c>
      <c r="O501" s="4"/>
      <c r="P501" s="3"/>
      <c r="Q501" s="4"/>
      <c r="R501" s="4"/>
      <c r="S501" s="9" t="str">
        <f>HYPERLINK("https://pbs.twimg.com/profile_images/660361683215499264/rn9YYjkZ.jpg","View")</f>
        <v>View</v>
      </c>
    </row>
    <row r="502" spans="1:19" ht="12.5">
      <c r="A502" s="8">
        <v>43348.520428240736</v>
      </c>
      <c r="B502" s="11" t="str">
        <f>HYPERLINK("https://twitter.com/AbyatFatemhe","@AbyatFatemhe")</f>
        <v>@AbyatFatemhe</v>
      </c>
      <c r="C502" s="11" t="s">
        <v>15372</v>
      </c>
      <c r="D502" s="5" t="s">
        <v>15371</v>
      </c>
      <c r="E502" s="9" t="str">
        <f>HYPERLINK("https://twitter.com/AbyatFatemhe/status/1037248825503764481","1037248825503764481")</f>
        <v>1037248825503764481</v>
      </c>
      <c r="F502" s="4"/>
      <c r="G502" s="10" t="s">
        <v>15370</v>
      </c>
      <c r="H502" s="4"/>
      <c r="I502" s="10" t="str">
        <f>HYPERLINK("http://twitter.com/download/android","Twitter for Android")</f>
        <v>Twitter for Android</v>
      </c>
      <c r="J502" s="2">
        <v>5</v>
      </c>
      <c r="K502" s="2">
        <v>1</v>
      </c>
      <c r="L502" s="2">
        <v>0</v>
      </c>
      <c r="M502" s="2"/>
      <c r="N502" s="8">
        <v>43303.472511574073</v>
      </c>
      <c r="O502" s="4"/>
      <c r="P502" s="3" t="s">
        <v>15369</v>
      </c>
      <c r="Q502" s="4"/>
      <c r="R502" s="4"/>
      <c r="S502" s="9" t="str">
        <f>HYPERLINK("https://pbs.twimg.com/profile_images/1020926471278342145/4icEt5xe.jpg","View")</f>
        <v>View</v>
      </c>
    </row>
    <row r="503" spans="1:19" ht="30">
      <c r="A503" s="8">
        <v>43348.520416666666</v>
      </c>
      <c r="B503" s="11" t="str">
        <f>HYPERLINK("https://twitter.com/JavadParsa1","@JavadParsa1")</f>
        <v>@JavadParsa1</v>
      </c>
      <c r="C503" s="6" t="s">
        <v>15368</v>
      </c>
      <c r="D503" s="5" t="s">
        <v>15367</v>
      </c>
      <c r="E503" s="9" t="str">
        <f>HYPERLINK("https://twitter.com/JavadParsa1/status/1037248820449607680","1037248820449607680")</f>
        <v>1037248820449607680</v>
      </c>
      <c r="F503" s="4"/>
      <c r="G503" s="4"/>
      <c r="H503" s="4"/>
      <c r="I503" s="10" t="str">
        <f>HYPERLINK("http://twitter.com","Twitter Web Client")</f>
        <v>Twitter Web Client</v>
      </c>
      <c r="J503" s="2">
        <v>202</v>
      </c>
      <c r="K503" s="2">
        <v>418</v>
      </c>
      <c r="L503" s="2">
        <v>0</v>
      </c>
      <c r="M503" s="2"/>
      <c r="N503" s="8">
        <v>42831.373819444445</v>
      </c>
      <c r="O503" s="4" t="s">
        <v>34</v>
      </c>
      <c r="P503" s="3" t="s">
        <v>15366</v>
      </c>
      <c r="Q503" s="4"/>
      <c r="R503" s="4"/>
      <c r="S503" s="9" t="str">
        <f>HYPERLINK("https://pbs.twimg.com/profile_images/849897730461896704/eBiVCqM4.jpg","View")</f>
        <v>View</v>
      </c>
    </row>
    <row r="504" spans="1:19" ht="30">
      <c r="A504" s="8">
        <v>43348.520289351851</v>
      </c>
      <c r="B504" s="11" t="str">
        <f>HYPERLINK("https://twitter.com/MHRezaie1998","@MHRezaie1998")</f>
        <v>@MHRezaie1998</v>
      </c>
      <c r="C504" s="6" t="s">
        <v>15365</v>
      </c>
      <c r="D504" s="5" t="s">
        <v>15364</v>
      </c>
      <c r="E504" s="9" t="str">
        <f>HYPERLINK("https://twitter.com/MHRezaie1998/status/1037248774861664256","1037248774861664256")</f>
        <v>1037248774861664256</v>
      </c>
      <c r="F504" s="4"/>
      <c r="G504" s="4"/>
      <c r="H504" s="4"/>
      <c r="I504" s="10" t="str">
        <f>HYPERLINK("http://twitter.com/download/android","Twitter for Android")</f>
        <v>Twitter for Android</v>
      </c>
      <c r="J504" s="2">
        <v>6</v>
      </c>
      <c r="K504" s="2">
        <v>7</v>
      </c>
      <c r="L504" s="2">
        <v>1</v>
      </c>
      <c r="M504" s="2"/>
      <c r="N504" s="8">
        <v>42844.125833333332</v>
      </c>
      <c r="O504" s="4" t="s">
        <v>34</v>
      </c>
      <c r="P504" s="3" t="s">
        <v>15363</v>
      </c>
      <c r="Q504" s="4"/>
      <c r="R504" s="4"/>
      <c r="S504" s="9" t="str">
        <f>HYPERLINK("https://pbs.twimg.com/profile_images/989460247231246337/bV86Udkh.jpg","View")</f>
        <v>View</v>
      </c>
    </row>
    <row r="505" spans="1:19" ht="30">
      <c r="A505" s="8">
        <v>43348.519490740742</v>
      </c>
      <c r="B505" s="11" t="str">
        <f>HYPERLINK("https://twitter.com/Molaei4","@Molaei4")</f>
        <v>@Molaei4</v>
      </c>
      <c r="C505" s="6" t="s">
        <v>9652</v>
      </c>
      <c r="D505" s="5" t="s">
        <v>15362</v>
      </c>
      <c r="E505" s="9" t="str">
        <f>HYPERLINK("https://twitter.com/Molaei4/status/1037248486549405696","1037248486549405696")</f>
        <v>1037248486549405696</v>
      </c>
      <c r="F505" s="4"/>
      <c r="G505" s="4"/>
      <c r="H505" s="4"/>
      <c r="I505" s="10" t="str">
        <f>HYPERLINK("http://twitter.com/download/android","Twitter for Android")</f>
        <v>Twitter for Android</v>
      </c>
      <c r="J505" s="2">
        <v>1211</v>
      </c>
      <c r="K505" s="2">
        <v>2133</v>
      </c>
      <c r="L505" s="2">
        <v>2</v>
      </c>
      <c r="M505" s="2"/>
      <c r="N505" s="8">
        <v>43112.366296296299</v>
      </c>
      <c r="O505" s="4"/>
      <c r="P505" s="3" t="s">
        <v>9649</v>
      </c>
      <c r="Q505" s="4"/>
      <c r="R505" s="4"/>
      <c r="S505" s="9" t="str">
        <f>HYPERLINK("https://pbs.twimg.com/profile_images/1020967384465756160/67n3YVRk.jpg","View")</f>
        <v>View</v>
      </c>
    </row>
    <row r="506" spans="1:19" ht="40">
      <c r="A506" s="8">
        <v>43348.518842592588</v>
      </c>
      <c r="B506" s="11" t="str">
        <f>HYPERLINK("https://twitter.com/mersad314","@mersad314")</f>
        <v>@mersad314</v>
      </c>
      <c r="C506" s="6" t="s">
        <v>15361</v>
      </c>
      <c r="D506" s="5" t="s">
        <v>15360</v>
      </c>
      <c r="E506" s="9" t="str">
        <f>HYPERLINK("https://twitter.com/mersad314/status/1037248248929546240","1037248248929546240")</f>
        <v>1037248248929546240</v>
      </c>
      <c r="F506" s="4"/>
      <c r="G506" s="4"/>
      <c r="H506" s="4"/>
      <c r="I506" s="10" t="str">
        <f>HYPERLINK("http://twitter.com/download/android","Twitter for Android")</f>
        <v>Twitter for Android</v>
      </c>
      <c r="J506" s="2">
        <v>428</v>
      </c>
      <c r="K506" s="2">
        <v>360</v>
      </c>
      <c r="L506" s="2">
        <v>3</v>
      </c>
      <c r="M506" s="2"/>
      <c r="N506" s="8">
        <v>43252.596377314811</v>
      </c>
      <c r="O506" s="4" t="s">
        <v>15359</v>
      </c>
      <c r="P506" s="3" t="s">
        <v>15358</v>
      </c>
      <c r="Q506" s="4"/>
      <c r="R506" s="4"/>
      <c r="S506" s="9" t="str">
        <f>HYPERLINK("https://pbs.twimg.com/profile_images/1025493136372637696/oSXetEE7.jpg","View")</f>
        <v>View</v>
      </c>
    </row>
    <row r="507" spans="1:19" ht="40">
      <c r="A507" s="8">
        <v>43348.518576388888</v>
      </c>
      <c r="B507" s="11" t="str">
        <f>HYPERLINK("https://twitter.com/farshid_ghzpour","@farshid_ghzpour")</f>
        <v>@farshid_ghzpour</v>
      </c>
      <c r="C507" s="6" t="s">
        <v>15357</v>
      </c>
      <c r="D507" s="5" t="s">
        <v>15356</v>
      </c>
      <c r="E507" s="9" t="str">
        <f>HYPERLINK("https://twitter.com/farshid_ghzpour/status/1037248151298682881","1037248151298682881")</f>
        <v>1037248151298682881</v>
      </c>
      <c r="F507" s="4"/>
      <c r="G507" s="10" t="s">
        <v>15355</v>
      </c>
      <c r="H507" s="4"/>
      <c r="I507" s="10" t="str">
        <f>HYPERLINK("http://twitter.com","Twitter Web Client")</f>
        <v>Twitter Web Client</v>
      </c>
      <c r="J507" s="2">
        <v>3804</v>
      </c>
      <c r="K507" s="2">
        <v>924</v>
      </c>
      <c r="L507" s="2">
        <v>26</v>
      </c>
      <c r="M507" s="2"/>
      <c r="N507" s="8">
        <v>42621.514814814815</v>
      </c>
      <c r="O507" s="4" t="s">
        <v>324</v>
      </c>
      <c r="P507" s="3" t="s">
        <v>15354</v>
      </c>
      <c r="Q507" s="4"/>
      <c r="R507" s="4"/>
      <c r="S507" s="9" t="str">
        <f>HYPERLINK("https://pbs.twimg.com/profile_images/854178979628167168/2knEa61e.jpg","View")</f>
        <v>View</v>
      </c>
    </row>
    <row r="508" spans="1:19" ht="40">
      <c r="A508" s="8">
        <v>43348.518229166672</v>
      </c>
      <c r="B508" s="11" t="str">
        <f>HYPERLINK("https://twitter.com/HassanHadi1370","@HassanHadi1370")</f>
        <v>@HassanHadi1370</v>
      </c>
      <c r="C508" s="6" t="s">
        <v>15353</v>
      </c>
      <c r="D508" s="5" t="s">
        <v>15352</v>
      </c>
      <c r="E508" s="9" t="str">
        <f>HYPERLINK("https://twitter.com/HassanHadi1370/status/1037248028929871872","1037248028929871872")</f>
        <v>1037248028929871872</v>
      </c>
      <c r="F508" s="4"/>
      <c r="G508" s="4"/>
      <c r="H508" s="4"/>
      <c r="I508" s="10" t="str">
        <f>HYPERLINK("https://about.twitter.com/products/tweetdeck","TweetDeck")</f>
        <v>TweetDeck</v>
      </c>
      <c r="J508" s="2">
        <v>39</v>
      </c>
      <c r="K508" s="2">
        <v>68</v>
      </c>
      <c r="L508" s="2">
        <v>2</v>
      </c>
      <c r="M508" s="2"/>
      <c r="N508" s="8">
        <v>43153.584328703699</v>
      </c>
      <c r="O508" s="4" t="s">
        <v>34</v>
      </c>
      <c r="P508" s="3"/>
      <c r="Q508" s="4"/>
      <c r="R508" s="4"/>
      <c r="S508" s="9" t="str">
        <f>HYPERLINK("https://pbs.twimg.com/profile_images/966623517612617728/AmoTyu2Y.jpg","View")</f>
        <v>View</v>
      </c>
    </row>
    <row r="509" spans="1:19" ht="30">
      <c r="A509" s="8">
        <v>43348.517581018517</v>
      </c>
      <c r="B509" s="11" t="str">
        <f>HYPERLINK("https://twitter.com/AbasAslani","@AbasAslani")</f>
        <v>@AbasAslani</v>
      </c>
      <c r="C509" s="6" t="s">
        <v>15351</v>
      </c>
      <c r="D509" s="5" t="s">
        <v>15350</v>
      </c>
      <c r="E509" s="9" t="str">
        <f>HYPERLINK("https://twitter.com/AbasAslani/status/1037247794292109313","1037247794292109313")</f>
        <v>1037247794292109313</v>
      </c>
      <c r="F509" s="4"/>
      <c r="G509" s="10" t="s">
        <v>15349</v>
      </c>
      <c r="H509" s="4"/>
      <c r="I509" s="10" t="str">
        <f>HYPERLINK("http://twitter.com","Twitter Web Client")</f>
        <v>Twitter Web Client</v>
      </c>
      <c r="J509" s="2">
        <v>24959</v>
      </c>
      <c r="K509" s="2">
        <v>1199</v>
      </c>
      <c r="L509" s="2">
        <v>710</v>
      </c>
      <c r="M509" s="2"/>
      <c r="N509" s="8">
        <v>40407.578032407408</v>
      </c>
      <c r="O509" s="4" t="s">
        <v>133</v>
      </c>
      <c r="P509" s="3" t="s">
        <v>15348</v>
      </c>
      <c r="Q509" s="10" t="s">
        <v>15347</v>
      </c>
      <c r="R509" s="4"/>
      <c r="S509" s="9" t="str">
        <f>HYPERLINK("https://pbs.twimg.com/profile_images/585442737471631360/Zzs7zg-u.jpg","View")</f>
        <v>View</v>
      </c>
    </row>
    <row r="510" spans="1:19" ht="60">
      <c r="A510" s="8">
        <v>43348.51730324074</v>
      </c>
      <c r="B510" s="11" t="str">
        <f>HYPERLINK("https://twitter.com/sahab","@sahab")</f>
        <v>@sahab</v>
      </c>
      <c r="C510" s="6" t="s">
        <v>15346</v>
      </c>
      <c r="D510" s="5" t="s">
        <v>15345</v>
      </c>
      <c r="E510" s="9" t="str">
        <f>HYPERLINK("https://twitter.com/sahab/status/1037247693175832576","1037247693175832576")</f>
        <v>1037247693175832576</v>
      </c>
      <c r="F510" s="10" t="s">
        <v>15344</v>
      </c>
      <c r="G510" s="10" t="s">
        <v>15343</v>
      </c>
      <c r="H510" s="4"/>
      <c r="I510" s="10" t="str">
        <f>HYPERLINK("http://twitter.com","Twitter Web Client")</f>
        <v>Twitter Web Client</v>
      </c>
      <c r="J510" s="2">
        <v>737</v>
      </c>
      <c r="K510" s="2">
        <v>1440</v>
      </c>
      <c r="L510" s="2">
        <v>11</v>
      </c>
      <c r="M510" s="2"/>
      <c r="N510" s="8">
        <v>39672.595590277779</v>
      </c>
      <c r="O510" s="4" t="s">
        <v>133</v>
      </c>
      <c r="P510" s="3" t="s">
        <v>15342</v>
      </c>
      <c r="Q510" s="4"/>
      <c r="R510" s="4"/>
      <c r="S510" s="9" t="str">
        <f>HYPERLINK("https://pbs.twimg.com/profile_images/965537629847646208/z0Nl_9cR.jpg","View")</f>
        <v>View</v>
      </c>
    </row>
    <row r="511" spans="1:19" ht="30">
      <c r="A511" s="8">
        <v>43348.516585648147</v>
      </c>
      <c r="B511" s="11" t="str">
        <f>HYPERLINK("https://twitter.com/jaaa_maandeh","@jaaa_maandeh")</f>
        <v>@jaaa_maandeh</v>
      </c>
      <c r="C511" s="6" t="s">
        <v>3381</v>
      </c>
      <c r="D511" s="5" t="s">
        <v>15341</v>
      </c>
      <c r="E511" s="9" t="str">
        <f>HYPERLINK("https://twitter.com/jaaa_maandeh/status/1037247433057681408","1037247433057681408")</f>
        <v>1037247433057681408</v>
      </c>
      <c r="F511" s="4"/>
      <c r="G511" s="4"/>
      <c r="H511" s="4"/>
      <c r="I511" s="10" t="str">
        <f>HYPERLINK("http://twitter.com/download/android","Twitter for Android")</f>
        <v>Twitter for Android</v>
      </c>
      <c r="J511" s="2">
        <v>32</v>
      </c>
      <c r="K511" s="2">
        <v>88</v>
      </c>
      <c r="L511" s="2">
        <v>0</v>
      </c>
      <c r="M511" s="2"/>
      <c r="N511" s="8">
        <v>43294.530162037037</v>
      </c>
      <c r="O511" s="4" t="s">
        <v>34</v>
      </c>
      <c r="P511" s="3" t="s">
        <v>3379</v>
      </c>
      <c r="Q511" s="4"/>
      <c r="R511" s="4"/>
      <c r="S511" s="9" t="str">
        <f>HYPERLINK("https://pbs.twimg.com/profile_images/1017684935526748160/CbeHLdXR.jpg","View")</f>
        <v>View</v>
      </c>
    </row>
    <row r="512" spans="1:19" ht="40">
      <c r="A512" s="8">
        <v>43348.515810185185</v>
      </c>
      <c r="B512" s="11" t="str">
        <f>HYPERLINK("https://twitter.com/IRConfederation","@IRConfederation")</f>
        <v>@IRConfederation</v>
      </c>
      <c r="C512" s="6" t="s">
        <v>15340</v>
      </c>
      <c r="D512" s="5" t="s">
        <v>15339</v>
      </c>
      <c r="E512" s="9" t="str">
        <f>HYPERLINK("https://twitter.com/IRConfederation/status/1037247151183736832","1037247151183736832")</f>
        <v>1037247151183736832</v>
      </c>
      <c r="F512" s="4"/>
      <c r="G512" s="4"/>
      <c r="H512" s="4"/>
      <c r="I512" s="10" t="str">
        <f>HYPERLINK("http://twitter.com/download/iphone","Twitter for iPhone")</f>
        <v>Twitter for iPhone</v>
      </c>
      <c r="J512" s="2">
        <v>6177</v>
      </c>
      <c r="K512" s="2">
        <v>6390</v>
      </c>
      <c r="L512" s="2">
        <v>5</v>
      </c>
      <c r="M512" s="2"/>
      <c r="N512" s="8">
        <v>43120.991851851853</v>
      </c>
      <c r="O512" s="4"/>
      <c r="P512" s="3" t="s">
        <v>15338</v>
      </c>
      <c r="Q512" s="4"/>
      <c r="R512" s="4"/>
      <c r="S512" s="9" t="str">
        <f>HYPERLINK("https://pbs.twimg.com/profile_images/974628375183679495/98Dg7qxB.jpg","View")</f>
        <v>View</v>
      </c>
    </row>
    <row r="513" spans="1:19" ht="30">
      <c r="A513" s="8">
        <v>43348.515590277777</v>
      </c>
      <c r="B513" s="11" t="str">
        <f>HYPERLINK("https://twitter.com/mehdiahmadi193","@mehdiahmadi193")</f>
        <v>@mehdiahmadi193</v>
      </c>
      <c r="C513" s="6" t="s">
        <v>15337</v>
      </c>
      <c r="D513" s="5" t="s">
        <v>15336</v>
      </c>
      <c r="E513" s="9" t="str">
        <f>HYPERLINK("https://twitter.com/mehdiahmadi193/status/1037247072204988417","1037247072204988417")</f>
        <v>1037247072204988417</v>
      </c>
      <c r="F513" s="4"/>
      <c r="G513" s="4"/>
      <c r="H513" s="4"/>
      <c r="I513" s="10" t="str">
        <f>HYPERLINK("http://twitter.com/download/android","Twitter for Android")</f>
        <v>Twitter for Android</v>
      </c>
      <c r="J513" s="2">
        <v>460</v>
      </c>
      <c r="K513" s="2">
        <v>493</v>
      </c>
      <c r="L513" s="2">
        <v>0</v>
      </c>
      <c r="M513" s="2"/>
      <c r="N513" s="8">
        <v>41805.535011574073</v>
      </c>
      <c r="O513" s="4" t="s">
        <v>17</v>
      </c>
      <c r="P513" s="3" t="s">
        <v>15335</v>
      </c>
      <c r="Q513" s="4"/>
      <c r="R513" s="4"/>
      <c r="S513" s="9" t="str">
        <f>HYPERLINK("https://pbs.twimg.com/profile_images/992810888070647810/R0IMqgo3.jpg","View")</f>
        <v>View</v>
      </c>
    </row>
    <row r="514" spans="1:19" ht="30">
      <c r="A514" s="8">
        <v>43348.515011574069</v>
      </c>
      <c r="B514" s="11" t="str">
        <f>HYPERLINK("https://twitter.com/Fars_Plus","@Fars_Plus")</f>
        <v>@Fars_Plus</v>
      </c>
      <c r="C514" s="6" t="s">
        <v>11046</v>
      </c>
      <c r="D514" s="5" t="s">
        <v>15334</v>
      </c>
      <c r="E514" s="9" t="str">
        <f>HYPERLINK("https://twitter.com/Fars_Plus/status/1037246860535193600","1037246860535193600")</f>
        <v>1037246860535193600</v>
      </c>
      <c r="F514" s="4"/>
      <c r="G514" s="10" t="s">
        <v>15333</v>
      </c>
      <c r="H514" s="4"/>
      <c r="I514" s="10" t="str">
        <f>HYPERLINK("http://twitter.com","Twitter Web Client")</f>
        <v>Twitter Web Client</v>
      </c>
      <c r="J514" s="2">
        <v>9195</v>
      </c>
      <c r="K514" s="2">
        <v>2488</v>
      </c>
      <c r="L514" s="2">
        <v>42</v>
      </c>
      <c r="M514" s="2"/>
      <c r="N514" s="8">
        <v>42600.154826388884</v>
      </c>
      <c r="O514" s="4" t="s">
        <v>34</v>
      </c>
      <c r="P514" s="14" t="s">
        <v>11043</v>
      </c>
      <c r="Q514" s="10" t="s">
        <v>11042</v>
      </c>
      <c r="R514" s="4"/>
      <c r="S514" s="9" t="str">
        <f>HYPERLINK("https://pbs.twimg.com/profile_images/962349920995958784/LdtvhLnc.jpg","View")</f>
        <v>View</v>
      </c>
    </row>
    <row r="515" spans="1:19" ht="40">
      <c r="A515" s="8">
        <v>43348.514212962968</v>
      </c>
      <c r="B515" s="11" t="str">
        <f>HYPERLINK("https://twitter.com/amire_tanha","@amire_tanha")</f>
        <v>@amire_tanha</v>
      </c>
      <c r="C515" s="6" t="s">
        <v>9891</v>
      </c>
      <c r="D515" s="5" t="s">
        <v>15332</v>
      </c>
      <c r="E515" s="9" t="str">
        <f>HYPERLINK("https://twitter.com/amire_tanha/status/1037246572675977217","1037246572675977217")</f>
        <v>1037246572675977217</v>
      </c>
      <c r="F515" s="4"/>
      <c r="G515" s="10" t="s">
        <v>15331</v>
      </c>
      <c r="H515" s="4"/>
      <c r="I515" s="10" t="str">
        <f>HYPERLINK("http://twitter.com/download/iphone","Twitter for iPhone")</f>
        <v>Twitter for iPhone</v>
      </c>
      <c r="J515" s="2">
        <v>7134</v>
      </c>
      <c r="K515" s="2">
        <v>3702</v>
      </c>
      <c r="L515" s="2">
        <v>28</v>
      </c>
      <c r="M515" s="2"/>
      <c r="N515" s="8">
        <v>41558.983773148146</v>
      </c>
      <c r="O515" s="4" t="s">
        <v>682</v>
      </c>
      <c r="P515" s="3" t="s">
        <v>9889</v>
      </c>
      <c r="Q515" s="10" t="s">
        <v>9888</v>
      </c>
      <c r="R515" s="4"/>
      <c r="S515" s="9" t="str">
        <f>HYPERLINK("https://pbs.twimg.com/profile_images/1036232878613585920/j3d_Xz4o.jpg","View")</f>
        <v>View</v>
      </c>
    </row>
    <row r="516" spans="1:19" ht="20">
      <c r="A516" s="8">
        <v>43348.513020833328</v>
      </c>
      <c r="B516" s="11" t="str">
        <f>HYPERLINK("https://twitter.com/jey_land","@jey_land")</f>
        <v>@jey_land</v>
      </c>
      <c r="C516" s="6" t="s">
        <v>3567</v>
      </c>
      <c r="D516" s="5" t="s">
        <v>15330</v>
      </c>
      <c r="E516" s="9" t="str">
        <f>HYPERLINK("https://twitter.com/jey_land/status/1037246141019156481","1037246141019156481")</f>
        <v>1037246141019156481</v>
      </c>
      <c r="F516" s="4"/>
      <c r="G516" s="4"/>
      <c r="H516" s="4"/>
      <c r="I516" s="10" t="str">
        <f>HYPERLINK("http://twitter.com/download/android","Twitter for Android")</f>
        <v>Twitter for Android</v>
      </c>
      <c r="J516" s="2">
        <v>251</v>
      </c>
      <c r="K516" s="2">
        <v>322</v>
      </c>
      <c r="L516" s="2">
        <v>0</v>
      </c>
      <c r="M516" s="2"/>
      <c r="N516" s="8">
        <v>43236.299930555557</v>
      </c>
      <c r="O516" s="4" t="s">
        <v>133</v>
      </c>
      <c r="P516" s="3" t="s">
        <v>3565</v>
      </c>
      <c r="Q516" s="4"/>
      <c r="R516" s="4"/>
      <c r="S516" s="9" t="str">
        <f>HYPERLINK("https://pbs.twimg.com/profile_images/1032936238414737408/h_dl45Dd.jpg","View")</f>
        <v>View</v>
      </c>
    </row>
    <row r="517" spans="1:19" ht="60">
      <c r="A517" s="8">
        <v>43348.512245370366</v>
      </c>
      <c r="B517" s="11" t="str">
        <f>HYPERLINK("https://twitter.com/mmia6889","@mmia6889")</f>
        <v>@mmia6889</v>
      </c>
      <c r="C517" s="6" t="s">
        <v>15329</v>
      </c>
      <c r="D517" s="5" t="s">
        <v>15328</v>
      </c>
      <c r="E517" s="9" t="str">
        <f>HYPERLINK("https://twitter.com/mmia6889/status/1037245859338047488","1037245859338047488")</f>
        <v>1037245859338047488</v>
      </c>
      <c r="F517" s="10" t="s">
        <v>15327</v>
      </c>
      <c r="G517" s="10" t="s">
        <v>15326</v>
      </c>
      <c r="H517" s="4"/>
      <c r="I517" s="10" t="str">
        <f>HYPERLINK("http://twitter.com/download/iphone","Twitter for iPhone")</f>
        <v>Twitter for iPhone</v>
      </c>
      <c r="J517" s="2">
        <v>165</v>
      </c>
      <c r="K517" s="2">
        <v>162</v>
      </c>
      <c r="L517" s="2">
        <v>0</v>
      </c>
      <c r="M517" s="2"/>
      <c r="N517" s="8">
        <v>42213.502372685187</v>
      </c>
      <c r="O517" s="4" t="s">
        <v>4211</v>
      </c>
      <c r="P517" s="3" t="s">
        <v>15325</v>
      </c>
      <c r="Q517" s="4"/>
      <c r="R517" s="4"/>
      <c r="S517" s="9" t="str">
        <f>HYPERLINK("https://pbs.twimg.com/profile_images/985112830285402113/gp5hT54I.jpg","View")</f>
        <v>View</v>
      </c>
    </row>
    <row r="518" spans="1:19" ht="20">
      <c r="A518" s="8">
        <v>43348.512013888889</v>
      </c>
      <c r="B518" s="11" t="str">
        <f>HYPERLINK("https://twitter.com/AmirmasoudDels5","@AmirmasoudDels5")</f>
        <v>@AmirmasoudDels5</v>
      </c>
      <c r="C518" s="6" t="s">
        <v>15324</v>
      </c>
      <c r="D518" s="5" t="s">
        <v>15323</v>
      </c>
      <c r="E518" s="9" t="str">
        <f>HYPERLINK("https://twitter.com/AmirmasoudDels5/status/1037245776450281472","1037245776450281472")</f>
        <v>1037245776450281472</v>
      </c>
      <c r="F518" s="4"/>
      <c r="G518" s="4"/>
      <c r="H518" s="4"/>
      <c r="I518" s="10" t="str">
        <f>HYPERLINK("http://twitter.com/download/android","Twitter for Android")</f>
        <v>Twitter for Android</v>
      </c>
      <c r="J518" s="2">
        <v>58</v>
      </c>
      <c r="K518" s="2">
        <v>248</v>
      </c>
      <c r="L518" s="2">
        <v>0</v>
      </c>
      <c r="M518" s="2"/>
      <c r="N518" s="8">
        <v>43254.976053240738</v>
      </c>
      <c r="O518" s="4"/>
      <c r="P518" s="3" t="s">
        <v>15322</v>
      </c>
      <c r="Q518" s="4"/>
      <c r="R518" s="4"/>
      <c r="S518" s="9" t="str">
        <f>HYPERLINK("https://pbs.twimg.com/profile_images/1003357093896826880/EkYl7Zf3.jpg","View")</f>
        <v>View</v>
      </c>
    </row>
    <row r="519" spans="1:19" ht="50">
      <c r="A519" s="8">
        <v>43348.510601851856</v>
      </c>
      <c r="B519" s="11" t="str">
        <f>HYPERLINK("https://twitter.com/Mrezaa1211","@Mrezaa1211")</f>
        <v>@Mrezaa1211</v>
      </c>
      <c r="C519" s="6" t="s">
        <v>3993</v>
      </c>
      <c r="D519" s="5" t="s">
        <v>15321</v>
      </c>
      <c r="E519" s="9" t="str">
        <f>HYPERLINK("https://twitter.com/Mrezaa1211/status/1037245261335150594","1037245261335150594")</f>
        <v>1037245261335150594</v>
      </c>
      <c r="F519" s="4" t="s">
        <v>15320</v>
      </c>
      <c r="G519" s="4"/>
      <c r="H519" s="4"/>
      <c r="I519" s="10" t="str">
        <f>HYPERLINK("http://twitter.com","Twitter Web Client")</f>
        <v>Twitter Web Client</v>
      </c>
      <c r="J519" s="2">
        <v>99</v>
      </c>
      <c r="K519" s="2">
        <v>185</v>
      </c>
      <c r="L519" s="2">
        <v>1</v>
      </c>
      <c r="M519" s="2"/>
      <c r="N519" s="8">
        <v>42828.01457175926</v>
      </c>
      <c r="O519" s="4" t="s">
        <v>894</v>
      </c>
      <c r="P519" s="3" t="s">
        <v>15319</v>
      </c>
      <c r="Q519" s="10" t="s">
        <v>3990</v>
      </c>
      <c r="R519" s="4"/>
      <c r="S519" s="9" t="str">
        <f>HYPERLINK("https://pbs.twimg.com/profile_images/953044560887930881/Ox8zj6kG.jpg","View")</f>
        <v>View</v>
      </c>
    </row>
    <row r="520" spans="1:19" ht="40">
      <c r="A520" s="8">
        <v>43348.508784722224</v>
      </c>
      <c r="B520" s="11" t="str">
        <f>HYPERLINK("https://twitter.com/theJeff1996","@theJeff1996")</f>
        <v>@theJeff1996</v>
      </c>
      <c r="C520" s="6" t="s">
        <v>15318</v>
      </c>
      <c r="D520" s="5" t="s">
        <v>15317</v>
      </c>
      <c r="E520" s="9" t="str">
        <f>HYPERLINK("https://twitter.com/theJeff1996/status/1037244604855279616","1037244604855279616")</f>
        <v>1037244604855279616</v>
      </c>
      <c r="F520" s="4"/>
      <c r="G520" s="4"/>
      <c r="H520" s="4"/>
      <c r="I520" s="10" t="str">
        <f>HYPERLINK("http://twitter.com","Twitter Web Client")</f>
        <v>Twitter Web Client</v>
      </c>
      <c r="J520" s="2">
        <v>316</v>
      </c>
      <c r="K520" s="2">
        <v>305</v>
      </c>
      <c r="L520" s="2">
        <v>2</v>
      </c>
      <c r="M520" s="2"/>
      <c r="N520" s="8">
        <v>43220.754351851851</v>
      </c>
      <c r="O520" s="4"/>
      <c r="P520" s="3" t="s">
        <v>15316</v>
      </c>
      <c r="Q520" s="4"/>
      <c r="R520" s="4"/>
      <c r="S520" s="9" t="str">
        <f>HYPERLINK("https://pbs.twimg.com/profile_images/995718397005479941/6jUG5HQz.jpg","View")</f>
        <v>View</v>
      </c>
    </row>
    <row r="521" spans="1:19" ht="30">
      <c r="A521" s="8">
        <v>43348.508402777778</v>
      </c>
      <c r="B521" s="11" t="str">
        <f>HYPERLINK("https://twitter.com/FarzaneGholami","@FarzaneGholami")</f>
        <v>@FarzaneGholami</v>
      </c>
      <c r="C521" s="6" t="s">
        <v>3325</v>
      </c>
      <c r="D521" s="5" t="s">
        <v>15315</v>
      </c>
      <c r="E521" s="9" t="str">
        <f>HYPERLINK("https://twitter.com/FarzaneGholami/status/1037244465109454848","1037244465109454848")</f>
        <v>1037244465109454848</v>
      </c>
      <c r="F521" s="10" t="s">
        <v>15314</v>
      </c>
      <c r="G521" s="4"/>
      <c r="H521" s="4"/>
      <c r="I521" s="10" t="str">
        <f>HYPERLINK("http://twitter.com/download/iphone","Twitter for iPhone")</f>
        <v>Twitter for iPhone</v>
      </c>
      <c r="J521" s="2">
        <v>1329</v>
      </c>
      <c r="K521" s="2">
        <v>347</v>
      </c>
      <c r="L521" s="2">
        <v>9</v>
      </c>
      <c r="M521" s="2"/>
      <c r="N521" s="8">
        <v>42913.865844907406</v>
      </c>
      <c r="O521" s="4" t="s">
        <v>3323</v>
      </c>
      <c r="P521" s="3" t="s">
        <v>3322</v>
      </c>
      <c r="Q521" s="10" t="s">
        <v>3321</v>
      </c>
      <c r="R521" s="4"/>
      <c r="S521" s="9" t="str">
        <f>HYPERLINK("https://pbs.twimg.com/profile_images/935662282071248898/p2xZ02IS.jpg","View")</f>
        <v>View</v>
      </c>
    </row>
    <row r="522" spans="1:19" ht="20">
      <c r="A522" s="8">
        <v>43348.508275462962</v>
      </c>
      <c r="B522" s="11" t="str">
        <f>HYPERLINK("https://twitter.com/SecretfulWorld","@SecretfulWorld")</f>
        <v>@SecretfulWorld</v>
      </c>
      <c r="C522" s="6" t="s">
        <v>15313</v>
      </c>
      <c r="D522" s="5" t="s">
        <v>15312</v>
      </c>
      <c r="E522" s="9" t="str">
        <f>HYPERLINK("https://twitter.com/SecretfulWorld/status/1037244418758197248","1037244418758197248")</f>
        <v>1037244418758197248</v>
      </c>
      <c r="F522" s="4"/>
      <c r="G522" s="4"/>
      <c r="H522" s="4"/>
      <c r="I522" s="10" t="str">
        <f>HYPERLINK("http://twitter.com/download/iphone","Twitter for iPhone")</f>
        <v>Twitter for iPhone</v>
      </c>
      <c r="J522" s="2">
        <v>64</v>
      </c>
      <c r="K522" s="2">
        <v>232</v>
      </c>
      <c r="L522" s="2">
        <v>0</v>
      </c>
      <c r="M522" s="2"/>
      <c r="N522" s="8">
        <v>41943.692430555559</v>
      </c>
      <c r="O522" s="4" t="s">
        <v>34</v>
      </c>
      <c r="P522" s="3" t="s">
        <v>15311</v>
      </c>
      <c r="Q522" s="4"/>
      <c r="R522" s="4"/>
      <c r="S522" s="9" t="str">
        <f>HYPERLINK("https://pbs.twimg.com/profile_images/593465826755350529/chnp_4r7.jpg","View")</f>
        <v>View</v>
      </c>
    </row>
    <row r="523" spans="1:19" ht="12.5">
      <c r="A523" s="8">
        <v>43348.507638888885</v>
      </c>
      <c r="B523" s="11" t="str">
        <f>HYPERLINK("https://twitter.com/seyyedehtesham","@seyyedehtesham")</f>
        <v>@seyyedehtesham</v>
      </c>
      <c r="C523" s="6" t="s">
        <v>9937</v>
      </c>
      <c r="D523" s="5" t="s">
        <v>15310</v>
      </c>
      <c r="E523" s="9" t="str">
        <f>HYPERLINK("https://twitter.com/seyyedehtesham/status/1037244191452155904","1037244191452155904")</f>
        <v>1037244191452155904</v>
      </c>
      <c r="F523" s="4"/>
      <c r="G523" s="4"/>
      <c r="H523" s="4"/>
      <c r="I523" s="10" t="str">
        <f>HYPERLINK("http://twitter.com/download/android","Twitter for Android")</f>
        <v>Twitter for Android</v>
      </c>
      <c r="J523" s="2">
        <v>3078</v>
      </c>
      <c r="K523" s="2">
        <v>455</v>
      </c>
      <c r="L523" s="2">
        <v>28</v>
      </c>
      <c r="M523" s="2"/>
      <c r="N523" s="8">
        <v>41451.7894212963</v>
      </c>
      <c r="O523" s="4"/>
      <c r="P523" s="3" t="s">
        <v>9935</v>
      </c>
      <c r="Q523" s="4"/>
      <c r="R523" s="4"/>
      <c r="S523" s="9" t="str">
        <f>HYPERLINK("https://pbs.twimg.com/profile_images/935798516777193472/GZLzsxol.jpg","View")</f>
        <v>View</v>
      </c>
    </row>
    <row r="524" spans="1:19" ht="30">
      <c r="A524" s="8">
        <v>43348.507581018523</v>
      </c>
      <c r="B524" s="11" t="str">
        <f>HYPERLINK("https://twitter.com/sina69am","@sina69am")</f>
        <v>@sina69am</v>
      </c>
      <c r="C524" s="6" t="s">
        <v>13524</v>
      </c>
      <c r="D524" s="5" t="s">
        <v>15309</v>
      </c>
      <c r="E524" s="9" t="str">
        <f>HYPERLINK("https://twitter.com/sina69am/status/1037244170497388545","1037244170497388545")</f>
        <v>1037244170497388545</v>
      </c>
      <c r="F524" s="4"/>
      <c r="G524" s="10" t="s">
        <v>15308</v>
      </c>
      <c r="H524" s="4"/>
      <c r="I524" s="10" t="str">
        <f>HYPERLINK("https://mobile.twitter.com","Twitter Lite")</f>
        <v>Twitter Lite</v>
      </c>
      <c r="J524" s="2">
        <v>177</v>
      </c>
      <c r="K524" s="2">
        <v>273</v>
      </c>
      <c r="L524" s="2">
        <v>0</v>
      </c>
      <c r="M524" s="2"/>
      <c r="N524" s="8">
        <v>43010.917476851857</v>
      </c>
      <c r="O524" s="4" t="s">
        <v>13522</v>
      </c>
      <c r="P524" s="3" t="s">
        <v>13521</v>
      </c>
      <c r="Q524" s="4"/>
      <c r="R524" s="4"/>
      <c r="S524" s="9" t="str">
        <f>HYPERLINK("https://pbs.twimg.com/profile_images/1036956348997615617/HsS915U1.jpg","View")</f>
        <v>View</v>
      </c>
    </row>
    <row r="525" spans="1:19" ht="30">
      <c r="A525" s="8">
        <v>43348.507233796292</v>
      </c>
      <c r="B525" s="11" t="str">
        <f>HYPERLINK("https://twitter.com/Plusboy7916","@Plusboy7916")</f>
        <v>@Plusboy7916</v>
      </c>
      <c r="C525" s="6" t="s">
        <v>2132</v>
      </c>
      <c r="D525" s="5" t="s">
        <v>15307</v>
      </c>
      <c r="E525" s="9" t="str">
        <f>HYPERLINK("https://twitter.com/Plusboy7916/status/1037244041962901504","1037244041962901504")</f>
        <v>1037244041962901504</v>
      </c>
      <c r="F525" s="4"/>
      <c r="G525" s="10" t="s">
        <v>15306</v>
      </c>
      <c r="H525" s="4"/>
      <c r="I525" s="10" t="str">
        <f>HYPERLINK("https://mobile.twitter.com","Twitter Lite")</f>
        <v>Twitter Lite</v>
      </c>
      <c r="J525" s="2">
        <v>867</v>
      </c>
      <c r="K525" s="2">
        <v>993</v>
      </c>
      <c r="L525" s="2">
        <v>1</v>
      </c>
      <c r="M525" s="2"/>
      <c r="N525" s="8">
        <v>43103.001979166671</v>
      </c>
      <c r="O525" s="4"/>
      <c r="P525" s="3" t="s">
        <v>2130</v>
      </c>
      <c r="Q525" s="4"/>
      <c r="R525" s="4"/>
      <c r="S525" s="9" t="str">
        <f>HYPERLINK("https://pbs.twimg.com/profile_images/989969258158403584/7PZPWCMH.jpg","View")</f>
        <v>View</v>
      </c>
    </row>
    <row r="526" spans="1:19" ht="20">
      <c r="A526" s="8">
        <v>43348.506956018522</v>
      </c>
      <c r="B526" s="11" t="str">
        <f>HYPERLINK("https://twitter.com/pouriazeraati","@pouriazeraati")</f>
        <v>@pouriazeraati</v>
      </c>
      <c r="C526" s="6" t="s">
        <v>462</v>
      </c>
      <c r="D526" s="5" t="s">
        <v>15305</v>
      </c>
      <c r="E526" s="9" t="str">
        <f>HYPERLINK("https://twitter.com/pouriazeraati/status/1037243943216394240","1037243943216394240")</f>
        <v>1037243943216394240</v>
      </c>
      <c r="F526" s="4"/>
      <c r="G526" s="4"/>
      <c r="H526" s="4"/>
      <c r="I526" s="10" t="str">
        <f>HYPERLINK("http://twitter.com/download/iphone","Twitter for iPhone")</f>
        <v>Twitter for iPhone</v>
      </c>
      <c r="J526" s="2">
        <v>41539</v>
      </c>
      <c r="K526" s="2">
        <v>94</v>
      </c>
      <c r="L526" s="2">
        <v>110</v>
      </c>
      <c r="M526" s="2" t="s">
        <v>80</v>
      </c>
      <c r="N526" s="8">
        <v>41400.92423611111</v>
      </c>
      <c r="O526" s="4" t="s">
        <v>460</v>
      </c>
      <c r="P526" s="3" t="s">
        <v>459</v>
      </c>
      <c r="Q526" s="10" t="s">
        <v>458</v>
      </c>
      <c r="R526" s="4"/>
      <c r="S526" s="9" t="str">
        <f>HYPERLINK("https://pbs.twimg.com/profile_images/960258469214523394/ngAPQ1IU.jpg","View")</f>
        <v>View</v>
      </c>
    </row>
    <row r="527" spans="1:19" ht="30">
      <c r="A527" s="8">
        <v>43348.506909722222</v>
      </c>
      <c r="B527" s="11" t="str">
        <f>HYPERLINK("https://twitter.com/mehdipaidar","@mehdipaidar")</f>
        <v>@mehdipaidar</v>
      </c>
      <c r="C527" s="6" t="s">
        <v>14451</v>
      </c>
      <c r="D527" s="5" t="s">
        <v>15304</v>
      </c>
      <c r="E527" s="9" t="str">
        <f>HYPERLINK("https://twitter.com/mehdipaidar/status/1037243923725475840","1037243923725475840")</f>
        <v>1037243923725475840</v>
      </c>
      <c r="F527" s="4"/>
      <c r="G527" s="4"/>
      <c r="H527" s="4"/>
      <c r="I527" s="10" t="str">
        <f>HYPERLINK("http://twitter.com/download/android","Twitter for Android")</f>
        <v>Twitter for Android</v>
      </c>
      <c r="J527" s="2">
        <v>113</v>
      </c>
      <c r="K527" s="2">
        <v>172</v>
      </c>
      <c r="L527" s="2">
        <v>0</v>
      </c>
      <c r="M527" s="2"/>
      <c r="N527" s="8">
        <v>41347.826620370368</v>
      </c>
      <c r="O527" s="4" t="s">
        <v>14449</v>
      </c>
      <c r="P527" s="3" t="s">
        <v>14448</v>
      </c>
      <c r="Q527" s="10" t="s">
        <v>14447</v>
      </c>
      <c r="R527" s="4"/>
      <c r="S527" s="9" t="str">
        <f>HYPERLINK("https://pbs.twimg.com/profile_images/459417226714836993/8vNTUSwh.jpeg","View")</f>
        <v>View</v>
      </c>
    </row>
    <row r="528" spans="1:19" ht="30">
      <c r="A528" s="8">
        <v>43348.503703703704</v>
      </c>
      <c r="B528" s="11" t="str">
        <f>HYPERLINK("https://twitter.com/misskhanooom","@misskhanooom")</f>
        <v>@misskhanooom</v>
      </c>
      <c r="C528" s="6" t="s">
        <v>15303</v>
      </c>
      <c r="D528" s="5" t="s">
        <v>15302</v>
      </c>
      <c r="E528" s="9" t="str">
        <f>HYPERLINK("https://twitter.com/misskhanooom/status/1037242765166424064","1037242765166424064")</f>
        <v>1037242765166424064</v>
      </c>
      <c r="F528" s="10" t="s">
        <v>12528</v>
      </c>
      <c r="G528" s="4"/>
      <c r="H528" s="4"/>
      <c r="I528" s="10" t="str">
        <f>HYPERLINK("http://twitter.com/download/android","Twitter for Android")</f>
        <v>Twitter for Android</v>
      </c>
      <c r="J528" s="2">
        <v>568</v>
      </c>
      <c r="K528" s="2">
        <v>664</v>
      </c>
      <c r="L528" s="2">
        <v>1</v>
      </c>
      <c r="M528" s="2"/>
      <c r="N528" s="8">
        <v>43080.976145833338</v>
      </c>
      <c r="O528" s="4"/>
      <c r="P528" s="3"/>
      <c r="Q528" s="4"/>
      <c r="R528" s="4"/>
      <c r="S528" s="9" t="str">
        <f>HYPERLINK("https://pbs.twimg.com/profile_images/1022474763963387904/A9G-my-8.jpg","View")</f>
        <v>View</v>
      </c>
    </row>
    <row r="529" spans="1:19" ht="30">
      <c r="A529" s="8">
        <v>43348.503159722226</v>
      </c>
      <c r="B529" s="11" t="str">
        <f>HYPERLINK("https://twitter.com/Shapoor74","@Shapoor74")</f>
        <v>@Shapoor74</v>
      </c>
      <c r="C529" s="6" t="s">
        <v>15301</v>
      </c>
      <c r="D529" s="5" t="s">
        <v>15300</v>
      </c>
      <c r="E529" s="9" t="str">
        <f>HYPERLINK("https://twitter.com/Shapoor74/status/1037242566553624576","1037242566553624576")</f>
        <v>1037242566553624576</v>
      </c>
      <c r="F529" s="4"/>
      <c r="G529" s="10" t="s">
        <v>15299</v>
      </c>
      <c r="H529" s="4"/>
      <c r="I529" s="10" t="str">
        <f>HYPERLINK("https://mobile.twitter.com","Twitter Lite")</f>
        <v>Twitter Lite</v>
      </c>
      <c r="J529" s="2">
        <v>4045</v>
      </c>
      <c r="K529" s="2">
        <v>364</v>
      </c>
      <c r="L529" s="2">
        <v>2</v>
      </c>
      <c r="M529" s="2"/>
      <c r="N529" s="8">
        <v>43141.770416666666</v>
      </c>
      <c r="O529" s="4" t="s">
        <v>15298</v>
      </c>
      <c r="P529" s="3" t="s">
        <v>15297</v>
      </c>
      <c r="Q529" s="4"/>
      <c r="R529" s="4"/>
      <c r="S529" s="9" t="str">
        <f>HYPERLINK("https://pbs.twimg.com/profile_images/970313565994405888/Eal3KYeU.jpg","View")</f>
        <v>View</v>
      </c>
    </row>
    <row r="530" spans="1:19" ht="30">
      <c r="A530" s="8">
        <v>43348.502222222218</v>
      </c>
      <c r="B530" s="11" t="str">
        <f>HYPERLINK("https://twitter.com/Mohsentaheri_8","@Mohsentaheri_8")</f>
        <v>@Mohsentaheri_8</v>
      </c>
      <c r="C530" s="6" t="s">
        <v>15296</v>
      </c>
      <c r="D530" s="5" t="s">
        <v>15295</v>
      </c>
      <c r="E530" s="9" t="str">
        <f>HYPERLINK("https://twitter.com/Mohsentaheri_8/status/1037242228626939904","1037242228626939904")</f>
        <v>1037242228626939904</v>
      </c>
      <c r="F530" s="4"/>
      <c r="G530" s="4"/>
      <c r="H530" s="4"/>
      <c r="I530" s="10" t="str">
        <f>HYPERLINK("http://twitter.com","Twitter Web Client")</f>
        <v>Twitter Web Client</v>
      </c>
      <c r="J530" s="2">
        <v>2144</v>
      </c>
      <c r="K530" s="2">
        <v>1307</v>
      </c>
      <c r="L530" s="2">
        <v>2</v>
      </c>
      <c r="M530" s="2"/>
      <c r="N530" s="8">
        <v>42572.97655092593</v>
      </c>
      <c r="O530" s="4" t="s">
        <v>34</v>
      </c>
      <c r="P530" s="3" t="s">
        <v>15294</v>
      </c>
      <c r="Q530" s="4"/>
      <c r="R530" s="4"/>
      <c r="S530" s="9" t="str">
        <f>HYPERLINK("https://pbs.twimg.com/profile_images/998161094622380033/--RYU-Ek.jpg","View")</f>
        <v>View</v>
      </c>
    </row>
    <row r="531" spans="1:19" ht="40">
      <c r="A531" s="8">
        <v>43348.502129629633</v>
      </c>
      <c r="B531" s="11" t="str">
        <f>HYPERLINK("https://twitter.com/pileforoush","@pileforoush")</f>
        <v>@pileforoush</v>
      </c>
      <c r="C531" s="6" t="s">
        <v>15293</v>
      </c>
      <c r="D531" s="5" t="s">
        <v>15292</v>
      </c>
      <c r="E531" s="9" t="str">
        <f>HYPERLINK("https://twitter.com/pileforoush/status/1037242192618835969","1037242192618835969")</f>
        <v>1037242192618835969</v>
      </c>
      <c r="F531" s="4"/>
      <c r="G531" s="4"/>
      <c r="H531" s="4"/>
      <c r="I531" s="10" t="str">
        <f>HYPERLINK("http://twitter.com","Twitter Web Client")</f>
        <v>Twitter Web Client</v>
      </c>
      <c r="J531" s="2">
        <v>69</v>
      </c>
      <c r="K531" s="2">
        <v>233</v>
      </c>
      <c r="L531" s="2">
        <v>0</v>
      </c>
      <c r="M531" s="2"/>
      <c r="N531" s="8">
        <v>43254.546331018515</v>
      </c>
      <c r="O531" s="4"/>
      <c r="P531" s="3" t="s">
        <v>15291</v>
      </c>
      <c r="Q531" s="10" t="s">
        <v>15290</v>
      </c>
      <c r="R531" s="4"/>
      <c r="S531" s="9" t="str">
        <f>HYPERLINK("https://pbs.twimg.com/profile_images/1013328235273129984/WDrumGqm.jpg","View")</f>
        <v>View</v>
      </c>
    </row>
    <row r="532" spans="1:19" ht="70">
      <c r="A532" s="8">
        <v>43348.500868055555</v>
      </c>
      <c r="B532" s="11" t="str">
        <f>HYPERLINK("https://twitter.com/d17UNeN3sS3Xv5V","@d17UNeN3sS3Xv5V")</f>
        <v>@d17UNeN3sS3Xv5V</v>
      </c>
      <c r="C532" s="6" t="s">
        <v>7604</v>
      </c>
      <c r="D532" s="5" t="s">
        <v>15289</v>
      </c>
      <c r="E532" s="9" t="str">
        <f>HYPERLINK("https://twitter.com/d17UNeN3sS3Xv5V/status/1037241736026906624","1037241736026906624")</f>
        <v>1037241736026906624</v>
      </c>
      <c r="F532" s="10" t="s">
        <v>15288</v>
      </c>
      <c r="G532" s="10" t="s">
        <v>15287</v>
      </c>
      <c r="H532" s="4"/>
      <c r="I532" s="10" t="str">
        <f>HYPERLINK("http://twitter.com/download/android","Twitter for Android")</f>
        <v>Twitter for Android</v>
      </c>
      <c r="J532" s="2">
        <v>48</v>
      </c>
      <c r="K532" s="2">
        <v>94</v>
      </c>
      <c r="L532" s="2">
        <v>0</v>
      </c>
      <c r="M532" s="2"/>
      <c r="N532" s="8">
        <v>43313.791655092587</v>
      </c>
      <c r="O532" s="4"/>
      <c r="P532" s="3"/>
      <c r="Q532" s="4"/>
      <c r="R532" s="4"/>
      <c r="S532" s="2" t="s">
        <v>155</v>
      </c>
    </row>
    <row r="533" spans="1:19" ht="40">
      <c r="A533" s="8">
        <v>43348.498935185184</v>
      </c>
      <c r="B533" s="11" t="str">
        <f>HYPERLINK("https://twitter.com/huxta_social","@huxta_social")</f>
        <v>@huxta_social</v>
      </c>
      <c r="C533" s="6" t="s">
        <v>15286</v>
      </c>
      <c r="D533" s="5" t="s">
        <v>15285</v>
      </c>
      <c r="E533" s="9" t="str">
        <f>HYPERLINK("https://twitter.com/huxta_social/status/1037241034126909440","1037241034126909440")</f>
        <v>1037241034126909440</v>
      </c>
      <c r="F533" s="4"/>
      <c r="G533" s="4"/>
      <c r="H533" s="4"/>
      <c r="I533" s="10" t="str">
        <f>HYPERLINK("http://twitter.com/download/android","Twitter for Android")</f>
        <v>Twitter for Android</v>
      </c>
      <c r="J533" s="2">
        <v>5</v>
      </c>
      <c r="K533" s="2">
        <v>0</v>
      </c>
      <c r="L533" s="2">
        <v>0</v>
      </c>
      <c r="M533" s="2"/>
      <c r="N533" s="8">
        <v>41345.909201388888</v>
      </c>
      <c r="O533" s="4" t="s">
        <v>25</v>
      </c>
      <c r="P533" s="3" t="s">
        <v>15284</v>
      </c>
      <c r="Q533" s="10" t="s">
        <v>15283</v>
      </c>
      <c r="R533" s="4"/>
      <c r="S533" s="9" t="str">
        <f>HYPERLINK("https://pbs.twimg.com/profile_images/1018358309173284864/rpJzakga.jpg","View")</f>
        <v>View</v>
      </c>
    </row>
    <row r="534" spans="1:19" ht="30">
      <c r="A534" s="8">
        <v>43348.498310185183</v>
      </c>
      <c r="B534" s="11" t="str">
        <f>HYPERLINK("https://twitter.com/sobhe_no","@sobhe_no")</f>
        <v>@sobhe_no</v>
      </c>
      <c r="C534" s="6" t="s">
        <v>4185</v>
      </c>
      <c r="D534" s="5" t="s">
        <v>15282</v>
      </c>
      <c r="E534" s="9" t="str">
        <f>HYPERLINK("https://twitter.com/sobhe_no/status/1037240808049664000","1037240808049664000")</f>
        <v>1037240808049664000</v>
      </c>
      <c r="F534" s="4"/>
      <c r="G534" s="10" t="s">
        <v>15281</v>
      </c>
      <c r="H534" s="4"/>
      <c r="I534" s="10" t="str">
        <f>HYPERLINK("http://twitter.com/download/iphone","Twitter for iPhone")</f>
        <v>Twitter for iPhone</v>
      </c>
      <c r="J534" s="2">
        <v>10686</v>
      </c>
      <c r="K534" s="2">
        <v>31</v>
      </c>
      <c r="L534" s="2">
        <v>73</v>
      </c>
      <c r="M534" s="2"/>
      <c r="N534" s="8">
        <v>42471.601400462961</v>
      </c>
      <c r="O534" s="4" t="s">
        <v>34</v>
      </c>
      <c r="P534" s="3" t="s">
        <v>4182</v>
      </c>
      <c r="Q534" s="10" t="s">
        <v>4181</v>
      </c>
      <c r="R534" s="4"/>
      <c r="S534" s="9" t="str">
        <f>HYPERLINK("https://pbs.twimg.com/profile_images/737719828429963265/nghJhp_N.jpg","View")</f>
        <v>View</v>
      </c>
    </row>
    <row r="535" spans="1:19" ht="20">
      <c r="A535" s="8">
        <v>43348.497361111113</v>
      </c>
      <c r="B535" s="11" t="str">
        <f>HYPERLINK("https://twitter.com/aminjahangard","@aminjahangard")</f>
        <v>@aminjahangard</v>
      </c>
      <c r="C535" s="6" t="s">
        <v>15280</v>
      </c>
      <c r="D535" s="5" t="s">
        <v>15279</v>
      </c>
      <c r="E535" s="9" t="str">
        <f>HYPERLINK("https://twitter.com/aminjahangard/status/1037240464058015744","1037240464058015744")</f>
        <v>1037240464058015744</v>
      </c>
      <c r="F535" s="4"/>
      <c r="G535" s="4"/>
      <c r="H535" s="4"/>
      <c r="I535" s="10" t="str">
        <f>HYPERLINK("http://twitter.com/download/android","Twitter for Android")</f>
        <v>Twitter for Android</v>
      </c>
      <c r="J535" s="2">
        <v>30</v>
      </c>
      <c r="K535" s="2">
        <v>28</v>
      </c>
      <c r="L535" s="2">
        <v>0</v>
      </c>
      <c r="M535" s="2"/>
      <c r="N535" s="8">
        <v>43221.701377314814</v>
      </c>
      <c r="O535" s="4" t="s">
        <v>17</v>
      </c>
      <c r="P535" s="3" t="s">
        <v>15278</v>
      </c>
      <c r="Q535" s="4"/>
      <c r="R535" s="4"/>
      <c r="S535" s="9" t="str">
        <f>HYPERLINK("https://pbs.twimg.com/profile_images/991356331264233473/407lkIIe.jpg","View")</f>
        <v>View</v>
      </c>
    </row>
    <row r="536" spans="1:19" ht="20">
      <c r="A536" s="8">
        <v>43348.49728009259</v>
      </c>
      <c r="B536" s="11" t="str">
        <f>HYPERLINK("https://twitter.com/trraagedy","@trraagedy")</f>
        <v>@trraagedy</v>
      </c>
      <c r="C536" s="6" t="s">
        <v>13449</v>
      </c>
      <c r="D536" s="5" t="s">
        <v>15277</v>
      </c>
      <c r="E536" s="9" t="str">
        <f>HYPERLINK("https://twitter.com/trraagedy/status/1037240434769178624","1037240434769178624")</f>
        <v>1037240434769178624</v>
      </c>
      <c r="F536" s="4"/>
      <c r="G536" s="4"/>
      <c r="H536" s="4"/>
      <c r="I536" s="10" t="str">
        <f>HYPERLINK("http://twitter.com/download/android","Twitter for Android")</f>
        <v>Twitter for Android</v>
      </c>
      <c r="J536" s="2">
        <v>1486</v>
      </c>
      <c r="K536" s="2">
        <v>2907</v>
      </c>
      <c r="L536" s="2">
        <v>0</v>
      </c>
      <c r="M536" s="2"/>
      <c r="N536" s="8">
        <v>43014.899479166663</v>
      </c>
      <c r="O536" s="4"/>
      <c r="P536" s="3" t="s">
        <v>13447</v>
      </c>
      <c r="Q536" s="4"/>
      <c r="R536" s="4"/>
      <c r="S536" s="9" t="str">
        <f>HYPERLINK("https://pbs.twimg.com/profile_images/954315884046282752/tidmVrZQ.jpg","View")</f>
        <v>View</v>
      </c>
    </row>
    <row r="537" spans="1:19" ht="40">
      <c r="A537" s="8">
        <v>43348.496840277774</v>
      </c>
      <c r="B537" s="11" t="str">
        <f>HYPERLINK("https://twitter.com/fardiin_nazari","@fardiin_nazari")</f>
        <v>@fardiin_nazari</v>
      </c>
      <c r="C537" s="6" t="s">
        <v>9299</v>
      </c>
      <c r="D537" s="5" t="s">
        <v>15276</v>
      </c>
      <c r="E537" s="9" t="str">
        <f>HYPERLINK("https://twitter.com/fardiin_nazari/status/1037240276857839616","1037240276857839616")</f>
        <v>1037240276857839616</v>
      </c>
      <c r="F537" s="4"/>
      <c r="G537" s="4"/>
      <c r="H537" s="4"/>
      <c r="I537" s="10" t="str">
        <f>HYPERLINK("http://twitter.com/download/android","Twitter for Android")</f>
        <v>Twitter for Android</v>
      </c>
      <c r="J537" s="2">
        <v>144</v>
      </c>
      <c r="K537" s="2">
        <v>327</v>
      </c>
      <c r="L537" s="2">
        <v>0</v>
      </c>
      <c r="M537" s="2"/>
      <c r="N537" s="8">
        <v>42757.467152777783</v>
      </c>
      <c r="O537" s="4" t="s">
        <v>15275</v>
      </c>
      <c r="P537" s="3" t="s">
        <v>15274</v>
      </c>
      <c r="Q537" s="4"/>
      <c r="R537" s="4"/>
      <c r="S537" s="9" t="str">
        <f>HYPERLINK("https://pbs.twimg.com/profile_images/1017548023931523073/ITM0XX6w.jpg","View")</f>
        <v>View</v>
      </c>
    </row>
    <row r="538" spans="1:19" ht="20">
      <c r="A538" s="8">
        <v>43348.496805555551</v>
      </c>
      <c r="B538" s="11" t="str">
        <f>HYPERLINK("https://twitter.com/MaryamBabaeii","@MaryamBabaeii")</f>
        <v>@MaryamBabaeii</v>
      </c>
      <c r="C538" s="6" t="s">
        <v>15273</v>
      </c>
      <c r="D538" s="5" t="s">
        <v>15272</v>
      </c>
      <c r="E538" s="9" t="str">
        <f>HYPERLINK("https://twitter.com/MaryamBabaeii/status/1037240262425292800","1037240262425292800")</f>
        <v>1037240262425292800</v>
      </c>
      <c r="F538" s="4"/>
      <c r="G538" s="4"/>
      <c r="H538" s="4"/>
      <c r="I538" s="10" t="str">
        <f>HYPERLINK("http://twitter.com/download/iphone","Twitter for iPhone")</f>
        <v>Twitter for iPhone</v>
      </c>
      <c r="J538" s="2">
        <v>218</v>
      </c>
      <c r="K538" s="2">
        <v>203</v>
      </c>
      <c r="L538" s="2">
        <v>0</v>
      </c>
      <c r="M538" s="2"/>
      <c r="N538" s="8">
        <v>42997.368506944447</v>
      </c>
      <c r="O538" s="4"/>
      <c r="P538" s="3" t="s">
        <v>15271</v>
      </c>
      <c r="Q538" s="4"/>
      <c r="R538" s="4"/>
      <c r="S538" s="9" t="str">
        <f>HYPERLINK("https://pbs.twimg.com/profile_images/1035661999424856064/ebMYm_O_.jpg","View")</f>
        <v>View</v>
      </c>
    </row>
    <row r="539" spans="1:19" ht="12.5">
      <c r="A539" s="8">
        <v>43348.494872685187</v>
      </c>
      <c r="B539" s="11" t="str">
        <f>HYPERLINK("https://twitter.com/bardiya2000","@bardiya2000")</f>
        <v>@bardiya2000</v>
      </c>
      <c r="C539" s="6" t="s">
        <v>6602</v>
      </c>
      <c r="D539" s="5" t="s">
        <v>15270</v>
      </c>
      <c r="E539" s="9" t="str">
        <f>HYPERLINK("https://twitter.com/bardiya2000/status/1037239565067739136","1037239565067739136")</f>
        <v>1037239565067739136</v>
      </c>
      <c r="F539" s="4"/>
      <c r="G539" s="4"/>
      <c r="H539" s="4"/>
      <c r="I539" s="10" t="str">
        <f>HYPERLINK("http://twitter.com","Twitter Web Client")</f>
        <v>Twitter Web Client</v>
      </c>
      <c r="J539" s="2">
        <v>11420</v>
      </c>
      <c r="K539" s="2">
        <v>12466</v>
      </c>
      <c r="L539" s="2">
        <v>4</v>
      </c>
      <c r="M539" s="2"/>
      <c r="N539" s="8">
        <v>43130.489201388889</v>
      </c>
      <c r="O539" s="4" t="s">
        <v>104</v>
      </c>
      <c r="P539" s="3" t="s">
        <v>6600</v>
      </c>
      <c r="Q539" s="4"/>
      <c r="R539" s="4"/>
      <c r="S539" s="9" t="str">
        <f>HYPERLINK("https://pbs.twimg.com/profile_images/959171152081014784/1feOJkR-.jpg","View")</f>
        <v>View</v>
      </c>
    </row>
    <row r="540" spans="1:19" ht="20">
      <c r="A540" s="8">
        <v>43348.491342592592</v>
      </c>
      <c r="B540" s="11" t="str">
        <f>HYPERLINK("https://twitter.com/zcNdFNz7bDMrSBQ","@zcNdFNz7bDMrSBQ")</f>
        <v>@zcNdFNz7bDMrSBQ</v>
      </c>
      <c r="C540" s="6" t="s">
        <v>15269</v>
      </c>
      <c r="D540" s="5" t="s">
        <v>15268</v>
      </c>
      <c r="E540" s="9" t="str">
        <f>HYPERLINK("https://twitter.com/zcNdFNz7bDMrSBQ/status/1037238281866555397","1037238281866555397")</f>
        <v>1037238281866555397</v>
      </c>
      <c r="F540" s="4"/>
      <c r="G540" s="4"/>
      <c r="H540" s="4"/>
      <c r="I540" s="10" t="str">
        <f>HYPERLINK("http://twitter.com/download/android","Twitter for Android")</f>
        <v>Twitter for Android</v>
      </c>
      <c r="J540" s="2">
        <v>22</v>
      </c>
      <c r="K540" s="2">
        <v>80</v>
      </c>
      <c r="L540" s="2">
        <v>0</v>
      </c>
      <c r="M540" s="2"/>
      <c r="N540" s="8">
        <v>43307.931481481486</v>
      </c>
      <c r="O540" s="4"/>
      <c r="P540" s="3" t="s">
        <v>15267</v>
      </c>
      <c r="Q540" s="4"/>
      <c r="R540" s="4"/>
      <c r="S540" s="9" t="str">
        <f>HYPERLINK("https://pbs.twimg.com/profile_images/1023391662721183744/YDJy2oJY.jpg","View")</f>
        <v>View</v>
      </c>
    </row>
    <row r="541" spans="1:19" ht="30">
      <c r="A541" s="8">
        <v>43348.491099537037</v>
      </c>
      <c r="B541" s="11" t="str">
        <f>HYPERLINK("https://twitter.com/qalampress","@qalampress")</f>
        <v>@qalampress</v>
      </c>
      <c r="C541" s="6" t="s">
        <v>1693</v>
      </c>
      <c r="D541" s="5" t="s">
        <v>15266</v>
      </c>
      <c r="E541" s="9" t="str">
        <f>HYPERLINK("https://twitter.com/qalampress/status/1037238197116448769","1037238197116448769")</f>
        <v>1037238197116448769</v>
      </c>
      <c r="F541" s="10" t="s">
        <v>15265</v>
      </c>
      <c r="G541" s="4"/>
      <c r="H541" s="4"/>
      <c r="I541" s="10" t="str">
        <f>HYPERLINK("http://instagram.com","Instagram")</f>
        <v>Instagram</v>
      </c>
      <c r="J541" s="2">
        <v>66</v>
      </c>
      <c r="K541" s="2">
        <v>231</v>
      </c>
      <c r="L541" s="2">
        <v>0</v>
      </c>
      <c r="M541" s="2"/>
      <c r="N541" s="8">
        <v>42522.882511574076</v>
      </c>
      <c r="O541" s="4"/>
      <c r="P541" s="3"/>
      <c r="Q541" s="10" t="s">
        <v>1690</v>
      </c>
      <c r="R541" s="4"/>
      <c r="S541" s="9" t="str">
        <f>HYPERLINK("https://pbs.twimg.com/profile_images/1031892314720010240/_O3bWNT-.jpg","View")</f>
        <v>View</v>
      </c>
    </row>
    <row r="542" spans="1:19" ht="20">
      <c r="A542" s="8">
        <v>43348.490312499998</v>
      </c>
      <c r="B542" s="11" t="str">
        <f>HYPERLINK("https://twitter.com/Hajali661","@Hajali661")</f>
        <v>@Hajali661</v>
      </c>
      <c r="C542" s="6" t="s">
        <v>8981</v>
      </c>
      <c r="D542" s="5" t="s">
        <v>15264</v>
      </c>
      <c r="E542" s="9" t="str">
        <f>HYPERLINK("https://twitter.com/Hajali661/status/1037237908867088385","1037237908867088385")</f>
        <v>1037237908867088385</v>
      </c>
      <c r="F542" s="4"/>
      <c r="G542" s="10" t="s">
        <v>15263</v>
      </c>
      <c r="H542" s="4"/>
      <c r="I542" s="10" t="str">
        <f>HYPERLINK("http://twitter.com/download/android","Twitter for Android")</f>
        <v>Twitter for Android</v>
      </c>
      <c r="J542" s="2">
        <v>5</v>
      </c>
      <c r="K542" s="2">
        <v>21</v>
      </c>
      <c r="L542" s="2">
        <v>0</v>
      </c>
      <c r="M542" s="2"/>
      <c r="N542" s="8">
        <v>43340.682442129633</v>
      </c>
      <c r="O542" s="4" t="s">
        <v>682</v>
      </c>
      <c r="P542" s="3" t="s">
        <v>8979</v>
      </c>
      <c r="Q542" s="4"/>
      <c r="R542" s="4"/>
      <c r="S542" s="9" t="str">
        <f>HYPERLINK("https://pbs.twimg.com/profile_images/1034413556572270593/LgHJ8UBb.jpg","View")</f>
        <v>View</v>
      </c>
    </row>
    <row r="543" spans="1:19" ht="30">
      <c r="A543" s="8">
        <v>43348.489548611113</v>
      </c>
      <c r="B543" s="11" t="str">
        <f>HYPERLINK("https://twitter.com/xavier_piadoso","@xavier_piadoso")</f>
        <v>@xavier_piadoso</v>
      </c>
      <c r="C543" s="6" t="s">
        <v>2688</v>
      </c>
      <c r="D543" s="5" t="s">
        <v>15262</v>
      </c>
      <c r="E543" s="9" t="str">
        <f>HYPERLINK("https://twitter.com/xavier_piadoso/status/1037237632609206272","1037237632609206272")</f>
        <v>1037237632609206272</v>
      </c>
      <c r="F543" s="4"/>
      <c r="G543" s="4"/>
      <c r="H543" s="4"/>
      <c r="I543" s="10" t="str">
        <f>HYPERLINK("http://twitter.com/download/android","Twitter for Android")</f>
        <v>Twitter for Android</v>
      </c>
      <c r="J543" s="2">
        <v>2063</v>
      </c>
      <c r="K543" s="2">
        <v>427</v>
      </c>
      <c r="L543" s="2">
        <v>19</v>
      </c>
      <c r="M543" s="2"/>
      <c r="N543" s="8">
        <v>41538.060381944444</v>
      </c>
      <c r="O543" s="4"/>
      <c r="P543" s="3" t="s">
        <v>15261</v>
      </c>
      <c r="Q543" s="4"/>
      <c r="R543" s="4"/>
      <c r="S543" s="9" t="str">
        <f>HYPERLINK("https://pbs.twimg.com/profile_images/1036708928506220544/YbLjXEZQ.jpg","View")</f>
        <v>View</v>
      </c>
    </row>
    <row r="544" spans="1:19" ht="30">
      <c r="A544" s="8">
        <v>43348.488807870366</v>
      </c>
      <c r="B544" s="11" t="str">
        <f>HYPERLINK("https://twitter.com/seyyedehtesham","@seyyedehtesham")</f>
        <v>@seyyedehtesham</v>
      </c>
      <c r="C544" s="6" t="s">
        <v>9937</v>
      </c>
      <c r="D544" s="5" t="s">
        <v>15260</v>
      </c>
      <c r="E544" s="9" t="str">
        <f>HYPERLINK("https://twitter.com/seyyedehtesham/status/1037237366707118081","1037237366707118081")</f>
        <v>1037237366707118081</v>
      </c>
      <c r="F544" s="4"/>
      <c r="G544" s="4"/>
      <c r="H544" s="4"/>
      <c r="I544" s="10" t="str">
        <f>HYPERLINK("http://twitter.com/download/android","Twitter for Android")</f>
        <v>Twitter for Android</v>
      </c>
      <c r="J544" s="2">
        <v>3078</v>
      </c>
      <c r="K544" s="2">
        <v>455</v>
      </c>
      <c r="L544" s="2">
        <v>28</v>
      </c>
      <c r="M544" s="2"/>
      <c r="N544" s="8">
        <v>41451.7894212963</v>
      </c>
      <c r="O544" s="4"/>
      <c r="P544" s="3" t="s">
        <v>9935</v>
      </c>
      <c r="Q544" s="4"/>
      <c r="R544" s="4"/>
      <c r="S544" s="9" t="str">
        <f>HYPERLINK("https://pbs.twimg.com/profile_images/935798516777193472/GZLzsxol.jpg","View")</f>
        <v>View</v>
      </c>
    </row>
    <row r="545" spans="1:19" ht="40">
      <c r="A545" s="8">
        <v>43348.487858796296</v>
      </c>
      <c r="B545" s="11" t="str">
        <f>HYPERLINK("https://twitter.com/Hajali661","@Hajali661")</f>
        <v>@Hajali661</v>
      </c>
      <c r="C545" s="6" t="s">
        <v>8981</v>
      </c>
      <c r="D545" s="5" t="s">
        <v>15259</v>
      </c>
      <c r="E545" s="9" t="str">
        <f>HYPERLINK("https://twitter.com/Hajali661/status/1037237019431329795","1037237019431329795")</f>
        <v>1037237019431329795</v>
      </c>
      <c r="F545" s="4"/>
      <c r="G545" s="4"/>
      <c r="H545" s="4"/>
      <c r="I545" s="10" t="str">
        <f>HYPERLINK("http://twitter.com/download/android","Twitter for Android")</f>
        <v>Twitter for Android</v>
      </c>
      <c r="J545" s="2">
        <v>5</v>
      </c>
      <c r="K545" s="2">
        <v>21</v>
      </c>
      <c r="L545" s="2">
        <v>0</v>
      </c>
      <c r="M545" s="2"/>
      <c r="N545" s="8">
        <v>43340.682442129633</v>
      </c>
      <c r="O545" s="4" t="s">
        <v>682</v>
      </c>
      <c r="P545" s="3" t="s">
        <v>8979</v>
      </c>
      <c r="Q545" s="4"/>
      <c r="R545" s="4"/>
      <c r="S545" s="9" t="str">
        <f>HYPERLINK("https://pbs.twimg.com/profile_images/1034413556572270593/LgHJ8UBb.jpg","View")</f>
        <v>View</v>
      </c>
    </row>
    <row r="546" spans="1:19" ht="40">
      <c r="A546" s="8">
        <v>43348.487523148149</v>
      </c>
      <c r="B546" s="11" t="str">
        <f>HYPERLINK("https://twitter.com/VahidAzimnia","@VahidAzimnia")</f>
        <v>@VahidAzimnia</v>
      </c>
      <c r="C546" s="6" t="s">
        <v>10901</v>
      </c>
      <c r="D546" s="5" t="s">
        <v>15258</v>
      </c>
      <c r="E546" s="9" t="str">
        <f>HYPERLINK("https://twitter.com/VahidAzimnia/status/1037236898731905024","1037236898731905024")</f>
        <v>1037236898731905024</v>
      </c>
      <c r="F546" s="4"/>
      <c r="G546" s="4"/>
      <c r="H546" s="4"/>
      <c r="I546" s="10" t="str">
        <f>HYPERLINK("http://twitter.com","Twitter Web Client")</f>
        <v>Twitter Web Client</v>
      </c>
      <c r="J546" s="2">
        <v>75</v>
      </c>
      <c r="K546" s="2">
        <v>119</v>
      </c>
      <c r="L546" s="2">
        <v>0</v>
      </c>
      <c r="M546" s="2"/>
      <c r="N546" s="8">
        <v>42996.578888888893</v>
      </c>
      <c r="O546" s="4" t="s">
        <v>1415</v>
      </c>
      <c r="P546" s="3" t="s">
        <v>10899</v>
      </c>
      <c r="Q546" s="10" t="s">
        <v>10898</v>
      </c>
      <c r="R546" s="4"/>
      <c r="S546" s="9" t="str">
        <f>HYPERLINK("https://pbs.twimg.com/profile_images/1026457639293779969/sKefZjZT.jpg","View")</f>
        <v>View</v>
      </c>
    </row>
    <row r="547" spans="1:19" ht="20">
      <c r="A547" s="8">
        <v>43348.48609953704</v>
      </c>
      <c r="B547" s="11" t="str">
        <f>HYPERLINK("https://twitter.com/sucksiphon","@sucksiphon")</f>
        <v>@sucksiphon</v>
      </c>
      <c r="C547" s="6" t="s">
        <v>3653</v>
      </c>
      <c r="D547" s="5" t="s">
        <v>15257</v>
      </c>
      <c r="E547" s="9" t="str">
        <f>HYPERLINK("https://twitter.com/sucksiphon/status/1037236383780360192","1037236383780360192")</f>
        <v>1037236383780360192</v>
      </c>
      <c r="F547" s="4"/>
      <c r="G547" s="4"/>
      <c r="H547" s="4"/>
      <c r="I547" s="10" t="str">
        <f>HYPERLINK("http://twitter.com","Twitter Web Client")</f>
        <v>Twitter Web Client</v>
      </c>
      <c r="J547" s="2">
        <v>8</v>
      </c>
      <c r="K547" s="2">
        <v>117</v>
      </c>
      <c r="L547" s="2">
        <v>0</v>
      </c>
      <c r="M547" s="2"/>
      <c r="N547" s="8">
        <v>43322.640289351853</v>
      </c>
      <c r="O547" s="4" t="s">
        <v>3651</v>
      </c>
      <c r="P547" s="3" t="s">
        <v>3650</v>
      </c>
      <c r="Q547" s="4"/>
      <c r="R547" s="4"/>
      <c r="S547" s="9" t="str">
        <f>HYPERLINK("https://pbs.twimg.com/profile_images/1027874975984902146/SgdDjvBY.jpg","View")</f>
        <v>View</v>
      </c>
    </row>
    <row r="548" spans="1:19" ht="30">
      <c r="A548" s="8">
        <v>43348.485613425924</v>
      </c>
      <c r="B548" s="11" t="str">
        <f>HYPERLINK("https://twitter.com/m_r_f_najafi","@m_r_f_najafi")</f>
        <v>@m_r_f_najafi</v>
      </c>
      <c r="C548" s="6" t="s">
        <v>4383</v>
      </c>
      <c r="D548" s="5" t="s">
        <v>15256</v>
      </c>
      <c r="E548" s="9" t="str">
        <f>HYPERLINK("https://twitter.com/m_r_f_najafi/status/1037236206797500416","1037236206797500416")</f>
        <v>1037236206797500416</v>
      </c>
      <c r="F548" s="4"/>
      <c r="G548" s="4"/>
      <c r="H548" s="4"/>
      <c r="I548" s="10" t="str">
        <f>HYPERLINK("http://twitter.com/download/android","Twitter for Android")</f>
        <v>Twitter for Android</v>
      </c>
      <c r="J548" s="2">
        <v>212</v>
      </c>
      <c r="K548" s="2">
        <v>33</v>
      </c>
      <c r="L548" s="2">
        <v>3</v>
      </c>
      <c r="M548" s="2"/>
      <c r="N548" s="8">
        <v>43032.872303240743</v>
      </c>
      <c r="O548" s="4"/>
      <c r="P548" s="3"/>
      <c r="Q548" s="4"/>
      <c r="R548" s="4"/>
      <c r="S548" s="9" t="str">
        <f>HYPERLINK("https://pbs.twimg.com/profile_images/932731081786142720/P3d8Wbit.jpg","View")</f>
        <v>View</v>
      </c>
    </row>
    <row r="549" spans="1:19" ht="20">
      <c r="A549" s="8">
        <v>43348.485347222224</v>
      </c>
      <c r="B549" s="11" t="str">
        <f>HYPERLINK("https://twitter.com/Mhnz4","@Mhnz4")</f>
        <v>@Mhnz4</v>
      </c>
      <c r="C549" s="6" t="s">
        <v>14019</v>
      </c>
      <c r="D549" s="5" t="s">
        <v>15255</v>
      </c>
      <c r="E549" s="9" t="str">
        <f>HYPERLINK("https://twitter.com/Mhnz4/status/1037236110433443842","1037236110433443842")</f>
        <v>1037236110433443842</v>
      </c>
      <c r="F549" s="4"/>
      <c r="G549" s="4"/>
      <c r="H549" s="4"/>
      <c r="I549" s="10" t="str">
        <f>HYPERLINK("http://twitter.com/download/android","Twitter for Android")</f>
        <v>Twitter for Android</v>
      </c>
      <c r="J549" s="2">
        <v>160</v>
      </c>
      <c r="K549" s="2">
        <v>52</v>
      </c>
      <c r="L549" s="2">
        <v>0</v>
      </c>
      <c r="M549" s="2"/>
      <c r="N549" s="8">
        <v>43102.437731481477</v>
      </c>
      <c r="O549" s="4" t="s">
        <v>34</v>
      </c>
      <c r="P549" s="3" t="s">
        <v>14017</v>
      </c>
      <c r="Q549" s="4"/>
      <c r="R549" s="4"/>
      <c r="S549" s="9" t="str">
        <f>HYPERLINK("https://pbs.twimg.com/profile_images/1021106139856072704/UPElFxBX.jpg","View")</f>
        <v>View</v>
      </c>
    </row>
    <row r="550" spans="1:19" ht="40">
      <c r="A550" s="8">
        <v>43348.48474537037</v>
      </c>
      <c r="B550" s="11" t="str">
        <f>HYPERLINK("https://twitter.com/mim_zal","@mim_zal")</f>
        <v>@mim_zal</v>
      </c>
      <c r="C550" s="6" t="s">
        <v>15254</v>
      </c>
      <c r="D550" s="5" t="s">
        <v>15253</v>
      </c>
      <c r="E550" s="9" t="str">
        <f>HYPERLINK("https://twitter.com/mim_zal/status/1037235893311090689","1037235893311090689")</f>
        <v>1037235893311090689</v>
      </c>
      <c r="F550" s="4"/>
      <c r="G550" s="10" t="s">
        <v>15252</v>
      </c>
      <c r="H550" s="4"/>
      <c r="I550" s="10" t="str">
        <f>HYPERLINK("http://twitter.com/download/iphone","Twitter for iPhone")</f>
        <v>Twitter for iPhone</v>
      </c>
      <c r="J550" s="2">
        <v>2468</v>
      </c>
      <c r="K550" s="2">
        <v>3860</v>
      </c>
      <c r="L550" s="2">
        <v>4</v>
      </c>
      <c r="M550" s="2"/>
      <c r="N550" s="8">
        <v>42515.954386574071</v>
      </c>
      <c r="O550" s="4" t="s">
        <v>34</v>
      </c>
      <c r="P550" s="3" t="s">
        <v>15251</v>
      </c>
      <c r="Q550" s="10" t="s">
        <v>15250</v>
      </c>
      <c r="R550" s="4"/>
      <c r="S550" s="9" t="str">
        <f>HYPERLINK("https://pbs.twimg.com/profile_images/1037183927142809600/AJk_VWOg.jpg","View")</f>
        <v>View</v>
      </c>
    </row>
    <row r="551" spans="1:19" ht="40">
      <c r="A551" s="8">
        <v>43348.482199074075</v>
      </c>
      <c r="B551" s="11" t="str">
        <f>HYPERLINK("https://twitter.com/zoomit_ir","@zoomit_ir")</f>
        <v>@zoomit_ir</v>
      </c>
      <c r="C551" s="6" t="s">
        <v>11980</v>
      </c>
      <c r="D551" s="5" t="s">
        <v>15249</v>
      </c>
      <c r="E551" s="9" t="str">
        <f>HYPERLINK("https://twitter.com/zoomit_ir/status/1037234971306590208","1037234971306590208")</f>
        <v>1037234971306590208</v>
      </c>
      <c r="F551" s="4"/>
      <c r="G551" s="10" t="s">
        <v>15248</v>
      </c>
      <c r="H551" s="4"/>
      <c r="I551" s="10" t="str">
        <f>HYPERLINK("http://twitter.com","Twitter Web Client")</f>
        <v>Twitter Web Client</v>
      </c>
      <c r="J551" s="2">
        <v>12706</v>
      </c>
      <c r="K551" s="2">
        <v>85</v>
      </c>
      <c r="L551" s="2">
        <v>310</v>
      </c>
      <c r="M551" s="2"/>
      <c r="N551" s="8">
        <v>40434.421689814815</v>
      </c>
      <c r="O551" s="4" t="s">
        <v>324</v>
      </c>
      <c r="P551" s="3" t="s">
        <v>11977</v>
      </c>
      <c r="Q551" s="10" t="s">
        <v>11976</v>
      </c>
      <c r="R551" s="4"/>
      <c r="S551" s="9" t="str">
        <f>HYPERLINK("https://pbs.twimg.com/profile_images/504930723967418369/-5Q-e2N6.png","View")</f>
        <v>View</v>
      </c>
    </row>
    <row r="552" spans="1:19" ht="40">
      <c r="A552" s="8">
        <v>43348.481840277775</v>
      </c>
      <c r="B552" s="11" t="str">
        <f>HYPERLINK("https://twitter.com/hashtakrooz","@hashtakrooz")</f>
        <v>@hashtakrooz</v>
      </c>
      <c r="C552" s="6" t="s">
        <v>15247</v>
      </c>
      <c r="D552" s="5" t="s">
        <v>15246</v>
      </c>
      <c r="E552" s="9" t="str">
        <f>HYPERLINK("https://twitter.com/hashtakrooz/status/1037234840993767424","1037234840993767424")</f>
        <v>1037234840993767424</v>
      </c>
      <c r="F552" s="4"/>
      <c r="G552" s="4"/>
      <c r="H552" s="4"/>
      <c r="I552" s="10" t="str">
        <f>HYPERLINK("https://ifttt.com","IFTTT")</f>
        <v>IFTTT</v>
      </c>
      <c r="J552" s="2">
        <v>268</v>
      </c>
      <c r="K552" s="2">
        <v>1</v>
      </c>
      <c r="L552" s="2">
        <v>1</v>
      </c>
      <c r="M552" s="2"/>
      <c r="N552" s="8">
        <v>43286.066863425927</v>
      </c>
      <c r="O552" s="4" t="s">
        <v>324</v>
      </c>
      <c r="P552" s="3" t="s">
        <v>15245</v>
      </c>
      <c r="Q552" s="4"/>
      <c r="R552" s="4"/>
      <c r="S552" s="9" t="str">
        <f>HYPERLINK("https://pbs.twimg.com/profile_images/1014680450118217728/jZMFglso.jpg","View")</f>
        <v>View</v>
      </c>
    </row>
    <row r="553" spans="1:19" ht="30">
      <c r="A553" s="8">
        <v>43348.481736111113</v>
      </c>
      <c r="B553" s="11" t="str">
        <f>HYPERLINK("https://twitter.com/ehsanghi","@ehsanghi")</f>
        <v>@ehsanghi</v>
      </c>
      <c r="C553" s="6" t="s">
        <v>15244</v>
      </c>
      <c r="D553" s="5" t="s">
        <v>15243</v>
      </c>
      <c r="E553" s="9" t="str">
        <f>HYPERLINK("https://twitter.com/ehsanghi/status/1037234800648704000","1037234800648704000")</f>
        <v>1037234800648704000</v>
      </c>
      <c r="F553" s="4"/>
      <c r="G553" s="4"/>
      <c r="H553" s="4"/>
      <c r="I553" s="10" t="str">
        <f>HYPERLINK("http://twitter.com/download/android","Twitter for Android")</f>
        <v>Twitter for Android</v>
      </c>
      <c r="J553" s="2">
        <v>487</v>
      </c>
      <c r="K553" s="2">
        <v>821</v>
      </c>
      <c r="L553" s="2">
        <v>1</v>
      </c>
      <c r="M553" s="2"/>
      <c r="N553" s="8">
        <v>42071.712395833332</v>
      </c>
      <c r="O553" s="4" t="s">
        <v>133</v>
      </c>
      <c r="P553" s="3" t="s">
        <v>15242</v>
      </c>
      <c r="Q553" s="4"/>
      <c r="R553" s="4"/>
      <c r="S553" s="9" t="str">
        <f>HYPERLINK("https://pbs.twimg.com/profile_images/1019093766492360704/46kaO12o.jpg","View")</f>
        <v>View</v>
      </c>
    </row>
    <row r="554" spans="1:19" ht="30">
      <c r="A554" s="8">
        <v>43348.481539351851</v>
      </c>
      <c r="B554" s="11" t="str">
        <f>HYPERLINK("https://twitter.com/sazandegii","@sazandegii")</f>
        <v>@sazandegii</v>
      </c>
      <c r="C554" s="6" t="s">
        <v>4156</v>
      </c>
      <c r="D554" s="5" t="s">
        <v>15241</v>
      </c>
      <c r="E554" s="9" t="str">
        <f>HYPERLINK("https://twitter.com/sazandegii/status/1037234730247315457","1037234730247315457")</f>
        <v>1037234730247315457</v>
      </c>
      <c r="F554" s="4"/>
      <c r="G554" s="4"/>
      <c r="H554" s="4"/>
      <c r="I554" s="10" t="str">
        <f>HYPERLINK("http://twitter.com","Twitter Web Client")</f>
        <v>Twitter Web Client</v>
      </c>
      <c r="J554" s="2">
        <v>789</v>
      </c>
      <c r="K554" s="2">
        <v>75</v>
      </c>
      <c r="L554" s="2">
        <v>14</v>
      </c>
      <c r="M554" s="2"/>
      <c r="N554" s="8">
        <v>43144.881296296298</v>
      </c>
      <c r="O554" s="4" t="s">
        <v>104</v>
      </c>
      <c r="P554" s="3" t="s">
        <v>4153</v>
      </c>
      <c r="Q554" s="4"/>
      <c r="R554" s="4"/>
      <c r="S554" s="9" t="str">
        <f>HYPERLINK("https://pbs.twimg.com/profile_images/970996181366202368/iBGYCP3F.jpg","View")</f>
        <v>View</v>
      </c>
    </row>
    <row r="555" spans="1:19" ht="40">
      <c r="A555" s="8">
        <v>43348.479409722218</v>
      </c>
      <c r="B555" s="11" t="str">
        <f>HYPERLINK("https://twitter.com/MAMOOTTI","@MAMOOTTI")</f>
        <v>@MAMOOTTI</v>
      </c>
      <c r="C555" s="6" t="s">
        <v>12031</v>
      </c>
      <c r="D555" s="5" t="s">
        <v>15240</v>
      </c>
      <c r="E555" s="9" t="str">
        <f>HYPERLINK("https://twitter.com/MAMOOTTI/status/1037233958130470912","1037233958130470912")</f>
        <v>1037233958130470912</v>
      </c>
      <c r="F555" s="4"/>
      <c r="G555" s="4"/>
      <c r="H555" s="4"/>
      <c r="I555" s="10" t="str">
        <f>HYPERLINK("http://twitter.com","Twitter Web Client")</f>
        <v>Twitter Web Client</v>
      </c>
      <c r="J555" s="2">
        <v>8</v>
      </c>
      <c r="K555" s="2">
        <v>26</v>
      </c>
      <c r="L555" s="2">
        <v>0</v>
      </c>
      <c r="M555" s="2"/>
      <c r="N555" s="8">
        <v>43346.61509259259</v>
      </c>
      <c r="O555" s="4"/>
      <c r="P555" s="3"/>
      <c r="Q555" s="4"/>
      <c r="R555" s="4"/>
      <c r="S555" s="2" t="s">
        <v>155</v>
      </c>
    </row>
    <row r="556" spans="1:19" ht="40">
      <c r="A556" s="8">
        <v>43348.478981481487</v>
      </c>
      <c r="B556" s="11" t="str">
        <f>HYPERLINK("https://twitter.com/simayazaditv","@simayazaditv")</f>
        <v>@simayazaditv</v>
      </c>
      <c r="C556" s="6" t="s">
        <v>1758</v>
      </c>
      <c r="D556" s="5" t="s">
        <v>15239</v>
      </c>
      <c r="E556" s="9" t="str">
        <f>HYPERLINK("https://twitter.com/simayazaditv/status/1037233805751476224","1037233805751476224")</f>
        <v>1037233805751476224</v>
      </c>
      <c r="F556" s="4"/>
      <c r="G556" s="10" t="s">
        <v>15238</v>
      </c>
      <c r="H556" s="4"/>
      <c r="I556" s="10" t="str">
        <f>HYPERLINK("http://twitter.com","Twitter Web Client")</f>
        <v>Twitter Web Client</v>
      </c>
      <c r="J556" s="2">
        <v>6072</v>
      </c>
      <c r="K556" s="2">
        <v>1</v>
      </c>
      <c r="L556" s="2">
        <v>101</v>
      </c>
      <c r="M556" s="2"/>
      <c r="N556" s="8">
        <v>42209.662442129629</v>
      </c>
      <c r="O556" s="4" t="s">
        <v>252</v>
      </c>
      <c r="P556" s="3"/>
      <c r="Q556" s="10" t="s">
        <v>1755</v>
      </c>
      <c r="R556" s="4"/>
      <c r="S556" s="9" t="str">
        <f>HYPERLINK("https://pbs.twimg.com/profile_images/624546008937144321/5aqccHix.png","View")</f>
        <v>View</v>
      </c>
    </row>
    <row r="557" spans="1:19" ht="20">
      <c r="A557" s="8">
        <v>43348.47865740741</v>
      </c>
      <c r="B557" s="11" t="str">
        <f>HYPERLINK("https://twitter.com/_roshanaa_","@_roshanaa_")</f>
        <v>@_roshanaa_</v>
      </c>
      <c r="C557" s="6" t="s">
        <v>3236</v>
      </c>
      <c r="D557" s="5" t="s">
        <v>15237</v>
      </c>
      <c r="E557" s="9" t="str">
        <f>HYPERLINK("https://twitter.com/_roshanaa_/status/1037233687006466048","1037233687006466048")</f>
        <v>1037233687006466048</v>
      </c>
      <c r="F557" s="4"/>
      <c r="G557" s="4"/>
      <c r="H557" s="4"/>
      <c r="I557" s="10" t="str">
        <f>HYPERLINK("http://twitter.com","Twitter Web Client")</f>
        <v>Twitter Web Client</v>
      </c>
      <c r="J557" s="2">
        <v>2993</v>
      </c>
      <c r="K557" s="2">
        <v>1052</v>
      </c>
      <c r="L557" s="2">
        <v>5</v>
      </c>
      <c r="M557" s="2"/>
      <c r="N557" s="8">
        <v>41181.887025462966</v>
      </c>
      <c r="O557" s="4"/>
      <c r="P557" s="3" t="s">
        <v>3234</v>
      </c>
      <c r="Q557" s="4"/>
      <c r="R557" s="4"/>
      <c r="S557" s="9" t="str">
        <f>HYPERLINK("https://pbs.twimg.com/profile_images/1009316472500441088/P_YKDDPV.jpg","View")</f>
        <v>View</v>
      </c>
    </row>
    <row r="558" spans="1:19" ht="40">
      <c r="A558" s="8">
        <v>43348.478125000001</v>
      </c>
      <c r="B558" s="11" t="str">
        <f>HYPERLINK("https://twitter.com/Reba_ir","@Reba_ir")</f>
        <v>@Reba_ir</v>
      </c>
      <c r="C558" s="6" t="s">
        <v>15236</v>
      </c>
      <c r="D558" s="5" t="s">
        <v>15235</v>
      </c>
      <c r="E558" s="9" t="str">
        <f>HYPERLINK("https://twitter.com/Reba_ir/status/1037233495729496064","1037233495729496064")</f>
        <v>1037233495729496064</v>
      </c>
      <c r="F558" s="4"/>
      <c r="G558" s="4"/>
      <c r="H558" s="4"/>
      <c r="I558" s="10" t="str">
        <f>HYPERLINK("http://twitter.com/download/android","Twitter for Android")</f>
        <v>Twitter for Android</v>
      </c>
      <c r="J558" s="2">
        <v>893</v>
      </c>
      <c r="K558" s="2">
        <v>2</v>
      </c>
      <c r="L558" s="2">
        <v>4</v>
      </c>
      <c r="M558" s="2"/>
      <c r="N558" s="8">
        <v>41148.50571759259</v>
      </c>
      <c r="O558" s="4" t="s">
        <v>17</v>
      </c>
      <c r="P558" s="3" t="s">
        <v>15234</v>
      </c>
      <c r="Q558" s="10" t="s">
        <v>15233</v>
      </c>
      <c r="R558" s="4"/>
      <c r="S558" s="9" t="str">
        <f>HYPERLINK("https://pbs.twimg.com/profile_images/638736937465982976/6VQ1mFEK.png","View")</f>
        <v>View</v>
      </c>
    </row>
    <row r="559" spans="1:19" ht="40">
      <c r="A559" s="8">
        <v>43348.477060185185</v>
      </c>
      <c r="B559" s="11" t="str">
        <f>HYPERLINK("https://twitter.com/_4hmadBayati","@_4hmadBayati")</f>
        <v>@_4hmadBayati</v>
      </c>
      <c r="C559" s="6" t="s">
        <v>15232</v>
      </c>
      <c r="D559" s="5" t="s">
        <v>15231</v>
      </c>
      <c r="E559" s="9" t="str">
        <f>HYPERLINK("https://twitter.com/_4hmadBayati/status/1037233107290791936","1037233107290791936")</f>
        <v>1037233107290791936</v>
      </c>
      <c r="F559" s="4"/>
      <c r="G559" s="10" t="s">
        <v>15230</v>
      </c>
      <c r="H559" s="4"/>
      <c r="I559" s="10" t="str">
        <f>HYPERLINK("http://twitter.com/download/iphone","Twitter for iPhone")</f>
        <v>Twitter for iPhone</v>
      </c>
      <c r="J559" s="2">
        <v>892</v>
      </c>
      <c r="K559" s="2">
        <v>539</v>
      </c>
      <c r="L559" s="2">
        <v>0</v>
      </c>
      <c r="M559" s="2"/>
      <c r="N559" s="8">
        <v>43299.730173611111</v>
      </c>
      <c r="O559" s="4" t="s">
        <v>133</v>
      </c>
      <c r="P559" s="3" t="s">
        <v>15229</v>
      </c>
      <c r="Q559" s="4"/>
      <c r="R559" s="4"/>
      <c r="S559" s="9" t="str">
        <f>HYPERLINK("https://pbs.twimg.com/profile_images/1037241826988773376/MzyOWYc7.jpg","View")</f>
        <v>View</v>
      </c>
    </row>
    <row r="560" spans="1:19" ht="20">
      <c r="A560" s="8">
        <v>43348.476990740739</v>
      </c>
      <c r="B560" s="11" t="str">
        <f>HYPERLINK("https://twitter.com/iranwire","@iranwire")</f>
        <v>@iranwire</v>
      </c>
      <c r="C560" s="6" t="s">
        <v>15228</v>
      </c>
      <c r="D560" s="5" t="s">
        <v>15227</v>
      </c>
      <c r="E560" s="9" t="str">
        <f>HYPERLINK("https://twitter.com/iranwire/status/1037233084020740096","1037233084020740096")</f>
        <v>1037233084020740096</v>
      </c>
      <c r="F560" s="4"/>
      <c r="G560" s="10" t="s">
        <v>15226</v>
      </c>
      <c r="H560" s="4"/>
      <c r="I560" s="10" t="str">
        <f>HYPERLINK("http://twitter.com","Twitter Web Client")</f>
        <v>Twitter Web Client</v>
      </c>
      <c r="J560" s="2">
        <v>14798</v>
      </c>
      <c r="K560" s="2">
        <v>251</v>
      </c>
      <c r="L560" s="2">
        <v>141</v>
      </c>
      <c r="M560" s="2"/>
      <c r="N560" s="8">
        <v>41389.537766203706</v>
      </c>
      <c r="O560" s="4"/>
      <c r="P560" s="3" t="s">
        <v>15225</v>
      </c>
      <c r="Q560" s="10" t="s">
        <v>15224</v>
      </c>
      <c r="R560" s="4"/>
      <c r="S560" s="9" t="str">
        <f>HYPERLINK("https://pbs.twimg.com/profile_images/3576330538/08b7001830c535170c522e2836370aad.jpeg","View")</f>
        <v>View</v>
      </c>
    </row>
    <row r="561" spans="1:19" ht="30">
      <c r="A561" s="8">
        <v>43348.476064814815</v>
      </c>
      <c r="B561" s="11" t="str">
        <f>HYPERLINK("https://twitter.com/ali_chahkho","@ali_chahkho")</f>
        <v>@ali_chahkho</v>
      </c>
      <c r="C561" s="6" t="s">
        <v>15223</v>
      </c>
      <c r="D561" s="5" t="s">
        <v>15222</v>
      </c>
      <c r="E561" s="9" t="str">
        <f>HYPERLINK("https://twitter.com/ali_chahkho/status/1037232748736462848","1037232748736462848")</f>
        <v>1037232748736462848</v>
      </c>
      <c r="F561" s="4"/>
      <c r="G561" s="4"/>
      <c r="H561" s="4"/>
      <c r="I561" s="10" t="str">
        <f>HYPERLINK("http://twitter.com/download/android","Twitter for Android")</f>
        <v>Twitter for Android</v>
      </c>
      <c r="J561" s="2">
        <v>2600</v>
      </c>
      <c r="K561" s="2">
        <v>2948</v>
      </c>
      <c r="L561" s="2">
        <v>6</v>
      </c>
      <c r="M561" s="2"/>
      <c r="N561" s="8">
        <v>42757.982361111106</v>
      </c>
      <c r="O561" s="4" t="s">
        <v>15221</v>
      </c>
      <c r="P561" s="3" t="s">
        <v>15220</v>
      </c>
      <c r="Q561" s="4"/>
      <c r="R561" s="4"/>
      <c r="S561" s="9" t="str">
        <f>HYPERLINK("https://pbs.twimg.com/profile_images/1016432808821129217/50qM2YRv.jpg","View")</f>
        <v>View</v>
      </c>
    </row>
    <row r="562" spans="1:19" ht="40">
      <c r="A562" s="8">
        <v>43348.475300925929</v>
      </c>
      <c r="B562" s="11" t="str">
        <f>HYPERLINK("https://twitter.com/atregoleyas","@atregoleyas")</f>
        <v>@atregoleyas</v>
      </c>
      <c r="C562" s="6" t="s">
        <v>11837</v>
      </c>
      <c r="D562" s="5" t="s">
        <v>15219</v>
      </c>
      <c r="E562" s="9" t="str">
        <f>HYPERLINK("https://twitter.com/atregoleyas/status/1037232469634940928","1037232469634940928")</f>
        <v>1037232469634940928</v>
      </c>
      <c r="F562" s="4"/>
      <c r="G562" s="4"/>
      <c r="H562" s="4"/>
      <c r="I562" s="10" t="str">
        <f>HYPERLINK("http://twitter.com","Twitter Web Client")</f>
        <v>Twitter Web Client</v>
      </c>
      <c r="J562" s="2">
        <v>3051</v>
      </c>
      <c r="K562" s="2">
        <v>4720</v>
      </c>
      <c r="L562" s="2">
        <v>5</v>
      </c>
      <c r="M562" s="2"/>
      <c r="N562" s="8">
        <v>39571.561168981483</v>
      </c>
      <c r="O562" s="4" t="s">
        <v>748</v>
      </c>
      <c r="P562" s="3" t="s">
        <v>11835</v>
      </c>
      <c r="Q562" s="10" t="s">
        <v>11834</v>
      </c>
      <c r="R562" s="4"/>
      <c r="S562" s="9" t="str">
        <f>HYPERLINK("https://pbs.twimg.com/profile_images/1001601040037314560/YPOcHarJ.jpg","View")</f>
        <v>View</v>
      </c>
    </row>
    <row r="563" spans="1:19" ht="40">
      <c r="A563" s="8">
        <v>43348.474687499998</v>
      </c>
      <c r="B563" s="11" t="str">
        <f>HYPERLINK("https://twitter.com/jebreili_m","@jebreili_m")</f>
        <v>@jebreili_m</v>
      </c>
      <c r="C563" s="6" t="s">
        <v>15218</v>
      </c>
      <c r="D563" s="5" t="s">
        <v>15217</v>
      </c>
      <c r="E563" s="9" t="str">
        <f>HYPERLINK("https://twitter.com/jebreili_m/status/1037232247517130752","1037232247517130752")</f>
        <v>1037232247517130752</v>
      </c>
      <c r="F563" s="4"/>
      <c r="G563" s="10" t="s">
        <v>15216</v>
      </c>
      <c r="H563" s="4"/>
      <c r="I563" s="10" t="str">
        <f>HYPERLINK("http://twitter.com/download/android","Twitter for Android")</f>
        <v>Twitter for Android</v>
      </c>
      <c r="J563" s="2">
        <v>1580</v>
      </c>
      <c r="K563" s="2">
        <v>268</v>
      </c>
      <c r="L563" s="2">
        <v>7</v>
      </c>
      <c r="M563" s="2"/>
      <c r="N563" s="8">
        <v>42752.484467592592</v>
      </c>
      <c r="O563" s="4" t="s">
        <v>104</v>
      </c>
      <c r="P563" s="3" t="s">
        <v>15215</v>
      </c>
      <c r="Q563" s="4"/>
      <c r="R563" s="4"/>
      <c r="S563" s="9" t="str">
        <f>HYPERLINK("https://pbs.twimg.com/profile_images/980154547900317696/NqE3oWbB.jpg","View")</f>
        <v>View</v>
      </c>
    </row>
    <row r="564" spans="1:19" ht="30">
      <c r="A564" s="8">
        <v>43348.47420138889</v>
      </c>
      <c r="B564" s="11" t="str">
        <f>HYPERLINK("https://twitter.com/rahimi_hastam","@rahimi_hastam")</f>
        <v>@rahimi_hastam</v>
      </c>
      <c r="C564" s="6" t="s">
        <v>11312</v>
      </c>
      <c r="D564" s="5" t="s">
        <v>15214</v>
      </c>
      <c r="E564" s="9" t="str">
        <f>HYPERLINK("https://twitter.com/rahimi_hastam/status/1037232073524871168","1037232073524871168")</f>
        <v>1037232073524871168</v>
      </c>
      <c r="F564" s="4"/>
      <c r="G564" s="10" t="s">
        <v>15213</v>
      </c>
      <c r="H564" s="4"/>
      <c r="I564" s="10" t="str">
        <f>HYPERLINK("http://twitter.com/download/android","Twitter for Android")</f>
        <v>Twitter for Android</v>
      </c>
      <c r="J564" s="2">
        <v>581</v>
      </c>
      <c r="K564" s="2">
        <v>1519</v>
      </c>
      <c r="L564" s="2">
        <v>0</v>
      </c>
      <c r="M564" s="2"/>
      <c r="N564" s="8">
        <v>43204.437337962961</v>
      </c>
      <c r="O564" s="4" t="s">
        <v>104</v>
      </c>
      <c r="P564" s="3" t="s">
        <v>11309</v>
      </c>
      <c r="Q564" s="4"/>
      <c r="R564" s="4"/>
      <c r="S564" s="9" t="str">
        <f>HYPERLINK("https://pbs.twimg.com/profile_images/1032575473132482561/Qf6TCt9-.jpg","View")</f>
        <v>View</v>
      </c>
    </row>
    <row r="565" spans="1:19" ht="20">
      <c r="A565" s="8">
        <v>43348.473958333328</v>
      </c>
      <c r="B565" s="11" t="str">
        <f>HYPERLINK("https://twitter.com/hamidbazmshahi","@hamidbazmshahi")</f>
        <v>@hamidbazmshahi</v>
      </c>
      <c r="C565" s="6" t="s">
        <v>2901</v>
      </c>
      <c r="D565" s="5" t="s">
        <v>15212</v>
      </c>
      <c r="E565" s="9" t="str">
        <f>HYPERLINK("https://twitter.com/hamidbazmshahi/status/1037231982265098241","1037231982265098241")</f>
        <v>1037231982265098241</v>
      </c>
      <c r="F565" s="4"/>
      <c r="G565" s="10" t="s">
        <v>15211</v>
      </c>
      <c r="H565" s="4"/>
      <c r="I565" s="10" t="str">
        <f>HYPERLINK("http://twitter.com/download/android","Twitter for Android")</f>
        <v>Twitter for Android</v>
      </c>
      <c r="J565" s="2">
        <v>230</v>
      </c>
      <c r="K565" s="2">
        <v>176</v>
      </c>
      <c r="L565" s="2">
        <v>5</v>
      </c>
      <c r="M565" s="2"/>
      <c r="N565" s="8">
        <v>42896.791354166664</v>
      </c>
      <c r="O565" s="4" t="s">
        <v>2899</v>
      </c>
      <c r="P565" s="3" t="s">
        <v>2898</v>
      </c>
      <c r="Q565" s="10" t="s">
        <v>2897</v>
      </c>
      <c r="R565" s="4"/>
      <c r="S565" s="9" t="str">
        <f>HYPERLINK("https://pbs.twimg.com/profile_images/874244155144368129/r0jUt66e.jpg","View")</f>
        <v>View</v>
      </c>
    </row>
    <row r="566" spans="1:19" ht="30">
      <c r="A566" s="8">
        <v>43348.473622685182</v>
      </c>
      <c r="B566" s="11" t="str">
        <f>HYPERLINK("https://twitter.com/qalampress","@qalampress")</f>
        <v>@qalampress</v>
      </c>
      <c r="C566" s="6" t="s">
        <v>1693</v>
      </c>
      <c r="D566" s="5" t="s">
        <v>15149</v>
      </c>
      <c r="E566" s="9" t="str">
        <f>HYPERLINK("https://twitter.com/qalampress/status/1037231862081437699","1037231862081437699")</f>
        <v>1037231862081437699</v>
      </c>
      <c r="F566" s="10" t="s">
        <v>15210</v>
      </c>
      <c r="G566" s="4"/>
      <c r="H566" s="4"/>
      <c r="I566" s="10" t="str">
        <f>HYPERLINK("http://instagram.com","Instagram")</f>
        <v>Instagram</v>
      </c>
      <c r="J566" s="2">
        <v>66</v>
      </c>
      <c r="K566" s="2">
        <v>231</v>
      </c>
      <c r="L566" s="2">
        <v>0</v>
      </c>
      <c r="M566" s="2"/>
      <c r="N566" s="8">
        <v>42522.882511574076</v>
      </c>
      <c r="O566" s="4"/>
      <c r="P566" s="3"/>
      <c r="Q566" s="10" t="s">
        <v>1690</v>
      </c>
      <c r="R566" s="4"/>
      <c r="S566" s="9" t="str">
        <f>HYPERLINK("https://pbs.twimg.com/profile_images/1031892314720010240/_O3bWNT-.jpg","View")</f>
        <v>View</v>
      </c>
    </row>
    <row r="567" spans="1:19" ht="30">
      <c r="A567" s="8">
        <v>43348.473460648151</v>
      </c>
      <c r="B567" s="11" t="str">
        <f>HYPERLINK("https://twitter.com/ata_afs","@ata_afs")</f>
        <v>@ata_afs</v>
      </c>
      <c r="C567" s="6" t="s">
        <v>1217</v>
      </c>
      <c r="D567" s="5" t="s">
        <v>15209</v>
      </c>
      <c r="E567" s="9" t="str">
        <f>HYPERLINK("https://twitter.com/ata_afs/status/1037231804741111808","1037231804741111808")</f>
        <v>1037231804741111808</v>
      </c>
      <c r="F567" s="4"/>
      <c r="G567" s="4"/>
      <c r="H567" s="4"/>
      <c r="I567" s="10" t="str">
        <f>HYPERLINK("http://twitter.com/download/iphone","Twitter for iPhone")</f>
        <v>Twitter for iPhone</v>
      </c>
      <c r="J567" s="2">
        <v>381</v>
      </c>
      <c r="K567" s="2">
        <v>696</v>
      </c>
      <c r="L567" s="2">
        <v>0</v>
      </c>
      <c r="M567" s="2"/>
      <c r="N567" s="8">
        <v>41833.536099537036</v>
      </c>
      <c r="O567" s="4" t="s">
        <v>34</v>
      </c>
      <c r="P567" s="3" t="s">
        <v>1213</v>
      </c>
      <c r="Q567" s="4"/>
      <c r="R567" s="4"/>
      <c r="S567" s="9" t="str">
        <f>HYPERLINK("https://pbs.twimg.com/profile_images/958374868008960000/IRXSv5-C.jpg","View")</f>
        <v>View</v>
      </c>
    </row>
    <row r="568" spans="1:19" ht="30">
      <c r="A568" s="8">
        <v>43348.473125000004</v>
      </c>
      <c r="B568" s="11" t="str">
        <f>HYPERLINK("https://twitter.com/MERSAD7731","@MERSAD7731")</f>
        <v>@MERSAD7731</v>
      </c>
      <c r="C568" s="6" t="s">
        <v>15189</v>
      </c>
      <c r="D568" s="5" t="s">
        <v>15208</v>
      </c>
      <c r="E568" s="9" t="str">
        <f>HYPERLINK("https://twitter.com/MERSAD7731/status/1037231683647549441","1037231683647549441")</f>
        <v>1037231683647549441</v>
      </c>
      <c r="F568" s="4"/>
      <c r="G568" s="4"/>
      <c r="H568" s="4"/>
      <c r="I568" s="10" t="str">
        <f>HYPERLINK("http://twitter.com/download/android","Twitter for Android")</f>
        <v>Twitter for Android</v>
      </c>
      <c r="J568" s="2">
        <v>34</v>
      </c>
      <c r="K568" s="2">
        <v>20</v>
      </c>
      <c r="L568" s="2">
        <v>0</v>
      </c>
      <c r="M568" s="2"/>
      <c r="N568" s="8">
        <v>42894.093506944446</v>
      </c>
      <c r="O568" s="4" t="s">
        <v>15187</v>
      </c>
      <c r="P568" s="3" t="s">
        <v>15186</v>
      </c>
      <c r="Q568" s="10" t="s">
        <v>15185</v>
      </c>
      <c r="R568" s="4"/>
      <c r="S568" s="9" t="str">
        <f>HYPERLINK("https://pbs.twimg.com/profile_images/1018953555686887424/oLgGzVFA.jpg","View")</f>
        <v>View</v>
      </c>
    </row>
    <row r="569" spans="1:19" ht="40">
      <c r="A569" s="8">
        <v>43348.472511574073</v>
      </c>
      <c r="B569" s="11" t="str">
        <f>HYPERLINK("https://twitter.com/azizi_ss","@azizi_ss")</f>
        <v>@azizi_ss</v>
      </c>
      <c r="C569" s="6" t="s">
        <v>15207</v>
      </c>
      <c r="D569" s="5" t="s">
        <v>15206</v>
      </c>
      <c r="E569" s="9" t="str">
        <f>HYPERLINK("https://twitter.com/azizi_ss/status/1037231460124712960","1037231460124712960")</f>
        <v>1037231460124712960</v>
      </c>
      <c r="F569" s="4"/>
      <c r="G569" s="4"/>
      <c r="H569" s="4"/>
      <c r="I569" s="10" t="str">
        <f>HYPERLINK("http://twitter.com","Twitter Web Client")</f>
        <v>Twitter Web Client</v>
      </c>
      <c r="J569" s="2">
        <v>0</v>
      </c>
      <c r="K569" s="2">
        <v>0</v>
      </c>
      <c r="L569" s="2">
        <v>0</v>
      </c>
      <c r="M569" s="2"/>
      <c r="N569" s="8">
        <v>43348.375763888893</v>
      </c>
      <c r="O569" s="4"/>
      <c r="P569" s="3"/>
      <c r="Q569" s="4"/>
      <c r="R569" s="4"/>
      <c r="S569" s="2" t="s">
        <v>155</v>
      </c>
    </row>
    <row r="570" spans="1:19" ht="40">
      <c r="A570" s="8">
        <v>43348.471388888887</v>
      </c>
      <c r="B570" s="11" t="str">
        <f>HYPERLINK("https://twitter.com/MAMOOTTI","@MAMOOTTI")</f>
        <v>@MAMOOTTI</v>
      </c>
      <c r="C570" s="6" t="s">
        <v>12031</v>
      </c>
      <c r="D570" s="5" t="s">
        <v>15205</v>
      </c>
      <c r="E570" s="9" t="str">
        <f>HYPERLINK("https://twitter.com/MAMOOTTI/status/1037231052186628096","1037231052186628096")</f>
        <v>1037231052186628096</v>
      </c>
      <c r="F570" s="4"/>
      <c r="G570" s="4"/>
      <c r="H570" s="4"/>
      <c r="I570" s="10" t="str">
        <f>HYPERLINK("http://twitter.com","Twitter Web Client")</f>
        <v>Twitter Web Client</v>
      </c>
      <c r="J570" s="2">
        <v>7</v>
      </c>
      <c r="K570" s="2">
        <v>22</v>
      </c>
      <c r="L570" s="2">
        <v>0</v>
      </c>
      <c r="M570" s="2"/>
      <c r="N570" s="8">
        <v>43346.61509259259</v>
      </c>
      <c r="O570" s="4"/>
      <c r="P570" s="3"/>
      <c r="Q570" s="4"/>
      <c r="R570" s="4"/>
      <c r="S570" s="2" t="s">
        <v>155</v>
      </c>
    </row>
    <row r="571" spans="1:19" ht="20">
      <c r="A571" s="8">
        <v>43348.470462962963</v>
      </c>
      <c r="B571" s="11" t="str">
        <f>HYPERLINK("https://twitter.com/lkokilo","@lkokilo")</f>
        <v>@lkokilo</v>
      </c>
      <c r="C571" s="6" t="s">
        <v>15171</v>
      </c>
      <c r="D571" s="5" t="s">
        <v>15204</v>
      </c>
      <c r="E571" s="9" t="str">
        <f>HYPERLINK("https://twitter.com/lkokilo/status/1037230715375702017","1037230715375702017")</f>
        <v>1037230715375702017</v>
      </c>
      <c r="F571" s="4"/>
      <c r="G571" s="4"/>
      <c r="H571" s="4"/>
      <c r="I571" s="10" t="str">
        <f>HYPERLINK("http://twitter.com/download/android","Twitter for Android")</f>
        <v>Twitter for Android</v>
      </c>
      <c r="J571" s="2">
        <v>35</v>
      </c>
      <c r="K571" s="2">
        <v>62</v>
      </c>
      <c r="L571" s="2">
        <v>1</v>
      </c>
      <c r="M571" s="2"/>
      <c r="N571" s="8">
        <v>41306.610960648148</v>
      </c>
      <c r="O571" s="4" t="s">
        <v>682</v>
      </c>
      <c r="P571" s="3"/>
      <c r="Q571" s="4"/>
      <c r="R571" s="4"/>
      <c r="S571" s="9" t="str">
        <f>HYPERLINK("https://pbs.twimg.com/profile_images/628052042951430150/IbqvwaBJ.jpg","View")</f>
        <v>View</v>
      </c>
    </row>
    <row r="572" spans="1:19" ht="20">
      <c r="A572" s="8">
        <v>43348.470138888893</v>
      </c>
      <c r="B572" s="11" t="str">
        <f>HYPERLINK("https://twitter.com/kerman034","@kerman034")</f>
        <v>@kerman034</v>
      </c>
      <c r="C572" s="6" t="s">
        <v>9915</v>
      </c>
      <c r="D572" s="5" t="s">
        <v>15203</v>
      </c>
      <c r="E572" s="9" t="str">
        <f>HYPERLINK("https://twitter.com/kerman034/status/1037230599419965440","1037230599419965440")</f>
        <v>1037230599419965440</v>
      </c>
      <c r="F572" s="4"/>
      <c r="G572" s="4"/>
      <c r="H572" s="4"/>
      <c r="I572" s="10" t="str">
        <f>HYPERLINK("http://twitter.com/download/android","Twitter for Android")</f>
        <v>Twitter for Android</v>
      </c>
      <c r="J572" s="2">
        <v>508</v>
      </c>
      <c r="K572" s="2">
        <v>2435</v>
      </c>
      <c r="L572" s="2">
        <v>1</v>
      </c>
      <c r="M572" s="2"/>
      <c r="N572" s="8">
        <v>43242.53842592593</v>
      </c>
      <c r="O572" s="4" t="s">
        <v>34</v>
      </c>
      <c r="P572" s="3" t="s">
        <v>9912</v>
      </c>
      <c r="Q572" s="4"/>
      <c r="R572" s="4"/>
      <c r="S572" s="9" t="str">
        <f>HYPERLINK("https://pbs.twimg.com/profile_images/999541009397661696/D7YzBeV9.jpg","View")</f>
        <v>View</v>
      </c>
    </row>
    <row r="573" spans="1:19" ht="20">
      <c r="A573" s="8">
        <v>43348.470138888893</v>
      </c>
      <c r="B573" s="11" t="str">
        <f>HYPERLINK("https://twitter.com/kerman034","@kerman034")</f>
        <v>@kerman034</v>
      </c>
      <c r="C573" s="6" t="s">
        <v>9915</v>
      </c>
      <c r="D573" s="5" t="s">
        <v>15202</v>
      </c>
      <c r="E573" s="9" t="str">
        <f>HYPERLINK("https://twitter.com/kerman034/status/1037230598958530560","1037230598958530560")</f>
        <v>1037230598958530560</v>
      </c>
      <c r="F573" s="4"/>
      <c r="G573" s="4"/>
      <c r="H573" s="4"/>
      <c r="I573" s="10" t="str">
        <f>HYPERLINK("http://twitter.com/download/android","Twitter for Android")</f>
        <v>Twitter for Android</v>
      </c>
      <c r="J573" s="2">
        <v>508</v>
      </c>
      <c r="K573" s="2">
        <v>2435</v>
      </c>
      <c r="L573" s="2">
        <v>1</v>
      </c>
      <c r="M573" s="2"/>
      <c r="N573" s="8">
        <v>43242.53842592593</v>
      </c>
      <c r="O573" s="4" t="s">
        <v>34</v>
      </c>
      <c r="P573" s="3" t="s">
        <v>9912</v>
      </c>
      <c r="Q573" s="4"/>
      <c r="R573" s="4"/>
      <c r="S573" s="9" t="str">
        <f>HYPERLINK("https://pbs.twimg.com/profile_images/999541009397661696/D7YzBeV9.jpg","View")</f>
        <v>View</v>
      </c>
    </row>
    <row r="574" spans="1:19" ht="40">
      <c r="A574" s="8">
        <v>43348.47010416667</v>
      </c>
      <c r="B574" s="11" t="str">
        <f>HYPERLINK("https://twitter.com/amir_ali_irani","@amir_ali_irani")</f>
        <v>@amir_ali_irani</v>
      </c>
      <c r="C574" s="6" t="s">
        <v>9400</v>
      </c>
      <c r="D574" s="5" t="s">
        <v>15201</v>
      </c>
      <c r="E574" s="9" t="str">
        <f>HYPERLINK("https://twitter.com/amir_ali_irani/status/1037230585503207424","1037230585503207424")</f>
        <v>1037230585503207424</v>
      </c>
      <c r="F574" s="4"/>
      <c r="G574" s="4"/>
      <c r="H574" s="4"/>
      <c r="I574" s="10" t="str">
        <f>HYPERLINK("http://twitter.com/download/android","Twitter for Android")</f>
        <v>Twitter for Android</v>
      </c>
      <c r="J574" s="2">
        <v>4916</v>
      </c>
      <c r="K574" s="2">
        <v>4789</v>
      </c>
      <c r="L574" s="2">
        <v>6</v>
      </c>
      <c r="M574" s="2"/>
      <c r="N574" s="8">
        <v>43046.431284722217</v>
      </c>
      <c r="O574" s="4"/>
      <c r="P574" s="3" t="s">
        <v>9398</v>
      </c>
      <c r="Q574" s="4"/>
      <c r="R574" s="4"/>
      <c r="S574" s="9" t="str">
        <f>HYPERLINK("https://pbs.twimg.com/profile_images/1010232688106721280/b-HepdSP.jpg","View")</f>
        <v>View</v>
      </c>
    </row>
    <row r="575" spans="1:19" ht="20">
      <c r="A575" s="8">
        <v>43348.469351851847</v>
      </c>
      <c r="B575" s="11" t="str">
        <f>HYPERLINK("https://twitter.com/MERSAD7731","@MERSAD7731")</f>
        <v>@MERSAD7731</v>
      </c>
      <c r="C575" s="6" t="s">
        <v>15189</v>
      </c>
      <c r="D575" s="5" t="s">
        <v>15200</v>
      </c>
      <c r="E575" s="9" t="str">
        <f>HYPERLINK("https://twitter.com/MERSAD7731/status/1037230316635795457","1037230316635795457")</f>
        <v>1037230316635795457</v>
      </c>
      <c r="F575" s="4"/>
      <c r="G575" s="4"/>
      <c r="H575" s="4"/>
      <c r="I575" s="10" t="str">
        <f>HYPERLINK("http://twitter.com/download/android","Twitter for Android")</f>
        <v>Twitter for Android</v>
      </c>
      <c r="J575" s="2">
        <v>34</v>
      </c>
      <c r="K575" s="2">
        <v>20</v>
      </c>
      <c r="L575" s="2">
        <v>0</v>
      </c>
      <c r="M575" s="2"/>
      <c r="N575" s="8">
        <v>42894.093506944446</v>
      </c>
      <c r="O575" s="4" t="s">
        <v>15187</v>
      </c>
      <c r="P575" s="3" t="s">
        <v>15186</v>
      </c>
      <c r="Q575" s="10" t="s">
        <v>15185</v>
      </c>
      <c r="R575" s="4"/>
      <c r="S575" s="9" t="str">
        <f>HYPERLINK("https://pbs.twimg.com/profile_images/1018953555686887424/oLgGzVFA.jpg","View")</f>
        <v>View</v>
      </c>
    </row>
    <row r="576" spans="1:19" ht="40">
      <c r="A576" s="8">
        <v>43348.468599537038</v>
      </c>
      <c r="B576" s="11" t="str">
        <f>HYPERLINK("https://twitter.com/hezbolah87","@hezbolah87")</f>
        <v>@hezbolah87</v>
      </c>
      <c r="C576" s="6" t="s">
        <v>13748</v>
      </c>
      <c r="D576" s="5" t="s">
        <v>15199</v>
      </c>
      <c r="E576" s="9" t="str">
        <f>HYPERLINK("https://twitter.com/hezbolah87/status/1037230043959881728","1037230043959881728")</f>
        <v>1037230043959881728</v>
      </c>
      <c r="F576" s="4"/>
      <c r="G576" s="4"/>
      <c r="H576" s="4"/>
      <c r="I576" s="10" t="str">
        <f>HYPERLINK("http://twitter.com/download/android","Twitter for Android")</f>
        <v>Twitter for Android</v>
      </c>
      <c r="J576" s="2">
        <v>411</v>
      </c>
      <c r="K576" s="2">
        <v>0</v>
      </c>
      <c r="L576" s="2">
        <v>1</v>
      </c>
      <c r="M576" s="2"/>
      <c r="N576" s="8">
        <v>43073.491145833337</v>
      </c>
      <c r="O576" s="4"/>
      <c r="P576" s="3"/>
      <c r="Q576" s="4"/>
      <c r="R576" s="4"/>
      <c r="S576" s="9" t="str">
        <f>HYPERLINK("https://pbs.twimg.com/profile_images/998250842993053697/epv5x3ZM.jpg","View")</f>
        <v>View</v>
      </c>
    </row>
    <row r="577" spans="1:19" ht="30">
      <c r="A577" s="8">
        <v>43348.468553240746</v>
      </c>
      <c r="B577" s="11" t="str">
        <f>HYPERLINK("https://twitter.com/458_reza","@458_reza")</f>
        <v>@458_reza</v>
      </c>
      <c r="C577" s="6" t="s">
        <v>1221</v>
      </c>
      <c r="D577" s="5" t="s">
        <v>15198</v>
      </c>
      <c r="E577" s="9" t="str">
        <f>HYPERLINK("https://twitter.com/458_reza/status/1037230027086147584","1037230027086147584")</f>
        <v>1037230027086147584</v>
      </c>
      <c r="F577" s="4"/>
      <c r="G577" s="4"/>
      <c r="H577" s="4"/>
      <c r="I577" s="10" t="str">
        <f>HYPERLINK("http://twitter.com/download/iphone","Twitter for iPhone")</f>
        <v>Twitter for iPhone</v>
      </c>
      <c r="J577" s="2">
        <v>140</v>
      </c>
      <c r="K577" s="2">
        <v>193</v>
      </c>
      <c r="L577" s="2">
        <v>0</v>
      </c>
      <c r="M577" s="2"/>
      <c r="N577" s="8">
        <v>41812.539317129631</v>
      </c>
      <c r="O577" s="4" t="s">
        <v>1219</v>
      </c>
      <c r="P577" s="3" t="s">
        <v>1218</v>
      </c>
      <c r="Q577" s="4"/>
      <c r="R577" s="4"/>
      <c r="S577" s="9" t="str">
        <f>HYPERLINK("https://pbs.twimg.com/profile_images/940287487728947201/gzGWxfmy.jpg","View")</f>
        <v>View</v>
      </c>
    </row>
    <row r="578" spans="1:19" ht="20">
      <c r="A578" s="8">
        <v>43348.468472222223</v>
      </c>
      <c r="B578" s="11" t="str">
        <f>HYPERLINK("https://twitter.com/kerman034","@kerman034")</f>
        <v>@kerman034</v>
      </c>
      <c r="C578" s="6" t="s">
        <v>9915</v>
      </c>
      <c r="D578" s="5" t="s">
        <v>15197</v>
      </c>
      <c r="E578" s="9" t="str">
        <f>HYPERLINK("https://twitter.com/kerman034/status/1037229996237049856","1037229996237049856")</f>
        <v>1037229996237049856</v>
      </c>
      <c r="F578" s="4"/>
      <c r="G578" s="4"/>
      <c r="H578" s="4"/>
      <c r="I578" s="10" t="str">
        <f>HYPERLINK("http://twitter.com/download/android","Twitter for Android")</f>
        <v>Twitter for Android</v>
      </c>
      <c r="J578" s="2">
        <v>508</v>
      </c>
      <c r="K578" s="2">
        <v>2435</v>
      </c>
      <c r="L578" s="2">
        <v>1</v>
      </c>
      <c r="M578" s="2"/>
      <c r="N578" s="8">
        <v>43242.53842592593</v>
      </c>
      <c r="O578" s="4" t="s">
        <v>34</v>
      </c>
      <c r="P578" s="3" t="s">
        <v>9912</v>
      </c>
      <c r="Q578" s="4"/>
      <c r="R578" s="4"/>
      <c r="S578" s="9" t="str">
        <f>HYPERLINK("https://pbs.twimg.com/profile_images/999541009397661696/D7YzBeV9.jpg","View")</f>
        <v>View</v>
      </c>
    </row>
    <row r="579" spans="1:19" ht="20">
      <c r="A579" s="8">
        <v>43348.468368055561</v>
      </c>
      <c r="B579" s="11" t="str">
        <f>HYPERLINK("https://twitter.com/chanebedast","@chanebedast")</f>
        <v>@chanebedast</v>
      </c>
      <c r="C579" s="6" t="s">
        <v>15196</v>
      </c>
      <c r="D579" s="5" t="s">
        <v>15195</v>
      </c>
      <c r="E579" s="9" t="str">
        <f>HYPERLINK("https://twitter.com/chanebedast/status/1037229959461396480","1037229959461396480")</f>
        <v>1037229959461396480</v>
      </c>
      <c r="F579" s="4"/>
      <c r="G579" s="4"/>
      <c r="H579" s="4"/>
      <c r="I579" s="10" t="str">
        <f>HYPERLINK("http://twitter.com/download/android","Twitter for Android")</f>
        <v>Twitter for Android</v>
      </c>
      <c r="J579" s="2">
        <v>265</v>
      </c>
      <c r="K579" s="2">
        <v>359</v>
      </c>
      <c r="L579" s="2">
        <v>2</v>
      </c>
      <c r="M579" s="2"/>
      <c r="N579" s="8">
        <v>42088.928310185191</v>
      </c>
      <c r="O579" s="4"/>
      <c r="P579" s="3" t="s">
        <v>15194</v>
      </c>
      <c r="Q579" s="4"/>
      <c r="R579" s="4"/>
      <c r="S579" s="9" t="str">
        <f>HYPERLINK("https://pbs.twimg.com/profile_images/1035179324868124672/nBd4Pqkb.jpg","View")</f>
        <v>View</v>
      </c>
    </row>
    <row r="580" spans="1:19" ht="30">
      <c r="A580" s="8">
        <v>43348.467777777776</v>
      </c>
      <c r="B580" s="11" t="str">
        <f>HYPERLINK("https://twitter.com/mSalarAhmadi","@mSalarAhmadi")</f>
        <v>@mSalarAhmadi</v>
      </c>
      <c r="C580" s="6" t="s">
        <v>15193</v>
      </c>
      <c r="D580" s="5" t="s">
        <v>15192</v>
      </c>
      <c r="E580" s="9" t="str">
        <f>HYPERLINK("https://twitter.com/mSalarAhmadi/status/1037229743953924096","1037229743953924096")</f>
        <v>1037229743953924096</v>
      </c>
      <c r="F580" s="4"/>
      <c r="G580" s="10" t="s">
        <v>15191</v>
      </c>
      <c r="H580" s="4"/>
      <c r="I580" s="10" t="str">
        <f>HYPERLINK("http://twitter.com/download/iphone","Twitter for iPhone")</f>
        <v>Twitter for iPhone</v>
      </c>
      <c r="J580" s="2">
        <v>9779</v>
      </c>
      <c r="K580" s="2">
        <v>7029</v>
      </c>
      <c r="L580" s="2">
        <v>13</v>
      </c>
      <c r="M580" s="2"/>
      <c r="N580" s="8">
        <v>42678.816678240742</v>
      </c>
      <c r="O580" s="4" t="s">
        <v>34</v>
      </c>
      <c r="P580" s="3" t="s">
        <v>15190</v>
      </c>
      <c r="Q580" s="4"/>
      <c r="R580" s="4"/>
      <c r="S580" s="9" t="str">
        <f>HYPERLINK("https://pbs.twimg.com/profile_images/1006681950021709824/5aDamykR.jpg","View")</f>
        <v>View</v>
      </c>
    </row>
    <row r="581" spans="1:19" ht="20">
      <c r="A581" s="8">
        <v>43348.467418981483</v>
      </c>
      <c r="B581" s="11" t="str">
        <f>HYPERLINK("https://twitter.com/MERSAD7731","@MERSAD7731")</f>
        <v>@MERSAD7731</v>
      </c>
      <c r="C581" s="6" t="s">
        <v>15189</v>
      </c>
      <c r="D581" s="5" t="s">
        <v>15188</v>
      </c>
      <c r="E581" s="9" t="str">
        <f>HYPERLINK("https://twitter.com/MERSAD7731/status/1037229613007740929","1037229613007740929")</f>
        <v>1037229613007740929</v>
      </c>
      <c r="F581" s="4"/>
      <c r="G581" s="4"/>
      <c r="H581" s="4"/>
      <c r="I581" s="10" t="str">
        <f>HYPERLINK("http://twitter.com/download/android","Twitter for Android")</f>
        <v>Twitter for Android</v>
      </c>
      <c r="J581" s="2">
        <v>34</v>
      </c>
      <c r="K581" s="2">
        <v>20</v>
      </c>
      <c r="L581" s="2">
        <v>0</v>
      </c>
      <c r="M581" s="2"/>
      <c r="N581" s="8">
        <v>42894.093506944446</v>
      </c>
      <c r="O581" s="4" t="s">
        <v>15187</v>
      </c>
      <c r="P581" s="3" t="s">
        <v>15186</v>
      </c>
      <c r="Q581" s="10" t="s">
        <v>15185</v>
      </c>
      <c r="R581" s="4"/>
      <c r="S581" s="9" t="str">
        <f>HYPERLINK("https://pbs.twimg.com/profile_images/1018953555686887424/oLgGzVFA.jpg","View")</f>
        <v>View</v>
      </c>
    </row>
    <row r="582" spans="1:19" ht="30">
      <c r="A582" s="8">
        <v>43348.466932870375</v>
      </c>
      <c r="B582" s="11" t="str">
        <f>HYPERLINK("https://twitter.com/radiozamaneh","@radiozamaneh")</f>
        <v>@radiozamaneh</v>
      </c>
      <c r="C582" s="6" t="s">
        <v>5731</v>
      </c>
      <c r="D582" s="5" t="s">
        <v>15184</v>
      </c>
      <c r="E582" s="9" t="str">
        <f>HYPERLINK("https://twitter.com/radiozamaneh/status/1037229436863696897","1037229436863696897")</f>
        <v>1037229436863696897</v>
      </c>
      <c r="F582" s="10" t="s">
        <v>15183</v>
      </c>
      <c r="G582" s="10" t="s">
        <v>15182</v>
      </c>
      <c r="H582" s="4"/>
      <c r="I582" s="10" t="str">
        <f>HYPERLINK("https://www.radiozamaneh.com/","RZAutoPosting")</f>
        <v>RZAutoPosting</v>
      </c>
      <c r="J582" s="2">
        <v>110596</v>
      </c>
      <c r="K582" s="2">
        <v>840</v>
      </c>
      <c r="L582" s="2">
        <v>379</v>
      </c>
      <c r="M582" s="2" t="s">
        <v>80</v>
      </c>
      <c r="N582" s="8">
        <v>39573.255729166667</v>
      </c>
      <c r="O582" s="4" t="s">
        <v>5727</v>
      </c>
      <c r="P582" s="3" t="s">
        <v>5726</v>
      </c>
      <c r="Q582" s="10" t="s">
        <v>5725</v>
      </c>
      <c r="R582" s="4"/>
      <c r="S582" s="9" t="str">
        <f>HYPERLINK("https://pbs.twimg.com/profile_images/990906227256328192/IYPsq9ai.jpg","View")</f>
        <v>View</v>
      </c>
    </row>
    <row r="583" spans="1:19" ht="20">
      <c r="A583" s="8">
        <v>43348.466921296298</v>
      </c>
      <c r="B583" s="11" t="str">
        <f>HYPERLINK("https://twitter.com/kristianemampur","@kristianemampur")</f>
        <v>@kristianemampur</v>
      </c>
      <c r="C583" s="6" t="s">
        <v>5459</v>
      </c>
      <c r="D583" s="5" t="s">
        <v>15181</v>
      </c>
      <c r="E583" s="9" t="str">
        <f>HYPERLINK("https://twitter.com/kristianemampur/status/1037229434053566464","1037229434053566464")</f>
        <v>1037229434053566464</v>
      </c>
      <c r="F583" s="4"/>
      <c r="G583" s="4"/>
      <c r="H583" s="4"/>
      <c r="I583" s="10" t="str">
        <f>HYPERLINK("http://twitter.com/download/iphone","Twitter for iPhone")</f>
        <v>Twitter for iPhone</v>
      </c>
      <c r="J583" s="2">
        <v>4111</v>
      </c>
      <c r="K583" s="2">
        <v>3574</v>
      </c>
      <c r="L583" s="2">
        <v>1</v>
      </c>
      <c r="M583" s="2"/>
      <c r="N583" s="8">
        <v>43122.781817129631</v>
      </c>
      <c r="O583" s="4" t="s">
        <v>5457</v>
      </c>
      <c r="P583" s="3" t="s">
        <v>5456</v>
      </c>
      <c r="Q583" s="4"/>
      <c r="R583" s="4"/>
      <c r="S583" s="9" t="str">
        <f>HYPERLINK("https://pbs.twimg.com/profile_images/1012894560085737474/3o1qo3c3.jpg","View")</f>
        <v>View</v>
      </c>
    </row>
    <row r="584" spans="1:19" ht="12.5">
      <c r="A584" s="8">
        <v>43348.466562500005</v>
      </c>
      <c r="B584" s="11" t="str">
        <f>HYPERLINK("https://twitter.com/sam1983t","@sam1983t")</f>
        <v>@sam1983t</v>
      </c>
      <c r="C584" s="6" t="s">
        <v>15055</v>
      </c>
      <c r="D584" s="5" t="s">
        <v>15180</v>
      </c>
      <c r="E584" s="9" t="str">
        <f>HYPERLINK("https://twitter.com/sam1983t/status/1037229303476432897","1037229303476432897")</f>
        <v>1037229303476432897</v>
      </c>
      <c r="F584" s="4"/>
      <c r="G584" s="4"/>
      <c r="H584" s="4"/>
      <c r="I584" s="10" t="str">
        <f>HYPERLINK("http://twitter.com/download/iphone","Twitter for iPhone")</f>
        <v>Twitter for iPhone</v>
      </c>
      <c r="J584" s="2">
        <v>2452</v>
      </c>
      <c r="K584" s="2">
        <v>1266</v>
      </c>
      <c r="L584" s="2">
        <v>12</v>
      </c>
      <c r="M584" s="2"/>
      <c r="N584" s="8">
        <v>41915.015474537038</v>
      </c>
      <c r="O584" s="4" t="s">
        <v>15053</v>
      </c>
      <c r="P584" s="3" t="s">
        <v>15052</v>
      </c>
      <c r="Q584" s="4"/>
      <c r="R584" s="4"/>
      <c r="S584" s="9" t="str">
        <f>HYPERLINK("https://pbs.twimg.com/profile_images/916425672406503424/WyuueP4p.jpg","View")</f>
        <v>View</v>
      </c>
    </row>
    <row r="585" spans="1:19" ht="20">
      <c r="A585" s="8">
        <v>43348.46603009259</v>
      </c>
      <c r="B585" s="11" t="str">
        <f>HYPERLINK("https://twitter.com/rmoshiry","@rmoshiry")</f>
        <v>@rmoshiry</v>
      </c>
      <c r="C585" s="6" t="s">
        <v>7363</v>
      </c>
      <c r="D585" s="5" t="s">
        <v>15179</v>
      </c>
      <c r="E585" s="9" t="str">
        <f>HYPERLINK("https://twitter.com/rmoshiry/status/1037229111486427136","1037229111486427136")</f>
        <v>1037229111486427136</v>
      </c>
      <c r="F585" s="4"/>
      <c r="G585" s="4"/>
      <c r="H585" s="4"/>
      <c r="I585" s="10" t="str">
        <f>HYPERLINK("http://twitter.com/download/iphone","Twitter for iPhone")</f>
        <v>Twitter for iPhone</v>
      </c>
      <c r="J585" s="2">
        <v>163</v>
      </c>
      <c r="K585" s="2">
        <v>230</v>
      </c>
      <c r="L585" s="2">
        <v>1</v>
      </c>
      <c r="M585" s="2"/>
      <c r="N585" s="8">
        <v>41235.574074074073</v>
      </c>
      <c r="O585" s="4" t="s">
        <v>3191</v>
      </c>
      <c r="P585" s="3" t="s">
        <v>7361</v>
      </c>
      <c r="Q585" s="4"/>
      <c r="R585" s="4"/>
      <c r="S585" s="9" t="str">
        <f>HYPERLINK("https://pbs.twimg.com/profile_images/1023907658418536448/azgsRZWl.jpg","View")</f>
        <v>View</v>
      </c>
    </row>
    <row r="586" spans="1:19" ht="20">
      <c r="A586" s="8">
        <v>43348.464768518519</v>
      </c>
      <c r="B586" s="11" t="str">
        <f>HYPERLINK("https://twitter.com/eghtesadonline","@eghtesadonline")</f>
        <v>@eghtesadonline</v>
      </c>
      <c r="C586" s="6" t="s">
        <v>5935</v>
      </c>
      <c r="D586" s="5" t="s">
        <v>15178</v>
      </c>
      <c r="E586" s="9" t="str">
        <f>HYPERLINK("https://twitter.com/eghtesadonline/status/1037228651786461184","1037228651786461184")</f>
        <v>1037228651786461184</v>
      </c>
      <c r="F586" s="4"/>
      <c r="G586" s="4"/>
      <c r="H586" s="4"/>
      <c r="I586" s="10" t="str">
        <f>HYPERLINK("http://twitter.com/download/android","Twitter for Android")</f>
        <v>Twitter for Android</v>
      </c>
      <c r="J586" s="2">
        <v>2113</v>
      </c>
      <c r="K586" s="2">
        <v>7</v>
      </c>
      <c r="L586" s="2">
        <v>41</v>
      </c>
      <c r="M586" s="2"/>
      <c r="N586" s="8">
        <v>41595.377060185187</v>
      </c>
      <c r="O586" s="4" t="s">
        <v>17</v>
      </c>
      <c r="P586" s="3" t="s">
        <v>5933</v>
      </c>
      <c r="Q586" s="10" t="s">
        <v>5932</v>
      </c>
      <c r="R586" s="4"/>
      <c r="S586" s="9" t="str">
        <f>HYPERLINK("https://pbs.twimg.com/profile_images/1034350708475224064/4dNqWRJC.jpg","View")</f>
        <v>View</v>
      </c>
    </row>
    <row r="587" spans="1:19" ht="20">
      <c r="A587" s="8">
        <v>43348.464467592596</v>
      </c>
      <c r="B587" s="11" t="str">
        <f>HYPERLINK("https://twitter.com/Beeman93397010","@Beeman93397010")</f>
        <v>@Beeman93397010</v>
      </c>
      <c r="C587" s="6" t="s">
        <v>1335</v>
      </c>
      <c r="D587" s="5" t="s">
        <v>15177</v>
      </c>
      <c r="E587" s="9" t="str">
        <f>HYPERLINK("https://twitter.com/Beeman93397010/status/1037228546144567296","1037228546144567296")</f>
        <v>1037228546144567296</v>
      </c>
      <c r="F587" s="4"/>
      <c r="G587" s="4"/>
      <c r="H587" s="4"/>
      <c r="I587" s="10" t="str">
        <f>HYPERLINK("http://twitter.com/download/android","Twitter for Android")</f>
        <v>Twitter for Android</v>
      </c>
      <c r="J587" s="2">
        <v>147</v>
      </c>
      <c r="K587" s="2">
        <v>73</v>
      </c>
      <c r="L587" s="2">
        <v>0</v>
      </c>
      <c r="M587" s="2"/>
      <c r="N587" s="8">
        <v>43201.467928240745</v>
      </c>
      <c r="O587" s="4" t="s">
        <v>1333</v>
      </c>
      <c r="P587" s="3" t="s">
        <v>1332</v>
      </c>
      <c r="Q587" s="4"/>
      <c r="R587" s="4"/>
      <c r="S587" s="9" t="str">
        <f>HYPERLINK("https://pbs.twimg.com/profile_images/1035388374511706112/v6qk7301.jpg","View")</f>
        <v>View</v>
      </c>
    </row>
    <row r="588" spans="1:19" ht="20">
      <c r="A588" s="8">
        <v>43348.463819444441</v>
      </c>
      <c r="B588" s="11" t="str">
        <f>HYPERLINK("https://twitter.com/zizigolo_ir","@zizigolo_ir")</f>
        <v>@zizigolo_ir</v>
      </c>
      <c r="C588" s="6" t="s">
        <v>15176</v>
      </c>
      <c r="D588" s="5" t="s">
        <v>15175</v>
      </c>
      <c r="E588" s="9" t="str">
        <f>HYPERLINK("https://twitter.com/zizigolo_ir/status/1037228309871030273","1037228309871030273")</f>
        <v>1037228309871030273</v>
      </c>
      <c r="F588" s="4"/>
      <c r="G588" s="4"/>
      <c r="H588" s="4"/>
      <c r="I588" s="10" t="str">
        <f>HYPERLINK("http://twitter.com/download/android","Twitter for Android")</f>
        <v>Twitter for Android</v>
      </c>
      <c r="J588" s="2">
        <v>253</v>
      </c>
      <c r="K588" s="2">
        <v>388</v>
      </c>
      <c r="L588" s="2">
        <v>0</v>
      </c>
      <c r="M588" s="2"/>
      <c r="N588" s="8">
        <v>41740.017025462963</v>
      </c>
      <c r="O588" s="4" t="s">
        <v>15174</v>
      </c>
      <c r="P588" s="3" t="s">
        <v>15173</v>
      </c>
      <c r="Q588" s="4"/>
      <c r="R588" s="4"/>
      <c r="S588" s="9" t="str">
        <f>HYPERLINK("https://pbs.twimg.com/profile_images/1035796551317086208/vuCmP2G8.jpg","View")</f>
        <v>View</v>
      </c>
    </row>
    <row r="589" spans="1:19" ht="20">
      <c r="A589" s="8">
        <v>43348.463460648149</v>
      </c>
      <c r="B589" s="11" t="str">
        <f>HYPERLINK("https://twitter.com/new_sheikh","@new_sheikh")</f>
        <v>@new_sheikh</v>
      </c>
      <c r="C589" s="6" t="s">
        <v>1354</v>
      </c>
      <c r="D589" s="5" t="s">
        <v>15172</v>
      </c>
      <c r="E589" s="9" t="str">
        <f>HYPERLINK("https://twitter.com/new_sheikh/status/1037228181785399297","1037228181785399297")</f>
        <v>1037228181785399297</v>
      </c>
      <c r="F589" s="4"/>
      <c r="G589" s="4"/>
      <c r="H589" s="4"/>
      <c r="I589" s="10" t="str">
        <f>HYPERLINK("http://twitter.com/download/android","Twitter for Android")</f>
        <v>Twitter for Android</v>
      </c>
      <c r="J589" s="2">
        <v>1520</v>
      </c>
      <c r="K589" s="2">
        <v>895</v>
      </c>
      <c r="L589" s="2">
        <v>1</v>
      </c>
      <c r="M589" s="2"/>
      <c r="N589" s="8">
        <v>43175.448726851857</v>
      </c>
      <c r="O589" s="4" t="s">
        <v>1352</v>
      </c>
      <c r="P589" s="3" t="s">
        <v>1351</v>
      </c>
      <c r="Q589" s="4"/>
      <c r="R589" s="4"/>
      <c r="S589" s="9" t="str">
        <f>HYPERLINK("https://pbs.twimg.com/profile_images/1014723119183990784/pgI0yxZS.jpg","View")</f>
        <v>View</v>
      </c>
    </row>
    <row r="590" spans="1:19" ht="20">
      <c r="A590" s="8">
        <v>43348.462870370371</v>
      </c>
      <c r="B590" s="11" t="str">
        <f>HYPERLINK("https://twitter.com/lkokilo","@lkokilo")</f>
        <v>@lkokilo</v>
      </c>
      <c r="C590" s="6" t="s">
        <v>15171</v>
      </c>
      <c r="D590" s="5" t="s">
        <v>15170</v>
      </c>
      <c r="E590" s="9" t="str">
        <f>HYPERLINK("https://twitter.com/lkokilo/status/1037227964788817922","1037227964788817922")</f>
        <v>1037227964788817922</v>
      </c>
      <c r="F590" s="4"/>
      <c r="G590" s="4"/>
      <c r="H590" s="4"/>
      <c r="I590" s="10" t="str">
        <f>HYPERLINK("http://twitter.com/download/android","Twitter for Android")</f>
        <v>Twitter for Android</v>
      </c>
      <c r="J590" s="2">
        <v>35</v>
      </c>
      <c r="K590" s="2">
        <v>62</v>
      </c>
      <c r="L590" s="2">
        <v>1</v>
      </c>
      <c r="M590" s="2"/>
      <c r="N590" s="8">
        <v>41306.610960648148</v>
      </c>
      <c r="O590" s="4" t="s">
        <v>682</v>
      </c>
      <c r="P590" s="3"/>
      <c r="Q590" s="4"/>
      <c r="R590" s="4"/>
      <c r="S590" s="9" t="str">
        <f>HYPERLINK("https://pbs.twimg.com/profile_images/628052042951430150/IbqvwaBJ.jpg","View")</f>
        <v>View</v>
      </c>
    </row>
    <row r="591" spans="1:19" ht="40">
      <c r="A591" s="8">
        <v>43348.461180555554</v>
      </c>
      <c r="B591" s="11" t="str">
        <f>HYPERLINK("https://twitter.com/AlirezaRahimi_","@AlirezaRahimi_")</f>
        <v>@AlirezaRahimi_</v>
      </c>
      <c r="C591" s="6" t="s">
        <v>15169</v>
      </c>
      <c r="D591" s="5" t="s">
        <v>15168</v>
      </c>
      <c r="E591" s="9" t="str">
        <f>HYPERLINK("https://twitter.com/AlirezaRahimi_/status/1037227352168849408","1037227352168849408")</f>
        <v>1037227352168849408</v>
      </c>
      <c r="F591" s="4"/>
      <c r="G591" s="4"/>
      <c r="H591" s="4"/>
      <c r="I591" s="10" t="str">
        <f>HYPERLINK("http://twitter.com","Twitter Web Client")</f>
        <v>Twitter Web Client</v>
      </c>
      <c r="J591" s="2">
        <v>2114</v>
      </c>
      <c r="K591" s="2">
        <v>842</v>
      </c>
      <c r="L591" s="2">
        <v>18</v>
      </c>
      <c r="M591" s="2"/>
      <c r="N591" s="8">
        <v>42666.023530092592</v>
      </c>
      <c r="O591" s="4" t="s">
        <v>15167</v>
      </c>
      <c r="P591" s="3" t="s">
        <v>15166</v>
      </c>
      <c r="Q591" s="4"/>
      <c r="R591" s="4"/>
      <c r="S591" s="9" t="str">
        <f>HYPERLINK("https://pbs.twimg.com/profile_images/974599375845511169/mJVCO5zN.jpg","View")</f>
        <v>View</v>
      </c>
    </row>
    <row r="592" spans="1:19" ht="20">
      <c r="A592" s="8">
        <v>43348.460439814815</v>
      </c>
      <c r="B592" s="11" t="str">
        <f>HYPERLINK("https://twitter.com/farzanfrahpour","@farzanfrahpour")</f>
        <v>@farzanfrahpour</v>
      </c>
      <c r="C592" s="6" t="s">
        <v>15146</v>
      </c>
      <c r="D592" s="5" t="s">
        <v>15165</v>
      </c>
      <c r="E592" s="9" t="str">
        <f>HYPERLINK("https://twitter.com/farzanfrahpour/status/1037227085205524481","1037227085205524481")</f>
        <v>1037227085205524481</v>
      </c>
      <c r="F592" s="4"/>
      <c r="G592" s="10" t="s">
        <v>15164</v>
      </c>
      <c r="H592" s="4"/>
      <c r="I592" s="10" t="str">
        <f>HYPERLINK("http://twitter.com/download/iphone","Twitter for iPhone")</f>
        <v>Twitter for iPhone</v>
      </c>
      <c r="J592" s="2">
        <v>42</v>
      </c>
      <c r="K592" s="2">
        <v>39</v>
      </c>
      <c r="L592" s="2">
        <v>0</v>
      </c>
      <c r="M592" s="2"/>
      <c r="N592" s="8">
        <v>42074.10936342593</v>
      </c>
      <c r="O592" s="4"/>
      <c r="P592" s="3" t="s">
        <v>15143</v>
      </c>
      <c r="Q592" s="4"/>
      <c r="R592" s="4"/>
      <c r="S592" s="9" t="str">
        <f>HYPERLINK("https://pbs.twimg.com/profile_images/828282926290841601/yym7yhof.jpg","View")</f>
        <v>View</v>
      </c>
    </row>
    <row r="593" spans="1:19" ht="20">
      <c r="A593" s="8">
        <v>43348.458761574075</v>
      </c>
      <c r="B593" s="11" t="str">
        <f>HYPERLINK("https://twitter.com/ibenair","@ibenair")</f>
        <v>@ibenair</v>
      </c>
      <c r="C593" s="11" t="s">
        <v>570</v>
      </c>
      <c r="D593" s="5" t="s">
        <v>15163</v>
      </c>
      <c r="E593" s="9" t="str">
        <f>HYPERLINK("https://twitter.com/ibenair/status/1037226475731202048","1037226475731202048")</f>
        <v>1037226475731202048</v>
      </c>
      <c r="F593" s="10" t="s">
        <v>15162</v>
      </c>
      <c r="G593" s="4"/>
      <c r="H593" s="4"/>
      <c r="I593" s="10" t="str">
        <f>HYPERLINK("http://twitter.com/download/android","Twitter for Android")</f>
        <v>Twitter for Android</v>
      </c>
      <c r="J593" s="2">
        <v>47</v>
      </c>
      <c r="K593" s="2">
        <v>7</v>
      </c>
      <c r="L593" s="2">
        <v>1</v>
      </c>
      <c r="M593" s="2"/>
      <c r="N593" s="8">
        <v>43206.519918981481</v>
      </c>
      <c r="O593" s="4" t="s">
        <v>17</v>
      </c>
      <c r="P593" s="3" t="s">
        <v>567</v>
      </c>
      <c r="Q593" s="10" t="s">
        <v>566</v>
      </c>
      <c r="R593" s="4"/>
      <c r="S593" s="9" t="str">
        <f>HYPERLINK("https://pbs.twimg.com/profile_images/985793204661506048/Esq8e1Qs.jpg","View")</f>
        <v>View</v>
      </c>
    </row>
    <row r="594" spans="1:19" ht="60">
      <c r="A594" s="8">
        <v>43348.458043981482</v>
      </c>
      <c r="B594" s="11" t="str">
        <f>HYPERLINK("https://twitter.com/hajk1","@hajk1")</f>
        <v>@hajk1</v>
      </c>
      <c r="C594" s="6" t="s">
        <v>6376</v>
      </c>
      <c r="D594" s="5" t="s">
        <v>15161</v>
      </c>
      <c r="E594" s="9" t="str">
        <f>HYPERLINK("https://twitter.com/hajk1/status/1037226215655043073","1037226215655043073")</f>
        <v>1037226215655043073</v>
      </c>
      <c r="F594" s="10" t="s">
        <v>13297</v>
      </c>
      <c r="G594" s="10" t="s">
        <v>13296</v>
      </c>
      <c r="H594" s="4"/>
      <c r="I594" s="10" t="str">
        <f>HYPERLINK("http://twitter.com","Twitter Web Client")</f>
        <v>Twitter Web Client</v>
      </c>
      <c r="J594" s="2">
        <v>105</v>
      </c>
      <c r="K594" s="2">
        <v>275</v>
      </c>
      <c r="L594" s="2">
        <v>4</v>
      </c>
      <c r="M594" s="2"/>
      <c r="N594" s="8">
        <v>39599.440601851849</v>
      </c>
      <c r="O594" s="4" t="s">
        <v>133</v>
      </c>
      <c r="P594" s="3" t="s">
        <v>6373</v>
      </c>
      <c r="Q594" s="10" t="s">
        <v>6372</v>
      </c>
      <c r="R594" s="4"/>
      <c r="S594" s="9" t="str">
        <f>HYPERLINK("https://pbs.twimg.com/profile_images/817474352178405377/Y4siPyA5.jpg","View")</f>
        <v>View</v>
      </c>
    </row>
    <row r="595" spans="1:19" ht="30">
      <c r="A595" s="8">
        <v>43348.457500000004</v>
      </c>
      <c r="B595" s="11" t="str">
        <f>HYPERLINK("https://twitter.com/Farvafar","@Farvafar")</f>
        <v>@Farvafar</v>
      </c>
      <c r="C595" s="6" t="s">
        <v>15160</v>
      </c>
      <c r="D595" s="5" t="s">
        <v>15159</v>
      </c>
      <c r="E595" s="9" t="str">
        <f>HYPERLINK("https://twitter.com/Farvafar/status/1037226021823684608","1037226021823684608")</f>
        <v>1037226021823684608</v>
      </c>
      <c r="F595" s="4"/>
      <c r="G595" s="4"/>
      <c r="H595" s="4"/>
      <c r="I595" s="10" t="str">
        <f>HYPERLINK("http://twitter.com","Twitter Web Client")</f>
        <v>Twitter Web Client</v>
      </c>
      <c r="J595" s="2">
        <v>1100</v>
      </c>
      <c r="K595" s="2">
        <v>1113</v>
      </c>
      <c r="L595" s="2">
        <v>2</v>
      </c>
      <c r="M595" s="2"/>
      <c r="N595" s="8">
        <v>41112.43277777778</v>
      </c>
      <c r="O595" s="4" t="s">
        <v>15158</v>
      </c>
      <c r="P595" s="3" t="s">
        <v>15157</v>
      </c>
      <c r="Q595" s="10" t="s">
        <v>2931</v>
      </c>
      <c r="R595" s="4"/>
      <c r="S595" s="9" t="str">
        <f>HYPERLINK("https://pbs.twimg.com/profile_images/1010056701549002752/NkKVn2VN.jpg","View")</f>
        <v>View</v>
      </c>
    </row>
    <row r="596" spans="1:19" ht="30">
      <c r="A596" s="8">
        <v>43348.456562499996</v>
      </c>
      <c r="B596" s="11" t="str">
        <f>HYPERLINK("https://twitter.com/edrismohamadi72","@edrismohamadi72")</f>
        <v>@edrismohamadi72</v>
      </c>
      <c r="C596" s="6" t="s">
        <v>12818</v>
      </c>
      <c r="D596" s="5" t="s">
        <v>15156</v>
      </c>
      <c r="E596" s="9" t="str">
        <f>HYPERLINK("https://twitter.com/edrismohamadi72/status/1037225678188552192","1037225678188552192")</f>
        <v>1037225678188552192</v>
      </c>
      <c r="F596" s="4"/>
      <c r="G596" s="4"/>
      <c r="H596" s="4"/>
      <c r="I596" s="10" t="str">
        <f>HYPERLINK("https://mobile.twitter.com","Twitter Lite")</f>
        <v>Twitter Lite</v>
      </c>
      <c r="J596" s="2">
        <v>56</v>
      </c>
      <c r="K596" s="2">
        <v>75</v>
      </c>
      <c r="L596" s="2">
        <v>0</v>
      </c>
      <c r="M596" s="2"/>
      <c r="N596" s="8">
        <v>42914.454930555556</v>
      </c>
      <c r="O596" s="4" t="s">
        <v>17</v>
      </c>
      <c r="P596" s="3" t="s">
        <v>15155</v>
      </c>
      <c r="Q596" s="10" t="s">
        <v>12815</v>
      </c>
      <c r="R596" s="4"/>
      <c r="S596" s="9" t="str">
        <f>HYPERLINK("https://pbs.twimg.com/profile_images/1037059439109525510/qMSsB3qd.jpg","View")</f>
        <v>View</v>
      </c>
    </row>
    <row r="597" spans="1:19" ht="20">
      <c r="A597" s="8">
        <v>43348.456400462965</v>
      </c>
      <c r="B597" s="11" t="str">
        <f>HYPERLINK("https://twitter.com/borhanjafari","@borhanjafari")</f>
        <v>@borhanjafari</v>
      </c>
      <c r="C597" s="6" t="s">
        <v>15154</v>
      </c>
      <c r="D597" s="5" t="s">
        <v>15153</v>
      </c>
      <c r="E597" s="9" t="str">
        <f>HYPERLINK("https://twitter.com/borhanjafari/status/1037225619912880128","1037225619912880128")</f>
        <v>1037225619912880128</v>
      </c>
      <c r="F597" s="4"/>
      <c r="G597" s="4"/>
      <c r="H597" s="4"/>
      <c r="I597" s="10" t="str">
        <f>HYPERLINK("http://twitter.com","Twitter Web Client")</f>
        <v>Twitter Web Client</v>
      </c>
      <c r="J597" s="2">
        <v>161</v>
      </c>
      <c r="K597" s="2">
        <v>93</v>
      </c>
      <c r="L597" s="2">
        <v>1</v>
      </c>
      <c r="M597" s="2"/>
      <c r="N597" s="8">
        <v>42903.884456018517</v>
      </c>
      <c r="O597" s="4" t="s">
        <v>133</v>
      </c>
      <c r="P597" s="3" t="s">
        <v>15152</v>
      </c>
      <c r="Q597" s="4"/>
      <c r="R597" s="4"/>
      <c r="S597" s="9" t="str">
        <f>HYPERLINK("https://pbs.twimg.com/profile_images/876360246628888576/9Qu5Ffl-.jpg","View")</f>
        <v>View</v>
      </c>
    </row>
    <row r="598" spans="1:19" ht="40">
      <c r="A598" s="8">
        <v>43348.455706018518</v>
      </c>
      <c r="B598" s="11" t="str">
        <f>HYPERLINK("https://twitter.com/edalatazadii","@edalatazadii")</f>
        <v>@edalatazadii</v>
      </c>
      <c r="C598" s="6" t="s">
        <v>13075</v>
      </c>
      <c r="D598" s="5" t="s">
        <v>15151</v>
      </c>
      <c r="E598" s="9" t="str">
        <f>HYPERLINK("https://twitter.com/edalatazadii/status/1037225369772929026","1037225369772929026")</f>
        <v>1037225369772929026</v>
      </c>
      <c r="F598" s="4"/>
      <c r="G598" s="4"/>
      <c r="H598" s="4"/>
      <c r="I598" s="10" t="str">
        <f>HYPERLINK("http://twitter.com","Twitter Web Client")</f>
        <v>Twitter Web Client</v>
      </c>
      <c r="J598" s="2">
        <v>25</v>
      </c>
      <c r="K598" s="2">
        <v>165</v>
      </c>
      <c r="L598" s="2">
        <v>0</v>
      </c>
      <c r="M598" s="2"/>
      <c r="N598" s="8">
        <v>43316.394965277781</v>
      </c>
      <c r="O598" s="4"/>
      <c r="P598" s="3" t="s">
        <v>1779</v>
      </c>
      <c r="Q598" s="4"/>
      <c r="R598" s="4"/>
      <c r="S598" s="9" t="str">
        <f>HYPERLINK("https://pbs.twimg.com/profile_images/1029243706896011264/hw1-NJ-V.jpg","View")</f>
        <v>View</v>
      </c>
    </row>
    <row r="599" spans="1:19" ht="20">
      <c r="A599" s="8">
        <v>43348.455416666664</v>
      </c>
      <c r="B599" s="11" t="str">
        <f>HYPERLINK("https://twitter.com/Beeman93397010","@Beeman93397010")</f>
        <v>@Beeman93397010</v>
      </c>
      <c r="C599" s="6" t="s">
        <v>1335</v>
      </c>
      <c r="D599" s="5" t="s">
        <v>15150</v>
      </c>
      <c r="E599" s="9" t="str">
        <f>HYPERLINK("https://twitter.com/Beeman93397010/status/1037225266412769280","1037225266412769280")</f>
        <v>1037225266412769280</v>
      </c>
      <c r="F599" s="4"/>
      <c r="G599" s="4"/>
      <c r="H599" s="4"/>
      <c r="I599" s="10" t="str">
        <f>HYPERLINK("http://twitter.com/download/android","Twitter for Android")</f>
        <v>Twitter for Android</v>
      </c>
      <c r="J599" s="2">
        <v>147</v>
      </c>
      <c r="K599" s="2">
        <v>73</v>
      </c>
      <c r="L599" s="2">
        <v>0</v>
      </c>
      <c r="M599" s="2"/>
      <c r="N599" s="8">
        <v>43201.467928240745</v>
      </c>
      <c r="O599" s="4" t="s">
        <v>1333</v>
      </c>
      <c r="P599" s="3" t="s">
        <v>1332</v>
      </c>
      <c r="Q599" s="4"/>
      <c r="R599" s="4"/>
      <c r="S599" s="9" t="str">
        <f>HYPERLINK("https://pbs.twimg.com/profile_images/1035388374511706112/v6qk7301.jpg","View")</f>
        <v>View</v>
      </c>
    </row>
    <row r="600" spans="1:19" ht="30">
      <c r="A600" s="8">
        <v>43348.454548611116</v>
      </c>
      <c r="B600" s="11" t="str">
        <f>HYPERLINK("https://twitter.com/qalampress","@qalampress")</f>
        <v>@qalampress</v>
      </c>
      <c r="C600" s="6" t="s">
        <v>1693</v>
      </c>
      <c r="D600" s="5" t="s">
        <v>15149</v>
      </c>
      <c r="E600" s="9" t="str">
        <f>HYPERLINK("https://twitter.com/qalampress/status/1037224951454093313","1037224951454093313")</f>
        <v>1037224951454093313</v>
      </c>
      <c r="F600" s="10" t="s">
        <v>15148</v>
      </c>
      <c r="G600" s="4"/>
      <c r="H600" s="4"/>
      <c r="I600" s="10" t="str">
        <f>HYPERLINK("http://instagram.com","Instagram")</f>
        <v>Instagram</v>
      </c>
      <c r="J600" s="2">
        <v>66</v>
      </c>
      <c r="K600" s="2">
        <v>231</v>
      </c>
      <c r="L600" s="2">
        <v>0</v>
      </c>
      <c r="M600" s="2"/>
      <c r="N600" s="8">
        <v>42522.882511574076</v>
      </c>
      <c r="O600" s="4"/>
      <c r="P600" s="3"/>
      <c r="Q600" s="10" t="s">
        <v>1690</v>
      </c>
      <c r="R600" s="4"/>
      <c r="S600" s="9" t="str">
        <f>HYPERLINK("https://pbs.twimg.com/profile_images/1031892314720010240/_O3bWNT-.jpg","View")</f>
        <v>View</v>
      </c>
    </row>
    <row r="601" spans="1:19" ht="40">
      <c r="A601" s="8">
        <v>43348.453587962962</v>
      </c>
      <c r="B601" s="11" t="str">
        <f>HYPERLINK("https://twitter.com/edalatazadii","@edalatazadii")</f>
        <v>@edalatazadii</v>
      </c>
      <c r="C601" s="6" t="s">
        <v>13075</v>
      </c>
      <c r="D601" s="5" t="s">
        <v>15147</v>
      </c>
      <c r="E601" s="9" t="str">
        <f>HYPERLINK("https://twitter.com/edalatazadii/status/1037224602781593600","1037224602781593600")</f>
        <v>1037224602781593600</v>
      </c>
      <c r="F601" s="4"/>
      <c r="G601" s="4"/>
      <c r="H601" s="4"/>
      <c r="I601" s="10" t="str">
        <f>HYPERLINK("http://twitter.com","Twitter Web Client")</f>
        <v>Twitter Web Client</v>
      </c>
      <c r="J601" s="2">
        <v>25</v>
      </c>
      <c r="K601" s="2">
        <v>165</v>
      </c>
      <c r="L601" s="2">
        <v>0</v>
      </c>
      <c r="M601" s="2"/>
      <c r="N601" s="8">
        <v>43316.394965277781</v>
      </c>
      <c r="O601" s="4"/>
      <c r="P601" s="3" t="s">
        <v>1779</v>
      </c>
      <c r="Q601" s="4"/>
      <c r="R601" s="4"/>
      <c r="S601" s="9" t="str">
        <f>HYPERLINK("https://pbs.twimg.com/profile_images/1029243706896011264/hw1-NJ-V.jpg","View")</f>
        <v>View</v>
      </c>
    </row>
    <row r="602" spans="1:19" ht="20">
      <c r="A602" s="8">
        <v>43348.451747685191</v>
      </c>
      <c r="B602" s="11" t="str">
        <f>HYPERLINK("https://twitter.com/farzanfrahpour","@farzanfrahpour")</f>
        <v>@farzanfrahpour</v>
      </c>
      <c r="C602" s="6" t="s">
        <v>15146</v>
      </c>
      <c r="D602" s="5" t="s">
        <v>15145</v>
      </c>
      <c r="E602" s="9" t="str">
        <f>HYPERLINK("https://twitter.com/farzanfrahpour/status/1037223934360539136","1037223934360539136")</f>
        <v>1037223934360539136</v>
      </c>
      <c r="F602" s="4"/>
      <c r="G602" s="10" t="s">
        <v>15144</v>
      </c>
      <c r="H602" s="4"/>
      <c r="I602" s="10" t="str">
        <f>HYPERLINK("http://twitter.com/download/iphone","Twitter for iPhone")</f>
        <v>Twitter for iPhone</v>
      </c>
      <c r="J602" s="2">
        <v>42</v>
      </c>
      <c r="K602" s="2">
        <v>39</v>
      </c>
      <c r="L602" s="2">
        <v>0</v>
      </c>
      <c r="M602" s="2"/>
      <c r="N602" s="8">
        <v>42074.10936342593</v>
      </c>
      <c r="O602" s="4"/>
      <c r="P602" s="3" t="s">
        <v>15143</v>
      </c>
      <c r="Q602" s="4"/>
      <c r="R602" s="4"/>
      <c r="S602" s="9" t="str">
        <f>HYPERLINK("https://pbs.twimg.com/profile_images/828282926290841601/yym7yhof.jpg","View")</f>
        <v>View</v>
      </c>
    </row>
    <row r="603" spans="1:19" ht="30">
      <c r="A603" s="8">
        <v>43348.451597222222</v>
      </c>
      <c r="B603" s="11" t="str">
        <f>HYPERLINK("https://twitter.com/atshan97","@atshan97")</f>
        <v>@atshan97</v>
      </c>
      <c r="C603" s="6" t="s">
        <v>10829</v>
      </c>
      <c r="D603" s="5" t="s">
        <v>15142</v>
      </c>
      <c r="E603" s="9" t="str">
        <f>HYPERLINK("https://twitter.com/atshan97/status/1037223879239000064","1037223879239000064")</f>
        <v>1037223879239000064</v>
      </c>
      <c r="F603" s="4"/>
      <c r="G603" s="10" t="s">
        <v>15141</v>
      </c>
      <c r="H603" s="4"/>
      <c r="I603" s="10" t="str">
        <f>HYPERLINK("http://twitter.com","Twitter Web Client")</f>
        <v>Twitter Web Client</v>
      </c>
      <c r="J603" s="2">
        <v>71</v>
      </c>
      <c r="K603" s="2">
        <v>53</v>
      </c>
      <c r="L603" s="2">
        <v>0</v>
      </c>
      <c r="M603" s="2"/>
      <c r="N603" s="8">
        <v>43146.583449074074</v>
      </c>
      <c r="O603" s="4"/>
      <c r="P603" s="3" t="s">
        <v>10827</v>
      </c>
      <c r="Q603" s="4"/>
      <c r="R603" s="4"/>
      <c r="S603" s="9" t="str">
        <f>HYPERLINK("https://pbs.twimg.com/profile_images/964086007980179456/BgKXoD-x.jpg","View")</f>
        <v>View</v>
      </c>
    </row>
    <row r="604" spans="1:19" ht="40">
      <c r="A604" s="8">
        <v>43348.451365740737</v>
      </c>
      <c r="B604" s="11" t="str">
        <f>HYPERLINK("https://twitter.com/alireza68t","@alireza68t")</f>
        <v>@alireza68t</v>
      </c>
      <c r="C604" s="6" t="s">
        <v>15140</v>
      </c>
      <c r="D604" s="5" t="s">
        <v>15139</v>
      </c>
      <c r="E604" s="9" t="str">
        <f>HYPERLINK("https://twitter.com/alireza68t/status/1037223798058242048","1037223798058242048")</f>
        <v>1037223798058242048</v>
      </c>
      <c r="F604" s="4"/>
      <c r="G604" s="10" t="s">
        <v>15138</v>
      </c>
      <c r="H604" s="4"/>
      <c r="I604" s="10" t="str">
        <f>HYPERLINK("http://twitter.com/download/iphone","Twitter for iPhone")</f>
        <v>Twitter for iPhone</v>
      </c>
      <c r="J604" s="2">
        <v>121</v>
      </c>
      <c r="K604" s="2">
        <v>123</v>
      </c>
      <c r="L604" s="2">
        <v>1</v>
      </c>
      <c r="M604" s="2"/>
      <c r="N604" s="8">
        <v>40801.853472222225</v>
      </c>
      <c r="O604" s="4" t="s">
        <v>15137</v>
      </c>
      <c r="P604" s="3"/>
      <c r="Q604" s="4"/>
      <c r="R604" s="4"/>
      <c r="S604" s="9" t="str">
        <f>HYPERLINK("https://pbs.twimg.com/profile_images/1035805422161211402/ofgrN9-R.jpg","View")</f>
        <v>View</v>
      </c>
    </row>
    <row r="605" spans="1:19" ht="40">
      <c r="A605" s="8">
        <v>43348.451168981483</v>
      </c>
      <c r="B605" s="11" t="str">
        <f>HYPERLINK("https://twitter.com/rez65bah","@rez65bah")</f>
        <v>@rez65bah</v>
      </c>
      <c r="C605" s="6" t="s">
        <v>6804</v>
      </c>
      <c r="D605" s="5" t="s">
        <v>15136</v>
      </c>
      <c r="E605" s="9" t="str">
        <f>HYPERLINK("https://twitter.com/rez65bah/status/1037223723504422914","1037223723504422914")</f>
        <v>1037223723504422914</v>
      </c>
      <c r="F605" s="4"/>
      <c r="G605" s="10" t="s">
        <v>15135</v>
      </c>
      <c r="H605" s="4"/>
      <c r="I605" s="10" t="str">
        <f>HYPERLINK("http://twitter.com","Twitter Web Client")</f>
        <v>Twitter Web Client</v>
      </c>
      <c r="J605" s="2">
        <v>1862</v>
      </c>
      <c r="K605" s="2">
        <v>443</v>
      </c>
      <c r="L605" s="2">
        <v>6</v>
      </c>
      <c r="M605" s="2"/>
      <c r="N605" s="8">
        <v>42815.058252314819</v>
      </c>
      <c r="O605" s="4"/>
      <c r="P605" s="3" t="s">
        <v>6801</v>
      </c>
      <c r="Q605" s="4"/>
      <c r="R605" s="4"/>
      <c r="S605" s="9" t="str">
        <f>HYPERLINK("https://pbs.twimg.com/profile_images/1017918964406673410/fbzsZBq-.jpg","View")</f>
        <v>View</v>
      </c>
    </row>
    <row r="606" spans="1:19" ht="40">
      <c r="A606" s="8">
        <v>43348.450902777782</v>
      </c>
      <c r="B606" s="11" t="str">
        <f>HYPERLINK("https://twitter.com/alisoltanivash","@alisoltanivash")</f>
        <v>@alisoltanivash</v>
      </c>
      <c r="C606" s="6" t="s">
        <v>12317</v>
      </c>
      <c r="D606" s="5" t="s">
        <v>15134</v>
      </c>
      <c r="E606" s="9" t="str">
        <f>HYPERLINK("https://twitter.com/alisoltanivash/status/1037223630801973249","1037223630801973249")</f>
        <v>1037223630801973249</v>
      </c>
      <c r="F606" s="4"/>
      <c r="G606" s="4"/>
      <c r="H606" s="4"/>
      <c r="I606" s="10" t="str">
        <f>HYPERLINK("http://twitter.com","Twitter Web Client")</f>
        <v>Twitter Web Client</v>
      </c>
      <c r="J606" s="2">
        <v>800</v>
      </c>
      <c r="K606" s="2">
        <v>1444</v>
      </c>
      <c r="L606" s="2">
        <v>0</v>
      </c>
      <c r="M606" s="2"/>
      <c r="N606" s="8">
        <v>41025.640729166669</v>
      </c>
      <c r="O606" s="4" t="s">
        <v>34</v>
      </c>
      <c r="P606" s="3" t="s">
        <v>15133</v>
      </c>
      <c r="Q606" s="10" t="s">
        <v>15132</v>
      </c>
      <c r="R606" s="4"/>
      <c r="S606" s="9" t="str">
        <f>HYPERLINK("https://pbs.twimg.com/profile_images/893576655293296640/nLZn-AiI.jpg","View")</f>
        <v>View</v>
      </c>
    </row>
    <row r="607" spans="1:19" ht="40">
      <c r="A607" s="8">
        <v>43348.450138888889</v>
      </c>
      <c r="B607" s="11" t="str">
        <f>HYPERLINK("https://twitter.com/khatm1141","@khatm1141")</f>
        <v>@khatm1141</v>
      </c>
      <c r="C607" s="6" t="s">
        <v>15131</v>
      </c>
      <c r="D607" s="5" t="s">
        <v>15130</v>
      </c>
      <c r="E607" s="9" t="str">
        <f>HYPERLINK("https://twitter.com/khatm1141/status/1037223350844747777","1037223350844747777")</f>
        <v>1037223350844747777</v>
      </c>
      <c r="F607" s="4"/>
      <c r="G607" s="4"/>
      <c r="H607" s="4"/>
      <c r="I607" s="10" t="str">
        <f>HYPERLINK("http://twitter.com","Twitter Web Client")</f>
        <v>Twitter Web Client</v>
      </c>
      <c r="J607" s="2">
        <v>2</v>
      </c>
      <c r="K607" s="2">
        <v>7</v>
      </c>
      <c r="L607" s="2">
        <v>0</v>
      </c>
      <c r="M607" s="2"/>
      <c r="N607" s="8">
        <v>42878.231226851851</v>
      </c>
      <c r="O607" s="4"/>
      <c r="P607" s="3"/>
      <c r="Q607" s="4"/>
      <c r="R607" s="4"/>
      <c r="S607" s="9" t="str">
        <f>HYPERLINK("https://pbs.twimg.com/profile_images/866832099462045697/fk7nTv-a.jpg","View")</f>
        <v>View</v>
      </c>
    </row>
    <row r="608" spans="1:19" ht="30">
      <c r="A608" s="8">
        <v>43348.449884259258</v>
      </c>
      <c r="B608" s="11" t="str">
        <f>HYPERLINK("https://twitter.com/barcode017","@barcode017")</f>
        <v>@barcode017</v>
      </c>
      <c r="C608" s="6" t="s">
        <v>15129</v>
      </c>
      <c r="D608" s="5" t="s">
        <v>15128</v>
      </c>
      <c r="E608" s="9" t="str">
        <f>HYPERLINK("https://twitter.com/barcode017/status/1037223258377125889","1037223258377125889")</f>
        <v>1037223258377125889</v>
      </c>
      <c r="F608" s="4"/>
      <c r="G608" s="4"/>
      <c r="H608" s="4"/>
      <c r="I608" s="10" t="str">
        <f>HYPERLINK("http://twitter.com/download/android","Twitter for Android")</f>
        <v>Twitter for Android</v>
      </c>
      <c r="J608" s="2">
        <v>759</v>
      </c>
      <c r="K608" s="2">
        <v>1679</v>
      </c>
      <c r="L608" s="2">
        <v>1</v>
      </c>
      <c r="M608" s="2"/>
      <c r="N608" s="8">
        <v>43230.580925925926</v>
      </c>
      <c r="O608" s="4" t="s">
        <v>17</v>
      </c>
      <c r="P608" s="3" t="s">
        <v>15127</v>
      </c>
      <c r="Q608" s="4"/>
      <c r="R608" s="4"/>
      <c r="S608" s="9" t="str">
        <f>HYPERLINK("https://pbs.twimg.com/profile_images/995573469063667712/AimlnqQP.jpg","View")</f>
        <v>View</v>
      </c>
    </row>
    <row r="609" spans="1:19" ht="30">
      <c r="A609" s="8">
        <v>43348.44809027778</v>
      </c>
      <c r="B609" s="11" t="str">
        <f>HYPERLINK("https://twitter.com/hsnhasankhani","@hsnhasankhani")</f>
        <v>@hsnhasankhani</v>
      </c>
      <c r="C609" s="6" t="s">
        <v>6447</v>
      </c>
      <c r="D609" s="5" t="s">
        <v>15126</v>
      </c>
      <c r="E609" s="9" t="str">
        <f>HYPERLINK("https://twitter.com/hsnhasankhani/status/1037222609757384704","1037222609757384704")</f>
        <v>1037222609757384704</v>
      </c>
      <c r="F609" s="4"/>
      <c r="G609" s="10" t="s">
        <v>15125</v>
      </c>
      <c r="H609" s="4"/>
      <c r="I609" s="10" t="str">
        <f>HYPERLINK("http://twitter.com","Twitter Web Client")</f>
        <v>Twitter Web Client</v>
      </c>
      <c r="J609" s="2">
        <v>70</v>
      </c>
      <c r="K609" s="2">
        <v>76</v>
      </c>
      <c r="L609" s="2">
        <v>0</v>
      </c>
      <c r="M609" s="2"/>
      <c r="N609" s="8">
        <v>43300.502557870372</v>
      </c>
      <c r="O609" s="4" t="s">
        <v>34</v>
      </c>
      <c r="P609" s="3" t="s">
        <v>15124</v>
      </c>
      <c r="Q609" s="4"/>
      <c r="R609" s="4"/>
      <c r="S609" s="9" t="str">
        <f>HYPERLINK("https://pbs.twimg.com/profile_images/1031865810447486976/OyDV3iMJ.jpg","View")</f>
        <v>View</v>
      </c>
    </row>
    <row r="610" spans="1:19" ht="12.5">
      <c r="A610" s="8">
        <v>43348.447280092594</v>
      </c>
      <c r="B610" s="11" t="str">
        <f>HYPERLINK("https://twitter.com/hesyravaneli","@hesyravaneli")</f>
        <v>@hesyravaneli</v>
      </c>
      <c r="C610" s="6" t="s">
        <v>15123</v>
      </c>
      <c r="D610" s="5" t="s">
        <v>15122</v>
      </c>
      <c r="E610" s="9" t="str">
        <f>HYPERLINK("https://twitter.com/hesyravaneli/status/1037222314906202112","1037222314906202112")</f>
        <v>1037222314906202112</v>
      </c>
      <c r="F610" s="4"/>
      <c r="G610" s="4"/>
      <c r="H610" s="4"/>
      <c r="I610" s="10" t="str">
        <f>HYPERLINK("http://twitter.com/download/android","Twitter for Android")</f>
        <v>Twitter for Android</v>
      </c>
      <c r="J610" s="2">
        <v>24</v>
      </c>
      <c r="K610" s="2">
        <v>33</v>
      </c>
      <c r="L610" s="2">
        <v>1</v>
      </c>
      <c r="M610" s="2"/>
      <c r="N610" s="8">
        <v>42197.021863425922</v>
      </c>
      <c r="O610" s="4" t="s">
        <v>133</v>
      </c>
      <c r="P610" s="3"/>
      <c r="Q610" s="4"/>
      <c r="R610" s="4"/>
      <c r="S610" s="9" t="str">
        <f>HYPERLINK("https://pbs.twimg.com/profile_images/619960884018872320/HfhWtWQu.jpg","View")</f>
        <v>View</v>
      </c>
    </row>
    <row r="611" spans="1:19" ht="20">
      <c r="A611" s="8">
        <v>43348.447118055556</v>
      </c>
      <c r="B611" s="11" t="str">
        <f>HYPERLINK("https://twitter.com/ilnanews","@ilnanews")</f>
        <v>@ilnanews</v>
      </c>
      <c r="C611" s="6" t="s">
        <v>6413</v>
      </c>
      <c r="D611" s="5" t="s">
        <v>15121</v>
      </c>
      <c r="E611" s="9" t="str">
        <f>HYPERLINK("https://twitter.com/ilnanews/status/1037222256030765056","1037222256030765056")</f>
        <v>1037222256030765056</v>
      </c>
      <c r="F611" s="10" t="s">
        <v>15120</v>
      </c>
      <c r="G611" s="10" t="s">
        <v>15119</v>
      </c>
      <c r="H611" s="4"/>
      <c r="I611" s="10" t="str">
        <f>HYPERLINK("http://twitter.com/download/android","Twitter for Android")</f>
        <v>Twitter for Android</v>
      </c>
      <c r="J611" s="2">
        <v>32494</v>
      </c>
      <c r="K611" s="2">
        <v>67</v>
      </c>
      <c r="L611" s="2">
        <v>160</v>
      </c>
      <c r="M611" s="2"/>
      <c r="N611" s="8">
        <v>42062.024768518517</v>
      </c>
      <c r="O611" s="4" t="s">
        <v>34</v>
      </c>
      <c r="P611" s="3" t="s">
        <v>6409</v>
      </c>
      <c r="Q611" s="10" t="s">
        <v>6408</v>
      </c>
      <c r="R611" s="4"/>
      <c r="S611" s="9" t="str">
        <f>HYPERLINK("https://pbs.twimg.com/profile_images/760387216782848000/TS1QyYLo.jpg","View")</f>
        <v>View</v>
      </c>
    </row>
    <row r="612" spans="1:19" ht="40">
      <c r="A612" s="8">
        <v>43348.447002314817</v>
      </c>
      <c r="B612" s="11" t="str">
        <f>HYPERLINK("https://twitter.com/andinoaydini","@andinoaydini")</f>
        <v>@andinoaydini</v>
      </c>
      <c r="C612" s="6" t="s">
        <v>15118</v>
      </c>
      <c r="D612" s="5" t="s">
        <v>15117</v>
      </c>
      <c r="E612" s="9" t="str">
        <f>HYPERLINK("https://twitter.com/andinoaydini/status/1037222216243589122","1037222216243589122")</f>
        <v>1037222216243589122</v>
      </c>
      <c r="F612" s="4"/>
      <c r="G612" s="4"/>
      <c r="H612" s="4"/>
      <c r="I612" s="10" t="str">
        <f>HYPERLINK("http://twitter.com/download/iphone","Twitter for iPhone")</f>
        <v>Twitter for iPhone</v>
      </c>
      <c r="J612" s="2">
        <v>975</v>
      </c>
      <c r="K612" s="2">
        <v>1181</v>
      </c>
      <c r="L612" s="2">
        <v>3</v>
      </c>
      <c r="M612" s="2"/>
      <c r="N612" s="8">
        <v>39738.512662037036</v>
      </c>
      <c r="O612" s="4" t="s">
        <v>133</v>
      </c>
      <c r="P612" s="3" t="s">
        <v>15116</v>
      </c>
      <c r="Q612" s="4"/>
      <c r="R612" s="4"/>
      <c r="S612" s="9" t="str">
        <f>HYPERLINK("https://pbs.twimg.com/profile_images/993403970055016448/eZB3qQOm.jpg","View")</f>
        <v>View</v>
      </c>
    </row>
    <row r="613" spans="1:19" ht="30">
      <c r="A613" s="8">
        <v>43348.446388888886</v>
      </c>
      <c r="B613" s="11" t="str">
        <f>HYPERLINK("https://twitter.com/Behrang_ai","@Behrang_ai")</f>
        <v>@Behrang_ai</v>
      </c>
      <c r="C613" s="6" t="s">
        <v>3210</v>
      </c>
      <c r="D613" s="5" t="s">
        <v>15115</v>
      </c>
      <c r="E613" s="9" t="str">
        <f>HYPERLINK("https://twitter.com/Behrang_ai/status/1037221991340826624","1037221991340826624")</f>
        <v>1037221991340826624</v>
      </c>
      <c r="F613" s="4"/>
      <c r="G613" s="4"/>
      <c r="H613" s="4"/>
      <c r="I613" s="10" t="str">
        <f>HYPERLINK("http://twitter.com","Twitter Web Client")</f>
        <v>Twitter Web Client</v>
      </c>
      <c r="J613" s="2">
        <v>115</v>
      </c>
      <c r="K613" s="2">
        <v>162</v>
      </c>
      <c r="L613" s="2">
        <v>0</v>
      </c>
      <c r="M613" s="2"/>
      <c r="N613" s="8">
        <v>43319.792928240742</v>
      </c>
      <c r="O613" s="4"/>
      <c r="P613" s="3" t="s">
        <v>13157</v>
      </c>
      <c r="Q613" s="4"/>
      <c r="R613" s="4"/>
      <c r="S613" s="9" t="str">
        <f>HYPERLINK("https://pbs.twimg.com/profile_images/1026840277942788097/zvBsT69x.jpg","View")</f>
        <v>View</v>
      </c>
    </row>
    <row r="614" spans="1:19" ht="40">
      <c r="A614" s="8">
        <v>43348.44604166667</v>
      </c>
      <c r="B614" s="11" t="str">
        <f>HYPERLINK("https://twitter.com/NimaNa3eri","@NimaNa3eri")</f>
        <v>@NimaNa3eri</v>
      </c>
      <c r="C614" s="6" t="s">
        <v>15114</v>
      </c>
      <c r="D614" s="5" t="s">
        <v>15113</v>
      </c>
      <c r="E614" s="9" t="str">
        <f>HYPERLINK("https://twitter.com/NimaNa3eri/status/1037221865725538304","1037221865725538304")</f>
        <v>1037221865725538304</v>
      </c>
      <c r="F614" s="4"/>
      <c r="G614" s="4"/>
      <c r="H614" s="4"/>
      <c r="I614" s="10" t="str">
        <f>HYPERLINK("http://twitter.com/download/android","Twitter for Android")</f>
        <v>Twitter for Android</v>
      </c>
      <c r="J614" s="2">
        <v>28</v>
      </c>
      <c r="K614" s="2">
        <v>106</v>
      </c>
      <c r="L614" s="2">
        <v>0</v>
      </c>
      <c r="M614" s="2"/>
      <c r="N614" s="8">
        <v>43073.534305555557</v>
      </c>
      <c r="O614" s="4" t="s">
        <v>324</v>
      </c>
      <c r="P614" s="3" t="s">
        <v>15112</v>
      </c>
      <c r="Q614" s="4"/>
      <c r="R614" s="4"/>
      <c r="S614" s="9" t="str">
        <f>HYPERLINK("https://pbs.twimg.com/profile_images/979971892764278784/H1u9-7DH.jpg","View")</f>
        <v>View</v>
      </c>
    </row>
    <row r="615" spans="1:19" ht="40">
      <c r="A615" s="8">
        <v>43348.445856481485</v>
      </c>
      <c r="B615" s="11" t="str">
        <f>HYPERLINK("https://twitter.com/ShahroozShin","@ShahroozShin")</f>
        <v>@ShahroozShin</v>
      </c>
      <c r="C615" s="6" t="s">
        <v>15111</v>
      </c>
      <c r="D615" s="5" t="s">
        <v>15110</v>
      </c>
      <c r="E615" s="9" t="str">
        <f>HYPERLINK("https://twitter.com/ShahroozShin/status/1037221801733107712","1037221801733107712")</f>
        <v>1037221801733107712</v>
      </c>
      <c r="F615" s="4"/>
      <c r="G615" s="4"/>
      <c r="H615" s="4"/>
      <c r="I615" s="10" t="str">
        <f>HYPERLINK("http://twitter.com/download/android","Twitter for Android")</f>
        <v>Twitter for Android</v>
      </c>
      <c r="J615" s="2">
        <v>16</v>
      </c>
      <c r="K615" s="2">
        <v>74</v>
      </c>
      <c r="L615" s="2">
        <v>0</v>
      </c>
      <c r="M615" s="2"/>
      <c r="N615" s="8">
        <v>42743.980740740742</v>
      </c>
      <c r="O615" s="4" t="s">
        <v>282</v>
      </c>
      <c r="P615" s="3"/>
      <c r="Q615" s="4"/>
      <c r="R615" s="4"/>
      <c r="S615" s="9" t="str">
        <f>HYPERLINK("https://pbs.twimg.com/profile_images/1027156200255889408/PIiUuQKe.jpg","View")</f>
        <v>View</v>
      </c>
    </row>
    <row r="616" spans="1:19" ht="20">
      <c r="A616" s="8">
        <v>43348.445729166662</v>
      </c>
      <c r="B616" s="11" t="str">
        <f>HYPERLINK("https://twitter.com/gollgolii","@gollgolii")</f>
        <v>@gollgolii</v>
      </c>
      <c r="C616" s="6" t="s">
        <v>15109</v>
      </c>
      <c r="D616" s="5" t="s">
        <v>15108</v>
      </c>
      <c r="E616" s="9" t="str">
        <f>HYPERLINK("https://twitter.com/gollgolii/status/1037221755759353857","1037221755759353857")</f>
        <v>1037221755759353857</v>
      </c>
      <c r="F616" s="4"/>
      <c r="G616" s="4"/>
      <c r="H616" s="4"/>
      <c r="I616" s="10" t="str">
        <f>HYPERLINK("https://mobile.twitter.com","Twitter Lite")</f>
        <v>Twitter Lite</v>
      </c>
      <c r="J616" s="2">
        <v>23</v>
      </c>
      <c r="K616" s="2">
        <v>45</v>
      </c>
      <c r="L616" s="2">
        <v>1</v>
      </c>
      <c r="M616" s="2"/>
      <c r="N616" s="8">
        <v>42000.439814814818</v>
      </c>
      <c r="O616" s="4"/>
      <c r="P616" s="3" t="s">
        <v>15107</v>
      </c>
      <c r="Q616" s="4"/>
      <c r="R616" s="4"/>
      <c r="S616" s="9" t="str">
        <f>HYPERLINK("https://pbs.twimg.com/profile_images/1014395536676306944/k-vGdWmQ.jpg","View")</f>
        <v>View</v>
      </c>
    </row>
    <row r="617" spans="1:19" ht="30">
      <c r="A617" s="8">
        <v>43348.443553240737</v>
      </c>
      <c r="B617" s="11" t="str">
        <f>HYPERLINK("https://twitter.com/Researc02199756","@Researc02199756")</f>
        <v>@Researc02199756</v>
      </c>
      <c r="C617" s="6" t="s">
        <v>15106</v>
      </c>
      <c r="D617" s="5" t="s">
        <v>15105</v>
      </c>
      <c r="E617" s="9" t="str">
        <f>HYPERLINK("https://twitter.com/Researc02199756/status/1037220964776517633","1037220964776517633")</f>
        <v>1037220964776517633</v>
      </c>
      <c r="F617" s="4"/>
      <c r="G617" s="4"/>
      <c r="H617" s="4"/>
      <c r="I617" s="10" t="str">
        <f>HYPERLINK("http://twitter.com/download/iphone","Twitter for iPhone")</f>
        <v>Twitter for iPhone</v>
      </c>
      <c r="J617" s="2">
        <v>95</v>
      </c>
      <c r="K617" s="2">
        <v>173</v>
      </c>
      <c r="L617" s="2">
        <v>0</v>
      </c>
      <c r="M617" s="2"/>
      <c r="N617" s="8">
        <v>41522.900868055556</v>
      </c>
      <c r="O617" s="4"/>
      <c r="P617" s="3"/>
      <c r="Q617" s="4"/>
      <c r="R617" s="4"/>
      <c r="S617" s="9" t="str">
        <f>HYPERLINK("https://pbs.twimg.com/profile_images/378800000415888549/2428ba38aec64bc9547f3721991bb621.jpeg","View")</f>
        <v>View</v>
      </c>
    </row>
    <row r="618" spans="1:19" ht="40">
      <c r="A618" s="8">
        <v>43348.443090277782</v>
      </c>
      <c r="B618" s="11" t="str">
        <f>HYPERLINK("https://twitter.com/eliassmaleki","@eliassmaleki")</f>
        <v>@eliassmaleki</v>
      </c>
      <c r="C618" s="6" t="s">
        <v>4509</v>
      </c>
      <c r="D618" s="5" t="s">
        <v>15104</v>
      </c>
      <c r="E618" s="9" t="str">
        <f>HYPERLINK("https://twitter.com/eliassmaleki/status/1037220797859983360","1037220797859983360")</f>
        <v>1037220797859983360</v>
      </c>
      <c r="F618" s="4"/>
      <c r="G618" s="10" t="s">
        <v>15103</v>
      </c>
      <c r="H618" s="4"/>
      <c r="I618" s="10" t="str">
        <f>HYPERLINK("http://twitter.com/download/android","Twitter for Android")</f>
        <v>Twitter for Android</v>
      </c>
      <c r="J618" s="2">
        <v>939</v>
      </c>
      <c r="K618" s="2">
        <v>1253</v>
      </c>
      <c r="L618" s="2">
        <v>1</v>
      </c>
      <c r="M618" s="2"/>
      <c r="N618" s="8">
        <v>42963.989745370374</v>
      </c>
      <c r="O618" s="4" t="s">
        <v>4506</v>
      </c>
      <c r="P618" s="3" t="s">
        <v>4505</v>
      </c>
      <c r="Q618" s="10" t="s">
        <v>4504</v>
      </c>
      <c r="R618" s="4"/>
      <c r="S618" s="9" t="str">
        <f>HYPERLINK("https://pbs.twimg.com/profile_images/961204023889092608/CBVu_iWH.jpg","View")</f>
        <v>View</v>
      </c>
    </row>
    <row r="619" spans="1:19" ht="30">
      <c r="A619" s="8">
        <v>43348.441932870366</v>
      </c>
      <c r="B619" s="11" t="str">
        <f>HYPERLINK("https://twitter.com/hamidtmy","@hamidtmy")</f>
        <v>@hamidtmy</v>
      </c>
      <c r="C619" s="6" t="s">
        <v>9619</v>
      </c>
      <c r="D619" s="5" t="s">
        <v>15102</v>
      </c>
      <c r="E619" s="9" t="str">
        <f>HYPERLINK("https://twitter.com/hamidtmy/status/1037220378270212096","1037220378270212096")</f>
        <v>1037220378270212096</v>
      </c>
      <c r="F619" s="4"/>
      <c r="G619" s="4"/>
      <c r="H619" s="4"/>
      <c r="I619" s="10" t="str">
        <f>HYPERLINK("http://twitter.com/download/iphone","Twitter for iPhone")</f>
        <v>Twitter for iPhone</v>
      </c>
      <c r="J619" s="2">
        <v>153</v>
      </c>
      <c r="K619" s="2">
        <v>263</v>
      </c>
      <c r="L619" s="2">
        <v>1</v>
      </c>
      <c r="M619" s="2"/>
      <c r="N619" s="8">
        <v>41554.737337962964</v>
      </c>
      <c r="O619" s="4" t="s">
        <v>282</v>
      </c>
      <c r="P619" s="3"/>
      <c r="Q619" s="10" t="s">
        <v>9617</v>
      </c>
      <c r="R619" s="4"/>
      <c r="S619" s="9" t="str">
        <f>HYPERLINK("https://pbs.twimg.com/profile_images/994503510535426048/IrYP69RT.jpg","View")</f>
        <v>View</v>
      </c>
    </row>
    <row r="620" spans="1:19" ht="30">
      <c r="A620" s="8">
        <v>43348.441608796296</v>
      </c>
      <c r="B620" s="11" t="str">
        <f>HYPERLINK("https://twitter.com/ali_pourhashemi","@ali_pourhashemi")</f>
        <v>@ali_pourhashemi</v>
      </c>
      <c r="C620" s="6" t="s">
        <v>8600</v>
      </c>
      <c r="D620" s="5" t="s">
        <v>15101</v>
      </c>
      <c r="E620" s="9" t="str">
        <f>HYPERLINK("https://twitter.com/ali_pourhashemi/status/1037220260095713281","1037220260095713281")</f>
        <v>1037220260095713281</v>
      </c>
      <c r="F620" s="4"/>
      <c r="G620" s="10" t="s">
        <v>15100</v>
      </c>
      <c r="H620" s="4"/>
      <c r="I620" s="10" t="str">
        <f>HYPERLINK("http://twitter.com/download/android","Twitter for Android")</f>
        <v>Twitter for Android</v>
      </c>
      <c r="J620" s="2">
        <v>177</v>
      </c>
      <c r="K620" s="2">
        <v>396</v>
      </c>
      <c r="L620" s="2">
        <v>0</v>
      </c>
      <c r="M620" s="2"/>
      <c r="N620" s="8">
        <v>41942.834502314814</v>
      </c>
      <c r="O620" s="4"/>
      <c r="P620" s="3" t="s">
        <v>8597</v>
      </c>
      <c r="Q620" s="10" t="s">
        <v>8596</v>
      </c>
      <c r="R620" s="4"/>
      <c r="S620" s="9" t="str">
        <f>HYPERLINK("https://pbs.twimg.com/profile_images/911651465772531713/sYOJt6IZ.jpg","View")</f>
        <v>View</v>
      </c>
    </row>
    <row r="621" spans="1:19" ht="40">
      <c r="A621" s="8">
        <v>43348.440462962964</v>
      </c>
      <c r="B621" s="11" t="str">
        <f>HYPERLINK("https://twitter.com/amirdhbzrgi","@amirdhbzrgi")</f>
        <v>@amirdhbzrgi</v>
      </c>
      <c r="C621" s="6" t="s">
        <v>15084</v>
      </c>
      <c r="D621" s="5" t="s">
        <v>15099</v>
      </c>
      <c r="E621" s="9" t="str">
        <f>HYPERLINK("https://twitter.com/amirdhbzrgi/status/1037219846424068104","1037219846424068104")</f>
        <v>1037219846424068104</v>
      </c>
      <c r="F621" s="4"/>
      <c r="G621" s="4"/>
      <c r="H621" s="4"/>
      <c r="I621" s="10" t="str">
        <f>HYPERLINK("http://twitter.com/download/android","Twitter for Android")</f>
        <v>Twitter for Android</v>
      </c>
      <c r="J621" s="2">
        <v>4</v>
      </c>
      <c r="K621" s="2">
        <v>6</v>
      </c>
      <c r="L621" s="2">
        <v>0</v>
      </c>
      <c r="M621" s="2"/>
      <c r="N621" s="8">
        <v>43286.52480324074</v>
      </c>
      <c r="O621" s="4"/>
      <c r="P621" s="3" t="s">
        <v>15082</v>
      </c>
      <c r="Q621" s="4"/>
      <c r="R621" s="4"/>
      <c r="S621" s="9" t="str">
        <f>HYPERLINK("https://pbs.twimg.com/profile_images/1037221312077488128/oCncKHtY.jpg","View")</f>
        <v>View</v>
      </c>
    </row>
    <row r="622" spans="1:19" ht="40">
      <c r="A622" s="8">
        <v>43348.438807870371</v>
      </c>
      <c r="B622" s="11" t="str">
        <f>HYPERLINK("https://twitter.com/masoud_farz","@masoud_farz")</f>
        <v>@masoud_farz</v>
      </c>
      <c r="C622" s="6" t="s">
        <v>1923</v>
      </c>
      <c r="D622" s="5" t="s">
        <v>15098</v>
      </c>
      <c r="E622" s="9" t="str">
        <f>HYPERLINK("https://twitter.com/masoud_farz/status/1037219245262884864","1037219245262884864")</f>
        <v>1037219245262884864</v>
      </c>
      <c r="F622" s="4"/>
      <c r="G622" s="4"/>
      <c r="H622" s="4"/>
      <c r="I622" s="10" t="str">
        <f>HYPERLINK("http://twitter.com","Twitter Web Client")</f>
        <v>Twitter Web Client</v>
      </c>
      <c r="J622" s="2">
        <v>134</v>
      </c>
      <c r="K622" s="2">
        <v>69</v>
      </c>
      <c r="L622" s="2">
        <v>0</v>
      </c>
      <c r="M622" s="2"/>
      <c r="N622" s="8">
        <v>42724.509282407409</v>
      </c>
      <c r="O622" s="4" t="s">
        <v>1920</v>
      </c>
      <c r="P622" s="3" t="s">
        <v>1919</v>
      </c>
      <c r="Q622" s="4"/>
      <c r="R622" s="4"/>
      <c r="S622" s="9" t="str">
        <f>HYPERLINK("https://pbs.twimg.com/profile_images/1003230847015636993/1og0J6mM.jpg","View")</f>
        <v>View</v>
      </c>
    </row>
    <row r="623" spans="1:19" ht="60">
      <c r="A623" s="8">
        <v>43348.438738425924</v>
      </c>
      <c r="B623" s="11" t="str">
        <f>HYPERLINK("https://twitter.com/nan_joon_k","@nan_joon_k")</f>
        <v>@nan_joon_k</v>
      </c>
      <c r="C623" s="6" t="s">
        <v>15097</v>
      </c>
      <c r="D623" s="5" t="s">
        <v>15096</v>
      </c>
      <c r="E623" s="9" t="str">
        <f>HYPERLINK("https://twitter.com/nan_joon_k/status/1037219220134735873","1037219220134735873")</f>
        <v>1037219220134735873</v>
      </c>
      <c r="F623" s="10" t="s">
        <v>15095</v>
      </c>
      <c r="G623" s="4"/>
      <c r="H623" s="4"/>
      <c r="I623" s="10" t="str">
        <f>HYPERLINK("http://twitter.com/download/android","Twitter for Android")</f>
        <v>Twitter for Android</v>
      </c>
      <c r="J623" s="2">
        <v>6350</v>
      </c>
      <c r="K623" s="2">
        <v>3402</v>
      </c>
      <c r="L623" s="2">
        <v>13</v>
      </c>
      <c r="M623" s="2"/>
      <c r="N623" s="8">
        <v>42891.795046296298</v>
      </c>
      <c r="O623" s="4" t="s">
        <v>15094</v>
      </c>
      <c r="P623" s="3" t="s">
        <v>15093</v>
      </c>
      <c r="Q623" s="4"/>
      <c r="R623" s="4"/>
      <c r="S623" s="9" t="str">
        <f>HYPERLINK("https://pbs.twimg.com/profile_images/1007580147556540416/4DjVwGeQ.jpg","View")</f>
        <v>View</v>
      </c>
    </row>
    <row r="624" spans="1:19" ht="20">
      <c r="A624" s="8">
        <v>43348.438275462962</v>
      </c>
      <c r="B624" s="11" t="str">
        <f>HYPERLINK("https://twitter.com/Entekhab_News","@Entekhab_News")</f>
        <v>@Entekhab_News</v>
      </c>
      <c r="C624" s="6" t="s">
        <v>519</v>
      </c>
      <c r="D624" s="5" t="s">
        <v>15092</v>
      </c>
      <c r="E624" s="9" t="str">
        <f>HYPERLINK("https://twitter.com/Entekhab_News/status/1037219052920467457","1037219052920467457")</f>
        <v>1037219052920467457</v>
      </c>
      <c r="F624" s="4"/>
      <c r="G624" s="10" t="s">
        <v>15091</v>
      </c>
      <c r="H624" s="4"/>
      <c r="I624" s="10" t="str">
        <f>HYPERLINK("http://twitter.com/download/android","Twitter for Android")</f>
        <v>Twitter for Android</v>
      </c>
      <c r="J624" s="2">
        <v>16203</v>
      </c>
      <c r="K624" s="2">
        <v>0</v>
      </c>
      <c r="L624" s="2">
        <v>152</v>
      </c>
      <c r="M624" s="2"/>
      <c r="N624" s="8">
        <v>41846.90483796296</v>
      </c>
      <c r="O624" s="4" t="s">
        <v>244</v>
      </c>
      <c r="P624" s="3" t="s">
        <v>517</v>
      </c>
      <c r="Q624" s="10" t="s">
        <v>516</v>
      </c>
      <c r="R624" s="4"/>
      <c r="S624" s="9" t="str">
        <f>HYPERLINK("https://pbs.twimg.com/profile_images/840302676332146689/objFI1sw.jpg","View")</f>
        <v>View</v>
      </c>
    </row>
    <row r="625" spans="1:19" ht="12.5">
      <c r="A625" s="8">
        <v>43348.436909722222</v>
      </c>
      <c r="B625" s="11" t="str">
        <f>HYPERLINK("https://twitter.com/edalatazadii","@edalatazadii")</f>
        <v>@edalatazadii</v>
      </c>
      <c r="C625" s="6" t="s">
        <v>13075</v>
      </c>
      <c r="D625" s="5" t="s">
        <v>15090</v>
      </c>
      <c r="E625" s="9" t="str">
        <f>HYPERLINK("https://twitter.com/edalatazadii/status/1037218558713974784","1037218558713974784")</f>
        <v>1037218558713974784</v>
      </c>
      <c r="F625" s="4"/>
      <c r="G625" s="4"/>
      <c r="H625" s="4"/>
      <c r="I625" s="10" t="str">
        <f>HYPERLINK("http://twitter.com","Twitter Web Client")</f>
        <v>Twitter Web Client</v>
      </c>
      <c r="J625" s="2">
        <v>25</v>
      </c>
      <c r="K625" s="2">
        <v>165</v>
      </c>
      <c r="L625" s="2">
        <v>0</v>
      </c>
      <c r="M625" s="2"/>
      <c r="N625" s="8">
        <v>43316.394965277781</v>
      </c>
      <c r="O625" s="4"/>
      <c r="P625" s="3" t="s">
        <v>1779</v>
      </c>
      <c r="Q625" s="4"/>
      <c r="R625" s="4"/>
      <c r="S625" s="9" t="str">
        <f>HYPERLINK("https://pbs.twimg.com/profile_images/1029243706896011264/hw1-NJ-V.jpg","View")</f>
        <v>View</v>
      </c>
    </row>
    <row r="626" spans="1:19" ht="40">
      <c r="A626" s="8">
        <v>43348.436851851853</v>
      </c>
      <c r="B626" s="11" t="str">
        <f>HYPERLINK("https://twitter.com/entezarhaghigha","@entezarhaghigha")</f>
        <v>@entezarhaghigha</v>
      </c>
      <c r="C626" s="6" t="s">
        <v>15089</v>
      </c>
      <c r="D626" s="5" t="s">
        <v>15088</v>
      </c>
      <c r="E626" s="9" t="str">
        <f>HYPERLINK("https://twitter.com/entezarhaghigha/status/1037218537864146946","1037218537864146946")</f>
        <v>1037218537864146946</v>
      </c>
      <c r="F626" s="4"/>
      <c r="G626" s="4"/>
      <c r="H626" s="4"/>
      <c r="I626" s="10" t="str">
        <f>HYPERLINK("http://twitter.com/download/android","Twitter for Android")</f>
        <v>Twitter for Android</v>
      </c>
      <c r="J626" s="2">
        <v>11104</v>
      </c>
      <c r="K626" s="2">
        <v>10610</v>
      </c>
      <c r="L626" s="2">
        <v>21</v>
      </c>
      <c r="M626" s="2"/>
      <c r="N626" s="8">
        <v>42959.776817129634</v>
      </c>
      <c r="O626" s="4" t="s">
        <v>15087</v>
      </c>
      <c r="P626" s="3" t="s">
        <v>15086</v>
      </c>
      <c r="Q626" s="4"/>
      <c r="R626" s="4"/>
      <c r="S626" s="9" t="str">
        <f>HYPERLINK("https://pbs.twimg.com/profile_images/1034118437314985984/DjgaPX2F.jpg","View")</f>
        <v>View</v>
      </c>
    </row>
    <row r="627" spans="1:19" ht="40">
      <c r="A627" s="8">
        <v>43348.436377314814</v>
      </c>
      <c r="B627" s="11" t="str">
        <f>HYPERLINK("https://twitter.com/MrHomayouni","@MrHomayouni")</f>
        <v>@MrHomayouni</v>
      </c>
      <c r="C627" s="6" t="s">
        <v>14978</v>
      </c>
      <c r="D627" s="5" t="s">
        <v>15085</v>
      </c>
      <c r="E627" s="9" t="str">
        <f>HYPERLINK("https://twitter.com/MrHomayouni/status/1037218366325444608","1037218366325444608")</f>
        <v>1037218366325444608</v>
      </c>
      <c r="F627" s="4"/>
      <c r="G627" s="4"/>
      <c r="H627" s="4"/>
      <c r="I627" s="10" t="str">
        <f>HYPERLINK("http://twitter.com","Twitter Web Client")</f>
        <v>Twitter Web Client</v>
      </c>
      <c r="J627" s="2">
        <v>2</v>
      </c>
      <c r="K627" s="2">
        <v>4</v>
      </c>
      <c r="L627" s="2">
        <v>0</v>
      </c>
      <c r="M627" s="2"/>
      <c r="N627" s="8">
        <v>43123.611770833333</v>
      </c>
      <c r="O627" s="4"/>
      <c r="P627" s="3"/>
      <c r="Q627" s="4"/>
      <c r="R627" s="4"/>
      <c r="S627" s="9" t="str">
        <f>HYPERLINK("https://pbs.twimg.com/profile_images/955760587107119104/ErnVRKAR.jpg","View")</f>
        <v>View</v>
      </c>
    </row>
    <row r="628" spans="1:19" ht="30">
      <c r="A628" s="8">
        <v>43348.436365740738</v>
      </c>
      <c r="B628" s="11" t="str">
        <f>HYPERLINK("https://twitter.com/amirdhbzrgi","@amirdhbzrgi")</f>
        <v>@amirdhbzrgi</v>
      </c>
      <c r="C628" s="6" t="s">
        <v>15084</v>
      </c>
      <c r="D628" s="5" t="s">
        <v>15083</v>
      </c>
      <c r="E628" s="9" t="str">
        <f>HYPERLINK("https://twitter.com/amirdhbzrgi/status/1037218359643987968","1037218359643987968")</f>
        <v>1037218359643987968</v>
      </c>
      <c r="F628" s="4"/>
      <c r="G628" s="4"/>
      <c r="H628" s="4"/>
      <c r="I628" s="10" t="str">
        <f>HYPERLINK("http://twitter.com/download/android","Twitter for Android")</f>
        <v>Twitter for Android</v>
      </c>
      <c r="J628" s="2">
        <v>4</v>
      </c>
      <c r="K628" s="2">
        <v>6</v>
      </c>
      <c r="L628" s="2">
        <v>0</v>
      </c>
      <c r="M628" s="2"/>
      <c r="N628" s="8">
        <v>43286.52480324074</v>
      </c>
      <c r="O628" s="4"/>
      <c r="P628" s="3" t="s">
        <v>15082</v>
      </c>
      <c r="Q628" s="4"/>
      <c r="R628" s="4"/>
      <c r="S628" s="9" t="str">
        <f>HYPERLINK("https://pbs.twimg.com/profile_images/1037221312077488128/oCncKHtY.jpg","View")</f>
        <v>View</v>
      </c>
    </row>
    <row r="629" spans="1:19" ht="30">
      <c r="A629" s="8">
        <v>43348.435844907406</v>
      </c>
      <c r="B629" s="11" t="str">
        <f>HYPERLINK("https://twitter.com/Samanioni","@Samanioni")</f>
        <v>@Samanioni</v>
      </c>
      <c r="C629" s="6" t="s">
        <v>15081</v>
      </c>
      <c r="D629" s="5" t="s">
        <v>15080</v>
      </c>
      <c r="E629" s="9" t="str">
        <f>HYPERLINK("https://twitter.com/Samanioni/status/1037218174163472384","1037218174163472384")</f>
        <v>1037218174163472384</v>
      </c>
      <c r="F629" s="4"/>
      <c r="G629" s="4"/>
      <c r="H629" s="4"/>
      <c r="I629" s="10" t="str">
        <f>HYPERLINK("http://twitter.com/download/android","Twitter for Android")</f>
        <v>Twitter for Android</v>
      </c>
      <c r="J629" s="2">
        <v>172</v>
      </c>
      <c r="K629" s="2">
        <v>265</v>
      </c>
      <c r="L629" s="2">
        <v>0</v>
      </c>
      <c r="M629" s="2"/>
      <c r="N629" s="8">
        <v>41020.606319444443</v>
      </c>
      <c r="O629" s="4" t="s">
        <v>324</v>
      </c>
      <c r="P629" s="3" t="s">
        <v>15079</v>
      </c>
      <c r="Q629" s="4"/>
      <c r="R629" s="4"/>
      <c r="S629" s="9" t="str">
        <f>HYPERLINK("https://pbs.twimg.com/profile_images/866934938846756865/zqeEcBDf.jpg","View")</f>
        <v>View</v>
      </c>
    </row>
    <row r="630" spans="1:19" ht="20">
      <c r="A630" s="8">
        <v>43348.433981481481</v>
      </c>
      <c r="B630" s="11" t="str">
        <f>HYPERLINK("https://twitter.com/mashtiiiiiiiiii","@mashtiiiiiiiiii")</f>
        <v>@mashtiiiiiiiiii</v>
      </c>
      <c r="C630" s="6" t="s">
        <v>2675</v>
      </c>
      <c r="D630" s="5" t="s">
        <v>15078</v>
      </c>
      <c r="E630" s="9" t="str">
        <f>HYPERLINK("https://twitter.com/mashtiiiiiiiiii/status/1037217498528145408","1037217498528145408")</f>
        <v>1037217498528145408</v>
      </c>
      <c r="F630" s="4"/>
      <c r="G630" s="4"/>
      <c r="H630" s="4"/>
      <c r="I630" s="10" t="str">
        <f>HYPERLINK("http://twitter.com/download/android","Twitter for Android")</f>
        <v>Twitter for Android</v>
      </c>
      <c r="J630" s="2">
        <v>317</v>
      </c>
      <c r="K630" s="2">
        <v>223</v>
      </c>
      <c r="L630" s="2">
        <v>2</v>
      </c>
      <c r="M630" s="2"/>
      <c r="N630" s="8">
        <v>40514.118310185186</v>
      </c>
      <c r="O630" s="4" t="s">
        <v>2673</v>
      </c>
      <c r="P630" s="14" t="s">
        <v>2672</v>
      </c>
      <c r="Q630" s="4"/>
      <c r="R630" s="4"/>
      <c r="S630" s="9" t="str">
        <f>HYPERLINK("https://pbs.twimg.com/profile_images/980929453701435392/wK1nR9qC.jpg","View")</f>
        <v>View</v>
      </c>
    </row>
    <row r="631" spans="1:19" ht="30">
      <c r="A631" s="8">
        <v>43348.433217592596</v>
      </c>
      <c r="B631" s="11" t="str">
        <f>HYPERLINK("https://twitter.com/Mohajerbitab","@Mohajerbitab")</f>
        <v>@Mohajerbitab</v>
      </c>
      <c r="C631" s="6" t="s">
        <v>5559</v>
      </c>
      <c r="D631" s="5" t="s">
        <v>15077</v>
      </c>
      <c r="E631" s="9" t="str">
        <f>HYPERLINK("https://twitter.com/Mohajerbitab/status/1037217218457755651","1037217218457755651")</f>
        <v>1037217218457755651</v>
      </c>
      <c r="F631" s="4"/>
      <c r="G631" s="10" t="s">
        <v>15076</v>
      </c>
      <c r="H631" s="4"/>
      <c r="I631" s="10" t="str">
        <f>HYPERLINK("http://twitter.com","Twitter Web Client")</f>
        <v>Twitter Web Client</v>
      </c>
      <c r="J631" s="2">
        <v>123</v>
      </c>
      <c r="K631" s="2">
        <v>160</v>
      </c>
      <c r="L631" s="2">
        <v>1</v>
      </c>
      <c r="M631" s="2"/>
      <c r="N631" s="8">
        <v>43121.590682870374</v>
      </c>
      <c r="O631" s="4" t="s">
        <v>17</v>
      </c>
      <c r="P631" s="3" t="s">
        <v>5557</v>
      </c>
      <c r="Q631" s="4"/>
      <c r="R631" s="4"/>
      <c r="S631" s="9" t="str">
        <f>HYPERLINK("https://pbs.twimg.com/profile_images/955038416697200645/y-gtAR_w.jpg","View")</f>
        <v>View</v>
      </c>
    </row>
    <row r="632" spans="1:19" ht="30">
      <c r="A632" s="8">
        <v>43348.43268518518</v>
      </c>
      <c r="B632" s="11" t="str">
        <f>HYPERLINK("https://twitter.com/davood274","@davood274")</f>
        <v>@davood274</v>
      </c>
      <c r="C632" s="6" t="s">
        <v>1575</v>
      </c>
      <c r="D632" s="5" t="s">
        <v>15075</v>
      </c>
      <c r="E632" s="9" t="str">
        <f>HYPERLINK("https://twitter.com/davood274/status/1037217027159728129","1037217027159728129")</f>
        <v>1037217027159728129</v>
      </c>
      <c r="F632" s="4"/>
      <c r="G632" s="4"/>
      <c r="H632" s="4"/>
      <c r="I632" s="10" t="str">
        <f>HYPERLINK("http://twitter.com","Twitter Web Client")</f>
        <v>Twitter Web Client</v>
      </c>
      <c r="J632" s="2">
        <v>307</v>
      </c>
      <c r="K632" s="2">
        <v>643</v>
      </c>
      <c r="L632" s="2">
        <v>0</v>
      </c>
      <c r="M632" s="2"/>
      <c r="N632" s="8">
        <v>41805.405289351853</v>
      </c>
      <c r="O632" s="4" t="s">
        <v>17</v>
      </c>
      <c r="P632" s="3" t="s">
        <v>6663</v>
      </c>
      <c r="Q632" s="4"/>
      <c r="R632" s="4"/>
      <c r="S632" s="9" t="str">
        <f>HYPERLINK("https://pbs.twimg.com/profile_images/1005366993006936067/F_JGdASe.jpg","View")</f>
        <v>View</v>
      </c>
    </row>
    <row r="633" spans="1:19" ht="20">
      <c r="A633" s="8">
        <v>43348.432037037041</v>
      </c>
      <c r="B633" s="11" t="str">
        <f>HYPERLINK("https://twitter.com/AliForootan","@AliForootan")</f>
        <v>@AliForootan</v>
      </c>
      <c r="C633" s="6" t="s">
        <v>15074</v>
      </c>
      <c r="D633" s="5" t="s">
        <v>15073</v>
      </c>
      <c r="E633" s="9" t="str">
        <f>HYPERLINK("https://twitter.com/AliForootan/status/1037216793515974656","1037216793515974656")</f>
        <v>1037216793515974656</v>
      </c>
      <c r="F633" s="4"/>
      <c r="G633" s="4"/>
      <c r="H633" s="4"/>
      <c r="I633" s="10" t="str">
        <f>HYPERLINK("http://twitter.com/download/iphone","Twitter for iPhone")</f>
        <v>Twitter for iPhone</v>
      </c>
      <c r="J633" s="2">
        <v>2357</v>
      </c>
      <c r="K633" s="2">
        <v>258</v>
      </c>
      <c r="L633" s="2">
        <v>13</v>
      </c>
      <c r="M633" s="2"/>
      <c r="N633" s="8">
        <v>40732.853136574078</v>
      </c>
      <c r="O633" s="4" t="s">
        <v>682</v>
      </c>
      <c r="P633" s="3" t="s">
        <v>15072</v>
      </c>
      <c r="Q633" s="4"/>
      <c r="R633" s="4"/>
      <c r="S633" s="9" t="str">
        <f>HYPERLINK("https://pbs.twimg.com/profile_images/866722315261927424/YpWUzMBs.jpg","View")</f>
        <v>View</v>
      </c>
    </row>
    <row r="634" spans="1:19" ht="20">
      <c r="A634" s="8">
        <v>43348.431446759263</v>
      </c>
      <c r="B634" s="11" t="str">
        <f>HYPERLINK("https://twitter.com/mehdiahmadi68","@mehdiahmadi68")</f>
        <v>@mehdiahmadi68</v>
      </c>
      <c r="C634" s="6" t="s">
        <v>2573</v>
      </c>
      <c r="D634" s="5" t="s">
        <v>15071</v>
      </c>
      <c r="E634" s="9" t="str">
        <f>HYPERLINK("https://twitter.com/mehdiahmadi68/status/1037216577651920896","1037216577651920896")</f>
        <v>1037216577651920896</v>
      </c>
      <c r="F634" s="4"/>
      <c r="G634" s="4"/>
      <c r="H634" s="4"/>
      <c r="I634" s="10" t="str">
        <f>HYPERLINK("http://twitter.com/download/iphone","Twitter for iPhone")</f>
        <v>Twitter for iPhone</v>
      </c>
      <c r="J634" s="2">
        <v>181</v>
      </c>
      <c r="K634" s="2">
        <v>193</v>
      </c>
      <c r="L634" s="2">
        <v>1</v>
      </c>
      <c r="M634" s="2"/>
      <c r="N634" s="8">
        <v>41652.703738425924</v>
      </c>
      <c r="O634" s="4" t="s">
        <v>1601</v>
      </c>
      <c r="P634" s="3" t="s">
        <v>2571</v>
      </c>
      <c r="Q634" s="4"/>
      <c r="R634" s="4"/>
      <c r="S634" s="9" t="str">
        <f>HYPERLINK("https://pbs.twimg.com/profile_images/1031798302986182656/yB75nA-y.jpg","View")</f>
        <v>View</v>
      </c>
    </row>
    <row r="635" spans="1:19" ht="40">
      <c r="A635" s="8">
        <v>43348.428900462968</v>
      </c>
      <c r="B635" s="11" t="str">
        <f>HYPERLINK("https://twitter.com/MahmoudianArman","@MahmoudianArman")</f>
        <v>@MahmoudianArman</v>
      </c>
      <c r="C635" s="6" t="s">
        <v>15070</v>
      </c>
      <c r="D635" s="5" t="s">
        <v>15069</v>
      </c>
      <c r="E635" s="9" t="str">
        <f>HYPERLINK("https://twitter.com/MahmoudianArman/status/1037215656742187008","1037215656742187008")</f>
        <v>1037215656742187008</v>
      </c>
      <c r="F635" s="4"/>
      <c r="G635" s="10" t="s">
        <v>15068</v>
      </c>
      <c r="H635" s="4"/>
      <c r="I635" s="10" t="str">
        <f>HYPERLINK("http://twitter.com/download/iphone","Twitter for iPhone")</f>
        <v>Twitter for iPhone</v>
      </c>
      <c r="J635" s="2">
        <v>96</v>
      </c>
      <c r="K635" s="2">
        <v>414</v>
      </c>
      <c r="L635" s="2">
        <v>3</v>
      </c>
      <c r="M635" s="2"/>
      <c r="N635" s="8">
        <v>42772.434085648143</v>
      </c>
      <c r="O635" s="4" t="s">
        <v>15067</v>
      </c>
      <c r="P635" s="3" t="s">
        <v>15066</v>
      </c>
      <c r="Q635" s="4"/>
      <c r="R635" s="4"/>
      <c r="S635" s="9" t="str">
        <f>HYPERLINK("https://pbs.twimg.com/profile_images/1009218348129890306/qYZiStrw.jpg","View")</f>
        <v>View</v>
      </c>
    </row>
    <row r="636" spans="1:19" ht="40">
      <c r="A636" s="8">
        <v>43348.426250000004</v>
      </c>
      <c r="B636" s="11" t="str">
        <f>HYPERLINK("https://twitter.com/Tasnimnews_Fa","@Tasnimnews_Fa")</f>
        <v>@Tasnimnews_Fa</v>
      </c>
      <c r="C636" s="6" t="s">
        <v>603</v>
      </c>
      <c r="D636" s="5" t="s">
        <v>15065</v>
      </c>
      <c r="E636" s="9" t="str">
        <f>HYPERLINK("https://twitter.com/Tasnimnews_Fa/status/1037214694401032192","1037214694401032192")</f>
        <v>1037214694401032192</v>
      </c>
      <c r="F636" s="10" t="s">
        <v>15064</v>
      </c>
      <c r="G636" s="10" t="s">
        <v>15063</v>
      </c>
      <c r="H636" s="4"/>
      <c r="I636" s="10" t="str">
        <f>HYPERLINK("http://twitter.com","Twitter Web Client")</f>
        <v>Twitter Web Client</v>
      </c>
      <c r="J636" s="2">
        <v>109771</v>
      </c>
      <c r="K636" s="2">
        <v>20</v>
      </c>
      <c r="L636" s="2">
        <v>377</v>
      </c>
      <c r="M636" s="2" t="s">
        <v>80</v>
      </c>
      <c r="N636" s="8">
        <v>41868.671585648146</v>
      </c>
      <c r="O636" s="4" t="s">
        <v>133</v>
      </c>
      <c r="P636" s="3" t="s">
        <v>599</v>
      </c>
      <c r="Q636" s="10" t="s">
        <v>598</v>
      </c>
      <c r="R636" s="4"/>
      <c r="S636" s="9" t="str">
        <f>HYPERLINK("https://pbs.twimg.com/profile_images/942003149430239232/hvLw_1_E.jpg","View")</f>
        <v>View</v>
      </c>
    </row>
    <row r="637" spans="1:19" ht="70">
      <c r="A637" s="8">
        <v>43348.425219907411</v>
      </c>
      <c r="B637" s="11" t="str">
        <f>HYPERLINK("https://twitter.com/ata_afs","@ata_afs")</f>
        <v>@ata_afs</v>
      </c>
      <c r="C637" s="6" t="s">
        <v>1217</v>
      </c>
      <c r="D637" s="5" t="s">
        <v>15062</v>
      </c>
      <c r="E637" s="9" t="str">
        <f>HYPERLINK("https://twitter.com/ata_afs/status/1037214323863691264","1037214323863691264")</f>
        <v>1037214323863691264</v>
      </c>
      <c r="F637" s="10" t="s">
        <v>15061</v>
      </c>
      <c r="G637" s="4"/>
      <c r="H637" s="4"/>
      <c r="I637" s="10" t="str">
        <f>HYPERLINK("http://twitter.com/download/iphone","Twitter for iPhone")</f>
        <v>Twitter for iPhone</v>
      </c>
      <c r="J637" s="2">
        <v>378</v>
      </c>
      <c r="K637" s="2">
        <v>696</v>
      </c>
      <c r="L637" s="2">
        <v>0</v>
      </c>
      <c r="M637" s="2"/>
      <c r="N637" s="8">
        <v>41833.536099537036</v>
      </c>
      <c r="O637" s="4" t="s">
        <v>34</v>
      </c>
      <c r="P637" s="3" t="s">
        <v>1213</v>
      </c>
      <c r="Q637" s="4"/>
      <c r="R637" s="4"/>
      <c r="S637" s="9" t="str">
        <f>HYPERLINK("https://pbs.twimg.com/profile_images/958374868008960000/IRXSv5-C.jpg","View")</f>
        <v>View</v>
      </c>
    </row>
    <row r="638" spans="1:19" ht="30">
      <c r="A638" s="8">
        <v>43348.425069444449</v>
      </c>
      <c r="B638" s="11" t="str">
        <f>HYPERLINK("https://twitter.com/nikoo_niknam","@nikoo_niknam")</f>
        <v>@nikoo_niknam</v>
      </c>
      <c r="C638" s="6" t="s">
        <v>15060</v>
      </c>
      <c r="D638" s="5" t="s">
        <v>15059</v>
      </c>
      <c r="E638" s="9" t="str">
        <f>HYPERLINK("https://twitter.com/nikoo_niknam/status/1037214269362896896","1037214269362896896")</f>
        <v>1037214269362896896</v>
      </c>
      <c r="F638" s="4"/>
      <c r="G638" s="4"/>
      <c r="H638" s="4"/>
      <c r="I638" s="10" t="str">
        <f>HYPERLINK("http://twitter.com/download/android","Twitter for Android")</f>
        <v>Twitter for Android</v>
      </c>
      <c r="J638" s="2">
        <v>1433</v>
      </c>
      <c r="K638" s="2">
        <v>594</v>
      </c>
      <c r="L638" s="2">
        <v>21</v>
      </c>
      <c r="M638" s="2"/>
      <c r="N638" s="8">
        <v>40714.862939814819</v>
      </c>
      <c r="O638" s="4" t="s">
        <v>133</v>
      </c>
      <c r="P638" s="3" t="s">
        <v>15058</v>
      </c>
      <c r="Q638" s="10" t="s">
        <v>15057</v>
      </c>
      <c r="R638" s="4"/>
      <c r="S638" s="9" t="str">
        <f>HYPERLINK("https://pbs.twimg.com/profile_images/966777656363503616/3KXy56JI.jpg","View")</f>
        <v>View</v>
      </c>
    </row>
    <row r="639" spans="1:19" ht="20">
      <c r="A639" s="8">
        <v>43348.423993055556</v>
      </c>
      <c r="B639" s="11" t="str">
        <f>HYPERLINK("https://twitter.com/MehdiHeydarian","@MehdiHeydarian")</f>
        <v>@MehdiHeydarian</v>
      </c>
      <c r="C639" s="6" t="s">
        <v>13715</v>
      </c>
      <c r="D639" s="5" t="s">
        <v>15056</v>
      </c>
      <c r="E639" s="9" t="str">
        <f>HYPERLINK("https://twitter.com/MehdiHeydarian/status/1037213875693858816","1037213875693858816")</f>
        <v>1037213875693858816</v>
      </c>
      <c r="F639" s="4"/>
      <c r="G639" s="4"/>
      <c r="H639" s="4"/>
      <c r="I639" s="10" t="str">
        <f>HYPERLINK("https://about.twitter.com/products/tweetdeck","TweetDeck")</f>
        <v>TweetDeck</v>
      </c>
      <c r="J639" s="2">
        <v>6036</v>
      </c>
      <c r="K639" s="2">
        <v>3568</v>
      </c>
      <c r="L639" s="2">
        <v>48</v>
      </c>
      <c r="M639" s="2"/>
      <c r="N639" s="8">
        <v>39972.669178240743</v>
      </c>
      <c r="O639" s="4" t="s">
        <v>324</v>
      </c>
      <c r="P639" s="3" t="s">
        <v>13713</v>
      </c>
      <c r="Q639" s="10" t="s">
        <v>13712</v>
      </c>
      <c r="R639" s="4"/>
      <c r="S639" s="9" t="str">
        <f>HYPERLINK("https://pbs.twimg.com/profile_images/1035597129882980352/bJHltQR0.jpg","View")</f>
        <v>View</v>
      </c>
    </row>
    <row r="640" spans="1:19" ht="40">
      <c r="A640" s="8">
        <v>43348.423275462963</v>
      </c>
      <c r="B640" s="11" t="str">
        <f>HYPERLINK("https://twitter.com/sam1983t","@sam1983t")</f>
        <v>@sam1983t</v>
      </c>
      <c r="C640" s="6" t="s">
        <v>15055</v>
      </c>
      <c r="D640" s="5" t="s">
        <v>15054</v>
      </c>
      <c r="E640" s="9" t="str">
        <f>HYPERLINK("https://twitter.com/sam1983t/status/1037213618872508417","1037213618872508417")</f>
        <v>1037213618872508417</v>
      </c>
      <c r="F640" s="4"/>
      <c r="G640" s="4"/>
      <c r="H640" s="4"/>
      <c r="I640" s="10" t="str">
        <f>HYPERLINK("http://twitter.com/download/iphone","Twitter for iPhone")</f>
        <v>Twitter for iPhone</v>
      </c>
      <c r="J640" s="2">
        <v>2452</v>
      </c>
      <c r="K640" s="2">
        <v>1266</v>
      </c>
      <c r="L640" s="2">
        <v>12</v>
      </c>
      <c r="M640" s="2"/>
      <c r="N640" s="8">
        <v>41915.015474537038</v>
      </c>
      <c r="O640" s="4" t="s">
        <v>15053</v>
      </c>
      <c r="P640" s="3" t="s">
        <v>15052</v>
      </c>
      <c r="Q640" s="4"/>
      <c r="R640" s="4"/>
      <c r="S640" s="9" t="str">
        <f>HYPERLINK("https://pbs.twimg.com/profile_images/916425672406503424/WyuueP4p.jpg","View")</f>
        <v>View</v>
      </c>
    </row>
    <row r="641" spans="1:19" ht="20">
      <c r="A641" s="8">
        <v>43348.423113425924</v>
      </c>
      <c r="B641" s="11" t="str">
        <f>HYPERLINK("https://twitter.com/AminBabazadeh2","@AminBabazadeh2")</f>
        <v>@AminBabazadeh2</v>
      </c>
      <c r="C641" s="6" t="s">
        <v>13219</v>
      </c>
      <c r="D641" s="5" t="s">
        <v>15051</v>
      </c>
      <c r="E641" s="9" t="str">
        <f>HYPERLINK("https://twitter.com/AminBabazadeh2/status/1037213559959248898","1037213559959248898")</f>
        <v>1037213559959248898</v>
      </c>
      <c r="F641" s="4"/>
      <c r="G641" s="4"/>
      <c r="H641" s="4"/>
      <c r="I641" s="10" t="str">
        <f>HYPERLINK("http://twitter.com/download/android","Twitter for Android")</f>
        <v>Twitter for Android</v>
      </c>
      <c r="J641" s="2">
        <v>1595</v>
      </c>
      <c r="K641" s="2">
        <v>1875</v>
      </c>
      <c r="L641" s="2">
        <v>4</v>
      </c>
      <c r="M641" s="2"/>
      <c r="N641" s="8">
        <v>42740.667476851857</v>
      </c>
      <c r="O641" s="4"/>
      <c r="P641" s="3" t="s">
        <v>13217</v>
      </c>
      <c r="Q641" s="10" t="s">
        <v>13216</v>
      </c>
      <c r="R641" s="4"/>
      <c r="S641" s="9" t="str">
        <f>HYPERLINK("https://pbs.twimg.com/profile_images/1014177014767644672/01hl5BLJ.jpg","View")</f>
        <v>View</v>
      </c>
    </row>
    <row r="642" spans="1:19" ht="40">
      <c r="A642" s="8">
        <v>43348.422893518524</v>
      </c>
      <c r="B642" s="11" t="str">
        <f>HYPERLINK("https://twitter.com/MAMOOTTI","@MAMOOTTI")</f>
        <v>@MAMOOTTI</v>
      </c>
      <c r="C642" s="6" t="s">
        <v>12031</v>
      </c>
      <c r="D642" s="5" t="s">
        <v>15050</v>
      </c>
      <c r="E642" s="9" t="str">
        <f>HYPERLINK("https://twitter.com/MAMOOTTI/status/1037213478212259842","1037213478212259842")</f>
        <v>1037213478212259842</v>
      </c>
      <c r="F642" s="4"/>
      <c r="G642" s="4"/>
      <c r="H642" s="4"/>
      <c r="I642" s="10" t="str">
        <f>HYPERLINK("http://twitter.com","Twitter Web Client")</f>
        <v>Twitter Web Client</v>
      </c>
      <c r="J642" s="2">
        <v>7</v>
      </c>
      <c r="K642" s="2">
        <v>22</v>
      </c>
      <c r="L642" s="2">
        <v>0</v>
      </c>
      <c r="M642" s="2"/>
      <c r="N642" s="8">
        <v>43346.61509259259</v>
      </c>
      <c r="O642" s="4"/>
      <c r="P642" s="3"/>
      <c r="Q642" s="4"/>
      <c r="R642" s="4"/>
      <c r="S642" s="2" t="s">
        <v>155</v>
      </c>
    </row>
    <row r="643" spans="1:19" ht="20">
      <c r="A643" s="8">
        <v>43348.421770833331</v>
      </c>
      <c r="B643" s="11" t="str">
        <f>HYPERLINK("https://twitter.com/eghtesadonline","@eghtesadonline")</f>
        <v>@eghtesadonline</v>
      </c>
      <c r="C643" s="6" t="s">
        <v>5935</v>
      </c>
      <c r="D643" s="5" t="s">
        <v>15049</v>
      </c>
      <c r="E643" s="9" t="str">
        <f>HYPERLINK("https://twitter.com/eghtesadonline/status/1037213069934579712","1037213069934579712")</f>
        <v>1037213069934579712</v>
      </c>
      <c r="F643" s="4"/>
      <c r="G643" s="10" t="s">
        <v>15048</v>
      </c>
      <c r="H643" s="4"/>
      <c r="I643" s="10" t="str">
        <f>HYPERLINK("http://twitter.com/download/android","Twitter for Android")</f>
        <v>Twitter for Android</v>
      </c>
      <c r="J643" s="2">
        <v>2112</v>
      </c>
      <c r="K643" s="2">
        <v>7</v>
      </c>
      <c r="L643" s="2">
        <v>41</v>
      </c>
      <c r="M643" s="2"/>
      <c r="N643" s="8">
        <v>41595.377060185187</v>
      </c>
      <c r="O643" s="4" t="s">
        <v>17</v>
      </c>
      <c r="P643" s="3" t="s">
        <v>5933</v>
      </c>
      <c r="Q643" s="10" t="s">
        <v>5932</v>
      </c>
      <c r="R643" s="4"/>
      <c r="S643" s="9" t="str">
        <f>HYPERLINK("https://pbs.twimg.com/profile_images/1034350708475224064/4dNqWRJC.jpg","View")</f>
        <v>View</v>
      </c>
    </row>
    <row r="644" spans="1:19" ht="20">
      <c r="A644" s="8">
        <v>43348.421400462961</v>
      </c>
      <c r="B644" s="11" t="str">
        <f>HYPERLINK("https://twitter.com/M_AbdolAliPour","@M_AbdolAliPour")</f>
        <v>@M_AbdolAliPour</v>
      </c>
      <c r="C644" s="6" t="s">
        <v>15010</v>
      </c>
      <c r="D644" s="5" t="s">
        <v>15047</v>
      </c>
      <c r="E644" s="9" t="str">
        <f>HYPERLINK("https://twitter.com/M_AbdolAliPour/status/1037212938409533440","1037212938409533440")</f>
        <v>1037212938409533440</v>
      </c>
      <c r="F644" s="4"/>
      <c r="G644" s="10" t="s">
        <v>15046</v>
      </c>
      <c r="H644" s="4"/>
      <c r="I644" s="10" t="str">
        <f>HYPERLINK("http://twitter.com/download/android","Twitter for Android")</f>
        <v>Twitter for Android</v>
      </c>
      <c r="J644" s="2">
        <v>2795</v>
      </c>
      <c r="K644" s="2">
        <v>802</v>
      </c>
      <c r="L644" s="2">
        <v>6</v>
      </c>
      <c r="M644" s="2"/>
      <c r="N644" s="8">
        <v>41799.838530092595</v>
      </c>
      <c r="O644" s="4" t="s">
        <v>15007</v>
      </c>
      <c r="P644" s="3" t="s">
        <v>15006</v>
      </c>
      <c r="Q644" s="4"/>
      <c r="R644" s="4"/>
      <c r="S644" s="9" t="str">
        <f>HYPERLINK("https://pbs.twimg.com/profile_images/885924181354958849/-bsCuSmv.jpg","View")</f>
        <v>View</v>
      </c>
    </row>
    <row r="645" spans="1:19" ht="30">
      <c r="A645" s="8">
        <v>43348.420763888891</v>
      </c>
      <c r="B645" s="11" t="str">
        <f>HYPERLINK("https://twitter.com/Alisafa20039776","@Alisafa20039776")</f>
        <v>@Alisafa20039776</v>
      </c>
      <c r="C645" s="6" t="s">
        <v>15045</v>
      </c>
      <c r="D645" s="5" t="s">
        <v>15044</v>
      </c>
      <c r="E645" s="9" t="str">
        <f>HYPERLINK("https://twitter.com/Alisafa20039776/status/1037212707093733376","1037212707093733376")</f>
        <v>1037212707093733376</v>
      </c>
      <c r="F645" s="4"/>
      <c r="G645" s="4"/>
      <c r="H645" s="4"/>
      <c r="I645" s="10" t="str">
        <f>HYPERLINK("http://twitter.com/download/android","Twitter for Android")</f>
        <v>Twitter for Android</v>
      </c>
      <c r="J645" s="2">
        <v>0</v>
      </c>
      <c r="K645" s="2">
        <v>0</v>
      </c>
      <c r="L645" s="2">
        <v>0</v>
      </c>
      <c r="M645" s="2"/>
      <c r="N645" s="8">
        <v>43347.928414351853</v>
      </c>
      <c r="O645" s="4"/>
      <c r="P645" s="3"/>
      <c r="Q645" s="4"/>
      <c r="R645" s="4"/>
      <c r="S645" s="9" t="str">
        <f>HYPERLINK("https://pbs.twimg.com/profile_images/1037035215917596672/-5uhTV4w.jpg","View")</f>
        <v>View</v>
      </c>
    </row>
    <row r="646" spans="1:19" ht="20">
      <c r="A646" s="8">
        <v>43348.419166666667</v>
      </c>
      <c r="B646" s="11" t="str">
        <f>HYPERLINK("https://twitter.com/chogo_hafez","@chogo_hafez")</f>
        <v>@chogo_hafez</v>
      </c>
      <c r="C646" s="6" t="s">
        <v>15043</v>
      </c>
      <c r="D646" s="5" t="s">
        <v>15042</v>
      </c>
      <c r="E646" s="9" t="str">
        <f>HYPERLINK("https://twitter.com/chogo_hafez/status/1037212129986834435","1037212129986834435")</f>
        <v>1037212129986834435</v>
      </c>
      <c r="F646" s="10" t="s">
        <v>15041</v>
      </c>
      <c r="G646" s="4"/>
      <c r="H646" s="4"/>
      <c r="I646" s="10" t="str">
        <f>HYPERLINK("https://ifttt.com","IFTTT")</f>
        <v>IFTTT</v>
      </c>
      <c r="J646" s="2">
        <v>1318</v>
      </c>
      <c r="K646" s="2">
        <v>1131</v>
      </c>
      <c r="L646" s="2">
        <v>0</v>
      </c>
      <c r="M646" s="2"/>
      <c r="N646" s="8">
        <v>43150.46199074074</v>
      </c>
      <c r="O646" s="4"/>
      <c r="P646" s="3" t="s">
        <v>15040</v>
      </c>
      <c r="Q646" s="4"/>
      <c r="R646" s="4"/>
      <c r="S646" s="9" t="str">
        <f>HYPERLINK("https://pbs.twimg.com/profile_images/970052079858352129/oZXlOots.jpg","View")</f>
        <v>View</v>
      </c>
    </row>
    <row r="647" spans="1:19" ht="20">
      <c r="A647" s="8">
        <v>43348.418136574073</v>
      </c>
      <c r="B647" s="11" t="str">
        <f>HYPERLINK("https://twitter.com/Far_naz64","@Far_naz64")</f>
        <v>@Far_naz64</v>
      </c>
      <c r="C647" s="6" t="s">
        <v>1322</v>
      </c>
      <c r="D647" s="5" t="s">
        <v>15039</v>
      </c>
      <c r="E647" s="9" t="str">
        <f>HYPERLINK("https://twitter.com/Far_naz64/status/1037211753292214272","1037211753292214272")</f>
        <v>1037211753292214272</v>
      </c>
      <c r="F647" s="4"/>
      <c r="G647" s="10" t="s">
        <v>15038</v>
      </c>
      <c r="H647" s="4"/>
      <c r="I647" s="10" t="str">
        <f>HYPERLINK("http://twitter.com/download/iphone","Twitter for iPhone")</f>
        <v>Twitter for iPhone</v>
      </c>
      <c r="J647" s="2">
        <v>11775</v>
      </c>
      <c r="K647" s="2">
        <v>8535</v>
      </c>
      <c r="L647" s="2">
        <v>63</v>
      </c>
      <c r="M647" s="2"/>
      <c r="N647" s="8">
        <v>40598.671585648146</v>
      </c>
      <c r="O647" s="4" t="s">
        <v>1319</v>
      </c>
      <c r="P647" s="3" t="s">
        <v>1318</v>
      </c>
      <c r="Q647" s="10" t="s">
        <v>1317</v>
      </c>
      <c r="R647" s="4"/>
      <c r="S647" s="9" t="str">
        <f>HYPERLINK("https://pbs.twimg.com/profile_images/1033840036318519298/u-0VPeXa.jpg","View")</f>
        <v>View</v>
      </c>
    </row>
    <row r="648" spans="1:19" ht="30">
      <c r="A648" s="8">
        <v>43348.414490740739</v>
      </c>
      <c r="B648" s="11" t="str">
        <f>HYPERLINK("https://twitter.com/ICTna","@ICTna")</f>
        <v>@ICTna</v>
      </c>
      <c r="C648" s="6" t="s">
        <v>15037</v>
      </c>
      <c r="D648" s="5" t="s">
        <v>15036</v>
      </c>
      <c r="E648" s="9" t="str">
        <f>HYPERLINK("https://twitter.com/ICTna/status/1037210434452025345","1037210434452025345")</f>
        <v>1037210434452025345</v>
      </c>
      <c r="F648" s="4"/>
      <c r="G648" s="4"/>
      <c r="H648" s="4"/>
      <c r="I648" s="10" t="str">
        <f>HYPERLINK("http://twitter.com/download/iphone","Twitter for iPhone")</f>
        <v>Twitter for iPhone</v>
      </c>
      <c r="J648" s="2">
        <v>1065</v>
      </c>
      <c r="K648" s="2">
        <v>108</v>
      </c>
      <c r="L648" s="2">
        <v>27</v>
      </c>
      <c r="M648" s="2"/>
      <c r="N648" s="8">
        <v>39893.945370370369</v>
      </c>
      <c r="O648" s="4"/>
      <c r="P648" s="3" t="s">
        <v>15035</v>
      </c>
      <c r="Q648" s="10" t="s">
        <v>15034</v>
      </c>
      <c r="R648" s="4"/>
      <c r="S648" s="9" t="str">
        <f>HYPERLINK("https://pbs.twimg.com/profile_images/105759849/p-f168de6ff08b4e6189750669ef5030bd-large-6.jpg","View")</f>
        <v>View</v>
      </c>
    </row>
    <row r="649" spans="1:19" ht="20">
      <c r="A649" s="8">
        <v>43348.414189814815</v>
      </c>
      <c r="B649" s="11" t="str">
        <f>HYPERLINK("https://twitter.com/saberiranboy","@saberiranboy")</f>
        <v>@saberiranboy</v>
      </c>
      <c r="C649" s="6" t="s">
        <v>196</v>
      </c>
      <c r="D649" s="5" t="s">
        <v>15033</v>
      </c>
      <c r="E649" s="9" t="str">
        <f>HYPERLINK("https://twitter.com/saberiranboy/status/1037210323479080961","1037210323479080961")</f>
        <v>1037210323479080961</v>
      </c>
      <c r="F649" s="4"/>
      <c r="G649" s="4"/>
      <c r="H649" s="4"/>
      <c r="I649" s="10" t="str">
        <f>HYPERLINK("http://twitter.com","Twitter Web Client")</f>
        <v>Twitter Web Client</v>
      </c>
      <c r="J649" s="2">
        <v>607</v>
      </c>
      <c r="K649" s="2">
        <v>839</v>
      </c>
      <c r="L649" s="2">
        <v>0</v>
      </c>
      <c r="M649" s="2"/>
      <c r="N649" s="8">
        <v>43281.409270833334</v>
      </c>
      <c r="O649" s="4" t="s">
        <v>194</v>
      </c>
      <c r="P649" s="3" t="s">
        <v>193</v>
      </c>
      <c r="Q649" s="4"/>
      <c r="R649" s="4"/>
      <c r="S649" s="9" t="str">
        <f>HYPERLINK("https://pbs.twimg.com/profile_images/1014771204757114880/5XwtSLcW.jpg","View")</f>
        <v>View</v>
      </c>
    </row>
    <row r="650" spans="1:19" ht="30">
      <c r="A650" s="8">
        <v>43348.413819444446</v>
      </c>
      <c r="B650" s="11" t="str">
        <f>HYPERLINK("https://twitter.com/kristianemampur","@kristianemampur")</f>
        <v>@kristianemampur</v>
      </c>
      <c r="C650" s="6" t="s">
        <v>5459</v>
      </c>
      <c r="D650" s="5" t="s">
        <v>15032</v>
      </c>
      <c r="E650" s="9" t="str">
        <f>HYPERLINK("https://twitter.com/kristianemampur/status/1037210191681474560","1037210191681474560")</f>
        <v>1037210191681474560</v>
      </c>
      <c r="F650" s="4"/>
      <c r="G650" s="4"/>
      <c r="H650" s="4"/>
      <c r="I650" s="10" t="str">
        <f>HYPERLINK("http://twitter.com/download/iphone","Twitter for iPhone")</f>
        <v>Twitter for iPhone</v>
      </c>
      <c r="J650" s="2">
        <v>4110</v>
      </c>
      <c r="K650" s="2">
        <v>3575</v>
      </c>
      <c r="L650" s="2">
        <v>1</v>
      </c>
      <c r="M650" s="2"/>
      <c r="N650" s="8">
        <v>43122.781817129631</v>
      </c>
      <c r="O650" s="4" t="s">
        <v>5457</v>
      </c>
      <c r="P650" s="3" t="s">
        <v>5456</v>
      </c>
      <c r="Q650" s="4"/>
      <c r="R650" s="4"/>
      <c r="S650" s="9" t="str">
        <f>HYPERLINK("https://pbs.twimg.com/profile_images/1012894560085737474/3o1qo3c3.jpg","View")</f>
        <v>View</v>
      </c>
    </row>
    <row r="651" spans="1:19" ht="30">
      <c r="A651" s="8">
        <v>43348.411736111113</v>
      </c>
      <c r="B651" s="11" t="str">
        <f>HYPERLINK("https://twitter.com/DrMsn89","@DrMsn89")</f>
        <v>@DrMsn89</v>
      </c>
      <c r="C651" s="6" t="s">
        <v>15031</v>
      </c>
      <c r="D651" s="5" t="s">
        <v>15030</v>
      </c>
      <c r="E651" s="9" t="str">
        <f>HYPERLINK("https://twitter.com/DrMsn89/status/1037209433628127232","1037209433628127232")</f>
        <v>1037209433628127232</v>
      </c>
      <c r="F651" s="4"/>
      <c r="G651" s="4"/>
      <c r="H651" s="4"/>
      <c r="I651" s="10" t="str">
        <f>HYPERLINK("http://twitter.com/download/iphone","Twitter for iPhone")</f>
        <v>Twitter for iPhone</v>
      </c>
      <c r="J651" s="2">
        <v>503</v>
      </c>
      <c r="K651" s="2">
        <v>864</v>
      </c>
      <c r="L651" s="2">
        <v>1</v>
      </c>
      <c r="M651" s="2"/>
      <c r="N651" s="8">
        <v>42985.849849537037</v>
      </c>
      <c r="O651" s="4" t="s">
        <v>15029</v>
      </c>
      <c r="P651" s="3" t="s">
        <v>15028</v>
      </c>
      <c r="Q651" s="4"/>
      <c r="R651" s="4"/>
      <c r="S651" s="9" t="str">
        <f>HYPERLINK("https://pbs.twimg.com/profile_images/972703696709718017/GmV9YZcK.jpg","View")</f>
        <v>View</v>
      </c>
    </row>
    <row r="652" spans="1:19" ht="20">
      <c r="A652" s="8">
        <v>43348.410856481481</v>
      </c>
      <c r="B652" s="11" t="str">
        <f>HYPERLINK("https://twitter.com/Mahdi25783774","@Mahdi25783774")</f>
        <v>@Mahdi25783774</v>
      </c>
      <c r="C652" s="6" t="s">
        <v>5469</v>
      </c>
      <c r="D652" s="5" t="s">
        <v>15027</v>
      </c>
      <c r="E652" s="9" t="str">
        <f>HYPERLINK("https://twitter.com/Mahdi25783774/status/1037209117620924417","1037209117620924417")</f>
        <v>1037209117620924417</v>
      </c>
      <c r="F652" s="4"/>
      <c r="G652" s="10" t="s">
        <v>15026</v>
      </c>
      <c r="H652" s="4"/>
      <c r="I652" s="10" t="str">
        <f>HYPERLINK("http://twitter.com/download/android","Twitter for Android")</f>
        <v>Twitter for Android</v>
      </c>
      <c r="J652" s="2">
        <v>718</v>
      </c>
      <c r="K652" s="2">
        <v>924</v>
      </c>
      <c r="L652" s="2">
        <v>1</v>
      </c>
      <c r="M652" s="2"/>
      <c r="N652" s="8">
        <v>43233.519814814819</v>
      </c>
      <c r="O652" s="4" t="s">
        <v>133</v>
      </c>
      <c r="P652" s="3" t="s">
        <v>5466</v>
      </c>
      <c r="Q652" s="4"/>
      <c r="R652" s="4"/>
      <c r="S652" s="9" t="str">
        <f>HYPERLINK("https://pbs.twimg.com/profile_images/1033642102679318528/4lBWskrd.jpg","View")</f>
        <v>View</v>
      </c>
    </row>
    <row r="653" spans="1:19" ht="20">
      <c r="A653" s="8">
        <v>43348.409074074079</v>
      </c>
      <c r="B653" s="11" t="str">
        <f>HYPERLINK("https://twitter.com/Mr_Mahdi","@Mr_Mahdi")</f>
        <v>@Mr_Mahdi</v>
      </c>
      <c r="C653" s="6" t="s">
        <v>15025</v>
      </c>
      <c r="D653" s="5" t="s">
        <v>15024</v>
      </c>
      <c r="E653" s="9" t="str">
        <f>HYPERLINK("https://twitter.com/Mr_Mahdi/status/1037208469798117378","1037208469798117378")</f>
        <v>1037208469798117378</v>
      </c>
      <c r="F653" s="4"/>
      <c r="G653" s="4"/>
      <c r="H653" s="4"/>
      <c r="I653" s="10" t="str">
        <f>HYPERLINK("http://twitter.com","Twitter Web Client")</f>
        <v>Twitter Web Client</v>
      </c>
      <c r="J653" s="2">
        <v>1445</v>
      </c>
      <c r="K653" s="2">
        <v>975</v>
      </c>
      <c r="L653" s="2">
        <v>12</v>
      </c>
      <c r="M653" s="2"/>
      <c r="N653" s="8">
        <v>39508.785358796296</v>
      </c>
      <c r="O653" s="4" t="s">
        <v>15023</v>
      </c>
      <c r="P653" s="3" t="s">
        <v>15022</v>
      </c>
      <c r="Q653" s="4"/>
      <c r="R653" s="4"/>
      <c r="S653" s="9" t="str">
        <f>HYPERLINK("https://pbs.twimg.com/profile_images/644923314113282048/M-KBr_9T.jpg","View")</f>
        <v>View</v>
      </c>
    </row>
    <row r="654" spans="1:19" ht="40">
      <c r="A654" s="8">
        <v>43348.40902777778</v>
      </c>
      <c r="B654" s="11" t="str">
        <f>HYPERLINK("https://twitter.com/siamak087","@siamak087")</f>
        <v>@siamak087</v>
      </c>
      <c r="C654" s="6" t="s">
        <v>8361</v>
      </c>
      <c r="D654" s="5" t="s">
        <v>15021</v>
      </c>
      <c r="E654" s="9" t="str">
        <f>HYPERLINK("https://twitter.com/siamak087/status/1037208454077800449","1037208454077800449")</f>
        <v>1037208454077800449</v>
      </c>
      <c r="F654" s="4"/>
      <c r="G654" s="4"/>
      <c r="H654" s="4"/>
      <c r="I654" s="10" t="str">
        <f>HYPERLINK("http://twitter.com/download/android","Twitter for Android")</f>
        <v>Twitter for Android</v>
      </c>
      <c r="J654" s="2">
        <v>1254</v>
      </c>
      <c r="K654" s="2">
        <v>1277</v>
      </c>
      <c r="L654" s="2">
        <v>1</v>
      </c>
      <c r="M654" s="2"/>
      <c r="N654" s="8">
        <v>43104.948321759264</v>
      </c>
      <c r="O654" s="4"/>
      <c r="P654" s="3" t="s">
        <v>8359</v>
      </c>
      <c r="Q654" s="4"/>
      <c r="R654" s="4"/>
      <c r="S654" s="9" t="str">
        <f>HYPERLINK("https://pbs.twimg.com/profile_images/1019576662428700673/ZoVeWo8o.jpg","View")</f>
        <v>View</v>
      </c>
    </row>
    <row r="655" spans="1:19" ht="12.5">
      <c r="A655" s="8">
        <v>43348.408217592594</v>
      </c>
      <c r="B655" s="11" t="str">
        <f>HYPERLINK("https://twitter.com/sadeghzmni","@sadeghzmni")</f>
        <v>@sadeghzmni</v>
      </c>
      <c r="C655" s="6" t="s">
        <v>15020</v>
      </c>
      <c r="D655" s="5" t="s">
        <v>15019</v>
      </c>
      <c r="E655" s="9" t="str">
        <f>HYPERLINK("https://twitter.com/sadeghzmni/status/1037208160904388609","1037208160904388609")</f>
        <v>1037208160904388609</v>
      </c>
      <c r="F655" s="4"/>
      <c r="G655" s="4"/>
      <c r="H655" s="4"/>
      <c r="I655" s="10" t="str">
        <f>HYPERLINK("http://twitter.com","Twitter Web Client")</f>
        <v>Twitter Web Client</v>
      </c>
      <c r="J655" s="2">
        <v>69</v>
      </c>
      <c r="K655" s="2">
        <v>93</v>
      </c>
      <c r="L655" s="2">
        <v>0</v>
      </c>
      <c r="M655" s="2"/>
      <c r="N655" s="8">
        <v>40820.555300925924</v>
      </c>
      <c r="O655" s="4" t="s">
        <v>3589</v>
      </c>
      <c r="P655" s="3"/>
      <c r="Q655" s="10" t="s">
        <v>15018</v>
      </c>
      <c r="R655" s="4"/>
      <c r="S655" s="9" t="str">
        <f>HYPERLINK("https://pbs.twimg.com/profile_images/1016652162573664256/o-yPb9U7.jpg","View")</f>
        <v>View</v>
      </c>
    </row>
    <row r="656" spans="1:19" ht="20">
      <c r="A656" s="8">
        <v>43348.404085648144</v>
      </c>
      <c r="B656" s="11" t="str">
        <f>HYPERLINK("https://twitter.com/AzamRasti","@AzamRasti")</f>
        <v>@AzamRasti</v>
      </c>
      <c r="C656" s="6" t="s">
        <v>15017</v>
      </c>
      <c r="D656" s="5" t="s">
        <v>15016</v>
      </c>
      <c r="E656" s="9" t="str">
        <f>HYPERLINK("https://twitter.com/AzamRasti/status/1037206663114178563","1037206663114178563")</f>
        <v>1037206663114178563</v>
      </c>
      <c r="F656" s="4"/>
      <c r="G656" s="4"/>
      <c r="H656" s="4"/>
      <c r="I656" s="10" t="str">
        <f>HYPERLINK("http://twitter.com/download/android","Twitter for Android")</f>
        <v>Twitter for Android</v>
      </c>
      <c r="J656" s="2">
        <v>3114</v>
      </c>
      <c r="K656" s="2">
        <v>846</v>
      </c>
      <c r="L656" s="2">
        <v>22</v>
      </c>
      <c r="M656" s="2"/>
      <c r="N656" s="8">
        <v>41234.518611111111</v>
      </c>
      <c r="O656" s="4" t="s">
        <v>133</v>
      </c>
      <c r="P656" s="3" t="s">
        <v>15015</v>
      </c>
      <c r="Q656" s="4"/>
      <c r="R656" s="4"/>
      <c r="S656" s="9" t="str">
        <f>HYPERLINK("https://pbs.twimg.com/profile_images/886829780766797825/qaGT-4K3.jpg","View")</f>
        <v>View</v>
      </c>
    </row>
    <row r="657" spans="1:19" ht="40">
      <c r="A657" s="8">
        <v>43348.40053240741</v>
      </c>
      <c r="B657" s="11" t="str">
        <f>HYPERLINK("https://twitter.com/k031313t","@k031313t")</f>
        <v>@k031313t</v>
      </c>
      <c r="C657" s="6" t="s">
        <v>15014</v>
      </c>
      <c r="D657" s="5" t="s">
        <v>15013</v>
      </c>
      <c r="E657" s="9" t="str">
        <f>HYPERLINK("https://twitter.com/k031313t/status/1037205376968613890","1037205376968613890")</f>
        <v>1037205376968613890</v>
      </c>
      <c r="F657" s="4"/>
      <c r="G657" s="4"/>
      <c r="H657" s="4"/>
      <c r="I657" s="10" t="str">
        <f>HYPERLINK("https://mobile.twitter.com","Twitter Lite")</f>
        <v>Twitter Lite</v>
      </c>
      <c r="J657" s="2">
        <v>398</v>
      </c>
      <c r="K657" s="2">
        <v>66</v>
      </c>
      <c r="L657" s="2">
        <v>4</v>
      </c>
      <c r="M657" s="2"/>
      <c r="N657" s="8">
        <v>41920.167268518519</v>
      </c>
      <c r="O657" s="4" t="s">
        <v>15012</v>
      </c>
      <c r="P657" s="3" t="s">
        <v>15011</v>
      </c>
      <c r="Q657" s="4"/>
      <c r="R657" s="4"/>
      <c r="S657" s="9" t="str">
        <f>HYPERLINK("https://pbs.twimg.com/profile_images/949233710913568769/xXTb85o9.jpg","View")</f>
        <v>View</v>
      </c>
    </row>
    <row r="658" spans="1:19" ht="20">
      <c r="A658" s="8">
        <v>43348.399004629631</v>
      </c>
      <c r="B658" s="11" t="str">
        <f>HYPERLINK("https://twitter.com/M_AbdolAliPour","@M_AbdolAliPour")</f>
        <v>@M_AbdolAliPour</v>
      </c>
      <c r="C658" s="6" t="s">
        <v>15010</v>
      </c>
      <c r="D658" s="5" t="s">
        <v>15009</v>
      </c>
      <c r="E658" s="9" t="str">
        <f>HYPERLINK("https://twitter.com/M_AbdolAliPour/status/1037204822846529536","1037204822846529536")</f>
        <v>1037204822846529536</v>
      </c>
      <c r="F658" s="4"/>
      <c r="G658" s="10" t="s">
        <v>15008</v>
      </c>
      <c r="H658" s="4"/>
      <c r="I658" s="10" t="str">
        <f>HYPERLINK("http://twitter.com/download/android","Twitter for Android")</f>
        <v>Twitter for Android</v>
      </c>
      <c r="J658" s="2">
        <v>2795</v>
      </c>
      <c r="K658" s="2">
        <v>802</v>
      </c>
      <c r="L658" s="2">
        <v>6</v>
      </c>
      <c r="M658" s="2"/>
      <c r="N658" s="8">
        <v>41799.838530092595</v>
      </c>
      <c r="O658" s="4" t="s">
        <v>15007</v>
      </c>
      <c r="P658" s="3" t="s">
        <v>15006</v>
      </c>
      <c r="Q658" s="4"/>
      <c r="R658" s="4"/>
      <c r="S658" s="9" t="str">
        <f>HYPERLINK("https://pbs.twimg.com/profile_images/885924181354958849/-bsCuSmv.jpg","View")</f>
        <v>View</v>
      </c>
    </row>
    <row r="659" spans="1:19" ht="40">
      <c r="A659" s="8">
        <v>43348.398460648154</v>
      </c>
      <c r="B659" s="11" t="str">
        <f>HYPERLINK("https://twitter.com/atrinnaaa","@atrinnaaa")</f>
        <v>@atrinnaaa</v>
      </c>
      <c r="C659" s="6" t="s">
        <v>7637</v>
      </c>
      <c r="D659" s="5" t="s">
        <v>15005</v>
      </c>
      <c r="E659" s="9" t="str">
        <f>HYPERLINK("https://twitter.com/atrinnaaa/status/1037204623856164864","1037204623856164864")</f>
        <v>1037204623856164864</v>
      </c>
      <c r="F659" s="4"/>
      <c r="G659" s="4"/>
      <c r="H659" s="4"/>
      <c r="I659" s="10" t="str">
        <f>HYPERLINK("http://twitter.com","Twitter Web Client")</f>
        <v>Twitter Web Client</v>
      </c>
      <c r="J659" s="2">
        <v>338</v>
      </c>
      <c r="K659" s="2">
        <v>938</v>
      </c>
      <c r="L659" s="2">
        <v>0</v>
      </c>
      <c r="M659" s="2"/>
      <c r="N659" s="8">
        <v>43339.420127314814</v>
      </c>
      <c r="O659" s="4"/>
      <c r="P659" s="3" t="s">
        <v>7635</v>
      </c>
      <c r="Q659" s="4"/>
      <c r="R659" s="4"/>
      <c r="S659" s="9" t="str">
        <f>HYPERLINK("https://pbs.twimg.com/profile_images/1034291521309364225/lcX-Vf62.jpg","View")</f>
        <v>View</v>
      </c>
    </row>
    <row r="660" spans="1:19" ht="20">
      <c r="A660" s="8">
        <v>43348.397002314814</v>
      </c>
      <c r="B660" s="11" t="str">
        <f>HYPERLINK("https://twitter.com/Al_Di_SHD","@Al_Di_SHD")</f>
        <v>@Al_Di_SHD</v>
      </c>
      <c r="C660" s="6" t="s">
        <v>15004</v>
      </c>
      <c r="D660" s="5" t="s">
        <v>15003</v>
      </c>
      <c r="E660" s="9" t="str">
        <f>HYPERLINK("https://twitter.com/Al_Di_SHD/status/1037204097491972097","1037204097491972097")</f>
        <v>1037204097491972097</v>
      </c>
      <c r="F660" s="4"/>
      <c r="G660" s="4"/>
      <c r="H660" s="4"/>
      <c r="I660" s="10" t="str">
        <f>HYPERLINK("http://twitter.com","Twitter Web Client")</f>
        <v>Twitter Web Client</v>
      </c>
      <c r="J660" s="2">
        <v>109</v>
      </c>
      <c r="K660" s="2">
        <v>147</v>
      </c>
      <c r="L660" s="2">
        <v>1</v>
      </c>
      <c r="M660" s="2"/>
      <c r="N660" s="8">
        <v>39960.428657407407</v>
      </c>
      <c r="O660" s="4" t="s">
        <v>15002</v>
      </c>
      <c r="P660" s="3" t="s">
        <v>15001</v>
      </c>
      <c r="Q660" s="4"/>
      <c r="R660" s="4"/>
      <c r="S660" s="9" t="str">
        <f>HYPERLINK("https://pbs.twimg.com/profile_images/921646328052113408/VHm6oaGm.jpg","View")</f>
        <v>View</v>
      </c>
    </row>
    <row r="661" spans="1:19" ht="12.5">
      <c r="A661" s="8">
        <v>43348.396030092597</v>
      </c>
      <c r="B661" s="11" t="str">
        <f>HYPERLINK("https://twitter.com/Dokht666","@Dokht666")</f>
        <v>@Dokht666</v>
      </c>
      <c r="C661" s="6" t="s">
        <v>15000</v>
      </c>
      <c r="D661" s="5" t="s">
        <v>14999</v>
      </c>
      <c r="E661" s="9" t="str">
        <f>HYPERLINK("https://twitter.com/Dokht666/status/1037203741898883072","1037203741898883072")</f>
        <v>1037203741898883072</v>
      </c>
      <c r="F661" s="4"/>
      <c r="G661" s="4"/>
      <c r="H661" s="4"/>
      <c r="I661" s="10" t="str">
        <f>HYPERLINK("http://twitter.com/download/android","Twitter for Android")</f>
        <v>Twitter for Android</v>
      </c>
      <c r="J661" s="2">
        <v>446</v>
      </c>
      <c r="K661" s="2">
        <v>697</v>
      </c>
      <c r="L661" s="2">
        <v>2</v>
      </c>
      <c r="M661" s="2"/>
      <c r="N661" s="8">
        <v>43154.55605324074</v>
      </c>
      <c r="O661" s="4"/>
      <c r="P661" s="3" t="s">
        <v>14998</v>
      </c>
      <c r="Q661" s="4"/>
      <c r="R661" s="4"/>
      <c r="S661" s="9" t="str">
        <f>HYPERLINK("https://pbs.twimg.com/profile_images/972580271420854272/ZhiDgyXM.jpg","View")</f>
        <v>View</v>
      </c>
    </row>
    <row r="662" spans="1:19" ht="70">
      <c r="A662" s="8">
        <v>43348.395891203705</v>
      </c>
      <c r="B662" s="11" t="str">
        <f>HYPERLINK("https://twitter.com/freshte_margh","@freshte_margh")</f>
        <v>@freshte_margh</v>
      </c>
      <c r="C662" s="6" t="s">
        <v>2084</v>
      </c>
      <c r="D662" s="5" t="s">
        <v>14997</v>
      </c>
      <c r="E662" s="9" t="str">
        <f>HYPERLINK("https://twitter.com/freshte_margh/status/1037203692292853765","1037203692292853765")</f>
        <v>1037203692292853765</v>
      </c>
      <c r="F662" s="10" t="s">
        <v>14996</v>
      </c>
      <c r="G662" s="4"/>
      <c r="H662" s="4"/>
      <c r="I662" s="10" t="str">
        <f>HYPERLINK("http://twitter.com/download/android","Twitter for Android")</f>
        <v>Twitter for Android</v>
      </c>
      <c r="J662" s="2">
        <v>125</v>
      </c>
      <c r="K662" s="2">
        <v>265</v>
      </c>
      <c r="L662" s="2">
        <v>0</v>
      </c>
      <c r="M662" s="2"/>
      <c r="N662" s="8">
        <v>43275.539918981478</v>
      </c>
      <c r="O662" s="4" t="s">
        <v>34</v>
      </c>
      <c r="P662" s="3" t="s">
        <v>2082</v>
      </c>
      <c r="Q662" s="10" t="s">
        <v>2081</v>
      </c>
      <c r="R662" s="4"/>
      <c r="S662" s="9" t="str">
        <f>HYPERLINK("https://pbs.twimg.com/profile_images/1010804989655179264/MUKRMPcI.jpg","View")</f>
        <v>View</v>
      </c>
    </row>
    <row r="663" spans="1:19" ht="30">
      <c r="A663" s="8">
        <v>43348.394780092596</v>
      </c>
      <c r="B663" s="11" t="str">
        <f>HYPERLINK("https://twitter.com/nightwingnew9","@nightwingnew9")</f>
        <v>@nightwingnew9</v>
      </c>
      <c r="C663" s="6" t="s">
        <v>14995</v>
      </c>
      <c r="D663" s="5" t="s">
        <v>14994</v>
      </c>
      <c r="E663" s="9" t="str">
        <f>HYPERLINK("https://twitter.com/nightwingnew9/status/1037203289195065345","1037203289195065345")</f>
        <v>1037203289195065345</v>
      </c>
      <c r="F663" s="4"/>
      <c r="G663" s="4"/>
      <c r="H663" s="4"/>
      <c r="I663" s="10" t="str">
        <f>HYPERLINK("http://twitter.com/download/android","Twitter for Android")</f>
        <v>Twitter for Android</v>
      </c>
      <c r="J663" s="2">
        <v>3</v>
      </c>
      <c r="K663" s="2">
        <v>26</v>
      </c>
      <c r="L663" s="2">
        <v>0</v>
      </c>
      <c r="M663" s="2"/>
      <c r="N663" s="8">
        <v>43347.716574074075</v>
      </c>
      <c r="O663" s="4" t="s">
        <v>104</v>
      </c>
      <c r="P663" s="3" t="s">
        <v>14993</v>
      </c>
      <c r="Q663" s="4"/>
      <c r="R663" s="4"/>
      <c r="S663" s="9" t="str">
        <f>HYPERLINK("https://pbs.twimg.com/profile_images/1036997159734992897/3yQ6A506.jpg","View")</f>
        <v>View</v>
      </c>
    </row>
    <row r="664" spans="1:19" ht="30">
      <c r="A664" s="8">
        <v>43348.393553240741</v>
      </c>
      <c r="B664" s="11" t="str">
        <f>HYPERLINK("https://twitter.com/Peyman4835","@Peyman4835")</f>
        <v>@Peyman4835</v>
      </c>
      <c r="C664" s="6" t="s">
        <v>14992</v>
      </c>
      <c r="D664" s="5" t="s">
        <v>14991</v>
      </c>
      <c r="E664" s="9" t="str">
        <f>HYPERLINK("https://twitter.com/Peyman4835/status/1037202846104600576","1037202846104600576")</f>
        <v>1037202846104600576</v>
      </c>
      <c r="F664" s="4"/>
      <c r="G664" s="10" t="s">
        <v>14990</v>
      </c>
      <c r="H664" s="4"/>
      <c r="I664" s="10" t="str">
        <f>HYPERLINK("http://twitter.com/download/android","Twitter for Android")</f>
        <v>Twitter for Android</v>
      </c>
      <c r="J664" s="2">
        <v>1093</v>
      </c>
      <c r="K664" s="2">
        <v>1095</v>
      </c>
      <c r="L664" s="2">
        <v>2</v>
      </c>
      <c r="M664" s="2"/>
      <c r="N664" s="8">
        <v>43104.043472222227</v>
      </c>
      <c r="O664" s="4" t="s">
        <v>9535</v>
      </c>
      <c r="P664" s="3" t="s">
        <v>14989</v>
      </c>
      <c r="Q664" s="4"/>
      <c r="R664" s="4"/>
      <c r="S664" s="9" t="str">
        <f>HYPERLINK("https://pbs.twimg.com/profile_images/1007404905408139272/CxFLze6T.jpg","View")</f>
        <v>View</v>
      </c>
    </row>
    <row r="665" spans="1:19" ht="12.5">
      <c r="A665" s="8">
        <v>43348.391400462962</v>
      </c>
      <c r="B665" s="11" t="str">
        <f>HYPERLINK("https://twitter.com/hamsade_shirazi","@hamsade_shirazi")</f>
        <v>@hamsade_shirazi</v>
      </c>
      <c r="C665" s="6" t="s">
        <v>14988</v>
      </c>
      <c r="D665" s="5" t="s">
        <v>14987</v>
      </c>
      <c r="E665" s="9" t="str">
        <f>HYPERLINK("https://twitter.com/hamsade_shirazi/status/1037202066576482305","1037202066576482305")</f>
        <v>1037202066576482305</v>
      </c>
      <c r="F665" s="4"/>
      <c r="G665" s="4"/>
      <c r="H665" s="4"/>
      <c r="I665" s="10" t="str">
        <f>HYPERLINK("http://twitter.com/download/android","Twitter for Android")</f>
        <v>Twitter for Android</v>
      </c>
      <c r="J665" s="2">
        <v>762</v>
      </c>
      <c r="K665" s="2">
        <v>300</v>
      </c>
      <c r="L665" s="2">
        <v>4</v>
      </c>
      <c r="M665" s="2"/>
      <c r="N665" s="8">
        <v>43067.831701388888</v>
      </c>
      <c r="O665" s="4" t="s">
        <v>14986</v>
      </c>
      <c r="P665" s="3" t="s">
        <v>14985</v>
      </c>
      <c r="Q665" s="4"/>
      <c r="R665" s="4"/>
      <c r="S665" s="9" t="str">
        <f>HYPERLINK("https://pbs.twimg.com/profile_images/935553666228072450/4s23qICy.jpg","View")</f>
        <v>View</v>
      </c>
    </row>
    <row r="666" spans="1:19" ht="30">
      <c r="A666" s="8">
        <v>43348.391192129631</v>
      </c>
      <c r="B666" s="11" t="str">
        <f>HYPERLINK("https://twitter.com/ilnanews","@ilnanews")</f>
        <v>@ilnanews</v>
      </c>
      <c r="C666" s="6" t="s">
        <v>6413</v>
      </c>
      <c r="D666" s="5" t="s">
        <v>14984</v>
      </c>
      <c r="E666" s="9" t="str">
        <f>HYPERLINK("https://twitter.com/ilnanews/status/1037201991880138753","1037201991880138753")</f>
        <v>1037201991880138753</v>
      </c>
      <c r="F666" s="10" t="s">
        <v>14983</v>
      </c>
      <c r="G666" s="10" t="s">
        <v>14982</v>
      </c>
      <c r="H666" s="4"/>
      <c r="I666" s="10" t="str">
        <f>HYPERLINK("http://twitter.com/download/android","Twitter for Android")</f>
        <v>Twitter for Android</v>
      </c>
      <c r="J666" s="2">
        <v>32492</v>
      </c>
      <c r="K666" s="2">
        <v>67</v>
      </c>
      <c r="L666" s="2">
        <v>160</v>
      </c>
      <c r="M666" s="2"/>
      <c r="N666" s="8">
        <v>42062.024768518517</v>
      </c>
      <c r="O666" s="4" t="s">
        <v>34</v>
      </c>
      <c r="P666" s="3" t="s">
        <v>6409</v>
      </c>
      <c r="Q666" s="10" t="s">
        <v>6408</v>
      </c>
      <c r="R666" s="4"/>
      <c r="S666" s="9" t="str">
        <f>HYPERLINK("https://pbs.twimg.com/profile_images/760387216782848000/TS1QyYLo.jpg","View")</f>
        <v>View</v>
      </c>
    </row>
    <row r="667" spans="1:19" ht="40">
      <c r="A667" s="8">
        <v>43348.389282407406</v>
      </c>
      <c r="B667" s="11" t="str">
        <f>HYPERLINK("https://twitter.com/A_gholamy","@A_gholamy")</f>
        <v>@A_gholamy</v>
      </c>
      <c r="C667" s="6" t="s">
        <v>14981</v>
      </c>
      <c r="D667" s="5" t="s">
        <v>14980</v>
      </c>
      <c r="E667" s="9" t="str">
        <f>HYPERLINK("https://twitter.com/A_gholamy/status/1037201296758132736","1037201296758132736")</f>
        <v>1037201296758132736</v>
      </c>
      <c r="F667" s="4"/>
      <c r="G667" s="4"/>
      <c r="H667" s="4"/>
      <c r="I667" s="10" t="str">
        <f>HYPERLINK("http://twitter.com/download/android","Twitter for Android")</f>
        <v>Twitter for Android</v>
      </c>
      <c r="J667" s="2">
        <v>1146</v>
      </c>
      <c r="K667" s="2">
        <v>965</v>
      </c>
      <c r="L667" s="2">
        <v>5</v>
      </c>
      <c r="M667" s="2"/>
      <c r="N667" s="8">
        <v>43024.948553240742</v>
      </c>
      <c r="O667" s="4" t="s">
        <v>34</v>
      </c>
      <c r="P667" s="3" t="s">
        <v>14979</v>
      </c>
      <c r="Q667" s="4"/>
      <c r="R667" s="4"/>
      <c r="S667" s="9" t="str">
        <f>HYPERLINK("https://pbs.twimg.com/profile_images/970181015871213569/2fa-FsPK.jpg","View")</f>
        <v>View</v>
      </c>
    </row>
    <row r="668" spans="1:19" ht="20">
      <c r="A668" s="8">
        <v>43348.388981481483</v>
      </c>
      <c r="B668" s="11" t="str">
        <f>HYPERLINK("https://twitter.com/MrHomayouni","@MrHomayouni")</f>
        <v>@MrHomayouni</v>
      </c>
      <c r="C668" s="6" t="s">
        <v>14978</v>
      </c>
      <c r="D668" s="5" t="s">
        <v>14977</v>
      </c>
      <c r="E668" s="9" t="str">
        <f>HYPERLINK("https://twitter.com/MrHomayouni/status/1037201187777466373","1037201187777466373")</f>
        <v>1037201187777466373</v>
      </c>
      <c r="F668" s="4"/>
      <c r="G668" s="4"/>
      <c r="H668" s="4"/>
      <c r="I668" s="10" t="str">
        <f>HYPERLINK("http://twitter.com","Twitter Web Client")</f>
        <v>Twitter Web Client</v>
      </c>
      <c r="J668" s="2">
        <v>1</v>
      </c>
      <c r="K668" s="2">
        <v>4</v>
      </c>
      <c r="L668" s="2">
        <v>0</v>
      </c>
      <c r="M668" s="2"/>
      <c r="N668" s="8">
        <v>43123.611770833333</v>
      </c>
      <c r="O668" s="4"/>
      <c r="P668" s="3"/>
      <c r="Q668" s="4"/>
      <c r="R668" s="4"/>
      <c r="S668" s="9" t="str">
        <f>HYPERLINK("https://pbs.twimg.com/profile_images/955760587107119104/ErnVRKAR.jpg","View")</f>
        <v>View</v>
      </c>
    </row>
    <row r="669" spans="1:19" ht="40">
      <c r="A669" s="8">
        <v>43348.388298611113</v>
      </c>
      <c r="B669" s="11" t="str">
        <f>HYPERLINK("https://twitter.com/ilnanews","@ilnanews")</f>
        <v>@ilnanews</v>
      </c>
      <c r="C669" s="6" t="s">
        <v>6413</v>
      </c>
      <c r="D669" s="5" t="s">
        <v>14976</v>
      </c>
      <c r="E669" s="9" t="str">
        <f>HYPERLINK("https://twitter.com/ilnanews/status/1037200941035016192","1037200941035016192")</f>
        <v>1037200941035016192</v>
      </c>
      <c r="F669" s="10" t="s">
        <v>14975</v>
      </c>
      <c r="G669" s="10" t="s">
        <v>14974</v>
      </c>
      <c r="H669" s="4"/>
      <c r="I669" s="10" t="str">
        <f>HYPERLINK("http://twitter.com/download/android","Twitter for Android")</f>
        <v>Twitter for Android</v>
      </c>
      <c r="J669" s="2">
        <v>32492</v>
      </c>
      <c r="K669" s="2">
        <v>67</v>
      </c>
      <c r="L669" s="2">
        <v>160</v>
      </c>
      <c r="M669" s="2"/>
      <c r="N669" s="8">
        <v>42062.024768518517</v>
      </c>
      <c r="O669" s="4" t="s">
        <v>34</v>
      </c>
      <c r="P669" s="3" t="s">
        <v>6409</v>
      </c>
      <c r="Q669" s="10" t="s">
        <v>6408</v>
      </c>
      <c r="R669" s="4"/>
      <c r="S669" s="9" t="str">
        <f>HYPERLINK("https://pbs.twimg.com/profile_images/760387216782848000/TS1QyYLo.jpg","View")</f>
        <v>View</v>
      </c>
    </row>
    <row r="670" spans="1:19" ht="30">
      <c r="A670" s="8">
        <v>43348.388148148151</v>
      </c>
      <c r="B670" s="11" t="str">
        <f>HYPERLINK("https://twitter.com/emamaliil","@emamaliil")</f>
        <v>@emamaliil</v>
      </c>
      <c r="C670" s="6" t="s">
        <v>14973</v>
      </c>
      <c r="D670" s="5" t="s">
        <v>14972</v>
      </c>
      <c r="E670" s="9" t="str">
        <f>HYPERLINK("https://twitter.com/emamaliil/status/1037200888379654144","1037200888379654144")</f>
        <v>1037200888379654144</v>
      </c>
      <c r="F670" s="10" t="s">
        <v>14971</v>
      </c>
      <c r="G670" s="4"/>
      <c r="H670" s="4"/>
      <c r="I670" s="10" t="str">
        <f>HYPERLINK("http://twitter.com/download/android","Twitter for Android")</f>
        <v>Twitter for Android</v>
      </c>
      <c r="J670" s="2">
        <v>2524</v>
      </c>
      <c r="K670" s="2">
        <v>851</v>
      </c>
      <c r="L670" s="2">
        <v>17</v>
      </c>
      <c r="M670" s="2"/>
      <c r="N670" s="8">
        <v>41422.774699074071</v>
      </c>
      <c r="O670" s="4" t="s">
        <v>14970</v>
      </c>
      <c r="P670" s="3" t="s">
        <v>14969</v>
      </c>
      <c r="Q670" s="4"/>
      <c r="R670" s="4"/>
      <c r="S670" s="9" t="str">
        <f>HYPERLINK("https://pbs.twimg.com/profile_images/964843401626734592/0FDdLEJV.jpg","View")</f>
        <v>View</v>
      </c>
    </row>
    <row r="671" spans="1:19" ht="40">
      <c r="A671" s="8">
        <v>43348.385069444441</v>
      </c>
      <c r="B671" s="11" t="str">
        <f>HYPERLINK("https://twitter.com/hojat_mortaji","@hojat_mortaji")</f>
        <v>@hojat_mortaji</v>
      </c>
      <c r="C671" s="6" t="s">
        <v>5547</v>
      </c>
      <c r="D671" s="5" t="s">
        <v>14968</v>
      </c>
      <c r="E671" s="9" t="str">
        <f>HYPERLINK("https://twitter.com/hojat_mortaji/status/1037199771918888961","1037199771918888961")</f>
        <v>1037199771918888961</v>
      </c>
      <c r="F671" s="4"/>
      <c r="G671" s="4"/>
      <c r="H671" s="4"/>
      <c r="I671" s="10" t="str">
        <f>HYPERLINK("https://mobile.twitter.com","Twitter Lite")</f>
        <v>Twitter Lite</v>
      </c>
      <c r="J671" s="2">
        <v>500</v>
      </c>
      <c r="K671" s="2">
        <v>1433</v>
      </c>
      <c r="L671" s="2">
        <v>9</v>
      </c>
      <c r="M671" s="2"/>
      <c r="N671" s="8">
        <v>42995.431273148148</v>
      </c>
      <c r="O671" s="4"/>
      <c r="P671" s="3" t="s">
        <v>5544</v>
      </c>
      <c r="Q671" s="4"/>
      <c r="R671" s="4"/>
      <c r="S671" s="9" t="str">
        <f>HYPERLINK("https://pbs.twimg.com/profile_images/909726781187424257/quSmnJsQ.jpg","View")</f>
        <v>View</v>
      </c>
    </row>
    <row r="672" spans="1:19" ht="20">
      <c r="A672" s="8">
        <v>43348.384733796294</v>
      </c>
      <c r="B672" s="11" t="str">
        <f>HYPERLINK("https://twitter.com/202020_amar","@202020_amar")</f>
        <v>@202020_amar</v>
      </c>
      <c r="C672" s="6" t="s">
        <v>14967</v>
      </c>
      <c r="D672" s="5" t="s">
        <v>14966</v>
      </c>
      <c r="E672" s="9" t="str">
        <f>HYPERLINK("https://twitter.com/202020_amar/status/1037199651869532164","1037199651869532164")</f>
        <v>1037199651869532164</v>
      </c>
      <c r="F672" s="4"/>
      <c r="G672" s="4"/>
      <c r="H672" s="4"/>
      <c r="I672" s="10" t="str">
        <f>HYPERLINK("http://twitter.com","Twitter Web Client")</f>
        <v>Twitter Web Client</v>
      </c>
      <c r="J672" s="2">
        <v>536</v>
      </c>
      <c r="K672" s="2">
        <v>1176</v>
      </c>
      <c r="L672" s="2">
        <v>1</v>
      </c>
      <c r="M672" s="2"/>
      <c r="N672" s="8">
        <v>42428.537106481483</v>
      </c>
      <c r="O672" s="4" t="s">
        <v>104</v>
      </c>
      <c r="P672" s="3"/>
      <c r="Q672" s="4"/>
      <c r="R672" s="4"/>
      <c r="S672" s="9" t="str">
        <f>HYPERLINK("https://pbs.twimg.com/profile_images/826749930626760709/mMHrJsBq.jpg","View")</f>
        <v>View</v>
      </c>
    </row>
    <row r="673" spans="1:19" ht="40">
      <c r="A673" s="8">
        <v>43348.382604166662</v>
      </c>
      <c r="B673" s="11" t="str">
        <f>HYPERLINK("https://twitter.com/jamejamCPI","@jamejamCPI")</f>
        <v>@jamejamCPI</v>
      </c>
      <c r="C673" s="6" t="s">
        <v>5625</v>
      </c>
      <c r="D673" s="5" t="s">
        <v>14965</v>
      </c>
      <c r="E673" s="9" t="str">
        <f>HYPERLINK("https://twitter.com/jamejamCPI/status/1037198877965910017","1037198877965910017")</f>
        <v>1037198877965910017</v>
      </c>
      <c r="F673" s="10" t="s">
        <v>14964</v>
      </c>
      <c r="G673" s="4"/>
      <c r="H673" s="4"/>
      <c r="I673" s="10" t="str">
        <f>HYPERLINK("http://twitter.com","Twitter Web Client")</f>
        <v>Twitter Web Client</v>
      </c>
      <c r="J673" s="2">
        <v>26655</v>
      </c>
      <c r="K673" s="2">
        <v>1414</v>
      </c>
      <c r="L673" s="2">
        <v>138</v>
      </c>
      <c r="M673" s="2"/>
      <c r="N673" s="8">
        <v>41548.76021990741</v>
      </c>
      <c r="O673" s="4" t="s">
        <v>5622</v>
      </c>
      <c r="P673" s="3" t="s">
        <v>5621</v>
      </c>
      <c r="Q673" s="10" t="s">
        <v>5620</v>
      </c>
      <c r="R673" s="4"/>
      <c r="S673" s="9" t="str">
        <f>HYPERLINK("https://pbs.twimg.com/profile_images/1016553348819046405/PBNorYe4.jpg","View")</f>
        <v>View</v>
      </c>
    </row>
    <row r="674" spans="1:19" ht="30">
      <c r="A674" s="8">
        <v>43348.380787037036</v>
      </c>
      <c r="B674" s="11" t="str">
        <f>HYPERLINK("https://twitter.com/Yasin_tahamtan","@Yasin_tahamtan")</f>
        <v>@Yasin_tahamtan</v>
      </c>
      <c r="C674" s="6" t="s">
        <v>10746</v>
      </c>
      <c r="D674" s="5" t="s">
        <v>14963</v>
      </c>
      <c r="E674" s="9" t="str">
        <f>HYPERLINK("https://twitter.com/Yasin_tahamtan/status/1037198220684914690","1037198220684914690")</f>
        <v>1037198220684914690</v>
      </c>
      <c r="F674" s="4"/>
      <c r="G674" s="10" t="s">
        <v>14962</v>
      </c>
      <c r="H674" s="4"/>
      <c r="I674" s="10" t="str">
        <f>HYPERLINK("http://twitter.com/download/android","Twitter for Android")</f>
        <v>Twitter for Android</v>
      </c>
      <c r="J674" s="2">
        <v>192</v>
      </c>
      <c r="K674" s="2">
        <v>229</v>
      </c>
      <c r="L674" s="2">
        <v>0</v>
      </c>
      <c r="M674" s="2"/>
      <c r="N674" s="8">
        <v>43264.046631944446</v>
      </c>
      <c r="O674" s="4" t="s">
        <v>12287</v>
      </c>
      <c r="P674" s="3" t="s">
        <v>14961</v>
      </c>
      <c r="Q674" s="4"/>
      <c r="R674" s="4"/>
      <c r="S674" s="9" t="str">
        <f>HYPERLINK("https://pbs.twimg.com/profile_images/1037199602280280065/GqnxYqVn.jpg","View")</f>
        <v>View</v>
      </c>
    </row>
    <row r="675" spans="1:19" ht="12.5">
      <c r="A675" s="8">
        <v>43348.380115740743</v>
      </c>
      <c r="B675" s="11" t="str">
        <f>HYPERLINK("https://twitter.com/shah_tahmasb","@shah_tahmasb")</f>
        <v>@shah_tahmasb</v>
      </c>
      <c r="C675" s="6" t="s">
        <v>14960</v>
      </c>
      <c r="D675" s="5" t="s">
        <v>14959</v>
      </c>
      <c r="E675" s="9" t="str">
        <f>HYPERLINK("https://twitter.com/shah_tahmasb/status/1037197976010203137","1037197976010203137")</f>
        <v>1037197976010203137</v>
      </c>
      <c r="F675" s="4"/>
      <c r="G675" s="4"/>
      <c r="H675" s="4"/>
      <c r="I675" s="10" t="str">
        <f>HYPERLINK("http://twitter.com/download/android","Twitter for Android")</f>
        <v>Twitter for Android</v>
      </c>
      <c r="J675" s="2">
        <v>277</v>
      </c>
      <c r="K675" s="2">
        <v>432</v>
      </c>
      <c r="L675" s="2">
        <v>2</v>
      </c>
      <c r="M675" s="2"/>
      <c r="N675" s="8">
        <v>42908.020486111112</v>
      </c>
      <c r="O675" s="4"/>
      <c r="P675" s="3"/>
      <c r="Q675" s="4"/>
      <c r="R675" s="4"/>
      <c r="S675" s="9" t="str">
        <f>HYPERLINK("https://pbs.twimg.com/profile_images/1037059658933002240/TbNDSxwa.jpg","View")</f>
        <v>View</v>
      </c>
    </row>
    <row r="676" spans="1:19" ht="30">
      <c r="A676" s="8">
        <v>43348.379201388889</v>
      </c>
      <c r="B676" s="11" t="str">
        <f>HYPERLINK("https://twitter.com/mr_alavii","@mr_alavii")</f>
        <v>@mr_alavii</v>
      </c>
      <c r="C676" s="6" t="s">
        <v>14958</v>
      </c>
      <c r="D676" s="5" t="s">
        <v>14957</v>
      </c>
      <c r="E676" s="9" t="str">
        <f>HYPERLINK("https://twitter.com/mr_alavii/status/1037197644861517825","1037197644861517825")</f>
        <v>1037197644861517825</v>
      </c>
      <c r="F676" s="4"/>
      <c r="G676" s="4"/>
      <c r="H676" s="4"/>
      <c r="I676" s="10" t="str">
        <f>HYPERLINK("http://twitter.com/download/iphone","Twitter for iPhone")</f>
        <v>Twitter for iPhone</v>
      </c>
      <c r="J676" s="2">
        <v>859</v>
      </c>
      <c r="K676" s="2">
        <v>2597</v>
      </c>
      <c r="L676" s="2">
        <v>2</v>
      </c>
      <c r="M676" s="2"/>
      <c r="N676" s="8">
        <v>43130.172592592593</v>
      </c>
      <c r="O676" s="4" t="s">
        <v>34</v>
      </c>
      <c r="P676" s="3" t="s">
        <v>412</v>
      </c>
      <c r="Q676" s="4"/>
      <c r="R676" s="4"/>
      <c r="S676" s="9" t="str">
        <f>HYPERLINK("https://pbs.twimg.com/profile_images/958138536917684224/gbSUehUD.jpg","View")</f>
        <v>View</v>
      </c>
    </row>
    <row r="677" spans="1:19" ht="20">
      <c r="A677" s="8">
        <v>43348.378668981481</v>
      </c>
      <c r="B677" s="11" t="str">
        <f>HYPERLINK("https://twitter.com/jamejamCPI","@jamejamCPI")</f>
        <v>@jamejamCPI</v>
      </c>
      <c r="C677" s="6" t="s">
        <v>5625</v>
      </c>
      <c r="D677" s="5" t="s">
        <v>14956</v>
      </c>
      <c r="E677" s="9" t="str">
        <f>HYPERLINK("https://twitter.com/jamejamCPI/status/1037197450484899840","1037197450484899840")</f>
        <v>1037197450484899840</v>
      </c>
      <c r="F677" s="4"/>
      <c r="G677" s="10" t="s">
        <v>14955</v>
      </c>
      <c r="H677" s="4"/>
      <c r="I677" s="10" t="str">
        <f>HYPERLINK("http://twitter.com/download/android","Twitter for Android")</f>
        <v>Twitter for Android</v>
      </c>
      <c r="J677" s="2">
        <v>26655</v>
      </c>
      <c r="K677" s="2">
        <v>1414</v>
      </c>
      <c r="L677" s="2">
        <v>138</v>
      </c>
      <c r="M677" s="2"/>
      <c r="N677" s="8">
        <v>41548.76021990741</v>
      </c>
      <c r="O677" s="4" t="s">
        <v>5622</v>
      </c>
      <c r="P677" s="3" t="s">
        <v>5621</v>
      </c>
      <c r="Q677" s="10" t="s">
        <v>5620</v>
      </c>
      <c r="R677" s="4"/>
      <c r="S677" s="9" t="str">
        <f>HYPERLINK("https://pbs.twimg.com/profile_images/1016553348819046405/PBNorYe4.jpg","View")</f>
        <v>View</v>
      </c>
    </row>
    <row r="678" spans="1:19" ht="80">
      <c r="A678" s="8">
        <v>43348.376886574071</v>
      </c>
      <c r="B678" s="11" t="str">
        <f>HYPERLINK("https://twitter.com/MeisamMsa","@MeisamMsa")</f>
        <v>@MeisamMsa</v>
      </c>
      <c r="C678" s="6" t="s">
        <v>14954</v>
      </c>
      <c r="D678" s="5" t="s">
        <v>14953</v>
      </c>
      <c r="E678" s="9" t="str">
        <f>HYPERLINK("https://twitter.com/MeisamMsa/status/1037196804784304133","1037196804784304133")</f>
        <v>1037196804784304133</v>
      </c>
      <c r="F678" s="10" t="s">
        <v>14952</v>
      </c>
      <c r="G678" s="10" t="s">
        <v>14951</v>
      </c>
      <c r="H678" s="4"/>
      <c r="I678" s="10" t="str">
        <f>HYPERLINK("http://twitter.com","Twitter Web Client")</f>
        <v>Twitter Web Client</v>
      </c>
      <c r="J678" s="2">
        <v>132</v>
      </c>
      <c r="K678" s="2">
        <v>577</v>
      </c>
      <c r="L678" s="2">
        <v>0</v>
      </c>
      <c r="M678" s="2"/>
      <c r="N678" s="8">
        <v>41248.022789351853</v>
      </c>
      <c r="O678" s="4"/>
      <c r="P678" s="3" t="s">
        <v>14950</v>
      </c>
      <c r="Q678" s="10" t="s">
        <v>14949</v>
      </c>
      <c r="R678" s="4"/>
      <c r="S678" s="9" t="str">
        <f>HYPERLINK("https://pbs.twimg.com/profile_images/998117132293390336/GC-eS-tv.jpg","View")</f>
        <v>View</v>
      </c>
    </row>
    <row r="679" spans="1:19" ht="40">
      <c r="A679" s="8">
        <v>43348.369004629625</v>
      </c>
      <c r="B679" s="11" t="str">
        <f>HYPERLINK("https://twitter.com/MBabaei4","@MBabaei4")</f>
        <v>@MBabaei4</v>
      </c>
      <c r="C679" s="6" t="s">
        <v>14948</v>
      </c>
      <c r="D679" s="5" t="s">
        <v>14947</v>
      </c>
      <c r="E679" s="9" t="str">
        <f>HYPERLINK("https://twitter.com/MBabaei4/status/1037193949134442496","1037193949134442496")</f>
        <v>1037193949134442496</v>
      </c>
      <c r="F679" s="4"/>
      <c r="G679" s="4"/>
      <c r="H679" s="4"/>
      <c r="I679" s="10" t="str">
        <f>HYPERLINK("http://twitter.com/download/iphone","Twitter for iPhone")</f>
        <v>Twitter for iPhone</v>
      </c>
      <c r="J679" s="2">
        <v>5859</v>
      </c>
      <c r="K679" s="2">
        <v>1484</v>
      </c>
      <c r="L679" s="2">
        <v>30</v>
      </c>
      <c r="M679" s="2"/>
      <c r="N679" s="8">
        <v>42200.487430555557</v>
      </c>
      <c r="O679" s="4" t="s">
        <v>14946</v>
      </c>
      <c r="P679" s="3" t="s">
        <v>14945</v>
      </c>
      <c r="Q679" s="4"/>
      <c r="R679" s="4"/>
      <c r="S679" s="9" t="str">
        <f>HYPERLINK("https://pbs.twimg.com/profile_images/1035469046274289665/rqFxS-RO.jpg","View")</f>
        <v>View</v>
      </c>
    </row>
    <row r="680" spans="1:19" ht="30">
      <c r="A680" s="8">
        <v>43348.366122685184</v>
      </c>
      <c r="B680" s="11" t="str">
        <f>HYPERLINK("https://twitter.com/samharisirani","@samharisirani")</f>
        <v>@samharisirani</v>
      </c>
      <c r="C680" s="6" t="s">
        <v>1365</v>
      </c>
      <c r="D680" s="5" t="s">
        <v>14944</v>
      </c>
      <c r="E680" s="9" t="str">
        <f>HYPERLINK("https://twitter.com/samharisirani/status/1037192904324931584","1037192904324931584")</f>
        <v>1037192904324931584</v>
      </c>
      <c r="F680" s="4"/>
      <c r="G680" s="4"/>
      <c r="H680" s="4"/>
      <c r="I680" s="10" t="str">
        <f>HYPERLINK("http://twitter.com","Twitter Web Client")</f>
        <v>Twitter Web Client</v>
      </c>
      <c r="J680" s="2">
        <v>4642</v>
      </c>
      <c r="K680" s="2">
        <v>2477</v>
      </c>
      <c r="L680" s="2">
        <v>6</v>
      </c>
      <c r="M680" s="2"/>
      <c r="N680" s="8">
        <v>41713.290879629625</v>
      </c>
      <c r="O680" s="4" t="s">
        <v>1363</v>
      </c>
      <c r="P680" s="3" t="s">
        <v>1362</v>
      </c>
      <c r="Q680" s="4"/>
      <c r="R680" s="4"/>
      <c r="S680" s="9" t="str">
        <f>HYPERLINK("https://pbs.twimg.com/profile_images/947049442842152962/dI4P1puy.jpg","View")</f>
        <v>View</v>
      </c>
    </row>
    <row r="681" spans="1:19" ht="40">
      <c r="A681" s="8">
        <v>43348.364062499997</v>
      </c>
      <c r="B681" s="11" t="str">
        <f>HYPERLINK("https://twitter.com/drdehghanij","@drdehghanij")</f>
        <v>@drdehghanij</v>
      </c>
      <c r="C681" s="6" t="s">
        <v>9058</v>
      </c>
      <c r="D681" s="5" t="s">
        <v>14943</v>
      </c>
      <c r="E681" s="9" t="str">
        <f>HYPERLINK("https://twitter.com/drdehghanij/status/1037192159064219648","1037192159064219648")</f>
        <v>1037192159064219648</v>
      </c>
      <c r="F681" s="4"/>
      <c r="G681" s="4"/>
      <c r="H681" s="4"/>
      <c r="I681" s="10" t="str">
        <f>HYPERLINK("http://twitter.com/download/iphone","Twitter for iPhone")</f>
        <v>Twitter for iPhone</v>
      </c>
      <c r="J681" s="2">
        <v>1681</v>
      </c>
      <c r="K681" s="2">
        <v>1747</v>
      </c>
      <c r="L681" s="2">
        <v>4</v>
      </c>
      <c r="M681" s="2"/>
      <c r="N681" s="8">
        <v>39984.809351851851</v>
      </c>
      <c r="O681" s="4" t="s">
        <v>4283</v>
      </c>
      <c r="P681" s="3" t="s">
        <v>9055</v>
      </c>
      <c r="Q681" s="10" t="s">
        <v>9054</v>
      </c>
      <c r="R681" s="4"/>
      <c r="S681" s="9" t="str">
        <f>HYPERLINK("https://pbs.twimg.com/profile_images/1035804556276498432/au6vYuOz.jpg","View")</f>
        <v>View</v>
      </c>
    </row>
    <row r="682" spans="1:19" ht="20">
      <c r="A682" s="8">
        <v>43348.362430555557</v>
      </c>
      <c r="B682" s="11" t="str">
        <f>HYPERLINK("https://twitter.com/ata_afs","@ata_afs")</f>
        <v>@ata_afs</v>
      </c>
      <c r="C682" s="6" t="s">
        <v>1217</v>
      </c>
      <c r="D682" s="5" t="s">
        <v>14942</v>
      </c>
      <c r="E682" s="9" t="str">
        <f>HYPERLINK("https://twitter.com/ata_afs/status/1037191565847003145","1037191565847003145")</f>
        <v>1037191565847003145</v>
      </c>
      <c r="F682" s="4"/>
      <c r="G682" s="4"/>
      <c r="H682" s="4"/>
      <c r="I682" s="10" t="str">
        <f>HYPERLINK("http://twitter.com/download/iphone","Twitter for iPhone")</f>
        <v>Twitter for iPhone</v>
      </c>
      <c r="J682" s="2">
        <v>377</v>
      </c>
      <c r="K682" s="2">
        <v>696</v>
      </c>
      <c r="L682" s="2">
        <v>0</v>
      </c>
      <c r="M682" s="2"/>
      <c r="N682" s="8">
        <v>41833.536099537036</v>
      </c>
      <c r="O682" s="4" t="s">
        <v>34</v>
      </c>
      <c r="P682" s="3" t="s">
        <v>1213</v>
      </c>
      <c r="Q682" s="4"/>
      <c r="R682" s="4"/>
      <c r="S682" s="9" t="str">
        <f>HYPERLINK("https://pbs.twimg.com/profile_images/958374868008960000/IRXSv5-C.jpg","View")</f>
        <v>View</v>
      </c>
    </row>
    <row r="683" spans="1:19" ht="20">
      <c r="A683" s="8">
        <v>43348.362083333333</v>
      </c>
      <c r="B683" s="11" t="str">
        <f>HYPERLINK("https://twitter.com/saeedmohamadi68","@saeedmohamadi68")</f>
        <v>@saeedmohamadi68</v>
      </c>
      <c r="C683" s="6" t="s">
        <v>14941</v>
      </c>
      <c r="D683" s="5" t="s">
        <v>14940</v>
      </c>
      <c r="E683" s="9" t="str">
        <f>HYPERLINK("https://twitter.com/saeedmohamadi68/status/1037191443989848065","1037191443989848065")</f>
        <v>1037191443989848065</v>
      </c>
      <c r="F683" s="4"/>
      <c r="G683" s="4"/>
      <c r="H683" s="4"/>
      <c r="I683" s="10" t="str">
        <f>HYPERLINK("http://twitter.com","Twitter Web Client")</f>
        <v>Twitter Web Client</v>
      </c>
      <c r="J683" s="2">
        <v>5</v>
      </c>
      <c r="K683" s="2">
        <v>35</v>
      </c>
      <c r="L683" s="2">
        <v>0</v>
      </c>
      <c r="M683" s="2"/>
      <c r="N683" s="8">
        <v>43147.195393518516</v>
      </c>
      <c r="O683" s="4"/>
      <c r="P683" s="3"/>
      <c r="Q683" s="4"/>
      <c r="R683" s="4"/>
      <c r="S683" s="2" t="s">
        <v>155</v>
      </c>
    </row>
    <row r="684" spans="1:19" ht="30">
      <c r="A684" s="8">
        <v>43348.359398148154</v>
      </c>
      <c r="B684" s="11" t="str">
        <f>HYPERLINK("https://twitter.com/mersadnews_ir","@mersadnews_ir")</f>
        <v>@mersadnews_ir</v>
      </c>
      <c r="C684" s="6" t="s">
        <v>3586</v>
      </c>
      <c r="D684" s="5" t="s">
        <v>14938</v>
      </c>
      <c r="E684" s="9" t="str">
        <f>HYPERLINK("https://twitter.com/mersadnews_ir/status/1037190470735208450","1037190470735208450")</f>
        <v>1037190470735208450</v>
      </c>
      <c r="F684" s="4"/>
      <c r="G684" s="10" t="s">
        <v>14939</v>
      </c>
      <c r="H684" s="4"/>
      <c r="I684" s="10" t="str">
        <f>HYPERLINK("http://twitter.com/download/android","Twitter for Android")</f>
        <v>Twitter for Android</v>
      </c>
      <c r="J684" s="2">
        <v>1569</v>
      </c>
      <c r="K684" s="2">
        <v>831</v>
      </c>
      <c r="L684" s="2">
        <v>11</v>
      </c>
      <c r="M684" s="2"/>
      <c r="N684" s="8">
        <v>42248.572592592594</v>
      </c>
      <c r="O684" s="4"/>
      <c r="P684" s="3" t="s">
        <v>3584</v>
      </c>
      <c r="Q684" s="4"/>
      <c r="R684" s="4"/>
      <c r="S684" s="9" t="str">
        <f>HYPERLINK("https://pbs.twimg.com/profile_images/951372057123741696/1KwF8zUA.jpg","View")</f>
        <v>View</v>
      </c>
    </row>
    <row r="685" spans="1:19" ht="30">
      <c r="A685" s="8">
        <v>43348.353414351848</v>
      </c>
      <c r="B685" s="11" t="str">
        <f>HYPERLINK("https://twitter.com/yjcagency","@yjcagency")</f>
        <v>@yjcagency</v>
      </c>
      <c r="C685" s="6" t="s">
        <v>3511</v>
      </c>
      <c r="D685" s="5" t="s">
        <v>14938</v>
      </c>
      <c r="E685" s="9" t="str">
        <f>HYPERLINK("https://twitter.com/yjcagency/status/1037188301445312512","1037188301445312512")</f>
        <v>1037188301445312512</v>
      </c>
      <c r="F685" s="10" t="s">
        <v>14937</v>
      </c>
      <c r="G685" s="10" t="s">
        <v>14936</v>
      </c>
      <c r="H685" s="4"/>
      <c r="I685" s="10" t="str">
        <f>HYPERLINK("http://twitter.com/download/android","Twitter for Android")</f>
        <v>Twitter for Android</v>
      </c>
      <c r="J685" s="2">
        <v>10833</v>
      </c>
      <c r="K685" s="2">
        <v>3</v>
      </c>
      <c r="L685" s="2">
        <v>56</v>
      </c>
      <c r="M685" s="2"/>
      <c r="N685" s="8">
        <v>42691.645821759259</v>
      </c>
      <c r="O685" s="4" t="s">
        <v>3508</v>
      </c>
      <c r="P685" s="3" t="s">
        <v>3507</v>
      </c>
      <c r="Q685" s="10" t="s">
        <v>3506</v>
      </c>
      <c r="R685" s="4"/>
      <c r="S685" s="9" t="str">
        <f>HYPERLINK("https://pbs.twimg.com/profile_images/1016530264250568704/lVYN9g8h.jpg","View")</f>
        <v>View</v>
      </c>
    </row>
    <row r="686" spans="1:19" ht="12.5">
      <c r="A686" s="8">
        <v>43348.351701388892</v>
      </c>
      <c r="B686" s="11" t="str">
        <f>HYPERLINK("https://twitter.com/seyyedjavad92","@seyyedjavad92")</f>
        <v>@seyyedjavad92</v>
      </c>
      <c r="C686" s="6" t="s">
        <v>2108</v>
      </c>
      <c r="D686" s="5" t="s">
        <v>14935</v>
      </c>
      <c r="E686" s="9" t="str">
        <f>HYPERLINK("https://twitter.com/seyyedjavad92/status/1037187680227020800","1037187680227020800")</f>
        <v>1037187680227020800</v>
      </c>
      <c r="F686" s="4"/>
      <c r="G686" s="10" t="s">
        <v>14934</v>
      </c>
      <c r="H686" s="4"/>
      <c r="I686" s="10" t="str">
        <f>HYPERLINK("http://twitter.com/download/android","Twitter for Android")</f>
        <v>Twitter for Android</v>
      </c>
      <c r="J686" s="2">
        <v>128</v>
      </c>
      <c r="K686" s="2">
        <v>123</v>
      </c>
      <c r="L686" s="2">
        <v>1</v>
      </c>
      <c r="M686" s="2"/>
      <c r="N686" s="8">
        <v>41612.475891203707</v>
      </c>
      <c r="O686" s="4"/>
      <c r="P686" s="3" t="s">
        <v>2106</v>
      </c>
      <c r="Q686" s="4"/>
      <c r="R686" s="4"/>
      <c r="S686" s="9" t="str">
        <f>HYPERLINK("https://pbs.twimg.com/profile_images/1004423608138194945/NlJmGAov.jpg","View")</f>
        <v>View</v>
      </c>
    </row>
    <row r="687" spans="1:19" ht="12.5">
      <c r="A687" s="8">
        <v>43348.351331018523</v>
      </c>
      <c r="B687" s="11" t="str">
        <f>HYPERLINK("https://twitter.com/writeasignature","@writeasignature")</f>
        <v>@writeasignature</v>
      </c>
      <c r="C687" s="6" t="s">
        <v>14933</v>
      </c>
      <c r="D687" s="5" t="s">
        <v>14932</v>
      </c>
      <c r="E687" s="9" t="str">
        <f>HYPERLINK("https://twitter.com/writeasignature/status/1037187543689822210","1037187543689822210")</f>
        <v>1037187543689822210</v>
      </c>
      <c r="F687" s="4"/>
      <c r="G687" s="4"/>
      <c r="H687" s="4"/>
      <c r="I687" s="10" t="str">
        <f>HYPERLINK("http://twitter.com/download/android","Twitter for Android")</f>
        <v>Twitter for Android</v>
      </c>
      <c r="J687" s="2">
        <v>0</v>
      </c>
      <c r="K687" s="2">
        <v>0</v>
      </c>
      <c r="L687" s="2">
        <v>0</v>
      </c>
      <c r="M687" s="2"/>
      <c r="N687" s="8">
        <v>43348.332083333335</v>
      </c>
      <c r="O687" s="4"/>
      <c r="P687" s="3" t="s">
        <v>14931</v>
      </c>
      <c r="Q687" s="4"/>
      <c r="R687" s="4"/>
      <c r="S687" s="9" t="str">
        <f>HYPERLINK("https://pbs.twimg.com/profile_images/1037183777087348736/m8Qvkuur.jpg","View")</f>
        <v>View</v>
      </c>
    </row>
    <row r="688" spans="1:19" ht="30">
      <c r="A688" s="8">
        <v>43348.349826388891</v>
      </c>
      <c r="B688" s="11" t="str">
        <f>HYPERLINK("https://twitter.com/kristianemampur","@kristianemampur")</f>
        <v>@kristianemampur</v>
      </c>
      <c r="C688" s="6" t="s">
        <v>5459</v>
      </c>
      <c r="D688" s="5" t="s">
        <v>14930</v>
      </c>
      <c r="E688" s="9" t="str">
        <f>HYPERLINK("https://twitter.com/kristianemampur/status/1037187001580175360","1037187001580175360")</f>
        <v>1037187001580175360</v>
      </c>
      <c r="F688" s="4"/>
      <c r="G688" s="4"/>
      <c r="H688" s="4"/>
      <c r="I688" s="10" t="str">
        <f>HYPERLINK("http://twitter.com/download/iphone","Twitter for iPhone")</f>
        <v>Twitter for iPhone</v>
      </c>
      <c r="J688" s="2">
        <v>4110</v>
      </c>
      <c r="K688" s="2">
        <v>3575</v>
      </c>
      <c r="L688" s="2">
        <v>1</v>
      </c>
      <c r="M688" s="2"/>
      <c r="N688" s="8">
        <v>43122.781817129631</v>
      </c>
      <c r="O688" s="4" t="s">
        <v>5457</v>
      </c>
      <c r="P688" s="3" t="s">
        <v>5456</v>
      </c>
      <c r="Q688" s="4"/>
      <c r="R688" s="4"/>
      <c r="S688" s="9" t="str">
        <f>HYPERLINK("https://pbs.twimg.com/profile_images/1012894560085737474/3o1qo3c3.jpg","View")</f>
        <v>View</v>
      </c>
    </row>
    <row r="689" spans="1:19" ht="30">
      <c r="A689" s="8">
        <v>43348.346898148149</v>
      </c>
      <c r="B689" s="11" t="str">
        <f>HYPERLINK("https://twitter.com/Mohamma75370061","@Mohamma75370061")</f>
        <v>@Mohamma75370061</v>
      </c>
      <c r="C689" s="6" t="s">
        <v>1998</v>
      </c>
      <c r="D689" s="5" t="s">
        <v>14929</v>
      </c>
      <c r="E689" s="9" t="str">
        <f>HYPERLINK("https://twitter.com/Mohamma75370061/status/1037185938047344640","1037185938047344640")</f>
        <v>1037185938047344640</v>
      </c>
      <c r="F689" s="4"/>
      <c r="G689" s="4"/>
      <c r="H689" s="4"/>
      <c r="I689" s="10" t="str">
        <f>HYPERLINK("http://twitter.com/download/android","Twitter for Android")</f>
        <v>Twitter for Android</v>
      </c>
      <c r="J689" s="2">
        <v>2243</v>
      </c>
      <c r="K689" s="2">
        <v>2928</v>
      </c>
      <c r="L689" s="2">
        <v>2</v>
      </c>
      <c r="M689" s="2"/>
      <c r="N689" s="8">
        <v>43270.233599537038</v>
      </c>
      <c r="O689" s="4" t="s">
        <v>11038</v>
      </c>
      <c r="P689" s="3" t="s">
        <v>12017</v>
      </c>
      <c r="Q689" s="4"/>
      <c r="R689" s="4"/>
      <c r="S689" s="9" t="str">
        <f>HYPERLINK("https://pbs.twimg.com/profile_images/1027742418827993089/rEAc7tMh.jpg","View")</f>
        <v>View</v>
      </c>
    </row>
    <row r="690" spans="1:19" ht="20">
      <c r="A690" s="8">
        <v>43348.346076388887</v>
      </c>
      <c r="B690" s="11" t="str">
        <f>HYPERLINK("https://twitter.com/minaelyasi","@minaelyasi")</f>
        <v>@minaelyasi</v>
      </c>
      <c r="C690" s="6" t="s">
        <v>14928</v>
      </c>
      <c r="D690" s="5" t="s">
        <v>14927</v>
      </c>
      <c r="E690" s="9" t="str">
        <f>HYPERLINK("https://twitter.com/minaelyasi/status/1037185640679526400","1037185640679526400")</f>
        <v>1037185640679526400</v>
      </c>
      <c r="F690" s="4"/>
      <c r="G690" s="4"/>
      <c r="H690" s="4"/>
      <c r="I690" s="10" t="str">
        <f>HYPERLINK("http://twitter.com/download/android","Twitter for Android")</f>
        <v>Twitter for Android</v>
      </c>
      <c r="J690" s="2">
        <v>36</v>
      </c>
      <c r="K690" s="2">
        <v>88</v>
      </c>
      <c r="L690" s="2">
        <v>1</v>
      </c>
      <c r="M690" s="2"/>
      <c r="N690" s="8">
        <v>43108.791481481487</v>
      </c>
      <c r="O690" s="4" t="s">
        <v>324</v>
      </c>
      <c r="P690" s="3" t="s">
        <v>14926</v>
      </c>
      <c r="Q690" s="4"/>
      <c r="R690" s="4"/>
      <c r="S690" s="9" t="str">
        <f>HYPERLINK("https://pbs.twimg.com/profile_images/950707612886151169/UmlwkiLs.jpg","View")</f>
        <v>View</v>
      </c>
    </row>
    <row r="691" spans="1:19" ht="30">
      <c r="A691" s="8">
        <v>43348.344652777778</v>
      </c>
      <c r="B691" s="11" t="str">
        <f>HYPERLINK("https://twitter.com/mehdiahmadi68","@mehdiahmadi68")</f>
        <v>@mehdiahmadi68</v>
      </c>
      <c r="C691" s="6" t="s">
        <v>2573</v>
      </c>
      <c r="D691" s="5" t="s">
        <v>14925</v>
      </c>
      <c r="E691" s="9" t="str">
        <f>HYPERLINK("https://twitter.com/mehdiahmadi68/status/1037185127045124096","1037185127045124096")</f>
        <v>1037185127045124096</v>
      </c>
      <c r="F691" s="4"/>
      <c r="G691" s="4"/>
      <c r="H691" s="4"/>
      <c r="I691" s="10" t="str">
        <f>HYPERLINK("http://twitter.com/download/iphone","Twitter for iPhone")</f>
        <v>Twitter for iPhone</v>
      </c>
      <c r="J691" s="2">
        <v>180</v>
      </c>
      <c r="K691" s="2">
        <v>193</v>
      </c>
      <c r="L691" s="2">
        <v>1</v>
      </c>
      <c r="M691" s="2"/>
      <c r="N691" s="8">
        <v>41652.703738425924</v>
      </c>
      <c r="O691" s="4" t="s">
        <v>1601</v>
      </c>
      <c r="P691" s="3" t="s">
        <v>2571</v>
      </c>
      <c r="Q691" s="4"/>
      <c r="R691" s="4"/>
      <c r="S691" s="9" t="str">
        <f>HYPERLINK("https://pbs.twimg.com/profile_images/1031798302986182656/yB75nA-y.jpg","View")</f>
        <v>View</v>
      </c>
    </row>
    <row r="692" spans="1:19" ht="30">
      <c r="A692" s="8">
        <v>43348.343553240746</v>
      </c>
      <c r="B692" s="11" t="str">
        <f>HYPERLINK("https://twitter.com/arash7011","@arash7011")</f>
        <v>@arash7011</v>
      </c>
      <c r="C692" s="6" t="s">
        <v>14924</v>
      </c>
      <c r="D692" s="5" t="s">
        <v>14923</v>
      </c>
      <c r="E692" s="9" t="str">
        <f>HYPERLINK("https://twitter.com/arash7011/status/1037184728015806464","1037184728015806464")</f>
        <v>1037184728015806464</v>
      </c>
      <c r="F692" s="4"/>
      <c r="G692" s="4"/>
      <c r="H692" s="4"/>
      <c r="I692" s="10" t="str">
        <f>HYPERLINK("http://twitter.com/download/iphone","Twitter for iPhone")</f>
        <v>Twitter for iPhone</v>
      </c>
      <c r="J692" s="2">
        <v>68</v>
      </c>
      <c r="K692" s="2">
        <v>392</v>
      </c>
      <c r="L692" s="2">
        <v>0</v>
      </c>
      <c r="M692" s="2"/>
      <c r="N692" s="8">
        <v>42653.045034722221</v>
      </c>
      <c r="O692" s="4" t="s">
        <v>7139</v>
      </c>
      <c r="P692" s="3" t="s">
        <v>14922</v>
      </c>
      <c r="Q692" s="4"/>
      <c r="R692" s="4"/>
      <c r="S692" s="9" t="str">
        <f>HYPERLINK("https://pbs.twimg.com/profile_images/944783344021078016/_9R13fub.jpg","View")</f>
        <v>View</v>
      </c>
    </row>
    <row r="693" spans="1:19" ht="40">
      <c r="A693" s="8">
        <v>43348.343460648146</v>
      </c>
      <c r="B693" s="11" t="str">
        <f>HYPERLINK("https://twitter.com/s_kh73","@s_kh73")</f>
        <v>@s_kh73</v>
      </c>
      <c r="C693" s="6" t="s">
        <v>8795</v>
      </c>
      <c r="D693" s="5" t="s">
        <v>14921</v>
      </c>
      <c r="E693" s="9" t="str">
        <f>HYPERLINK("https://twitter.com/s_kh73/status/1037184691932151808","1037184691932151808")</f>
        <v>1037184691932151808</v>
      </c>
      <c r="F693" s="4"/>
      <c r="G693" s="4"/>
      <c r="H693" s="4"/>
      <c r="I693" s="10" t="str">
        <f>HYPERLINK("http://twitter.com/download/android","Twitter for Android")</f>
        <v>Twitter for Android</v>
      </c>
      <c r="J693" s="2">
        <v>788</v>
      </c>
      <c r="K693" s="2">
        <v>774</v>
      </c>
      <c r="L693" s="2">
        <v>5</v>
      </c>
      <c r="M693" s="2"/>
      <c r="N693" s="8">
        <v>43131.549097222218</v>
      </c>
      <c r="O693" s="4" t="s">
        <v>25</v>
      </c>
      <c r="P693" s="3" t="s">
        <v>8793</v>
      </c>
      <c r="Q693" s="4"/>
      <c r="R693" s="4"/>
      <c r="S693" s="9" t="str">
        <f>HYPERLINK("https://pbs.twimg.com/profile_images/1032282957464199169/n99jtq3p.jpg","View")</f>
        <v>View</v>
      </c>
    </row>
    <row r="694" spans="1:19" ht="40">
      <c r="A694" s="8">
        <v>43348.343356481477</v>
      </c>
      <c r="B694" s="11" t="str">
        <f>HYPERLINK("https://twitter.com/SUGAR1158","@SUGAR1158")</f>
        <v>@SUGAR1158</v>
      </c>
      <c r="C694" s="6" t="s">
        <v>11946</v>
      </c>
      <c r="D694" s="5" t="s">
        <v>14920</v>
      </c>
      <c r="E694" s="9" t="str">
        <f>HYPERLINK("https://twitter.com/SUGAR1158/status/1037184654623866882","1037184654623866882")</f>
        <v>1037184654623866882</v>
      </c>
      <c r="F694" s="4"/>
      <c r="G694" s="4"/>
      <c r="H694" s="4"/>
      <c r="I694" s="10" t="str">
        <f>HYPERLINK("http://twitter.com","Twitter Web Client")</f>
        <v>Twitter Web Client</v>
      </c>
      <c r="J694" s="2">
        <v>28981</v>
      </c>
      <c r="K694" s="2">
        <v>3952</v>
      </c>
      <c r="L694" s="2">
        <v>84</v>
      </c>
      <c r="M694" s="2"/>
      <c r="N694" s="8">
        <v>41500.169131944444</v>
      </c>
      <c r="O694" s="4" t="s">
        <v>11944</v>
      </c>
      <c r="P694" s="3" t="s">
        <v>11943</v>
      </c>
      <c r="Q694" s="4"/>
      <c r="R694" s="4"/>
      <c r="S694" s="9" t="str">
        <f>HYPERLINK("https://pbs.twimg.com/profile_images/1033116241282576384/OzIte5OM.jpg","View")</f>
        <v>View</v>
      </c>
    </row>
    <row r="695" spans="1:19" ht="30">
      <c r="A695" s="8">
        <v>43348.341863425929</v>
      </c>
      <c r="B695" s="11" t="str">
        <f>HYPERLINK("https://twitter.com/Eslahatnews_com","@Eslahatnews_com")</f>
        <v>@Eslahatnews_com</v>
      </c>
      <c r="C695" s="6" t="s">
        <v>14919</v>
      </c>
      <c r="D695" s="5" t="s">
        <v>14918</v>
      </c>
      <c r="E695" s="9" t="str">
        <f>HYPERLINK("https://twitter.com/Eslahatnews_com/status/1037184115748102144","1037184115748102144")</f>
        <v>1037184115748102144</v>
      </c>
      <c r="F695" s="4"/>
      <c r="G695" s="10" t="s">
        <v>14917</v>
      </c>
      <c r="H695" s="4"/>
      <c r="I695" s="10" t="str">
        <f>HYPERLINK("http://twitter.com/download/android","Twitter for Android")</f>
        <v>Twitter for Android</v>
      </c>
      <c r="J695" s="2">
        <v>3401</v>
      </c>
      <c r="K695" s="2">
        <v>292</v>
      </c>
      <c r="L695" s="2">
        <v>29</v>
      </c>
      <c r="M695" s="2"/>
      <c r="N695" s="8">
        <v>42623.047326388885</v>
      </c>
      <c r="O695" s="4" t="s">
        <v>34</v>
      </c>
      <c r="P695" s="3" t="s">
        <v>14916</v>
      </c>
      <c r="Q695" s="10" t="s">
        <v>14915</v>
      </c>
      <c r="R695" s="4"/>
      <c r="S695" s="9" t="str">
        <f>HYPERLINK("https://pbs.twimg.com/profile_images/774347393991139328/K8IbV1R7.jpg","View")</f>
        <v>View</v>
      </c>
    </row>
    <row r="696" spans="1:19" ht="40">
      <c r="A696" s="8">
        <v>43348.338321759264</v>
      </c>
      <c r="B696" s="11" t="str">
        <f>HYPERLINK("https://twitter.com/HoseinAzarpira","@HoseinAzarpira")</f>
        <v>@HoseinAzarpira</v>
      </c>
      <c r="C696" s="6" t="s">
        <v>14914</v>
      </c>
      <c r="D696" s="5" t="s">
        <v>14913</v>
      </c>
      <c r="E696" s="9" t="str">
        <f>HYPERLINK("https://twitter.com/HoseinAzarpira/status/1037182833054371842","1037182833054371842")</f>
        <v>1037182833054371842</v>
      </c>
      <c r="F696" s="4"/>
      <c r="G696" s="4"/>
      <c r="H696" s="4"/>
      <c r="I696" s="10" t="str">
        <f>HYPERLINK("http://twitter.com/download/android","Twitter for Android")</f>
        <v>Twitter for Android</v>
      </c>
      <c r="J696" s="2">
        <v>164</v>
      </c>
      <c r="K696" s="2">
        <v>127</v>
      </c>
      <c r="L696" s="2">
        <v>2</v>
      </c>
      <c r="M696" s="2"/>
      <c r="N696" s="8">
        <v>41809.842268518521</v>
      </c>
      <c r="O696" s="4" t="s">
        <v>682</v>
      </c>
      <c r="P696" s="3" t="s">
        <v>14912</v>
      </c>
      <c r="Q696" s="10" t="s">
        <v>14911</v>
      </c>
      <c r="R696" s="4"/>
      <c r="S696" s="9" t="str">
        <f>HYPERLINK("https://pbs.twimg.com/profile_images/1027890714716372992/J349v0n3.jpg","View")</f>
        <v>View</v>
      </c>
    </row>
    <row r="697" spans="1:19" ht="30">
      <c r="A697" s="8">
        <v>43348.336608796293</v>
      </c>
      <c r="B697" s="11" t="str">
        <f>HYPERLINK("https://twitter.com/Mj_ebrahimi65","@Mj_ebrahimi65")</f>
        <v>@Mj_ebrahimi65</v>
      </c>
      <c r="C697" s="6" t="s">
        <v>514</v>
      </c>
      <c r="D697" s="5" t="s">
        <v>14910</v>
      </c>
      <c r="E697" s="9" t="str">
        <f>HYPERLINK("https://twitter.com/Mj_ebrahimi65/status/1037182209554300928","1037182209554300928")</f>
        <v>1037182209554300928</v>
      </c>
      <c r="F697" s="4"/>
      <c r="G697" s="4"/>
      <c r="H697" s="4"/>
      <c r="I697" s="10" t="str">
        <f>HYPERLINK("http://twitter.com/download/android","Twitter for Android")</f>
        <v>Twitter for Android</v>
      </c>
      <c r="J697" s="2">
        <v>94</v>
      </c>
      <c r="K697" s="2">
        <v>211</v>
      </c>
      <c r="L697" s="2">
        <v>0</v>
      </c>
      <c r="M697" s="2"/>
      <c r="N697" s="8">
        <v>42893.80195601852</v>
      </c>
      <c r="O697" s="4" t="s">
        <v>34</v>
      </c>
      <c r="P697" s="3" t="s">
        <v>512</v>
      </c>
      <c r="Q697" s="4"/>
      <c r="R697" s="4"/>
      <c r="S697" s="9" t="str">
        <f>HYPERLINK("https://pbs.twimg.com/profile_images/1035262820739436545/A4EFzvOw.jpg","View")</f>
        <v>View</v>
      </c>
    </row>
    <row r="698" spans="1:19" ht="40">
      <c r="A698" s="8">
        <v>43348.333773148144</v>
      </c>
      <c r="B698" s="11" t="str">
        <f>HYPERLINK("https://twitter.com/MMinbashi","@MMinbashi")</f>
        <v>@MMinbashi</v>
      </c>
      <c r="C698" s="6" t="s">
        <v>14909</v>
      </c>
      <c r="D698" s="5" t="s">
        <v>14908</v>
      </c>
      <c r="E698" s="9" t="str">
        <f>HYPERLINK("https://twitter.com/MMinbashi/status/1037181181454778368","1037181181454778368")</f>
        <v>1037181181454778368</v>
      </c>
      <c r="F698" s="4"/>
      <c r="G698" s="4"/>
      <c r="H698" s="4"/>
      <c r="I698" s="10" t="str">
        <f>HYPERLINK("https://mobile.twitter.com","Twitter Lite")</f>
        <v>Twitter Lite</v>
      </c>
      <c r="J698" s="2">
        <v>384</v>
      </c>
      <c r="K698" s="2">
        <v>404</v>
      </c>
      <c r="L698" s="2">
        <v>1</v>
      </c>
      <c r="M698" s="2"/>
      <c r="N698" s="8">
        <v>42505.481342592597</v>
      </c>
      <c r="O698" s="4" t="s">
        <v>5493</v>
      </c>
      <c r="P698" s="3" t="s">
        <v>14907</v>
      </c>
      <c r="Q698" s="4"/>
      <c r="R698" s="4"/>
      <c r="S698" s="9" t="str">
        <f>HYPERLINK("https://pbs.twimg.com/profile_images/939257361184604160/xPgW1NBa.jpg","View")</f>
        <v>View</v>
      </c>
    </row>
    <row r="699" spans="1:19" ht="70">
      <c r="A699" s="8">
        <v>43348.332523148143</v>
      </c>
      <c r="B699" s="11" t="str">
        <f>HYPERLINK("https://twitter.com/pborazjani","@pborazjani")</f>
        <v>@pborazjani</v>
      </c>
      <c r="C699" s="6" t="s">
        <v>14906</v>
      </c>
      <c r="D699" s="5" t="s">
        <v>14905</v>
      </c>
      <c r="E699" s="9" t="str">
        <f>HYPERLINK("https://twitter.com/pborazjani/status/1037180731217330177","1037180731217330177")</f>
        <v>1037180731217330177</v>
      </c>
      <c r="F699" s="10" t="s">
        <v>14904</v>
      </c>
      <c r="G699" s="4"/>
      <c r="H699" s="4"/>
      <c r="I699" s="10" t="str">
        <f>HYPERLINK("http://twitter.com/download/iphone","Twitter for iPhone")</f>
        <v>Twitter for iPhone</v>
      </c>
      <c r="J699" s="2">
        <v>941</v>
      </c>
      <c r="K699" s="2">
        <v>380</v>
      </c>
      <c r="L699" s="2">
        <v>7</v>
      </c>
      <c r="M699" s="2"/>
      <c r="N699" s="8">
        <v>40355.679270833338</v>
      </c>
      <c r="O699" s="4" t="s">
        <v>34</v>
      </c>
      <c r="P699" s="3" t="s">
        <v>14903</v>
      </c>
      <c r="Q699" s="10" t="s">
        <v>14902</v>
      </c>
      <c r="R699" s="4"/>
      <c r="S699" s="9" t="str">
        <f>HYPERLINK("https://pbs.twimg.com/profile_images/995860196458102784/AAuCBm4c.jpg","View")</f>
        <v>View</v>
      </c>
    </row>
    <row r="700" spans="1:19" ht="30">
      <c r="A700" s="8">
        <v>43348.332071759258</v>
      </c>
      <c r="B700" s="11" t="str">
        <f>HYPERLINK("https://twitter.com/sadra_1357","@sadra_1357")</f>
        <v>@sadra_1357</v>
      </c>
      <c r="C700" s="6" t="s">
        <v>14901</v>
      </c>
      <c r="D700" s="5" t="s">
        <v>14900</v>
      </c>
      <c r="E700" s="9" t="str">
        <f>HYPERLINK("https://twitter.com/sadra_1357/status/1037180566838423552","1037180566838423552")</f>
        <v>1037180566838423552</v>
      </c>
      <c r="F700" s="4"/>
      <c r="G700" s="4"/>
      <c r="H700" s="4"/>
      <c r="I700" s="10" t="str">
        <f>HYPERLINK("http://twitter.com","Twitter Web Client")</f>
        <v>Twitter Web Client</v>
      </c>
      <c r="J700" s="2">
        <v>2822</v>
      </c>
      <c r="K700" s="2">
        <v>2143</v>
      </c>
      <c r="L700" s="2">
        <v>6</v>
      </c>
      <c r="M700" s="2"/>
      <c r="N700" s="8">
        <v>43220.509097222224</v>
      </c>
      <c r="O700" s="4"/>
      <c r="P700" s="3" t="s">
        <v>14899</v>
      </c>
      <c r="Q700" s="4"/>
      <c r="R700" s="4"/>
      <c r="S700" s="9" t="str">
        <f>HYPERLINK("https://pbs.twimg.com/profile_images/998211801291472897/yUuzvvML.jpg","View")</f>
        <v>View</v>
      </c>
    </row>
    <row r="701" spans="1:19" ht="20">
      <c r="A701" s="8">
        <v>43348.325983796298</v>
      </c>
      <c r="B701" s="11" t="str">
        <f>HYPERLINK("https://twitter.com/_Arsaalan","@_Arsaalan")</f>
        <v>@_Arsaalan</v>
      </c>
      <c r="C701" s="6" t="s">
        <v>14898</v>
      </c>
      <c r="D701" s="5" t="s">
        <v>14897</v>
      </c>
      <c r="E701" s="9" t="str">
        <f>HYPERLINK("https://twitter.com/_Arsaalan/status/1037178358742822914","1037178358742822914")</f>
        <v>1037178358742822914</v>
      </c>
      <c r="F701" s="4"/>
      <c r="G701" s="4"/>
      <c r="H701" s="4"/>
      <c r="I701" s="10" t="str">
        <f>HYPERLINK("http://twitter.com/download/android","Twitter for Android")</f>
        <v>Twitter for Android</v>
      </c>
      <c r="J701" s="2">
        <v>156</v>
      </c>
      <c r="K701" s="2">
        <v>105</v>
      </c>
      <c r="L701" s="2">
        <v>0</v>
      </c>
      <c r="M701" s="2"/>
      <c r="N701" s="8">
        <v>42923.449328703704</v>
      </c>
      <c r="O701" s="4" t="s">
        <v>14896</v>
      </c>
      <c r="P701" s="3" t="s">
        <v>14895</v>
      </c>
      <c r="Q701" s="4"/>
      <c r="R701" s="4"/>
      <c r="S701" s="9" t="str">
        <f>HYPERLINK("https://pbs.twimg.com/profile_images/1031523659381395457/Hw-7KDUi.jpg","View")</f>
        <v>View</v>
      </c>
    </row>
    <row r="702" spans="1:19" ht="20">
      <c r="A702" s="8">
        <v>43348.325601851851</v>
      </c>
      <c r="B702" s="11" t="str">
        <f>HYPERLINK("https://twitter.com/ThatsOggy","@ThatsOggy")</f>
        <v>@ThatsOggy</v>
      </c>
      <c r="C702" s="6" t="s">
        <v>14893</v>
      </c>
      <c r="D702" s="5" t="s">
        <v>14894</v>
      </c>
      <c r="E702" s="9" t="str">
        <f>HYPERLINK("https://twitter.com/ThatsOggy/status/1037178222113431553","1037178222113431553")</f>
        <v>1037178222113431553</v>
      </c>
      <c r="F702" s="4"/>
      <c r="G702" s="4"/>
      <c r="H702" s="4"/>
      <c r="I702" s="10" t="str">
        <f>HYPERLINK("http://twitter.com/download/android","Twitter for Android")</f>
        <v>Twitter for Android</v>
      </c>
      <c r="J702" s="2">
        <v>180</v>
      </c>
      <c r="K702" s="2">
        <v>79</v>
      </c>
      <c r="L702" s="2">
        <v>2</v>
      </c>
      <c r="M702" s="2"/>
      <c r="N702" s="8">
        <v>43039.524305555555</v>
      </c>
      <c r="O702" s="4"/>
      <c r="P702" s="3" t="s">
        <v>14891</v>
      </c>
      <c r="Q702" s="4"/>
      <c r="R702" s="4"/>
      <c r="S702" s="9" t="str">
        <f>HYPERLINK("https://pbs.twimg.com/profile_images/959571326422970372/0UX8Sobw.jpg","View")</f>
        <v>View</v>
      </c>
    </row>
    <row r="703" spans="1:19" ht="20">
      <c r="A703" s="8">
        <v>43348.324965277774</v>
      </c>
      <c r="B703" s="11" t="str">
        <f>HYPERLINK("https://twitter.com/ThatsOggy","@ThatsOggy")</f>
        <v>@ThatsOggy</v>
      </c>
      <c r="C703" s="6" t="s">
        <v>14893</v>
      </c>
      <c r="D703" s="5" t="s">
        <v>14892</v>
      </c>
      <c r="E703" s="9" t="str">
        <f>HYPERLINK("https://twitter.com/ThatsOggy/status/1037177991586041856","1037177991586041856")</f>
        <v>1037177991586041856</v>
      </c>
      <c r="F703" s="4"/>
      <c r="G703" s="4"/>
      <c r="H703" s="4"/>
      <c r="I703" s="10" t="str">
        <f>HYPERLINK("http://twitter.com/download/android","Twitter for Android")</f>
        <v>Twitter for Android</v>
      </c>
      <c r="J703" s="2">
        <v>180</v>
      </c>
      <c r="K703" s="2">
        <v>79</v>
      </c>
      <c r="L703" s="2">
        <v>2</v>
      </c>
      <c r="M703" s="2"/>
      <c r="N703" s="8">
        <v>43039.524305555555</v>
      </c>
      <c r="O703" s="4"/>
      <c r="P703" s="3" t="s">
        <v>14891</v>
      </c>
      <c r="Q703" s="4"/>
      <c r="R703" s="4"/>
      <c r="S703" s="9" t="str">
        <f>HYPERLINK("https://pbs.twimg.com/profile_images/959571326422970372/0UX8Sobw.jpg","View")</f>
        <v>View</v>
      </c>
    </row>
    <row r="704" spans="1:19" ht="20">
      <c r="A704" s="8">
        <v>43348.322662037041</v>
      </c>
      <c r="B704" s="11" t="str">
        <f>HYPERLINK("https://twitter.com/M_gh_z","@M_gh_z")</f>
        <v>@M_gh_z</v>
      </c>
      <c r="C704" s="11" t="s">
        <v>3595</v>
      </c>
      <c r="D704" s="5" t="s">
        <v>14890</v>
      </c>
      <c r="E704" s="9" t="str">
        <f>HYPERLINK("https://twitter.com/M_gh_z/status/1037177156097454081","1037177156097454081")</f>
        <v>1037177156097454081</v>
      </c>
      <c r="F704" s="4"/>
      <c r="G704" s="4"/>
      <c r="H704" s="4"/>
      <c r="I704" s="10" t="str">
        <f>HYPERLINK("http://twitter.com/download/android","Twitter for Android")</f>
        <v>Twitter for Android</v>
      </c>
      <c r="J704" s="2">
        <v>110</v>
      </c>
      <c r="K704" s="2">
        <v>74</v>
      </c>
      <c r="L704" s="2">
        <v>1</v>
      </c>
      <c r="M704" s="2"/>
      <c r="N704" s="8">
        <v>43318.3903125</v>
      </c>
      <c r="O704" s="4" t="s">
        <v>17</v>
      </c>
      <c r="P704" s="3" t="s">
        <v>3593</v>
      </c>
      <c r="Q704" s="4"/>
      <c r="R704" s="4"/>
      <c r="S704" s="9" t="str">
        <f>HYPERLINK("https://pbs.twimg.com/profile_images/1026337971367239680/sAi7k4n6.jpg","View")</f>
        <v>View</v>
      </c>
    </row>
    <row r="705" spans="1:19" ht="20">
      <c r="A705" s="8">
        <v>43348.301504629635</v>
      </c>
      <c r="B705" s="11" t="str">
        <f>HYPERLINK("https://twitter.com/Ramdisius","@Ramdisius")</f>
        <v>@Ramdisius</v>
      </c>
      <c r="C705" s="6" t="s">
        <v>1494</v>
      </c>
      <c r="D705" s="5" t="s">
        <v>14889</v>
      </c>
      <c r="E705" s="9" t="str">
        <f>HYPERLINK("https://twitter.com/Ramdisius/status/1037169488330977285","1037169488330977285")</f>
        <v>1037169488330977285</v>
      </c>
      <c r="F705" s="4"/>
      <c r="G705" s="4"/>
      <c r="H705" s="4"/>
      <c r="I705" s="10" t="str">
        <f>HYPERLINK("http://twitter.com/download/android","Twitter for Android")</f>
        <v>Twitter for Android</v>
      </c>
      <c r="J705" s="2">
        <v>87</v>
      </c>
      <c r="K705" s="2">
        <v>94</v>
      </c>
      <c r="L705" s="2">
        <v>0</v>
      </c>
      <c r="M705" s="2"/>
      <c r="N705" s="8">
        <v>42999.626296296294</v>
      </c>
      <c r="O705" s="4"/>
      <c r="P705" s="3" t="s">
        <v>1491</v>
      </c>
      <c r="Q705" s="4"/>
      <c r="R705" s="4"/>
      <c r="S705" s="9" t="str">
        <f>HYPERLINK("https://pbs.twimg.com/profile_images/953361613679202306/_YiFOaj_.jpg","View")</f>
        <v>View</v>
      </c>
    </row>
    <row r="706" spans="1:19" ht="20">
      <c r="A706" s="8">
        <v>43348.301203703704</v>
      </c>
      <c r="B706" s="11" t="str">
        <f>HYPERLINK("https://twitter.com/asdola_mirza","@asdola_mirza")</f>
        <v>@asdola_mirza</v>
      </c>
      <c r="C706" s="6" t="s">
        <v>14888</v>
      </c>
      <c r="D706" s="5" t="s">
        <v>14887</v>
      </c>
      <c r="E706" s="9" t="str">
        <f>HYPERLINK("https://twitter.com/asdola_mirza/status/1037169379526549505","1037169379526549505")</f>
        <v>1037169379526549505</v>
      </c>
      <c r="F706" s="4"/>
      <c r="G706" s="4"/>
      <c r="H706" s="4"/>
      <c r="I706" s="10" t="str">
        <f>HYPERLINK("https://mobile.twitter.com","Twitter Lite")</f>
        <v>Twitter Lite</v>
      </c>
      <c r="J706" s="2">
        <v>1516</v>
      </c>
      <c r="K706" s="2">
        <v>2465</v>
      </c>
      <c r="L706" s="2">
        <v>0</v>
      </c>
      <c r="M706" s="2"/>
      <c r="N706" s="8">
        <v>39977.88899305556</v>
      </c>
      <c r="O706" s="4" t="s">
        <v>104</v>
      </c>
      <c r="P706" s="3" t="s">
        <v>14886</v>
      </c>
      <c r="Q706" s="4"/>
      <c r="R706" s="4"/>
      <c r="S706" s="9" t="str">
        <f>HYPERLINK("https://pbs.twimg.com/profile_images/965154724235436032/lB53uPUT.jpg","View")</f>
        <v>View</v>
      </c>
    </row>
    <row r="707" spans="1:19" ht="40">
      <c r="A707" s="8">
        <v>43348.295439814814</v>
      </c>
      <c r="B707" s="11" t="str">
        <f>HYPERLINK("https://twitter.com/AminBabazadeh2","@AminBabazadeh2")</f>
        <v>@AminBabazadeh2</v>
      </c>
      <c r="C707" s="6" t="s">
        <v>13219</v>
      </c>
      <c r="D707" s="5" t="s">
        <v>14885</v>
      </c>
      <c r="E707" s="9" t="str">
        <f>HYPERLINK("https://twitter.com/AminBabazadeh2/status/1037167290490540032","1037167290490540032")</f>
        <v>1037167290490540032</v>
      </c>
      <c r="F707" s="4"/>
      <c r="G707" s="4"/>
      <c r="H707" s="4"/>
      <c r="I707" s="10" t="str">
        <f>HYPERLINK("http://twitter.com/download/android","Twitter for Android")</f>
        <v>Twitter for Android</v>
      </c>
      <c r="J707" s="2">
        <v>1595</v>
      </c>
      <c r="K707" s="2">
        <v>1874</v>
      </c>
      <c r="L707" s="2">
        <v>4</v>
      </c>
      <c r="M707" s="2"/>
      <c r="N707" s="8">
        <v>42740.667476851857</v>
      </c>
      <c r="O707" s="4"/>
      <c r="P707" s="3" t="s">
        <v>13217</v>
      </c>
      <c r="Q707" s="10" t="s">
        <v>13216</v>
      </c>
      <c r="R707" s="4"/>
      <c r="S707" s="9" t="str">
        <f>HYPERLINK("https://pbs.twimg.com/profile_images/1014177014767644672/01hl5BLJ.jpg","View")</f>
        <v>View</v>
      </c>
    </row>
    <row r="708" spans="1:19" ht="30">
      <c r="A708" s="8">
        <v>43348.293321759258</v>
      </c>
      <c r="B708" s="11" t="str">
        <f>HYPERLINK("https://twitter.com/ahmadGhobeishav","@ahmadGhobeishav")</f>
        <v>@ahmadGhobeishav</v>
      </c>
      <c r="C708" s="6" t="s">
        <v>14884</v>
      </c>
      <c r="D708" s="5" t="s">
        <v>14883</v>
      </c>
      <c r="E708" s="9" t="str">
        <f>HYPERLINK("https://twitter.com/ahmadGhobeishav/status/1037166524551909377","1037166524551909377")</f>
        <v>1037166524551909377</v>
      </c>
      <c r="F708" s="4"/>
      <c r="G708" s="10" t="s">
        <v>14882</v>
      </c>
      <c r="H708" s="4"/>
      <c r="I708" s="10" t="str">
        <f>HYPERLINK("http://twitter.com/download/android","Twitter for Android")</f>
        <v>Twitter for Android</v>
      </c>
      <c r="J708" s="2">
        <v>1</v>
      </c>
      <c r="K708" s="2">
        <v>15</v>
      </c>
      <c r="L708" s="2">
        <v>0</v>
      </c>
      <c r="M708" s="2"/>
      <c r="N708" s="8">
        <v>43347.294525462959</v>
      </c>
      <c r="O708" s="4"/>
      <c r="P708" s="3"/>
      <c r="Q708" s="4"/>
      <c r="R708" s="4"/>
      <c r="S708" s="9" t="str">
        <f>HYPERLINK("https://pbs.twimg.com/profile_images/1037104422604759040/sf2jFMgM.jpg","View")</f>
        <v>View</v>
      </c>
    </row>
    <row r="709" spans="1:19" ht="30">
      <c r="A709" s="8">
        <v>43348.29210648148</v>
      </c>
      <c r="B709" s="11" t="str">
        <f>HYPERLINK("https://twitter.com/TohidAzizi1357","@TohidAzizi1357")</f>
        <v>@TohidAzizi1357</v>
      </c>
      <c r="C709" s="6" t="s">
        <v>10283</v>
      </c>
      <c r="D709" s="5" t="s">
        <v>14881</v>
      </c>
      <c r="E709" s="9" t="str">
        <f>HYPERLINK("https://twitter.com/TohidAzizi1357/status/1037166083357204481","1037166083357204481")</f>
        <v>1037166083357204481</v>
      </c>
      <c r="F709" s="4"/>
      <c r="G709" s="4"/>
      <c r="H709" s="4"/>
      <c r="I709" s="10" t="str">
        <f>HYPERLINK("http://twitter.com/download/android","Twitter for Android")</f>
        <v>Twitter for Android</v>
      </c>
      <c r="J709" s="2">
        <v>13699</v>
      </c>
      <c r="K709" s="2">
        <v>8820</v>
      </c>
      <c r="L709" s="2">
        <v>108</v>
      </c>
      <c r="M709" s="2"/>
      <c r="N709" s="8">
        <v>41938.798993055556</v>
      </c>
      <c r="O709" s="4"/>
      <c r="P709" s="3" t="s">
        <v>10280</v>
      </c>
      <c r="Q709" s="10" t="s">
        <v>10279</v>
      </c>
      <c r="R709" s="4"/>
      <c r="S709" s="9" t="str">
        <f>HYPERLINK("https://pbs.twimg.com/profile_images/964533887568244737/feN257vo.jpg","View")</f>
        <v>View</v>
      </c>
    </row>
    <row r="710" spans="1:19" ht="30">
      <c r="A710" s="8">
        <v>43348.275787037041</v>
      </c>
      <c r="B710" s="11" t="str">
        <f>HYPERLINK("https://twitter.com/rayanmata","@rayanmata")</f>
        <v>@rayanmata</v>
      </c>
      <c r="C710" s="6" t="s">
        <v>14880</v>
      </c>
      <c r="D710" s="5" t="s">
        <v>14879</v>
      </c>
      <c r="E710" s="9" t="str">
        <f>HYPERLINK("https://twitter.com/rayanmata/status/1037160168826523648","1037160168826523648")</f>
        <v>1037160168826523648</v>
      </c>
      <c r="F710" s="4"/>
      <c r="G710" s="4"/>
      <c r="H710" s="4"/>
      <c r="I710" s="10" t="str">
        <f>HYPERLINK("http://twitter.com","Twitter Web Client")</f>
        <v>Twitter Web Client</v>
      </c>
      <c r="J710" s="2">
        <v>16</v>
      </c>
      <c r="K710" s="2">
        <v>258</v>
      </c>
      <c r="L710" s="2">
        <v>0</v>
      </c>
      <c r="M710" s="2"/>
      <c r="N710" s="8">
        <v>43161.199270833335</v>
      </c>
      <c r="O710" s="4"/>
      <c r="P710" s="3"/>
      <c r="Q710" s="4"/>
      <c r="R710" s="4"/>
      <c r="S710" s="9" t="str">
        <f>HYPERLINK("https://pbs.twimg.com/profile_images/969383145073242112/sV7aQPix.jpg","View")</f>
        <v>View</v>
      </c>
    </row>
    <row r="711" spans="1:19" ht="40">
      <c r="A711" s="8">
        <v>43348.26762731481</v>
      </c>
      <c r="B711" s="11" t="str">
        <f>HYPERLINK("https://twitter.com/shagholos","@shagholos")</f>
        <v>@shagholos</v>
      </c>
      <c r="C711" s="6" t="s">
        <v>14878</v>
      </c>
      <c r="D711" s="5" t="s">
        <v>14877</v>
      </c>
      <c r="E711" s="9" t="str">
        <f>HYPERLINK("https://twitter.com/shagholos/status/1037157210915307525","1037157210915307525")</f>
        <v>1037157210915307525</v>
      </c>
      <c r="F711" s="4"/>
      <c r="G711" s="4"/>
      <c r="H711" s="4"/>
      <c r="I711" s="10" t="str">
        <f>HYPERLINK("http://twitter.com/download/iphone","Twitter for iPhone")</f>
        <v>Twitter for iPhone</v>
      </c>
      <c r="J711" s="2">
        <v>63</v>
      </c>
      <c r="K711" s="2">
        <v>167</v>
      </c>
      <c r="L711" s="2">
        <v>0</v>
      </c>
      <c r="M711" s="2"/>
      <c r="N711" s="8">
        <v>41064.366574074076</v>
      </c>
      <c r="O711" s="4"/>
      <c r="P711" s="3" t="s">
        <v>14876</v>
      </c>
      <c r="Q711" s="4"/>
      <c r="R711" s="4"/>
      <c r="S711" s="9" t="str">
        <f>HYPERLINK("https://pbs.twimg.com/profile_images/1034335208051499008/wjsCZNfz.jpg","View")</f>
        <v>View</v>
      </c>
    </row>
    <row r="712" spans="1:19" ht="20">
      <c r="A712" s="8">
        <v>43348.24800925926</v>
      </c>
      <c r="B712" s="11" t="str">
        <f>HYPERLINK("https://twitter.com/ghatineh","@ghatineh")</f>
        <v>@ghatineh</v>
      </c>
      <c r="C712" s="6" t="s">
        <v>14875</v>
      </c>
      <c r="D712" s="5" t="s">
        <v>14874</v>
      </c>
      <c r="E712" s="9" t="str">
        <f>HYPERLINK("https://twitter.com/ghatineh/status/1037150102803099648","1037150102803099648")</f>
        <v>1037150102803099648</v>
      </c>
      <c r="F712" s="4"/>
      <c r="G712" s="4"/>
      <c r="H712" s="4"/>
      <c r="I712" s="10" t="str">
        <f>HYPERLINK("http://twitter.com/download/android","Twitter for Android")</f>
        <v>Twitter for Android</v>
      </c>
      <c r="J712" s="2">
        <v>91</v>
      </c>
      <c r="K712" s="2">
        <v>173</v>
      </c>
      <c r="L712" s="2">
        <v>0</v>
      </c>
      <c r="M712" s="2"/>
      <c r="N712" s="8">
        <v>43113.583136574074</v>
      </c>
      <c r="O712" s="4" t="s">
        <v>14873</v>
      </c>
      <c r="P712" s="3" t="s">
        <v>14872</v>
      </c>
      <c r="Q712" s="4"/>
      <c r="R712" s="4"/>
      <c r="S712" s="9" t="str">
        <f>HYPERLINK("https://pbs.twimg.com/profile_images/1024349213730263040/Mjg-ydvF.jpg","View")</f>
        <v>View</v>
      </c>
    </row>
    <row r="713" spans="1:19" ht="40">
      <c r="A713" s="8">
        <v>43348.244895833333</v>
      </c>
      <c r="B713" s="11" t="str">
        <f>HYPERLINK("https://twitter.com/omat_albasirah","@omat_albasirah")</f>
        <v>@omat_albasirah</v>
      </c>
      <c r="C713" s="6" t="s">
        <v>14871</v>
      </c>
      <c r="D713" s="5" t="s">
        <v>14870</v>
      </c>
      <c r="E713" s="9" t="str">
        <f>HYPERLINK("https://twitter.com/omat_albasirah/status/1037148976003395584","1037148976003395584")</f>
        <v>1037148976003395584</v>
      </c>
      <c r="F713" s="4"/>
      <c r="G713" s="10" t="s">
        <v>14869</v>
      </c>
      <c r="H713" s="4"/>
      <c r="I713" s="10" t="str">
        <f>HYPERLINK("http://twitter.com/download/android","Twitter for Android")</f>
        <v>Twitter for Android</v>
      </c>
      <c r="J713" s="2">
        <v>6</v>
      </c>
      <c r="K713" s="2">
        <v>25</v>
      </c>
      <c r="L713" s="2">
        <v>0</v>
      </c>
      <c r="M713" s="2"/>
      <c r="N713" s="8">
        <v>43344.111817129626</v>
      </c>
      <c r="O713" s="4"/>
      <c r="P713" s="3"/>
      <c r="Q713" s="4"/>
      <c r="R713" s="4"/>
      <c r="S713" s="9" t="str">
        <f>HYPERLINK("https://pbs.twimg.com/profile_images/1036681011478835200/RAXyVZhJ.jpg","View")</f>
        <v>View</v>
      </c>
    </row>
    <row r="714" spans="1:19" ht="40">
      <c r="A714" s="8">
        <v>43348.224270833336</v>
      </c>
      <c r="B714" s="11" t="str">
        <f>HYPERLINK("https://twitter.com/shoresh61","@shoresh61")</f>
        <v>@shoresh61</v>
      </c>
      <c r="C714" s="6" t="s">
        <v>2540</v>
      </c>
      <c r="D714" s="5" t="s">
        <v>14868</v>
      </c>
      <c r="E714" s="9" t="str">
        <f>HYPERLINK("https://twitter.com/shoresh61/status/1037141500751237120","1037141500751237120")</f>
        <v>1037141500751237120</v>
      </c>
      <c r="F714" s="4"/>
      <c r="G714" s="4"/>
      <c r="H714" s="4"/>
      <c r="I714" s="10" t="str">
        <f>HYPERLINK("http://twitter.com/download/android","Twitter for Android")</f>
        <v>Twitter for Android</v>
      </c>
      <c r="J714" s="2">
        <v>12140</v>
      </c>
      <c r="K714" s="2">
        <v>7448</v>
      </c>
      <c r="L714" s="2">
        <v>16</v>
      </c>
      <c r="M714" s="2"/>
      <c r="N714" s="8">
        <v>41707.846446759257</v>
      </c>
      <c r="O714" s="4" t="s">
        <v>2538</v>
      </c>
      <c r="P714" s="3" t="s">
        <v>14865</v>
      </c>
      <c r="Q714" s="10" t="s">
        <v>2536</v>
      </c>
      <c r="R714" s="4"/>
      <c r="S714" s="9" t="str">
        <f>HYPERLINK("https://pbs.twimg.com/profile_images/944544717194301442/frY1ROFo.jpg","View")</f>
        <v>View</v>
      </c>
    </row>
    <row r="715" spans="1:19" ht="70">
      <c r="A715" s="8">
        <v>43348.222129629634</v>
      </c>
      <c r="B715" s="11" t="str">
        <f>HYPERLINK("https://twitter.com/shoresh61","@shoresh61")</f>
        <v>@shoresh61</v>
      </c>
      <c r="C715" s="6" t="s">
        <v>2540</v>
      </c>
      <c r="D715" s="5" t="s">
        <v>14867</v>
      </c>
      <c r="E715" s="9" t="str">
        <f>HYPERLINK("https://twitter.com/shoresh61/status/1037140724561666048","1037140724561666048")</f>
        <v>1037140724561666048</v>
      </c>
      <c r="F715" s="10" t="s">
        <v>14866</v>
      </c>
      <c r="G715" s="4"/>
      <c r="H715" s="4"/>
      <c r="I715" s="10" t="str">
        <f>HYPERLINK("http://twitter.com/download/android","Twitter for Android")</f>
        <v>Twitter for Android</v>
      </c>
      <c r="J715" s="2">
        <v>12140</v>
      </c>
      <c r="K715" s="2">
        <v>7448</v>
      </c>
      <c r="L715" s="2">
        <v>16</v>
      </c>
      <c r="M715" s="2"/>
      <c r="N715" s="8">
        <v>41707.846446759257</v>
      </c>
      <c r="O715" s="4" t="s">
        <v>2538</v>
      </c>
      <c r="P715" s="3" t="s">
        <v>14865</v>
      </c>
      <c r="Q715" s="10" t="s">
        <v>2536</v>
      </c>
      <c r="R715" s="4"/>
      <c r="S715" s="9" t="str">
        <f>HYPERLINK("https://pbs.twimg.com/profile_images/944544717194301442/frY1ROFo.jpg","View")</f>
        <v>View</v>
      </c>
    </row>
    <row r="716" spans="1:19" ht="20">
      <c r="A716" s="8">
        <v>43348.210243055553</v>
      </c>
      <c r="B716" s="11" t="str">
        <f>HYPERLINK("https://twitter.com/taghadom_news","@taghadom_news")</f>
        <v>@taghadom_news</v>
      </c>
      <c r="C716" s="6" t="s">
        <v>14861</v>
      </c>
      <c r="D716" s="5" t="s">
        <v>14864</v>
      </c>
      <c r="E716" s="9" t="str">
        <f>HYPERLINK("https://twitter.com/taghadom_news/status/1037136415983890433","1037136415983890433")</f>
        <v>1037136415983890433</v>
      </c>
      <c r="F716" s="4"/>
      <c r="G716" s="10" t="s">
        <v>14863</v>
      </c>
      <c r="H716" s="4"/>
      <c r="I716" s="10" t="str">
        <f>HYPERLINK("http://twitter.com/download/iphone","Twitter for iPhone")</f>
        <v>Twitter for iPhone</v>
      </c>
      <c r="J716" s="2">
        <v>349</v>
      </c>
      <c r="K716" s="2">
        <v>871</v>
      </c>
      <c r="L716" s="2">
        <v>5</v>
      </c>
      <c r="M716" s="2"/>
      <c r="N716" s="8">
        <v>41995.069502314815</v>
      </c>
      <c r="O716" s="4" t="s">
        <v>34</v>
      </c>
      <c r="P716" s="3" t="s">
        <v>14858</v>
      </c>
      <c r="Q716" s="10" t="s">
        <v>14857</v>
      </c>
      <c r="R716" s="4"/>
      <c r="S716" s="9" t="str">
        <f>HYPERLINK("https://pbs.twimg.com/profile_images/546828494328438785/_yR0Y6Dd.jpeg","View")</f>
        <v>View</v>
      </c>
    </row>
    <row r="717" spans="1:19" ht="20">
      <c r="A717" s="8">
        <v>43348.204039351855</v>
      </c>
      <c r="B717" s="11" t="str">
        <f>HYPERLINK("https://twitter.com/taghadom_news","@taghadom_news")</f>
        <v>@taghadom_news</v>
      </c>
      <c r="C717" s="6" t="s">
        <v>14861</v>
      </c>
      <c r="D717" s="5" t="s">
        <v>14862</v>
      </c>
      <c r="E717" s="9" t="str">
        <f>HYPERLINK("https://twitter.com/taghadom_news/status/1037134169518862336","1037134169518862336")</f>
        <v>1037134169518862336</v>
      </c>
      <c r="F717" s="4"/>
      <c r="G717" s="4"/>
      <c r="H717" s="4"/>
      <c r="I717" s="10" t="str">
        <f>HYPERLINK("http://twitter.com/download/iphone","Twitter for iPhone")</f>
        <v>Twitter for iPhone</v>
      </c>
      <c r="J717" s="2">
        <v>349</v>
      </c>
      <c r="K717" s="2">
        <v>871</v>
      </c>
      <c r="L717" s="2">
        <v>5</v>
      </c>
      <c r="M717" s="2"/>
      <c r="N717" s="8">
        <v>41995.069502314815</v>
      </c>
      <c r="O717" s="4" t="s">
        <v>34</v>
      </c>
      <c r="P717" s="3" t="s">
        <v>14858</v>
      </c>
      <c r="Q717" s="10" t="s">
        <v>14857</v>
      </c>
      <c r="R717" s="4"/>
      <c r="S717" s="9" t="str">
        <f>HYPERLINK("https://pbs.twimg.com/profile_images/546828494328438785/_yR0Y6Dd.jpeg","View")</f>
        <v>View</v>
      </c>
    </row>
    <row r="718" spans="1:19" ht="20">
      <c r="A718" s="8">
        <v>43348.19731481481</v>
      </c>
      <c r="B718" s="11" t="str">
        <f>HYPERLINK("https://twitter.com/taghadom_news","@taghadom_news")</f>
        <v>@taghadom_news</v>
      </c>
      <c r="C718" s="6" t="s">
        <v>14861</v>
      </c>
      <c r="D718" s="5" t="s">
        <v>14860</v>
      </c>
      <c r="E718" s="9" t="str">
        <f>HYPERLINK("https://twitter.com/taghadom_news/status/1037131730665267200","1037131730665267200")</f>
        <v>1037131730665267200</v>
      </c>
      <c r="F718" s="4"/>
      <c r="G718" s="10" t="s">
        <v>14859</v>
      </c>
      <c r="H718" s="4"/>
      <c r="I718" s="10" t="str">
        <f>HYPERLINK("http://twitter.com/download/iphone","Twitter for iPhone")</f>
        <v>Twitter for iPhone</v>
      </c>
      <c r="J718" s="2">
        <v>349</v>
      </c>
      <c r="K718" s="2">
        <v>871</v>
      </c>
      <c r="L718" s="2">
        <v>5</v>
      </c>
      <c r="M718" s="2"/>
      <c r="N718" s="8">
        <v>41995.069502314815</v>
      </c>
      <c r="O718" s="4" t="s">
        <v>34</v>
      </c>
      <c r="P718" s="3" t="s">
        <v>14858</v>
      </c>
      <c r="Q718" s="10" t="s">
        <v>14857</v>
      </c>
      <c r="R718" s="4"/>
      <c r="S718" s="9" t="str">
        <f>HYPERLINK("https://pbs.twimg.com/profile_images/546828494328438785/_yR0Y6Dd.jpeg","View")</f>
        <v>View</v>
      </c>
    </row>
    <row r="719" spans="1:19" ht="20">
      <c r="A719" s="8">
        <v>43348.190902777773</v>
      </c>
      <c r="B719" s="11" t="str">
        <f>HYPERLINK("https://twitter.com/Maormz1","@Maormz1")</f>
        <v>@Maormz1</v>
      </c>
      <c r="C719" s="6" t="s">
        <v>14856</v>
      </c>
      <c r="D719" s="5" t="s">
        <v>14855</v>
      </c>
      <c r="E719" s="9" t="str">
        <f>HYPERLINK("https://twitter.com/Maormz1/status/1037129409512259585","1037129409512259585")</f>
        <v>1037129409512259585</v>
      </c>
      <c r="F719" s="4"/>
      <c r="G719" s="4"/>
      <c r="H719" s="4"/>
      <c r="I719" s="10" t="str">
        <f>HYPERLINK("http://twitter.com/download/android","Twitter for Android")</f>
        <v>Twitter for Android</v>
      </c>
      <c r="J719" s="2">
        <v>0</v>
      </c>
      <c r="K719" s="2">
        <v>13</v>
      </c>
      <c r="L719" s="2">
        <v>0</v>
      </c>
      <c r="M719" s="2"/>
      <c r="N719" s="8">
        <v>43313.335636574076</v>
      </c>
      <c r="O719" s="4" t="s">
        <v>17</v>
      </c>
      <c r="P719" s="3" t="s">
        <v>14854</v>
      </c>
      <c r="Q719" s="10" t="s">
        <v>14853</v>
      </c>
      <c r="R719" s="4"/>
      <c r="S719" s="9" t="str">
        <f>HYPERLINK("https://pbs.twimg.com/profile_images/1037134154784227330/PwJkshUT.jpg","View")</f>
        <v>View</v>
      </c>
    </row>
    <row r="720" spans="1:19" ht="40">
      <c r="A720" s="8">
        <v>43348.184733796297</v>
      </c>
      <c r="B720" s="11" t="str">
        <f>HYPERLINK("https://twitter.com/WTCIran","@WTCIran")</f>
        <v>@WTCIran</v>
      </c>
      <c r="C720" s="6" t="s">
        <v>7752</v>
      </c>
      <c r="D720" s="5" t="s">
        <v>14852</v>
      </c>
      <c r="E720" s="9" t="str">
        <f>HYPERLINK("https://twitter.com/WTCIran/status/1037127174652743680","1037127174652743680")</f>
        <v>1037127174652743680</v>
      </c>
      <c r="F720" s="10" t="s">
        <v>14851</v>
      </c>
      <c r="G720" s="10" t="s">
        <v>14850</v>
      </c>
      <c r="H720" s="4"/>
      <c r="I720" s="10" t="str">
        <f>HYPERLINK("http://twitter.com","Twitter Web Client")</f>
        <v>Twitter Web Client</v>
      </c>
      <c r="J720" s="2">
        <v>572</v>
      </c>
      <c r="K720" s="2">
        <v>108</v>
      </c>
      <c r="L720" s="2">
        <v>22</v>
      </c>
      <c r="M720" s="2"/>
      <c r="N720" s="8">
        <v>41680.83048611111</v>
      </c>
      <c r="O720" s="4" t="s">
        <v>7436</v>
      </c>
      <c r="P720" s="3" t="s">
        <v>7749</v>
      </c>
      <c r="Q720" s="10" t="s">
        <v>7748</v>
      </c>
      <c r="R720" s="4"/>
      <c r="S720" s="9" t="str">
        <f>HYPERLINK("https://pbs.twimg.com/profile_images/451396078147883009/4VK7PbFh.jpeg","View")</f>
        <v>View</v>
      </c>
    </row>
    <row r="721" spans="1:19" ht="40">
      <c r="A721" s="8">
        <v>43348.166307870371</v>
      </c>
      <c r="B721" s="11" t="str">
        <f>HYPERLINK("https://twitter.com/eebrahimie","@eebrahimie")</f>
        <v>@eebrahimie</v>
      </c>
      <c r="C721" s="6" t="s">
        <v>14849</v>
      </c>
      <c r="D721" s="5" t="s">
        <v>14848</v>
      </c>
      <c r="E721" s="9" t="str">
        <f>HYPERLINK("https://twitter.com/eebrahimie/status/1037120494389084161","1037120494389084161")</f>
        <v>1037120494389084161</v>
      </c>
      <c r="F721" s="4"/>
      <c r="G721" s="4"/>
      <c r="H721" s="4"/>
      <c r="I721" s="10" t="str">
        <f>HYPERLINK("http://twitter.com/download/iphone","Twitter for iPhone")</f>
        <v>Twitter for iPhone</v>
      </c>
      <c r="J721" s="2">
        <v>201</v>
      </c>
      <c r="K721" s="2">
        <v>275</v>
      </c>
      <c r="L721" s="2">
        <v>1</v>
      </c>
      <c r="M721" s="2"/>
      <c r="N721" s="8">
        <v>41801.631851851853</v>
      </c>
      <c r="O721" s="4"/>
      <c r="P721" s="3"/>
      <c r="Q721" s="4"/>
      <c r="R721" s="4"/>
      <c r="S721" s="9" t="str">
        <f>HYPERLINK("https://pbs.twimg.com/profile_images/1030406244824231936/p5qTBx43.jpg","View")</f>
        <v>View</v>
      </c>
    </row>
    <row r="722" spans="1:19" ht="40">
      <c r="A722" s="8">
        <v>43348.16511574074</v>
      </c>
      <c r="B722" s="11" t="str">
        <f>HYPERLINK("https://twitter.com/JafariNl","@JafariNl")</f>
        <v>@JafariNl</v>
      </c>
      <c r="C722" s="6" t="s">
        <v>14847</v>
      </c>
      <c r="D722" s="5" t="s">
        <v>14846</v>
      </c>
      <c r="E722" s="9" t="str">
        <f>HYPERLINK("https://twitter.com/JafariNl/status/1037120062270984192","1037120062270984192")</f>
        <v>1037120062270984192</v>
      </c>
      <c r="F722" s="4"/>
      <c r="G722" s="4"/>
      <c r="H722" s="4"/>
      <c r="I722" s="10" t="str">
        <f>HYPERLINK("http://twitter.com/download/iphone","Twitter for iPhone")</f>
        <v>Twitter for iPhone</v>
      </c>
      <c r="J722" s="2">
        <v>35</v>
      </c>
      <c r="K722" s="2">
        <v>103</v>
      </c>
      <c r="L722" s="2">
        <v>0</v>
      </c>
      <c r="M722" s="2"/>
      <c r="N722" s="8">
        <v>42142.984398148154</v>
      </c>
      <c r="O722" s="4" t="s">
        <v>34</v>
      </c>
      <c r="P722" s="3" t="s">
        <v>1498</v>
      </c>
      <c r="Q722" s="4"/>
      <c r="R722" s="4"/>
      <c r="S722" s="9" t="str">
        <f>HYPERLINK("https://pbs.twimg.com/profile_images/1032203476170883073/3x6o9Kq2.jpg","View")</f>
        <v>View</v>
      </c>
    </row>
    <row r="723" spans="1:19" ht="20">
      <c r="A723" s="8">
        <v>43348.161712962959</v>
      </c>
      <c r="B723" s="11" t="str">
        <f>HYPERLINK("https://twitter.com/AliGh68","@AliGh68")</f>
        <v>@AliGh68</v>
      </c>
      <c r="C723" s="6" t="s">
        <v>14845</v>
      </c>
      <c r="D723" s="5" t="s">
        <v>14844</v>
      </c>
      <c r="E723" s="9" t="str">
        <f>HYPERLINK("https://twitter.com/AliGh68/status/1037118829791461377","1037118829791461377")</f>
        <v>1037118829791461377</v>
      </c>
      <c r="F723" s="4"/>
      <c r="G723" s="4"/>
      <c r="H723" s="4"/>
      <c r="I723" s="10" t="str">
        <f>HYPERLINK("http://twitter.com/download/android","Twitter for Android")</f>
        <v>Twitter for Android</v>
      </c>
      <c r="J723" s="2">
        <v>33</v>
      </c>
      <c r="K723" s="2">
        <v>43</v>
      </c>
      <c r="L723" s="2">
        <v>0</v>
      </c>
      <c r="M723" s="2"/>
      <c r="N723" s="8">
        <v>42938.167222222226</v>
      </c>
      <c r="O723" s="4"/>
      <c r="P723" s="3" t="s">
        <v>14843</v>
      </c>
      <c r="Q723" s="4"/>
      <c r="R723" s="4"/>
      <c r="S723" s="9" t="str">
        <f>HYPERLINK("https://pbs.twimg.com/profile_images/1022590335644577792/VTp6btzp.jpg","View")</f>
        <v>View</v>
      </c>
    </row>
    <row r="724" spans="1:19" ht="80">
      <c r="A724" s="8">
        <v>43348.158032407402</v>
      </c>
      <c r="B724" s="11" t="str">
        <f>HYPERLINK("https://twitter.com/Yaghi026","@Yaghi026")</f>
        <v>@Yaghi026</v>
      </c>
      <c r="C724" s="6" t="s">
        <v>14842</v>
      </c>
      <c r="D724" s="5" t="s">
        <v>14841</v>
      </c>
      <c r="E724" s="9" t="str">
        <f>HYPERLINK("https://twitter.com/Yaghi026/status/1037117498330509313","1037117498330509313")</f>
        <v>1037117498330509313</v>
      </c>
      <c r="F724" s="10" t="s">
        <v>13297</v>
      </c>
      <c r="G724" s="10" t="s">
        <v>13296</v>
      </c>
      <c r="H724" s="4"/>
      <c r="I724" s="10" t="str">
        <f>HYPERLINK("http://twitter.com","Twitter Web Client")</f>
        <v>Twitter Web Client</v>
      </c>
      <c r="J724" s="2">
        <v>1034</v>
      </c>
      <c r="K724" s="2">
        <v>2655</v>
      </c>
      <c r="L724" s="2">
        <v>0</v>
      </c>
      <c r="M724" s="2"/>
      <c r="N724" s="8">
        <v>43211.647627314815</v>
      </c>
      <c r="O724" s="4" t="s">
        <v>14840</v>
      </c>
      <c r="P724" s="3" t="s">
        <v>14839</v>
      </c>
      <c r="Q724" s="4"/>
      <c r="R724" s="4"/>
      <c r="S724" s="9" t="str">
        <f>HYPERLINK("https://pbs.twimg.com/profile_images/990219088986329089/tPB_uvJN.jpg","View")</f>
        <v>View</v>
      </c>
    </row>
    <row r="725" spans="1:19" ht="30">
      <c r="A725" s="8">
        <v>43348.15325231482</v>
      </c>
      <c r="B725" s="11" t="str">
        <f>HYPERLINK("https://twitter.com/HerisiMohammad","@HerisiMohammad")</f>
        <v>@HerisiMohammad</v>
      </c>
      <c r="C725" s="6" t="s">
        <v>14834</v>
      </c>
      <c r="D725" s="5" t="s">
        <v>14838</v>
      </c>
      <c r="E725" s="9" t="str">
        <f>HYPERLINK("https://twitter.com/HerisiMohammad/status/1037115764078194688","1037115764078194688")</f>
        <v>1037115764078194688</v>
      </c>
      <c r="F725" s="4"/>
      <c r="G725" s="4"/>
      <c r="H725" s="4"/>
      <c r="I725" s="10" t="str">
        <f>HYPERLINK("http://twitter.com/download/iphone","Twitter for iPhone")</f>
        <v>Twitter for iPhone</v>
      </c>
      <c r="J725" s="2">
        <v>96</v>
      </c>
      <c r="K725" s="2">
        <v>198</v>
      </c>
      <c r="L725" s="2">
        <v>1</v>
      </c>
      <c r="M725" s="2"/>
      <c r="N725" s="8">
        <v>42770.068923611107</v>
      </c>
      <c r="O725" s="4" t="s">
        <v>34</v>
      </c>
      <c r="P725" s="3" t="s">
        <v>14832</v>
      </c>
      <c r="Q725" s="4"/>
      <c r="R725" s="4"/>
      <c r="S725" s="9" t="str">
        <f>HYPERLINK("https://pbs.twimg.com/profile_images/841172743546646528/8ODxkjLL.jpg","View")</f>
        <v>View</v>
      </c>
    </row>
    <row r="726" spans="1:19" ht="40">
      <c r="A726" s="8">
        <v>43348.152048611111</v>
      </c>
      <c r="B726" s="11" t="str">
        <f>HYPERLINK("https://twitter.com/mzm1375","@mzm1375")</f>
        <v>@mzm1375</v>
      </c>
      <c r="C726" s="6" t="s">
        <v>14837</v>
      </c>
      <c r="D726" s="5" t="s">
        <v>14836</v>
      </c>
      <c r="E726" s="9" t="str">
        <f>HYPERLINK("https://twitter.com/mzm1375/status/1037115328613023744","1037115328613023744")</f>
        <v>1037115328613023744</v>
      </c>
      <c r="F726" s="4"/>
      <c r="G726" s="10" t="s">
        <v>14835</v>
      </c>
      <c r="H726" s="4"/>
      <c r="I726" s="10" t="str">
        <f>HYPERLINK("http://twitter.com/download/android","Twitter for Android")</f>
        <v>Twitter for Android</v>
      </c>
      <c r="J726" s="2">
        <v>39</v>
      </c>
      <c r="K726" s="2">
        <v>49</v>
      </c>
      <c r="L726" s="2">
        <v>0</v>
      </c>
      <c r="M726" s="2"/>
      <c r="N726" s="8">
        <v>42990.625300925924</v>
      </c>
      <c r="O726" s="4" t="s">
        <v>17</v>
      </c>
      <c r="P726" s="3"/>
      <c r="Q726" s="4"/>
      <c r="R726" s="4"/>
      <c r="S726" s="9" t="str">
        <f>HYPERLINK("https://pbs.twimg.com/profile_images/1034530431587246080/coTR0Jf_.jpg","View")</f>
        <v>View</v>
      </c>
    </row>
    <row r="727" spans="1:19" ht="30">
      <c r="A727" s="8">
        <v>43348.14907407407</v>
      </c>
      <c r="B727" s="11" t="str">
        <f>HYPERLINK("https://twitter.com/HerisiMohammad","@HerisiMohammad")</f>
        <v>@HerisiMohammad</v>
      </c>
      <c r="C727" s="6" t="s">
        <v>14834</v>
      </c>
      <c r="D727" s="5" t="s">
        <v>14833</v>
      </c>
      <c r="E727" s="9" t="str">
        <f>HYPERLINK("https://twitter.com/HerisiMohammad/status/1037114249871482881","1037114249871482881")</f>
        <v>1037114249871482881</v>
      </c>
      <c r="F727" s="4"/>
      <c r="G727" s="4"/>
      <c r="H727" s="4"/>
      <c r="I727" s="10" t="str">
        <f>HYPERLINK("http://twitter.com/download/iphone","Twitter for iPhone")</f>
        <v>Twitter for iPhone</v>
      </c>
      <c r="J727" s="2">
        <v>96</v>
      </c>
      <c r="K727" s="2">
        <v>198</v>
      </c>
      <c r="L727" s="2">
        <v>1</v>
      </c>
      <c r="M727" s="2"/>
      <c r="N727" s="8">
        <v>42770.068923611107</v>
      </c>
      <c r="O727" s="4" t="s">
        <v>34</v>
      </c>
      <c r="P727" s="3" t="s">
        <v>14832</v>
      </c>
      <c r="Q727" s="4"/>
      <c r="R727" s="4"/>
      <c r="S727" s="9" t="str">
        <f>HYPERLINK("https://pbs.twimg.com/profile_images/841172743546646528/8ODxkjLL.jpg","View")</f>
        <v>View</v>
      </c>
    </row>
    <row r="728" spans="1:19" ht="20">
      <c r="A728" s="8">
        <v>43348.147361111114</v>
      </c>
      <c r="B728" s="11" t="str">
        <f>HYPERLINK("https://twitter.com/afereidooni","@afereidooni")</f>
        <v>@afereidooni</v>
      </c>
      <c r="C728" s="6" t="s">
        <v>14828</v>
      </c>
      <c r="D728" s="5" t="s">
        <v>14831</v>
      </c>
      <c r="E728" s="9" t="str">
        <f>HYPERLINK("https://twitter.com/afereidooni/status/1037113630804860929","1037113630804860929")</f>
        <v>1037113630804860929</v>
      </c>
      <c r="F728" s="4"/>
      <c r="G728" s="4"/>
      <c r="H728" s="4"/>
      <c r="I728" s="10" t="str">
        <f>HYPERLINK("http://twitter.com/download/android","Twitter for Android")</f>
        <v>Twitter for Android</v>
      </c>
      <c r="J728" s="2">
        <v>3</v>
      </c>
      <c r="K728" s="2">
        <v>3</v>
      </c>
      <c r="L728" s="2">
        <v>0</v>
      </c>
      <c r="M728" s="2"/>
      <c r="N728" s="8">
        <v>41482.53396990741</v>
      </c>
      <c r="O728" s="4" t="s">
        <v>14195</v>
      </c>
      <c r="P728" s="3" t="s">
        <v>14826</v>
      </c>
      <c r="Q728" s="4"/>
      <c r="R728" s="4"/>
      <c r="S728" s="9" t="str">
        <f>HYPERLINK("https://pbs.twimg.com/profile_images/981270316231086080/J5-cwEdE.jpg","View")</f>
        <v>View</v>
      </c>
    </row>
    <row r="729" spans="1:19" ht="40">
      <c r="A729" s="8">
        <v>43348.147141203706</v>
      </c>
      <c r="B729" s="11" t="str">
        <f>HYPERLINK("https://twitter.com/Ramdisius","@Ramdisius")</f>
        <v>@Ramdisius</v>
      </c>
      <c r="C729" s="6" t="s">
        <v>1494</v>
      </c>
      <c r="D729" s="5" t="s">
        <v>14830</v>
      </c>
      <c r="E729" s="9" t="str">
        <f>HYPERLINK("https://twitter.com/Ramdisius/status/1037113550744023040","1037113550744023040")</f>
        <v>1037113550744023040</v>
      </c>
      <c r="F729" s="4"/>
      <c r="G729" s="4"/>
      <c r="H729" s="4"/>
      <c r="I729" s="10" t="str">
        <f>HYPERLINK("http://twitter.com/download/android","Twitter for Android")</f>
        <v>Twitter for Android</v>
      </c>
      <c r="J729" s="2">
        <v>87</v>
      </c>
      <c r="K729" s="2">
        <v>94</v>
      </c>
      <c r="L729" s="2">
        <v>0</v>
      </c>
      <c r="M729" s="2"/>
      <c r="N729" s="8">
        <v>42999.626296296294</v>
      </c>
      <c r="O729" s="4"/>
      <c r="P729" s="3" t="s">
        <v>1491</v>
      </c>
      <c r="Q729" s="4"/>
      <c r="R729" s="4"/>
      <c r="S729" s="9" t="str">
        <f>HYPERLINK("https://pbs.twimg.com/profile_images/953361613679202306/_YiFOaj_.jpg","View")</f>
        <v>View</v>
      </c>
    </row>
    <row r="730" spans="1:19" ht="30">
      <c r="A730" s="8">
        <v>43348.145243055551</v>
      </c>
      <c r="B730" s="11" t="str">
        <f>HYPERLINK("https://twitter.com/Zvy2xXgVT60iu3v","@Zvy2xXgVT60iu3v")</f>
        <v>@Zvy2xXgVT60iu3v</v>
      </c>
      <c r="C730" s="6" t="s">
        <v>4790</v>
      </c>
      <c r="D730" s="5" t="s">
        <v>14829</v>
      </c>
      <c r="E730" s="9" t="str">
        <f>HYPERLINK("https://twitter.com/Zvy2xXgVT60iu3v/status/1037112861535940609","1037112861535940609")</f>
        <v>1037112861535940609</v>
      </c>
      <c r="F730" s="4"/>
      <c r="G730" s="4"/>
      <c r="H730" s="4"/>
      <c r="I730" s="10" t="str">
        <f>HYPERLINK("http://twitter.com/download/android","Twitter for Android")</f>
        <v>Twitter for Android</v>
      </c>
      <c r="J730" s="2">
        <v>335</v>
      </c>
      <c r="K730" s="2">
        <v>464</v>
      </c>
      <c r="L730" s="2">
        <v>1</v>
      </c>
      <c r="M730" s="2"/>
      <c r="N730" s="8">
        <v>42927.924907407403</v>
      </c>
      <c r="O730" s="4"/>
      <c r="P730" s="3" t="s">
        <v>4788</v>
      </c>
      <c r="Q730" s="4"/>
      <c r="R730" s="4"/>
      <c r="S730" s="9" t="str">
        <f>HYPERLINK("https://pbs.twimg.com/profile_images/885243982648881152/8Xgxbt0p.jpg","View")</f>
        <v>View</v>
      </c>
    </row>
    <row r="731" spans="1:19" ht="30">
      <c r="A731" s="8">
        <v>43348.143101851849</v>
      </c>
      <c r="B731" s="11" t="str">
        <f>HYPERLINK("https://twitter.com/afereidooni","@afereidooni")</f>
        <v>@afereidooni</v>
      </c>
      <c r="C731" s="6" t="s">
        <v>14828</v>
      </c>
      <c r="D731" s="5" t="s">
        <v>14827</v>
      </c>
      <c r="E731" s="9" t="str">
        <f>HYPERLINK("https://twitter.com/afereidooni/status/1037112084075634689","1037112084075634689")</f>
        <v>1037112084075634689</v>
      </c>
      <c r="F731" s="4"/>
      <c r="G731" s="4"/>
      <c r="H731" s="4"/>
      <c r="I731" s="10" t="str">
        <f>HYPERLINK("http://twitter.com/download/android","Twitter for Android")</f>
        <v>Twitter for Android</v>
      </c>
      <c r="J731" s="2">
        <v>3</v>
      </c>
      <c r="K731" s="2">
        <v>3</v>
      </c>
      <c r="L731" s="2">
        <v>0</v>
      </c>
      <c r="M731" s="2"/>
      <c r="N731" s="8">
        <v>41482.53396990741</v>
      </c>
      <c r="O731" s="4" t="s">
        <v>14195</v>
      </c>
      <c r="P731" s="3" t="s">
        <v>14826</v>
      </c>
      <c r="Q731" s="4"/>
      <c r="R731" s="4"/>
      <c r="S731" s="9" t="str">
        <f>HYPERLINK("https://pbs.twimg.com/profile_images/981270316231086080/J5-cwEdE.jpg","View")</f>
        <v>View</v>
      </c>
    </row>
    <row r="732" spans="1:19" ht="40">
      <c r="A732" s="8">
        <v>43348.142962962964</v>
      </c>
      <c r="B732" s="11" t="str">
        <f>HYPERLINK("https://twitter.com/Mohamma75370061","@Mohamma75370061")</f>
        <v>@Mohamma75370061</v>
      </c>
      <c r="C732" s="6" t="s">
        <v>1998</v>
      </c>
      <c r="D732" s="5" t="s">
        <v>14825</v>
      </c>
      <c r="E732" s="9" t="str">
        <f>HYPERLINK("https://twitter.com/Mohamma75370061/status/1037112034356289536","1037112034356289536")</f>
        <v>1037112034356289536</v>
      </c>
      <c r="F732" s="4"/>
      <c r="G732" s="4"/>
      <c r="H732" s="4"/>
      <c r="I732" s="10" t="str">
        <f>HYPERLINK("http://twitter.com/download/android","Twitter for Android")</f>
        <v>Twitter for Android</v>
      </c>
      <c r="J732" s="2">
        <v>2244</v>
      </c>
      <c r="K732" s="2">
        <v>2924</v>
      </c>
      <c r="L732" s="2">
        <v>2</v>
      </c>
      <c r="M732" s="2"/>
      <c r="N732" s="8">
        <v>43270.233599537038</v>
      </c>
      <c r="O732" s="4" t="s">
        <v>11038</v>
      </c>
      <c r="P732" s="3" t="s">
        <v>12017</v>
      </c>
      <c r="Q732" s="4"/>
      <c r="R732" s="4"/>
      <c r="S732" s="9" t="str">
        <f>HYPERLINK("https://pbs.twimg.com/profile_images/1027742418827993089/rEAc7tMh.jpg","View")</f>
        <v>View</v>
      </c>
    </row>
    <row r="733" spans="1:19" ht="50">
      <c r="A733" s="8">
        <v>43348.140300925923</v>
      </c>
      <c r="B733" s="11" t="str">
        <f>HYPERLINK("https://twitter.com/SHAHBAZI_R","@SHAHBAZI_R")</f>
        <v>@SHAHBAZI_R</v>
      </c>
      <c r="C733" s="6" t="s">
        <v>4995</v>
      </c>
      <c r="D733" s="5" t="s">
        <v>14824</v>
      </c>
      <c r="E733" s="9" t="str">
        <f>HYPERLINK("https://twitter.com/SHAHBAZI_R/status/1037111068898811904","1037111068898811904")</f>
        <v>1037111068898811904</v>
      </c>
      <c r="F733" s="10" t="s">
        <v>14823</v>
      </c>
      <c r="G733" s="10" t="s">
        <v>14822</v>
      </c>
      <c r="H733" s="4"/>
      <c r="I733" s="10" t="str">
        <f>HYPERLINK("http://twitter.com/download/android","Twitter for Android")</f>
        <v>Twitter for Android</v>
      </c>
      <c r="J733" s="2">
        <v>231</v>
      </c>
      <c r="K733" s="2">
        <v>316</v>
      </c>
      <c r="L733" s="2">
        <v>0</v>
      </c>
      <c r="M733" s="2"/>
      <c r="N733" s="8">
        <v>43225.052824074075</v>
      </c>
      <c r="O733" s="4" t="s">
        <v>14789</v>
      </c>
      <c r="P733" s="3" t="s">
        <v>14788</v>
      </c>
      <c r="Q733" s="4"/>
      <c r="R733" s="4"/>
      <c r="S733" s="9" t="str">
        <f>HYPERLINK("https://pbs.twimg.com/profile_images/1036186748798357504/s60zkBPv.jpg","View")</f>
        <v>View</v>
      </c>
    </row>
    <row r="734" spans="1:19" ht="20">
      <c r="A734" s="8">
        <v>43348.135706018518</v>
      </c>
      <c r="B734" s="11" t="str">
        <f>HYPERLINK("https://twitter.com/FereshteNadaf","@FereshteNadaf")</f>
        <v>@FereshteNadaf</v>
      </c>
      <c r="C734" s="6" t="s">
        <v>9642</v>
      </c>
      <c r="D734" s="5" t="s">
        <v>14821</v>
      </c>
      <c r="E734" s="9" t="str">
        <f>HYPERLINK("https://twitter.com/FereshteNadaf/status/1037109404213145601","1037109404213145601")</f>
        <v>1037109404213145601</v>
      </c>
      <c r="F734" s="4"/>
      <c r="G734" s="4"/>
      <c r="H734" s="4"/>
      <c r="I734" s="10" t="str">
        <f>HYPERLINK("http://twitter.com","Twitter Web Client")</f>
        <v>Twitter Web Client</v>
      </c>
      <c r="J734" s="2">
        <v>341</v>
      </c>
      <c r="K734" s="2">
        <v>557</v>
      </c>
      <c r="L734" s="2">
        <v>0</v>
      </c>
      <c r="M734" s="2"/>
      <c r="N734" s="8">
        <v>43312.049375000002</v>
      </c>
      <c r="O734" s="4"/>
      <c r="P734" s="3" t="s">
        <v>9639</v>
      </c>
      <c r="Q734" s="4"/>
      <c r="R734" s="4"/>
      <c r="S734" s="9" t="str">
        <f>HYPERLINK("https://pbs.twimg.com/profile_images/1024043700958179329/5ciuQovE.jpg","View")</f>
        <v>View</v>
      </c>
    </row>
    <row r="735" spans="1:19" ht="40">
      <c r="A735" s="8">
        <v>43348.131562499999</v>
      </c>
      <c r="B735" s="11" t="str">
        <f>HYPERLINK("https://twitter.com/keivan23","@keivan23")</f>
        <v>@keivan23</v>
      </c>
      <c r="C735" s="6" t="s">
        <v>14820</v>
      </c>
      <c r="D735" s="5" t="s">
        <v>14819</v>
      </c>
      <c r="E735" s="9" t="str">
        <f>HYPERLINK("https://twitter.com/keivan23/status/1037107904552136704","1037107904552136704")</f>
        <v>1037107904552136704</v>
      </c>
      <c r="F735" s="4"/>
      <c r="G735" s="4"/>
      <c r="H735" s="4"/>
      <c r="I735" s="10" t="str">
        <f>HYPERLINK("http://twitter.com/download/iphone","Twitter for iPhone")</f>
        <v>Twitter for iPhone</v>
      </c>
      <c r="J735" s="2">
        <v>32</v>
      </c>
      <c r="K735" s="2">
        <v>65</v>
      </c>
      <c r="L735" s="2">
        <v>0</v>
      </c>
      <c r="M735" s="2"/>
      <c r="N735" s="8">
        <v>40764.427581018521</v>
      </c>
      <c r="O735" s="4" t="s">
        <v>14818</v>
      </c>
      <c r="P735" s="3" t="s">
        <v>14817</v>
      </c>
      <c r="Q735" s="4"/>
      <c r="R735" s="4"/>
      <c r="S735" s="9" t="str">
        <f>HYPERLINK("https://pbs.twimg.com/profile_images/464670705070522368/iheosYKC.jpeg","View")</f>
        <v>View</v>
      </c>
    </row>
    <row r="736" spans="1:19" ht="30">
      <c r="A736" s="8">
        <v>43348.12600694444</v>
      </c>
      <c r="B736" s="11" t="str">
        <f>HYPERLINK("https://twitter.com/SadeghMirjaberi","@SadeghMirjaberi")</f>
        <v>@SadeghMirjaberi</v>
      </c>
      <c r="C736" s="6" t="s">
        <v>14816</v>
      </c>
      <c r="D736" s="5" t="s">
        <v>14815</v>
      </c>
      <c r="E736" s="9" t="str">
        <f>HYPERLINK("https://twitter.com/SadeghMirjaberi/status/1037105891974303744","1037105891974303744")</f>
        <v>1037105891974303744</v>
      </c>
      <c r="F736" s="4"/>
      <c r="G736" s="4"/>
      <c r="H736" s="4"/>
      <c r="I736" s="10" t="str">
        <f>HYPERLINK("http://twitter.com/download/iphone","Twitter for iPhone")</f>
        <v>Twitter for iPhone</v>
      </c>
      <c r="J736" s="2">
        <v>98</v>
      </c>
      <c r="K736" s="2">
        <v>177</v>
      </c>
      <c r="L736" s="2">
        <v>1</v>
      </c>
      <c r="M736" s="2"/>
      <c r="N736" s="8">
        <v>42593.035891203705</v>
      </c>
      <c r="O736" s="4" t="s">
        <v>894</v>
      </c>
      <c r="P736" s="3" t="s">
        <v>14814</v>
      </c>
      <c r="Q736" s="4"/>
      <c r="R736" s="4"/>
      <c r="S736" s="9" t="str">
        <f>HYPERLINK("https://pbs.twimg.com/profile_images/970633036239986688/-KakH3Fa.jpg","View")</f>
        <v>View</v>
      </c>
    </row>
    <row r="737" spans="1:19" ht="30">
      <c r="A737" s="8">
        <v>43348.123148148152</v>
      </c>
      <c r="B737" s="11" t="str">
        <f>HYPERLINK("https://twitter.com/Leila100ri","@Leila100ri")</f>
        <v>@Leila100ri</v>
      </c>
      <c r="C737" s="6" t="s">
        <v>14813</v>
      </c>
      <c r="D737" s="5" t="s">
        <v>14812</v>
      </c>
      <c r="E737" s="9" t="str">
        <f>HYPERLINK("https://twitter.com/Leila100ri/status/1037104855125581824","1037104855125581824")</f>
        <v>1037104855125581824</v>
      </c>
      <c r="F737" s="4"/>
      <c r="G737" s="10" t="s">
        <v>14811</v>
      </c>
      <c r="H737" s="4"/>
      <c r="I737" s="10" t="str">
        <f>HYPERLINK("http://twitter.com/download/android","Twitter for Android")</f>
        <v>Twitter for Android</v>
      </c>
      <c r="J737" s="2">
        <v>1628</v>
      </c>
      <c r="K737" s="2">
        <v>338</v>
      </c>
      <c r="L737" s="2">
        <v>10</v>
      </c>
      <c r="M737" s="2"/>
      <c r="N737" s="8">
        <v>43210.475428240738</v>
      </c>
      <c r="O737" s="4" t="s">
        <v>14810</v>
      </c>
      <c r="P737" s="3" t="s">
        <v>14809</v>
      </c>
      <c r="Q737" s="10" t="s">
        <v>14808</v>
      </c>
      <c r="R737" s="4"/>
      <c r="S737" s="9" t="str">
        <f>HYPERLINK("https://pbs.twimg.com/profile_images/1035792435262238722/9neLdOKR.jpg","View")</f>
        <v>View</v>
      </c>
    </row>
    <row r="738" spans="1:19" ht="30">
      <c r="A738" s="8">
        <v>43348.118530092594</v>
      </c>
      <c r="B738" s="11" t="str">
        <f>HYPERLINK("https://twitter.com/mahdi137422","@mahdi137422")</f>
        <v>@mahdi137422</v>
      </c>
      <c r="C738" s="6" t="s">
        <v>5469</v>
      </c>
      <c r="D738" s="5" t="s">
        <v>14807</v>
      </c>
      <c r="E738" s="9" t="str">
        <f>HYPERLINK("https://twitter.com/mahdi137422/status/1037103181686366208","1037103181686366208")</f>
        <v>1037103181686366208</v>
      </c>
      <c r="F738" s="4"/>
      <c r="G738" s="4"/>
      <c r="H738" s="4"/>
      <c r="I738" s="10" t="str">
        <f>HYPERLINK("http://twitter.com/download/android","Twitter for Android")</f>
        <v>Twitter for Android</v>
      </c>
      <c r="J738" s="2">
        <v>61</v>
      </c>
      <c r="K738" s="2">
        <v>110</v>
      </c>
      <c r="L738" s="2">
        <v>0</v>
      </c>
      <c r="M738" s="2"/>
      <c r="N738" s="8">
        <v>42755.618506944447</v>
      </c>
      <c r="O738" s="4"/>
      <c r="P738" s="3"/>
      <c r="Q738" s="4"/>
      <c r="R738" s="4"/>
      <c r="S738" s="9" t="str">
        <f>HYPERLINK("https://pbs.twimg.com/profile_images/980575409350770688/wElqfouH.jpg","View")</f>
        <v>View</v>
      </c>
    </row>
    <row r="739" spans="1:19" ht="40">
      <c r="A739" s="8">
        <v>43348.116307870368</v>
      </c>
      <c r="B739" s="11" t="str">
        <f>HYPERLINK("https://twitter.com/Amnkhorasani","@Amnkhorasani")</f>
        <v>@Amnkhorasani</v>
      </c>
      <c r="C739" s="6" t="s">
        <v>14806</v>
      </c>
      <c r="D739" s="5" t="s">
        <v>14805</v>
      </c>
      <c r="E739" s="9" t="str">
        <f>HYPERLINK("https://twitter.com/Amnkhorasani/status/1037102377315123200","1037102377315123200")</f>
        <v>1037102377315123200</v>
      </c>
      <c r="F739" s="10" t="s">
        <v>13359</v>
      </c>
      <c r="G739" s="4"/>
      <c r="H739" s="4"/>
      <c r="I739" s="10" t="str">
        <f>HYPERLINK("http://twitter.com/download/android","Twitter for Android")</f>
        <v>Twitter for Android</v>
      </c>
      <c r="J739" s="2">
        <v>64</v>
      </c>
      <c r="K739" s="2">
        <v>397</v>
      </c>
      <c r="L739" s="2">
        <v>0</v>
      </c>
      <c r="M739" s="2"/>
      <c r="N739" s="8">
        <v>42757.20784722222</v>
      </c>
      <c r="O739" s="4"/>
      <c r="P739" s="3" t="s">
        <v>14804</v>
      </c>
      <c r="Q739" s="4"/>
      <c r="R739" s="4"/>
      <c r="S739" s="9" t="str">
        <f>HYPERLINK("https://pbs.twimg.com/profile_images/971160803377336321/vF08WQEm.jpg","View")</f>
        <v>View</v>
      </c>
    </row>
    <row r="740" spans="1:19" ht="40">
      <c r="A740" s="8">
        <v>43348.112766203703</v>
      </c>
      <c r="B740" s="11" t="str">
        <f>HYPERLINK("https://twitter.com/hamianhriran","@hamianhriran")</f>
        <v>@hamianhriran</v>
      </c>
      <c r="C740" s="6" t="s">
        <v>14803</v>
      </c>
      <c r="D740" s="5" t="s">
        <v>14802</v>
      </c>
      <c r="E740" s="9" t="str">
        <f>HYPERLINK("https://twitter.com/hamianhriran/status/1037101090716770305","1037101090716770305")</f>
        <v>1037101090716770305</v>
      </c>
      <c r="F740" s="4"/>
      <c r="G740" s="10" t="s">
        <v>14801</v>
      </c>
      <c r="H740" s="4"/>
      <c r="I740" s="10" t="str">
        <f>HYPERLINK("http://twitter.com","Twitter Web Client")</f>
        <v>Twitter Web Client</v>
      </c>
      <c r="J740" s="2">
        <v>2577</v>
      </c>
      <c r="K740" s="2">
        <v>3735</v>
      </c>
      <c r="L740" s="2">
        <v>4</v>
      </c>
      <c r="M740" s="2"/>
      <c r="N740" s="8">
        <v>41315.16920138889</v>
      </c>
      <c r="O740" s="4"/>
      <c r="P740" s="3" t="s">
        <v>14800</v>
      </c>
      <c r="Q740" s="10" t="s">
        <v>14799</v>
      </c>
      <c r="R740" s="4"/>
      <c r="S740" s="9" t="str">
        <f>HYPERLINK("https://pbs.twimg.com/profile_images/1033124190155677696/JcEBh9VY.jpg","View")</f>
        <v>View</v>
      </c>
    </row>
    <row r="741" spans="1:19" ht="40">
      <c r="A741" s="8">
        <v>43348.109050925923</v>
      </c>
      <c r="B741" s="11" t="str">
        <f>HYPERLINK("https://twitter.com/Mr__KooKi","@Mr__KooKi")</f>
        <v>@Mr__KooKi</v>
      </c>
      <c r="C741" s="6" t="s">
        <v>14798</v>
      </c>
      <c r="D741" s="5" t="s">
        <v>14797</v>
      </c>
      <c r="E741" s="9" t="str">
        <f>HYPERLINK("https://twitter.com/Mr__KooKi/status/1037099744416477185","1037099744416477185")</f>
        <v>1037099744416477185</v>
      </c>
      <c r="F741" s="4"/>
      <c r="G741" s="4"/>
      <c r="H741" s="4"/>
      <c r="I741" s="10" t="str">
        <f>HYPERLINK("http://twitter.com/#!/download/ipad","Twitter for iPad")</f>
        <v>Twitter for iPad</v>
      </c>
      <c r="J741" s="2">
        <v>58</v>
      </c>
      <c r="K741" s="2">
        <v>75</v>
      </c>
      <c r="L741" s="2">
        <v>0</v>
      </c>
      <c r="M741" s="2"/>
      <c r="N741" s="8">
        <v>42257.835451388892</v>
      </c>
      <c r="O741" s="4" t="s">
        <v>1415</v>
      </c>
      <c r="P741" s="3" t="s">
        <v>14796</v>
      </c>
      <c r="Q741" s="4"/>
      <c r="R741" s="4"/>
      <c r="S741" s="9" t="str">
        <f>HYPERLINK("https://pbs.twimg.com/profile_images/997238252917542913/C1t25WhP.jpg","View")</f>
        <v>View</v>
      </c>
    </row>
    <row r="742" spans="1:19" ht="12.5">
      <c r="A742" s="8">
        <v>43348.107835648145</v>
      </c>
      <c r="B742" s="11" t="str">
        <f>HYPERLINK("https://twitter.com/FereshteNadaf","@FereshteNadaf")</f>
        <v>@FereshteNadaf</v>
      </c>
      <c r="C742" s="6" t="s">
        <v>9642</v>
      </c>
      <c r="D742" s="5" t="s">
        <v>14795</v>
      </c>
      <c r="E742" s="9" t="str">
        <f>HYPERLINK("https://twitter.com/FereshteNadaf/status/1037099307596505093","1037099307596505093")</f>
        <v>1037099307596505093</v>
      </c>
      <c r="F742" s="4"/>
      <c r="G742" s="4"/>
      <c r="H742" s="4"/>
      <c r="I742" s="10" t="str">
        <f>HYPERLINK("http://twitter.com","Twitter Web Client")</f>
        <v>Twitter Web Client</v>
      </c>
      <c r="J742" s="2">
        <v>341</v>
      </c>
      <c r="K742" s="2">
        <v>557</v>
      </c>
      <c r="L742" s="2">
        <v>0</v>
      </c>
      <c r="M742" s="2"/>
      <c r="N742" s="8">
        <v>43312.049375000002</v>
      </c>
      <c r="O742" s="4"/>
      <c r="P742" s="3" t="s">
        <v>9639</v>
      </c>
      <c r="Q742" s="4"/>
      <c r="R742" s="4"/>
      <c r="S742" s="9" t="str">
        <f>HYPERLINK("https://pbs.twimg.com/profile_images/1024043700958179329/5ciuQovE.jpg","View")</f>
        <v>View</v>
      </c>
    </row>
    <row r="743" spans="1:19" ht="40">
      <c r="A743" s="8">
        <v>43348.107789351852</v>
      </c>
      <c r="B743" s="11" t="str">
        <f>HYPERLINK("https://twitter.com/toomadj","@toomadj")</f>
        <v>@toomadj</v>
      </c>
      <c r="C743" s="6" t="s">
        <v>6069</v>
      </c>
      <c r="D743" s="5" t="s">
        <v>14794</v>
      </c>
      <c r="E743" s="9" t="str">
        <f>HYPERLINK("https://twitter.com/toomadj/status/1037099288415952897","1037099288415952897")</f>
        <v>1037099288415952897</v>
      </c>
      <c r="F743" s="4"/>
      <c r="G743" s="4"/>
      <c r="H743" s="4"/>
      <c r="I743" s="10" t="str">
        <f>HYPERLINK("http://twitter.com/download/android","Twitter for Android")</f>
        <v>Twitter for Android</v>
      </c>
      <c r="J743" s="2">
        <v>2008</v>
      </c>
      <c r="K743" s="2">
        <v>1138</v>
      </c>
      <c r="L743" s="2">
        <v>15</v>
      </c>
      <c r="M743" s="2"/>
      <c r="N743" s="8">
        <v>39884.637615740743</v>
      </c>
      <c r="O743" s="4"/>
      <c r="P743" s="3" t="s">
        <v>6067</v>
      </c>
      <c r="Q743" s="4"/>
      <c r="R743" s="4"/>
      <c r="S743" s="9" t="str">
        <f>HYPERLINK("https://pbs.twimg.com/profile_images/824277971456376832/I941WXSV.jpg","View")</f>
        <v>View</v>
      </c>
    </row>
    <row r="744" spans="1:19" ht="30">
      <c r="A744" s="8">
        <v>43348.104733796295</v>
      </c>
      <c r="B744" s="11" t="str">
        <f>HYPERLINK("https://twitter.com/RezaSokhandani","@RezaSokhandani")</f>
        <v>@RezaSokhandani</v>
      </c>
      <c r="C744" s="6" t="s">
        <v>4697</v>
      </c>
      <c r="D744" s="5" t="s">
        <v>14793</v>
      </c>
      <c r="E744" s="9" t="str">
        <f>HYPERLINK("https://twitter.com/RezaSokhandani/status/1037098183124549632","1037098183124549632")</f>
        <v>1037098183124549632</v>
      </c>
      <c r="F744" s="4"/>
      <c r="G744" s="4"/>
      <c r="H744" s="4"/>
      <c r="I744" s="10" t="str">
        <f>HYPERLINK("http://twitter.com/download/android","Twitter for Android")</f>
        <v>Twitter for Android</v>
      </c>
      <c r="J744" s="2">
        <v>7</v>
      </c>
      <c r="K744" s="2">
        <v>64</v>
      </c>
      <c r="L744" s="2">
        <v>0</v>
      </c>
      <c r="M744" s="2"/>
      <c r="N744" s="8">
        <v>41607.449120370373</v>
      </c>
      <c r="O744" s="4" t="s">
        <v>748</v>
      </c>
      <c r="P744" s="3"/>
      <c r="Q744" s="4"/>
      <c r="R744" s="4"/>
      <c r="S744" s="9" t="str">
        <f>HYPERLINK("https://pbs.twimg.com/profile_images/1037099230190612481/nBfxiBW9.jpg","View")</f>
        <v>View</v>
      </c>
    </row>
    <row r="745" spans="1:19" ht="40">
      <c r="A745" s="8">
        <v>43348.102708333332</v>
      </c>
      <c r="B745" s="11" t="str">
        <f>HYPERLINK("https://twitter.com/Aqileh_313","@Aqileh_313")</f>
        <v>@Aqileh_313</v>
      </c>
      <c r="C745" s="6" t="s">
        <v>498</v>
      </c>
      <c r="D745" s="5" t="s">
        <v>14792</v>
      </c>
      <c r="E745" s="9" t="str">
        <f>HYPERLINK("https://twitter.com/Aqileh_313/status/1037097446185336832","1037097446185336832")</f>
        <v>1037097446185336832</v>
      </c>
      <c r="F745" s="4"/>
      <c r="G745" s="4"/>
      <c r="H745" s="4"/>
      <c r="I745" s="10" t="str">
        <f>HYPERLINK("http://twitter.com/download/android","Twitter for Android")</f>
        <v>Twitter for Android</v>
      </c>
      <c r="J745" s="2">
        <v>1103</v>
      </c>
      <c r="K745" s="2">
        <v>1482</v>
      </c>
      <c r="L745" s="2">
        <v>2</v>
      </c>
      <c r="M745" s="2"/>
      <c r="N745" s="8">
        <v>43229.33929398148</v>
      </c>
      <c r="O745" s="4" t="s">
        <v>17</v>
      </c>
      <c r="P745" s="3" t="s">
        <v>496</v>
      </c>
      <c r="Q745" s="4"/>
      <c r="R745" s="4"/>
      <c r="S745" s="9" t="str">
        <f>HYPERLINK("https://pbs.twimg.com/profile_images/1030919443751284737/RDKeWBwn.jpg","View")</f>
        <v>View</v>
      </c>
    </row>
    <row r="746" spans="1:19" ht="60">
      <c r="A746" s="8">
        <v>43348.100960648153</v>
      </c>
      <c r="B746" s="11" t="str">
        <f>HYPERLINK("https://twitter.com/SHAHBAZI_R","@SHAHBAZI_R")</f>
        <v>@SHAHBAZI_R</v>
      </c>
      <c r="C746" s="6" t="s">
        <v>4995</v>
      </c>
      <c r="D746" s="5" t="s">
        <v>14791</v>
      </c>
      <c r="E746" s="9" t="str">
        <f>HYPERLINK("https://twitter.com/SHAHBAZI_R/status/1037096815475257344","1037096815475257344")</f>
        <v>1037096815475257344</v>
      </c>
      <c r="F746" s="10" t="s">
        <v>14790</v>
      </c>
      <c r="G746" s="4"/>
      <c r="H746" s="4"/>
      <c r="I746" s="10" t="str">
        <f>HYPERLINK("http://twitter.com/download/android","Twitter for Android")</f>
        <v>Twitter for Android</v>
      </c>
      <c r="J746" s="2">
        <v>231</v>
      </c>
      <c r="K746" s="2">
        <v>312</v>
      </c>
      <c r="L746" s="2">
        <v>0</v>
      </c>
      <c r="M746" s="2"/>
      <c r="N746" s="8">
        <v>43225.052824074075</v>
      </c>
      <c r="O746" s="4" t="s">
        <v>14789</v>
      </c>
      <c r="P746" s="3" t="s">
        <v>14788</v>
      </c>
      <c r="Q746" s="4"/>
      <c r="R746" s="4"/>
      <c r="S746" s="9" t="str">
        <f>HYPERLINK("https://pbs.twimg.com/profile_images/1036186748798357504/s60zkBPv.jpg","View")</f>
        <v>View</v>
      </c>
    </row>
    <row r="747" spans="1:19" ht="80">
      <c r="A747" s="8">
        <v>43348.099340277782</v>
      </c>
      <c r="B747" s="11" t="str">
        <f>HYPERLINK("https://twitter.com/toomadj","@toomadj")</f>
        <v>@toomadj</v>
      </c>
      <c r="C747" s="6" t="s">
        <v>6069</v>
      </c>
      <c r="D747" s="5" t="s">
        <v>14787</v>
      </c>
      <c r="E747" s="9" t="str">
        <f>HYPERLINK("https://twitter.com/toomadj/status/1037096228234911744","1037096228234911744")</f>
        <v>1037096228234911744</v>
      </c>
      <c r="F747" s="10" t="s">
        <v>13788</v>
      </c>
      <c r="G747" s="4"/>
      <c r="H747" s="4"/>
      <c r="I747" s="10" t="str">
        <f>HYPERLINK("http://twitter.com/download/android","Twitter for Android")</f>
        <v>Twitter for Android</v>
      </c>
      <c r="J747" s="2">
        <v>2008</v>
      </c>
      <c r="K747" s="2">
        <v>1138</v>
      </c>
      <c r="L747" s="2">
        <v>15</v>
      </c>
      <c r="M747" s="2"/>
      <c r="N747" s="8">
        <v>39884.637615740743</v>
      </c>
      <c r="O747" s="4"/>
      <c r="P747" s="3" t="s">
        <v>6067</v>
      </c>
      <c r="Q747" s="4"/>
      <c r="R747" s="4"/>
      <c r="S747" s="9" t="str">
        <f>HYPERLINK("https://pbs.twimg.com/profile_images/824277971456376832/I941WXSV.jpg","View")</f>
        <v>View</v>
      </c>
    </row>
    <row r="748" spans="1:19" ht="80">
      <c r="A748" s="8">
        <v>43348.096932870365</v>
      </c>
      <c r="B748" s="11" t="str">
        <f>HYPERLINK("https://twitter.com/ReformistBoy","@ReformistBoy")</f>
        <v>@ReformistBoy</v>
      </c>
      <c r="C748" s="6" t="s">
        <v>4640</v>
      </c>
      <c r="D748" s="5" t="s">
        <v>14786</v>
      </c>
      <c r="E748" s="9" t="str">
        <f>HYPERLINK("https://twitter.com/ReformistBoy/status/1037095354745991168","1037095354745991168")</f>
        <v>1037095354745991168</v>
      </c>
      <c r="F748" s="10" t="s">
        <v>14785</v>
      </c>
      <c r="G748" s="4"/>
      <c r="H748" s="4"/>
      <c r="I748" s="10" t="str">
        <f>HYPERLINK("http://twitter.com/download/android","Twitter for Android")</f>
        <v>Twitter for Android</v>
      </c>
      <c r="J748" s="2">
        <v>793</v>
      </c>
      <c r="K748" s="2">
        <v>389</v>
      </c>
      <c r="L748" s="2">
        <v>2</v>
      </c>
      <c r="M748" s="2"/>
      <c r="N748" s="8">
        <v>41841.961365740739</v>
      </c>
      <c r="O748" s="4" t="s">
        <v>4637</v>
      </c>
      <c r="P748" s="3" t="s">
        <v>4636</v>
      </c>
      <c r="Q748" s="4"/>
      <c r="R748" s="4"/>
      <c r="S748" s="9" t="str">
        <f>HYPERLINK("https://pbs.twimg.com/profile_images/1024208644286701568/nb2BOkhE.jpg","View")</f>
        <v>View</v>
      </c>
    </row>
    <row r="749" spans="1:19" ht="12.5">
      <c r="A749" s="8">
        <v>43348.09684027778</v>
      </c>
      <c r="B749" s="11" t="str">
        <f>HYPERLINK("https://twitter.com/feri_par_talaee","@feri_par_talaee")</f>
        <v>@feri_par_talaee</v>
      </c>
      <c r="C749" s="6" t="s">
        <v>10618</v>
      </c>
      <c r="D749" s="5" t="s">
        <v>14784</v>
      </c>
      <c r="E749" s="9" t="str">
        <f>HYPERLINK("https://twitter.com/feri_par_talaee/status/1037095321480900610","1037095321480900610")</f>
        <v>1037095321480900610</v>
      </c>
      <c r="F749" s="4"/>
      <c r="G749" s="10" t="s">
        <v>14783</v>
      </c>
      <c r="H749" s="4"/>
      <c r="I749" s="10" t="str">
        <f>HYPERLINK("http://twitter.com/download/android","Twitter for Android")</f>
        <v>Twitter for Android</v>
      </c>
      <c r="J749" s="2">
        <v>577</v>
      </c>
      <c r="K749" s="2">
        <v>1181</v>
      </c>
      <c r="L749" s="2">
        <v>2</v>
      </c>
      <c r="M749" s="2"/>
      <c r="N749" s="8">
        <v>43314.201701388884</v>
      </c>
      <c r="O749" s="4" t="s">
        <v>14782</v>
      </c>
      <c r="P749" s="3" t="s">
        <v>14781</v>
      </c>
      <c r="Q749" s="4"/>
      <c r="R749" s="4"/>
      <c r="S749" s="9" t="str">
        <f>HYPERLINK("https://pbs.twimg.com/profile_images/1027505529529278464/S4k2oXBx.jpg","View")</f>
        <v>View</v>
      </c>
    </row>
    <row r="750" spans="1:19" ht="20">
      <c r="A750" s="8">
        <v>43348.091956018514</v>
      </c>
      <c r="B750" s="11" t="str">
        <f>HYPERLINK("https://twitter.com/mrzare1374","@mrzare1374")</f>
        <v>@mrzare1374</v>
      </c>
      <c r="C750" s="6" t="s">
        <v>11751</v>
      </c>
      <c r="D750" s="5" t="s">
        <v>14780</v>
      </c>
      <c r="E750" s="9" t="str">
        <f>HYPERLINK("https://twitter.com/mrzare1374/status/1037093550142513153","1037093550142513153")</f>
        <v>1037093550142513153</v>
      </c>
      <c r="F750" s="4"/>
      <c r="G750" s="4"/>
      <c r="H750" s="4"/>
      <c r="I750" s="10" t="str">
        <f>HYPERLINK("http://twitter.com/download/android","Twitter for Android")</f>
        <v>Twitter for Android</v>
      </c>
      <c r="J750" s="2">
        <v>1203</v>
      </c>
      <c r="K750" s="2">
        <v>741</v>
      </c>
      <c r="L750" s="2">
        <v>1</v>
      </c>
      <c r="M750" s="2"/>
      <c r="N750" s="8">
        <v>42791.701192129629</v>
      </c>
      <c r="O750" s="4"/>
      <c r="P750" s="3" t="s">
        <v>11747</v>
      </c>
      <c r="Q750" s="4"/>
      <c r="R750" s="4"/>
      <c r="S750" s="9" t="str">
        <f>HYPERLINK("https://pbs.twimg.com/profile_images/1010896278530740224/7XS4YE1S.jpg","View")</f>
        <v>View</v>
      </c>
    </row>
    <row r="751" spans="1:19" ht="30">
      <c r="A751" s="8">
        <v>43348.091863425929</v>
      </c>
      <c r="B751" s="11" t="str">
        <f>HYPERLINK("https://twitter.com/vicmsmv","@vicmsmv")</f>
        <v>@vicmsmv</v>
      </c>
      <c r="C751" s="6" t="s">
        <v>9598</v>
      </c>
      <c r="D751" s="5" t="s">
        <v>14779</v>
      </c>
      <c r="E751" s="9" t="str">
        <f>HYPERLINK("https://twitter.com/vicmsmv/status/1037093516751425538","1037093516751425538")</f>
        <v>1037093516751425538</v>
      </c>
      <c r="F751" s="4"/>
      <c r="G751" s="4"/>
      <c r="H751" s="4"/>
      <c r="I751" s="10" t="str">
        <f>HYPERLINK("http://twitter.com/download/iphone","Twitter for iPhone")</f>
        <v>Twitter for iPhone</v>
      </c>
      <c r="J751" s="2">
        <v>1152</v>
      </c>
      <c r="K751" s="2">
        <v>735</v>
      </c>
      <c r="L751" s="2">
        <v>4</v>
      </c>
      <c r="M751" s="2"/>
      <c r="N751" s="8">
        <v>43154.022777777776</v>
      </c>
      <c r="O751" s="4" t="s">
        <v>1770</v>
      </c>
      <c r="P751" s="3" t="s">
        <v>9596</v>
      </c>
      <c r="Q751" s="4"/>
      <c r="R751" s="4"/>
      <c r="S751" s="9" t="str">
        <f>HYPERLINK("https://pbs.twimg.com/profile_images/1022778740122812416/xBDZdYhv.jpg","View")</f>
        <v>View</v>
      </c>
    </row>
    <row r="752" spans="1:19" ht="40">
      <c r="A752" s="8">
        <v>43348.09</v>
      </c>
      <c r="B752" s="11" t="str">
        <f>HYPERLINK("https://twitter.com/Arefmasouditab1","@Arefmasouditab1")</f>
        <v>@Arefmasouditab1</v>
      </c>
      <c r="C752" s="6" t="s">
        <v>14778</v>
      </c>
      <c r="D752" s="5" t="s">
        <v>14777</v>
      </c>
      <c r="E752" s="9" t="str">
        <f>HYPERLINK("https://twitter.com/Arefmasouditab1/status/1037092841594474496","1037092841594474496")</f>
        <v>1037092841594474496</v>
      </c>
      <c r="F752" s="4"/>
      <c r="G752" s="10" t="s">
        <v>14776</v>
      </c>
      <c r="H752" s="4"/>
      <c r="I752" s="10" t="str">
        <f>HYPERLINK("http://twitter.com/download/iphone","Twitter for iPhone")</f>
        <v>Twitter for iPhone</v>
      </c>
      <c r="J752" s="2">
        <v>66</v>
      </c>
      <c r="K752" s="2">
        <v>206</v>
      </c>
      <c r="L752" s="2">
        <v>0</v>
      </c>
      <c r="M752" s="2"/>
      <c r="N752" s="8">
        <v>43272.079513888893</v>
      </c>
      <c r="O752" s="4" t="s">
        <v>133</v>
      </c>
      <c r="P752" s="3" t="s">
        <v>14775</v>
      </c>
      <c r="Q752" s="10" t="s">
        <v>14774</v>
      </c>
      <c r="R752" s="4"/>
      <c r="S752" s="9" t="str">
        <f>HYPERLINK("https://pbs.twimg.com/profile_images/1034875026510626816/9OP5w5MP.jpg","View")</f>
        <v>View</v>
      </c>
    </row>
    <row r="753" spans="1:19" ht="40">
      <c r="A753" s="8">
        <v>43348.087372685186</v>
      </c>
      <c r="B753" s="11" t="str">
        <f>HYPERLINK("https://twitter.com/MakvandiMasoud","@MakvandiMasoud")</f>
        <v>@MakvandiMasoud</v>
      </c>
      <c r="C753" s="6" t="s">
        <v>14773</v>
      </c>
      <c r="D753" s="5" t="s">
        <v>14772</v>
      </c>
      <c r="E753" s="9" t="str">
        <f>HYPERLINK("https://twitter.com/MakvandiMasoud/status/1037091889277747201","1037091889277747201")</f>
        <v>1037091889277747201</v>
      </c>
      <c r="F753" s="4"/>
      <c r="G753" s="10" t="s">
        <v>14771</v>
      </c>
      <c r="H753" s="4"/>
      <c r="I753" s="10" t="str">
        <f>HYPERLINK("http://twitter.com/download/android","Twitter for Android")</f>
        <v>Twitter for Android</v>
      </c>
      <c r="J753" s="2">
        <v>3</v>
      </c>
      <c r="K753" s="2">
        <v>24</v>
      </c>
      <c r="L753" s="2">
        <v>1</v>
      </c>
      <c r="M753" s="2"/>
      <c r="N753" s="8">
        <v>41141.186412037037</v>
      </c>
      <c r="O753" s="4" t="s">
        <v>14770</v>
      </c>
      <c r="P753" s="3" t="s">
        <v>14769</v>
      </c>
      <c r="Q753" s="10" t="s">
        <v>14768</v>
      </c>
      <c r="R753" s="4"/>
      <c r="S753" s="9" t="str">
        <f>HYPERLINK("https://pbs.twimg.com/profile_images/819182811764686848/pkEXdBfC.jpg","View")</f>
        <v>View</v>
      </c>
    </row>
    <row r="754" spans="1:19" ht="40">
      <c r="A754" s="8">
        <v>43348.087268518517</v>
      </c>
      <c r="B754" s="11" t="str">
        <f>HYPERLINK("https://twitter.com/Omiderfanmanesh","@Omiderfanmanesh")</f>
        <v>@Omiderfanmanesh</v>
      </c>
      <c r="C754" s="6" t="s">
        <v>11280</v>
      </c>
      <c r="D754" s="5" t="s">
        <v>14767</v>
      </c>
      <c r="E754" s="9" t="str">
        <f>HYPERLINK("https://twitter.com/Omiderfanmanesh/status/1037091854330880000","1037091854330880000")</f>
        <v>1037091854330880000</v>
      </c>
      <c r="F754" s="4"/>
      <c r="G754" s="4"/>
      <c r="H754" s="4"/>
      <c r="I754" s="10" t="str">
        <f>HYPERLINK("http://twitter.com/download/android","Twitter for Android")</f>
        <v>Twitter for Android</v>
      </c>
      <c r="J754" s="2">
        <v>954</v>
      </c>
      <c r="K754" s="2">
        <v>1125</v>
      </c>
      <c r="L754" s="2">
        <v>2</v>
      </c>
      <c r="M754" s="2"/>
      <c r="N754" s="8">
        <v>42701.033217592594</v>
      </c>
      <c r="O754" s="4" t="s">
        <v>11277</v>
      </c>
      <c r="P754" s="3" t="s">
        <v>11276</v>
      </c>
      <c r="Q754" s="4"/>
      <c r="R754" s="4"/>
      <c r="S754" s="9" t="str">
        <f>HYPERLINK("https://pbs.twimg.com/profile_images/1028990298305658880/JAdUYLZr.jpg","View")</f>
        <v>View</v>
      </c>
    </row>
    <row r="755" spans="1:19" ht="40">
      <c r="A755" s="8">
        <v>43348.087129629625</v>
      </c>
      <c r="B755" s="11" t="str">
        <f>HYPERLINK("https://twitter.com/a_beihaghi","@a_beihaghi")</f>
        <v>@a_beihaghi</v>
      </c>
      <c r="C755" s="6" t="s">
        <v>14766</v>
      </c>
      <c r="D755" s="5" t="s">
        <v>14765</v>
      </c>
      <c r="E755" s="9" t="str">
        <f>HYPERLINK("https://twitter.com/a_beihaghi/status/1037091801956532230","1037091801956532230")</f>
        <v>1037091801956532230</v>
      </c>
      <c r="F755" s="4"/>
      <c r="G755" s="4"/>
      <c r="H755" s="4"/>
      <c r="I755" s="10" t="str">
        <f>HYPERLINK("http://twitter.com/download/iphone","Twitter for iPhone")</f>
        <v>Twitter for iPhone</v>
      </c>
      <c r="J755" s="2">
        <v>17</v>
      </c>
      <c r="K755" s="2">
        <v>86</v>
      </c>
      <c r="L755" s="2">
        <v>0</v>
      </c>
      <c r="M755" s="2"/>
      <c r="N755" s="8">
        <v>43335.671759259261</v>
      </c>
      <c r="O755" s="4"/>
      <c r="P755" s="3" t="s">
        <v>14764</v>
      </c>
      <c r="Q755" s="4"/>
      <c r="R755" s="4"/>
      <c r="S755" s="9" t="str">
        <f>HYPERLINK("https://pbs.twimg.com/profile_images/1032597316664999936/iuMpqn9N.jpg","View")</f>
        <v>View</v>
      </c>
    </row>
    <row r="756" spans="1:19" ht="60">
      <c r="A756" s="8">
        <v>43348.084745370375</v>
      </c>
      <c r="B756" s="11" t="str">
        <f>HYPERLINK("https://twitter.com/Mostafa87374824","@Mostafa87374824")</f>
        <v>@Mostafa87374824</v>
      </c>
      <c r="C756" s="6" t="s">
        <v>14763</v>
      </c>
      <c r="D756" s="5" t="s">
        <v>14762</v>
      </c>
      <c r="E756" s="9" t="str">
        <f>HYPERLINK("https://twitter.com/Mostafa87374824/status/1037090936642252800","1037090936642252800")</f>
        <v>1037090936642252800</v>
      </c>
      <c r="F756" s="10" t="s">
        <v>14761</v>
      </c>
      <c r="G756" s="4"/>
      <c r="H756" s="4"/>
      <c r="I756" s="10" t="str">
        <f>HYPERLINK("http://twitter.com/download/iphone","Twitter for iPhone")</f>
        <v>Twitter for iPhone</v>
      </c>
      <c r="J756" s="2">
        <v>236</v>
      </c>
      <c r="K756" s="2">
        <v>294</v>
      </c>
      <c r="L756" s="2">
        <v>0</v>
      </c>
      <c r="M756" s="2"/>
      <c r="N756" s="8">
        <v>42973.065324074079</v>
      </c>
      <c r="O756" s="4" t="s">
        <v>5398</v>
      </c>
      <c r="P756" s="3" t="s">
        <v>5397</v>
      </c>
      <c r="Q756" s="4"/>
      <c r="R756" s="4"/>
      <c r="S756" s="9" t="str">
        <f>HYPERLINK("https://pbs.twimg.com/profile_images/1033940921124089856/y5NOKTry.jpg","View")</f>
        <v>View</v>
      </c>
    </row>
    <row r="757" spans="1:19" ht="40">
      <c r="A757" s="8">
        <v>43348.081712962958</v>
      </c>
      <c r="B757" s="11" t="str">
        <f>HYPERLINK("https://twitter.com/Theo_Herzl","@Theo_Herzl")</f>
        <v>@Theo_Herzl</v>
      </c>
      <c r="C757" s="6" t="s">
        <v>14496</v>
      </c>
      <c r="D757" s="5" t="s">
        <v>14760</v>
      </c>
      <c r="E757" s="9" t="str">
        <f>HYPERLINK("https://twitter.com/Theo_Herzl/status/1037089840859361280","1037089840859361280")</f>
        <v>1037089840859361280</v>
      </c>
      <c r="F757" s="4"/>
      <c r="G757" s="10" t="s">
        <v>14759</v>
      </c>
      <c r="H757" s="4"/>
      <c r="I757" s="10" t="str">
        <f>HYPERLINK("http://twitter.com/download/android","Twitter for Android")</f>
        <v>Twitter for Android</v>
      </c>
      <c r="J757" s="2">
        <v>373</v>
      </c>
      <c r="K757" s="2">
        <v>305</v>
      </c>
      <c r="L757" s="2">
        <v>1</v>
      </c>
      <c r="M757" s="2"/>
      <c r="N757" s="8">
        <v>41464.54315972222</v>
      </c>
      <c r="O757" s="4"/>
      <c r="P757" s="3" t="s">
        <v>14494</v>
      </c>
      <c r="Q757" s="4"/>
      <c r="R757" s="4"/>
      <c r="S757" s="9" t="str">
        <f>HYPERLINK("https://pbs.twimg.com/profile_images/1029445297116774402/wf9tHCnn.jpg","View")</f>
        <v>View</v>
      </c>
    </row>
    <row r="758" spans="1:19" ht="30">
      <c r="A758" s="8">
        <v>43348.080011574071</v>
      </c>
      <c r="B758" s="11" t="str">
        <f>HYPERLINK("https://twitter.com/Mohamma75370061","@Mohamma75370061")</f>
        <v>@Mohamma75370061</v>
      </c>
      <c r="C758" s="6" t="s">
        <v>1998</v>
      </c>
      <c r="D758" s="5" t="s">
        <v>14758</v>
      </c>
      <c r="E758" s="9" t="str">
        <f>HYPERLINK("https://twitter.com/Mohamma75370061/status/1037089223550095361","1037089223550095361")</f>
        <v>1037089223550095361</v>
      </c>
      <c r="F758" s="4"/>
      <c r="G758" s="4"/>
      <c r="H758" s="4"/>
      <c r="I758" s="10" t="str">
        <f>HYPERLINK("http://twitter.com/download/android","Twitter for Android")</f>
        <v>Twitter for Android</v>
      </c>
      <c r="J758" s="2">
        <v>2242</v>
      </c>
      <c r="K758" s="2">
        <v>2905</v>
      </c>
      <c r="L758" s="2">
        <v>1</v>
      </c>
      <c r="M758" s="2"/>
      <c r="N758" s="8">
        <v>43270.233599537038</v>
      </c>
      <c r="O758" s="4" t="s">
        <v>11038</v>
      </c>
      <c r="P758" s="3" t="s">
        <v>12017</v>
      </c>
      <c r="Q758" s="4"/>
      <c r="R758" s="4"/>
      <c r="S758" s="9" t="str">
        <f>HYPERLINK("https://pbs.twimg.com/profile_images/1027742418827993089/rEAc7tMh.jpg","View")</f>
        <v>View</v>
      </c>
    </row>
    <row r="759" spans="1:19" ht="20">
      <c r="A759" s="8">
        <v>43348.079895833333</v>
      </c>
      <c r="B759" s="11" t="str">
        <f>HYPERLINK("https://twitter.com/Behan1990","@Behan1990")</f>
        <v>@Behan1990</v>
      </c>
      <c r="C759" s="6" t="s">
        <v>4813</v>
      </c>
      <c r="D759" s="5" t="s">
        <v>14757</v>
      </c>
      <c r="E759" s="9" t="str">
        <f>HYPERLINK("https://twitter.com/Behan1990/status/1037089181040877568","1037089181040877568")</f>
        <v>1037089181040877568</v>
      </c>
      <c r="F759" s="4"/>
      <c r="G759" s="4"/>
      <c r="H759" s="4"/>
      <c r="I759" s="10" t="str">
        <f>HYPERLINK("http://twitter.com","Twitter Web Client")</f>
        <v>Twitter Web Client</v>
      </c>
      <c r="J759" s="2">
        <v>1208</v>
      </c>
      <c r="K759" s="2">
        <v>986</v>
      </c>
      <c r="L759" s="2">
        <v>1</v>
      </c>
      <c r="M759" s="2"/>
      <c r="N759" s="8">
        <v>43230.491979166662</v>
      </c>
      <c r="O759" s="4" t="s">
        <v>4811</v>
      </c>
      <c r="P759" s="3" t="s">
        <v>4810</v>
      </c>
      <c r="Q759" s="4"/>
      <c r="R759" s="4"/>
      <c r="S759" s="9" t="str">
        <f>HYPERLINK("https://pbs.twimg.com/profile_images/994659530914041856/y3-u0dOR.jpg","View")</f>
        <v>View</v>
      </c>
    </row>
    <row r="760" spans="1:19" ht="20">
      <c r="A760" s="8">
        <v>43348.079409722224</v>
      </c>
      <c r="B760" s="11" t="str">
        <f>HYPERLINK("https://twitter.com/samsam_313","@samsam_313")</f>
        <v>@samsam_313</v>
      </c>
      <c r="C760" s="6" t="s">
        <v>11196</v>
      </c>
      <c r="D760" s="5" t="s">
        <v>14756</v>
      </c>
      <c r="E760" s="9" t="str">
        <f>HYPERLINK("https://twitter.com/samsam_313/status/1037089006360481793","1037089006360481793")</f>
        <v>1037089006360481793</v>
      </c>
      <c r="F760" s="4"/>
      <c r="G760" s="10" t="s">
        <v>14755</v>
      </c>
      <c r="H760" s="4"/>
      <c r="I760" s="10" t="str">
        <f>HYPERLINK("http://twitter.com","Twitter Web Client")</f>
        <v>Twitter Web Client</v>
      </c>
      <c r="J760" s="2">
        <v>79</v>
      </c>
      <c r="K760" s="2">
        <v>114</v>
      </c>
      <c r="L760" s="2">
        <v>1</v>
      </c>
      <c r="M760" s="2"/>
      <c r="N760" s="8">
        <v>43219.924722222218</v>
      </c>
      <c r="O760" s="4" t="s">
        <v>5507</v>
      </c>
      <c r="P760" s="3" t="s">
        <v>11193</v>
      </c>
      <c r="Q760" s="10" t="s">
        <v>11192</v>
      </c>
      <c r="R760" s="4"/>
      <c r="S760" s="9" t="str">
        <f>HYPERLINK("https://pbs.twimg.com/profile_images/1034419990525440002/bIVQmb3z.jpg","View")</f>
        <v>View</v>
      </c>
    </row>
    <row r="761" spans="1:19" ht="30">
      <c r="A761" s="8">
        <v>43348.078946759255</v>
      </c>
      <c r="B761" s="11" t="str">
        <f>HYPERLINK("https://twitter.com/vicmsmv","@vicmsmv")</f>
        <v>@vicmsmv</v>
      </c>
      <c r="C761" s="6" t="s">
        <v>9598</v>
      </c>
      <c r="D761" s="5" t="s">
        <v>14754</v>
      </c>
      <c r="E761" s="9" t="str">
        <f>HYPERLINK("https://twitter.com/vicmsmv/status/1037088838131372032","1037088838131372032")</f>
        <v>1037088838131372032</v>
      </c>
      <c r="F761" s="4"/>
      <c r="G761" s="4"/>
      <c r="H761" s="4"/>
      <c r="I761" s="10" t="str">
        <f>HYPERLINK("http://twitter.com/download/iphone","Twitter for iPhone")</f>
        <v>Twitter for iPhone</v>
      </c>
      <c r="J761" s="2">
        <v>1152</v>
      </c>
      <c r="K761" s="2">
        <v>735</v>
      </c>
      <c r="L761" s="2">
        <v>4</v>
      </c>
      <c r="M761" s="2"/>
      <c r="N761" s="8">
        <v>43154.022777777776</v>
      </c>
      <c r="O761" s="4" t="s">
        <v>1770</v>
      </c>
      <c r="P761" s="3" t="s">
        <v>9596</v>
      </c>
      <c r="Q761" s="4"/>
      <c r="R761" s="4"/>
      <c r="S761" s="9" t="str">
        <f>HYPERLINK("https://pbs.twimg.com/profile_images/1022778740122812416/xBDZdYhv.jpg","View")</f>
        <v>View</v>
      </c>
    </row>
    <row r="762" spans="1:19" ht="20">
      <c r="A762" s="8">
        <v>43348.078518518523</v>
      </c>
      <c r="B762" s="11" t="str">
        <f>HYPERLINK("https://twitter.com/amirheydari_ir","@amirheydari_ir")</f>
        <v>@amirheydari_ir</v>
      </c>
      <c r="C762" s="6" t="s">
        <v>14576</v>
      </c>
      <c r="D762" s="5" t="s">
        <v>14753</v>
      </c>
      <c r="E762" s="9" t="str">
        <f>HYPERLINK("https://twitter.com/amirheydari_ir/status/1037088680240967681","1037088680240967681")</f>
        <v>1037088680240967681</v>
      </c>
      <c r="F762" s="4"/>
      <c r="G762" s="4"/>
      <c r="H762" s="4"/>
      <c r="I762" s="10" t="str">
        <f>HYPERLINK("http://twitter.com/download/iphone","Twitter for iPhone")</f>
        <v>Twitter for iPhone</v>
      </c>
      <c r="J762" s="2">
        <v>34</v>
      </c>
      <c r="K762" s="2">
        <v>149</v>
      </c>
      <c r="L762" s="2">
        <v>0</v>
      </c>
      <c r="M762" s="2"/>
      <c r="N762" s="8">
        <v>42697.933958333335</v>
      </c>
      <c r="O762" s="4"/>
      <c r="P762" s="3"/>
      <c r="Q762" s="4"/>
      <c r="R762" s="4"/>
      <c r="S762" s="2" t="s">
        <v>155</v>
      </c>
    </row>
    <row r="763" spans="1:19" ht="12.5">
      <c r="A763" s="8">
        <v>43348.076377314814</v>
      </c>
      <c r="B763" s="11" t="str">
        <f>HYPERLINK("https://twitter.com/aminalmolk","@aminalmolk")</f>
        <v>@aminalmolk</v>
      </c>
      <c r="C763" s="6" t="s">
        <v>14752</v>
      </c>
      <c r="D763" s="5" t="s">
        <v>14751</v>
      </c>
      <c r="E763" s="9" t="str">
        <f>HYPERLINK("https://twitter.com/aminalmolk/status/1037087905997639681","1037087905997639681")</f>
        <v>1037087905997639681</v>
      </c>
      <c r="F763" s="4"/>
      <c r="G763" s="10" t="s">
        <v>14750</v>
      </c>
      <c r="H763" s="4"/>
      <c r="I763" s="10" t="str">
        <f>HYPERLINK("http://twitter.com/download/android","Twitter for Android")</f>
        <v>Twitter for Android</v>
      </c>
      <c r="J763" s="2">
        <v>832</v>
      </c>
      <c r="K763" s="2">
        <v>545</v>
      </c>
      <c r="L763" s="2">
        <v>3</v>
      </c>
      <c r="M763" s="2"/>
      <c r="N763" s="8">
        <v>43043.049247685187</v>
      </c>
      <c r="O763" s="4" t="s">
        <v>34</v>
      </c>
      <c r="P763" s="3" t="s">
        <v>14749</v>
      </c>
      <c r="Q763" s="4"/>
      <c r="R763" s="4"/>
      <c r="S763" s="9" t="str">
        <f>HYPERLINK("https://pbs.twimg.com/profile_images/1014255986805272577/etTR2S98.jpg","View")</f>
        <v>View</v>
      </c>
    </row>
    <row r="764" spans="1:19" ht="40">
      <c r="A764" s="8">
        <v>43348.076307870375</v>
      </c>
      <c r="B764" s="11" t="str">
        <f>HYPERLINK("https://twitter.com/saber_misagh","@saber_misagh")</f>
        <v>@saber_misagh</v>
      </c>
      <c r="C764" s="6" t="s">
        <v>14748</v>
      </c>
      <c r="D764" s="5" t="s">
        <v>14747</v>
      </c>
      <c r="E764" s="9" t="str">
        <f>HYPERLINK("https://twitter.com/saber_misagh/status/1037087881188323329","1037087881188323329")</f>
        <v>1037087881188323329</v>
      </c>
      <c r="F764" s="4"/>
      <c r="G764" s="4"/>
      <c r="H764" s="4"/>
      <c r="I764" s="10" t="str">
        <f>HYPERLINK("http://twitter.com/download/android","Twitter for Android")</f>
        <v>Twitter for Android</v>
      </c>
      <c r="J764" s="2">
        <v>375</v>
      </c>
      <c r="K764" s="2">
        <v>308</v>
      </c>
      <c r="L764" s="2">
        <v>5</v>
      </c>
      <c r="M764" s="2"/>
      <c r="N764" s="8">
        <v>42913.2652662037</v>
      </c>
      <c r="O764" s="4" t="s">
        <v>1631</v>
      </c>
      <c r="P764" s="3" t="s">
        <v>14746</v>
      </c>
      <c r="Q764" s="4"/>
      <c r="R764" s="4"/>
      <c r="S764" s="9" t="str">
        <f>HYPERLINK("https://pbs.twimg.com/profile_images/1023841921549185025/TbGlKH4R.jpg","View")</f>
        <v>View</v>
      </c>
    </row>
    <row r="765" spans="1:19" ht="20">
      <c r="A765" s="8">
        <v>43348.070694444439</v>
      </c>
      <c r="B765" s="11" t="str">
        <f>HYPERLINK("https://twitter.com/yeganehgf","@yeganehgf")</f>
        <v>@yeganehgf</v>
      </c>
      <c r="C765" s="6" t="s">
        <v>14745</v>
      </c>
      <c r="D765" s="5" t="s">
        <v>14744</v>
      </c>
      <c r="E765" s="9" t="str">
        <f>HYPERLINK("https://twitter.com/yeganehgf/status/1037085844954402817","1037085844954402817")</f>
        <v>1037085844954402817</v>
      </c>
      <c r="F765" s="4"/>
      <c r="G765" s="4"/>
      <c r="H765" s="4"/>
      <c r="I765" s="10" t="str">
        <f>HYPERLINK("http://twitter.com/download/android","Twitter for Android")</f>
        <v>Twitter for Android</v>
      </c>
      <c r="J765" s="2">
        <v>87</v>
      </c>
      <c r="K765" s="2">
        <v>58</v>
      </c>
      <c r="L765" s="2">
        <v>0</v>
      </c>
      <c r="M765" s="2"/>
      <c r="N765" s="8">
        <v>42325.945254629631</v>
      </c>
      <c r="O765" s="4"/>
      <c r="P765" s="3" t="s">
        <v>14743</v>
      </c>
      <c r="Q765" s="4"/>
      <c r="R765" s="4"/>
      <c r="S765" s="9" t="str">
        <f>HYPERLINK("https://pbs.twimg.com/profile_images/1029740321649905664/e7vzujQ5.jpg","View")</f>
        <v>View</v>
      </c>
    </row>
    <row r="766" spans="1:19" ht="40">
      <c r="A766" s="8">
        <v>43348.069594907407</v>
      </c>
      <c r="B766" s="11" t="str">
        <f>HYPERLINK("https://twitter.com/Revman10","@Revman10")</f>
        <v>@Revman10</v>
      </c>
      <c r="C766" s="6" t="s">
        <v>4403</v>
      </c>
      <c r="D766" s="5" t="s">
        <v>14742</v>
      </c>
      <c r="E766" s="9" t="str">
        <f>HYPERLINK("https://twitter.com/Revman10/status/1037085446579400704","1037085446579400704")</f>
        <v>1037085446579400704</v>
      </c>
      <c r="F766" s="4"/>
      <c r="G766" s="4"/>
      <c r="H766" s="4"/>
      <c r="I766" s="10" t="str">
        <f>HYPERLINK("http://twitter.com/download/android","Twitter for Android")</f>
        <v>Twitter for Android</v>
      </c>
      <c r="J766" s="2">
        <v>76</v>
      </c>
      <c r="K766" s="2">
        <v>96</v>
      </c>
      <c r="L766" s="2">
        <v>0</v>
      </c>
      <c r="M766" s="2"/>
      <c r="N766" s="8">
        <v>43271.257766203707</v>
      </c>
      <c r="O766" s="4" t="s">
        <v>324</v>
      </c>
      <c r="P766" s="3" t="s">
        <v>4401</v>
      </c>
      <c r="Q766" s="4"/>
      <c r="R766" s="4"/>
      <c r="S766" s="9" t="str">
        <f>HYPERLINK("https://pbs.twimg.com/profile_images/1027487813896429568/Gbn1h0z3.jpg","View")</f>
        <v>View</v>
      </c>
    </row>
    <row r="767" spans="1:19" ht="20">
      <c r="A767" s="8">
        <v>43348.069224537037</v>
      </c>
      <c r="B767" s="11" t="str">
        <f>HYPERLINK("https://twitter.com/AA67499566","@AA67499566")</f>
        <v>@AA67499566</v>
      </c>
      <c r="C767" s="6" t="s">
        <v>14741</v>
      </c>
      <c r="D767" s="5" t="s">
        <v>14740</v>
      </c>
      <c r="E767" s="9" t="str">
        <f>HYPERLINK("https://twitter.com/AA67499566/status/1037085311434674177","1037085311434674177")</f>
        <v>1037085311434674177</v>
      </c>
      <c r="F767" s="4"/>
      <c r="G767" s="4"/>
      <c r="H767" s="4"/>
      <c r="I767" s="10" t="str">
        <f>HYPERLINK("http://twitter.com/download/android","Twitter for Android")</f>
        <v>Twitter for Android</v>
      </c>
      <c r="J767" s="2">
        <v>405</v>
      </c>
      <c r="K767" s="2">
        <v>288</v>
      </c>
      <c r="L767" s="2">
        <v>0</v>
      </c>
      <c r="M767" s="2"/>
      <c r="N767" s="8">
        <v>43247.593865740739</v>
      </c>
      <c r="O767" s="4"/>
      <c r="P767" s="3"/>
      <c r="Q767" s="4"/>
      <c r="R767" s="4"/>
      <c r="S767" s="9" t="str">
        <f>HYPERLINK("https://pbs.twimg.com/profile_images/1017131378004103169/DgEJFpu6.jpg","View")</f>
        <v>View</v>
      </c>
    </row>
    <row r="768" spans="1:19" ht="40">
      <c r="A768" s="8">
        <v>43348.06759259259</v>
      </c>
      <c r="B768" s="11" t="str">
        <f>HYPERLINK("https://twitter.com/HamidLotfi","@HamidLotfi")</f>
        <v>@HamidLotfi</v>
      </c>
      <c r="C768" s="6" t="s">
        <v>6905</v>
      </c>
      <c r="D768" s="5" t="s">
        <v>14739</v>
      </c>
      <c r="E768" s="9" t="str">
        <f>HYPERLINK("https://twitter.com/HamidLotfi/status/1037084720671019008","1037084720671019008")</f>
        <v>1037084720671019008</v>
      </c>
      <c r="F768" s="10" t="s">
        <v>14738</v>
      </c>
      <c r="G768" s="4"/>
      <c r="H768" s="4"/>
      <c r="I768" s="10" t="str">
        <f>HYPERLINK("http://twitter.com","Twitter Web Client")</f>
        <v>Twitter Web Client</v>
      </c>
      <c r="J768" s="2">
        <v>73</v>
      </c>
      <c r="K768" s="2">
        <v>167</v>
      </c>
      <c r="L768" s="2">
        <v>0</v>
      </c>
      <c r="M768" s="2"/>
      <c r="N768" s="8">
        <v>40667.945127314815</v>
      </c>
      <c r="O768" s="4" t="s">
        <v>324</v>
      </c>
      <c r="P768" s="3"/>
      <c r="Q768" s="4"/>
      <c r="R768" s="4"/>
      <c r="S768" s="9" t="str">
        <f>HYPERLINK("https://pbs.twimg.com/profile_images/857342874622451712/uqFZEVNw.jpg","View")</f>
        <v>View</v>
      </c>
    </row>
    <row r="769" spans="1:19" ht="20">
      <c r="A769" s="8">
        <v>43348.067083333328</v>
      </c>
      <c r="B769" s="11" t="str">
        <f>HYPERLINK("https://twitter.com/naderalizadeh3","@naderalizadeh3")</f>
        <v>@naderalizadeh3</v>
      </c>
      <c r="C769" s="6" t="s">
        <v>5217</v>
      </c>
      <c r="D769" s="5" t="s">
        <v>14737</v>
      </c>
      <c r="E769" s="9" t="str">
        <f>HYPERLINK("https://twitter.com/naderalizadeh3/status/1037084535719116805","1037084535719116805")</f>
        <v>1037084535719116805</v>
      </c>
      <c r="F769" s="4"/>
      <c r="G769" s="4"/>
      <c r="H769" s="4"/>
      <c r="I769" s="10" t="str">
        <f>HYPERLINK("https://mobile.twitter.com","Twitter Lite")</f>
        <v>Twitter Lite</v>
      </c>
      <c r="J769" s="2">
        <v>4303</v>
      </c>
      <c r="K769" s="2">
        <v>4234</v>
      </c>
      <c r="L769" s="2">
        <v>6</v>
      </c>
      <c r="M769" s="2"/>
      <c r="N769" s="8">
        <v>42972.01053240741</v>
      </c>
      <c r="O769" s="4" t="s">
        <v>5215</v>
      </c>
      <c r="P769" s="3" t="s">
        <v>5214</v>
      </c>
      <c r="Q769" s="4"/>
      <c r="R769" s="4"/>
      <c r="S769" s="9" t="str">
        <f>HYPERLINK("https://pbs.twimg.com/profile_images/926064240397635584/8LmsrwAq.jpg","View")</f>
        <v>View</v>
      </c>
    </row>
    <row r="770" spans="1:19" ht="40">
      <c r="A770" s="8">
        <v>43348.066932870366</v>
      </c>
      <c r="B770" s="11" t="str">
        <f>HYPERLINK("https://twitter.com/ariya_love777","@ariya_love777")</f>
        <v>@ariya_love777</v>
      </c>
      <c r="C770" s="6" t="s">
        <v>14736</v>
      </c>
      <c r="D770" s="5" t="s">
        <v>14735</v>
      </c>
      <c r="E770" s="9" t="str">
        <f>HYPERLINK("https://twitter.com/ariya_love777/status/1037084484506505216","1037084484506505216")</f>
        <v>1037084484506505216</v>
      </c>
      <c r="F770" s="4"/>
      <c r="G770" s="10" t="s">
        <v>14734</v>
      </c>
      <c r="H770" s="4"/>
      <c r="I770" s="10" t="str">
        <f>HYPERLINK("http://twitter.com/download/android","Twitter for Android")</f>
        <v>Twitter for Android</v>
      </c>
      <c r="J770" s="2">
        <v>2247</v>
      </c>
      <c r="K770" s="2">
        <v>4985</v>
      </c>
      <c r="L770" s="2">
        <v>16</v>
      </c>
      <c r="M770" s="2"/>
      <c r="N770" s="8">
        <v>42534.748310185183</v>
      </c>
      <c r="O770" s="4" t="s">
        <v>14733</v>
      </c>
      <c r="P770" s="3" t="s">
        <v>14732</v>
      </c>
      <c r="Q770" s="4"/>
      <c r="R770" s="4"/>
      <c r="S770" s="9" t="str">
        <f>HYPERLINK("https://pbs.twimg.com/profile_images/1018962905608413184/BPvemb82.jpg","View")</f>
        <v>View</v>
      </c>
    </row>
    <row r="771" spans="1:19" ht="40">
      <c r="A771" s="8">
        <v>43348.065902777773</v>
      </c>
      <c r="B771" s="11" t="str">
        <f>HYPERLINK("https://twitter.com/HatefSalehi","@HatefSalehi")</f>
        <v>@HatefSalehi</v>
      </c>
      <c r="C771" s="6" t="s">
        <v>5833</v>
      </c>
      <c r="D771" s="5" t="s">
        <v>14731</v>
      </c>
      <c r="E771" s="9" t="str">
        <f>HYPERLINK("https://twitter.com/HatefSalehi/status/1037084109133283334","1037084109133283334")</f>
        <v>1037084109133283334</v>
      </c>
      <c r="F771" s="4"/>
      <c r="G771" s="10" t="s">
        <v>14730</v>
      </c>
      <c r="H771" s="4"/>
      <c r="I771" s="10" t="str">
        <f>HYPERLINK("http://twitter.com/download/android","Twitter for Android")</f>
        <v>Twitter for Android</v>
      </c>
      <c r="J771" s="2">
        <v>85</v>
      </c>
      <c r="K771" s="2">
        <v>17</v>
      </c>
      <c r="L771" s="2">
        <v>2</v>
      </c>
      <c r="M771" s="2"/>
      <c r="N771" s="8">
        <v>42894.030266203699</v>
      </c>
      <c r="O771" s="4" t="s">
        <v>34</v>
      </c>
      <c r="P771" s="3" t="s">
        <v>5830</v>
      </c>
      <c r="Q771" s="4"/>
      <c r="R771" s="4"/>
      <c r="S771" s="9" t="str">
        <f>HYPERLINK("https://pbs.twimg.com/profile_images/913564523038232576/-T7zIxED.jpg","View")</f>
        <v>View</v>
      </c>
    </row>
    <row r="772" spans="1:19" ht="30">
      <c r="A772" s="8">
        <v>43348.064895833333</v>
      </c>
      <c r="B772" s="11" t="str">
        <f>HYPERLINK("https://twitter.com/naderalizadeh3","@naderalizadeh3")</f>
        <v>@naderalizadeh3</v>
      </c>
      <c r="C772" s="6" t="s">
        <v>5217</v>
      </c>
      <c r="D772" s="5" t="s">
        <v>14729</v>
      </c>
      <c r="E772" s="9" t="str">
        <f>HYPERLINK("https://twitter.com/naderalizadeh3/status/1037083742957957120","1037083742957957120")</f>
        <v>1037083742957957120</v>
      </c>
      <c r="F772" s="4"/>
      <c r="G772" s="4"/>
      <c r="H772" s="4"/>
      <c r="I772" s="10" t="str">
        <f>HYPERLINK("https://mobile.twitter.com","Twitter Lite")</f>
        <v>Twitter Lite</v>
      </c>
      <c r="J772" s="2">
        <v>4303</v>
      </c>
      <c r="K772" s="2">
        <v>4234</v>
      </c>
      <c r="L772" s="2">
        <v>6</v>
      </c>
      <c r="M772" s="2"/>
      <c r="N772" s="8">
        <v>42972.01053240741</v>
      </c>
      <c r="O772" s="4" t="s">
        <v>5215</v>
      </c>
      <c r="P772" s="3" t="s">
        <v>5214</v>
      </c>
      <c r="Q772" s="4"/>
      <c r="R772" s="4"/>
      <c r="S772" s="9" t="str">
        <f>HYPERLINK("https://pbs.twimg.com/profile_images/926064240397635584/8LmsrwAq.jpg","View")</f>
        <v>View</v>
      </c>
    </row>
    <row r="773" spans="1:19" ht="40">
      <c r="A773" s="8">
        <v>43348.063842592594</v>
      </c>
      <c r="B773" s="11" t="str">
        <f>HYPERLINK("https://twitter.com/noyan_20","@noyan_20")</f>
        <v>@noyan_20</v>
      </c>
      <c r="C773" s="6" t="s">
        <v>14728</v>
      </c>
      <c r="D773" s="5" t="s">
        <v>14727</v>
      </c>
      <c r="E773" s="9" t="str">
        <f>HYPERLINK("https://twitter.com/noyan_20/status/1037083362551324672","1037083362551324672")</f>
        <v>1037083362551324672</v>
      </c>
      <c r="F773" s="4"/>
      <c r="G773" s="4"/>
      <c r="H773" s="4"/>
      <c r="I773" s="10" t="str">
        <f>HYPERLINK("http://twitter.com/download/android","Twitter for Android")</f>
        <v>Twitter for Android</v>
      </c>
      <c r="J773" s="2">
        <v>394</v>
      </c>
      <c r="K773" s="2">
        <v>693</v>
      </c>
      <c r="L773" s="2">
        <v>3</v>
      </c>
      <c r="M773" s="2"/>
      <c r="N773" s="8">
        <v>43089.425185185188</v>
      </c>
      <c r="O773" s="4" t="s">
        <v>14726</v>
      </c>
      <c r="P773" s="3" t="s">
        <v>14725</v>
      </c>
      <c r="Q773" s="4"/>
      <c r="R773" s="4"/>
      <c r="S773" s="9" t="str">
        <f>HYPERLINK("https://pbs.twimg.com/profile_images/943372390104432641/8X_7eVfS.jpg","View")</f>
        <v>View</v>
      </c>
    </row>
    <row r="774" spans="1:19" ht="20">
      <c r="A774" s="8">
        <v>43348.062592592592</v>
      </c>
      <c r="B774" s="11" t="str">
        <f>HYPERLINK("https://twitter.com/Amanj_Mahmoudi_","@Amanj_Mahmoudi_")</f>
        <v>@Amanj_Mahmoudi_</v>
      </c>
      <c r="C774" s="6" t="s">
        <v>2918</v>
      </c>
      <c r="D774" s="5" t="s">
        <v>14724</v>
      </c>
      <c r="E774" s="9" t="str">
        <f>HYPERLINK("https://twitter.com/Amanj_Mahmoudi_/status/1037082911051341826","1037082911051341826")</f>
        <v>1037082911051341826</v>
      </c>
      <c r="F774" s="4"/>
      <c r="G774" s="4"/>
      <c r="H774" s="4"/>
      <c r="I774" s="10" t="str">
        <f>HYPERLINK("http://twitter.com/download/android","Twitter for Android")</f>
        <v>Twitter for Android</v>
      </c>
      <c r="J774" s="2">
        <v>13</v>
      </c>
      <c r="K774" s="2">
        <v>27</v>
      </c>
      <c r="L774" s="2">
        <v>0</v>
      </c>
      <c r="M774" s="2"/>
      <c r="N774" s="8">
        <v>43307.754525462966</v>
      </c>
      <c r="O774" s="4"/>
      <c r="P774" s="3"/>
      <c r="Q774" s="4"/>
      <c r="R774" s="4"/>
      <c r="S774" s="9" t="str">
        <f>HYPERLINK("https://pbs.twimg.com/profile_images/1028640894507991041/wOa-AC_k.jpg","View")</f>
        <v>View</v>
      </c>
    </row>
    <row r="775" spans="1:19" ht="12.5">
      <c r="A775" s="8">
        <v>43348.060856481483</v>
      </c>
      <c r="B775" s="11" t="str">
        <f>HYPERLINK("https://twitter.com/confront2012","@confront2012")</f>
        <v>@confront2012</v>
      </c>
      <c r="C775" s="6" t="s">
        <v>14723</v>
      </c>
      <c r="D775" s="5" t="s">
        <v>14722</v>
      </c>
      <c r="E775" s="9" t="str">
        <f>HYPERLINK("https://twitter.com/confront2012/status/1037082279657570307","1037082279657570307")</f>
        <v>1037082279657570307</v>
      </c>
      <c r="F775" s="4"/>
      <c r="G775" s="10" t="s">
        <v>14721</v>
      </c>
      <c r="H775" s="4"/>
      <c r="I775" s="10" t="str">
        <f>HYPERLINK("http://twitter.com","Twitter Web Client")</f>
        <v>Twitter Web Client</v>
      </c>
      <c r="J775" s="2">
        <v>3892</v>
      </c>
      <c r="K775" s="2">
        <v>3265</v>
      </c>
      <c r="L775" s="2">
        <v>43</v>
      </c>
      <c r="M775" s="2"/>
      <c r="N775" s="8">
        <v>40974.906736111108</v>
      </c>
      <c r="O775" s="4" t="s">
        <v>14720</v>
      </c>
      <c r="P775" s="3" t="s">
        <v>14719</v>
      </c>
      <c r="Q775" s="10" t="s">
        <v>14718</v>
      </c>
      <c r="R775" s="4"/>
      <c r="S775" s="9" t="str">
        <f>HYPERLINK("https://pbs.twimg.com/profile_images/1029446532666466304/41Y9R4qG.jpg","View")</f>
        <v>View</v>
      </c>
    </row>
    <row r="776" spans="1:19" ht="40">
      <c r="A776" s="8">
        <v>43348.060763888891</v>
      </c>
      <c r="B776" s="11" t="str">
        <f>HYPERLINK("https://twitter.com/mosn0098","@mosn0098")</f>
        <v>@mosn0098</v>
      </c>
      <c r="C776" s="6" t="s">
        <v>14678</v>
      </c>
      <c r="D776" s="5" t="s">
        <v>14717</v>
      </c>
      <c r="E776" s="9" t="str">
        <f>HYPERLINK("https://twitter.com/mosn0098/status/1037082246698557440","1037082246698557440")</f>
        <v>1037082246698557440</v>
      </c>
      <c r="F776" s="4"/>
      <c r="G776" s="4"/>
      <c r="H776" s="4"/>
      <c r="I776" s="10" t="str">
        <f>HYPERLINK("http://twitter.com","Twitter Web Client")</f>
        <v>Twitter Web Client</v>
      </c>
      <c r="J776" s="2">
        <v>217</v>
      </c>
      <c r="K776" s="2">
        <v>242</v>
      </c>
      <c r="L776" s="2">
        <v>1</v>
      </c>
      <c r="M776" s="2"/>
      <c r="N776" s="8">
        <v>42460.145625000005</v>
      </c>
      <c r="O776" s="4" t="s">
        <v>14676</v>
      </c>
      <c r="P776" s="3"/>
      <c r="Q776" s="4"/>
      <c r="R776" s="4"/>
      <c r="S776" s="9" t="str">
        <f>HYPERLINK("https://pbs.twimg.com/profile_images/717846988058923009/YRvoyxkR.jpg","View")</f>
        <v>View</v>
      </c>
    </row>
    <row r="777" spans="1:19" ht="40">
      <c r="A777" s="8">
        <v>43348.060254629629</v>
      </c>
      <c r="B777" s="11" t="str">
        <f>HYPERLINK("https://twitter.com/s_h_salehi","@s_h_salehi")</f>
        <v>@s_h_salehi</v>
      </c>
      <c r="C777" s="6" t="s">
        <v>2836</v>
      </c>
      <c r="D777" s="5" t="s">
        <v>14716</v>
      </c>
      <c r="E777" s="9" t="str">
        <f>HYPERLINK("https://twitter.com/s_h_salehi/status/1037082064460423169","1037082064460423169")</f>
        <v>1037082064460423169</v>
      </c>
      <c r="F777" s="4"/>
      <c r="G777" s="4"/>
      <c r="H777" s="4"/>
      <c r="I777" s="10" t="str">
        <f>HYPERLINK("http://twitter.com/download/android","Twitter for Android")</f>
        <v>Twitter for Android</v>
      </c>
      <c r="J777" s="2">
        <v>600</v>
      </c>
      <c r="K777" s="2">
        <v>308</v>
      </c>
      <c r="L777" s="2">
        <v>0</v>
      </c>
      <c r="M777" s="2"/>
      <c r="N777" s="8">
        <v>41886.949328703704</v>
      </c>
      <c r="O777" s="4"/>
      <c r="P777" s="3" t="s">
        <v>14715</v>
      </c>
      <c r="Q777" s="4"/>
      <c r="R777" s="4"/>
      <c r="S777" s="9" t="str">
        <f>HYPERLINK("https://pbs.twimg.com/profile_images/1029100088436637697/JMAFt_F3.jpg","View")</f>
        <v>View</v>
      </c>
    </row>
    <row r="778" spans="1:19" ht="40">
      <c r="A778" s="8">
        <v>43348.059108796297</v>
      </c>
      <c r="B778" s="11" t="str">
        <f>HYPERLINK("https://twitter.com/exkNYO5FhIU4Uf8","@exkNYO5FhIU4Uf8")</f>
        <v>@exkNYO5FhIU4Uf8</v>
      </c>
      <c r="C778" s="6" t="s">
        <v>14656</v>
      </c>
      <c r="D778" s="5" t="s">
        <v>14714</v>
      </c>
      <c r="E778" s="9" t="str">
        <f>HYPERLINK("https://twitter.com/exkNYO5FhIU4Uf8/status/1037081647097761800","1037081647097761800")</f>
        <v>1037081647097761800</v>
      </c>
      <c r="F778" s="10" t="s">
        <v>14713</v>
      </c>
      <c r="G778" s="4"/>
      <c r="H778" s="4"/>
      <c r="I778" s="10" t="str">
        <f>HYPERLINK("http://twitter.com/#!/download/ipad","Twitter for iPad")</f>
        <v>Twitter for iPad</v>
      </c>
      <c r="J778" s="2">
        <v>158</v>
      </c>
      <c r="K778" s="2">
        <v>461</v>
      </c>
      <c r="L778" s="2">
        <v>0</v>
      </c>
      <c r="M778" s="2"/>
      <c r="N778" s="8">
        <v>43316.086261574077</v>
      </c>
      <c r="O778" s="4"/>
      <c r="P778" s="3" t="s">
        <v>14654</v>
      </c>
      <c r="Q778" s="4"/>
      <c r="R778" s="4"/>
      <c r="S778" s="9" t="str">
        <f>HYPERLINK("https://pbs.twimg.com/profile_images/1025496693176000512/1cqEPoNX.jpg","View")</f>
        <v>View</v>
      </c>
    </row>
    <row r="779" spans="1:19" ht="40">
      <c r="A779" s="8">
        <v>43348.058240740742</v>
      </c>
      <c r="B779" s="11" t="str">
        <f>HYPERLINK("https://twitter.com/AliQorbani","@AliQorbani")</f>
        <v>@AliQorbani</v>
      </c>
      <c r="C779" s="6" t="s">
        <v>14712</v>
      </c>
      <c r="D779" s="5" t="s">
        <v>14711</v>
      </c>
      <c r="E779" s="9" t="str">
        <f>HYPERLINK("https://twitter.com/AliQorbani/status/1037081334416461824","1037081334416461824")</f>
        <v>1037081334416461824</v>
      </c>
      <c r="F779" s="4"/>
      <c r="G779" s="4"/>
      <c r="H779" s="4"/>
      <c r="I779" s="10" t="str">
        <f>HYPERLINK("http://twitter.com","Twitter Web Client")</f>
        <v>Twitter Web Client</v>
      </c>
      <c r="J779" s="2">
        <v>212</v>
      </c>
      <c r="K779" s="2">
        <v>267</v>
      </c>
      <c r="L779" s="2">
        <v>0</v>
      </c>
      <c r="M779" s="2"/>
      <c r="N779" s="8">
        <v>41338.831689814819</v>
      </c>
      <c r="O779" s="4" t="s">
        <v>14710</v>
      </c>
      <c r="P779" s="3" t="s">
        <v>14709</v>
      </c>
      <c r="Q779" s="10" t="s">
        <v>14708</v>
      </c>
      <c r="R779" s="4"/>
      <c r="S779" s="9" t="str">
        <f>HYPERLINK("https://pbs.twimg.com/profile_images/1037089826846076930/2nJoKZ11.jpg","View")</f>
        <v>View</v>
      </c>
    </row>
    <row r="780" spans="1:19" ht="40">
      <c r="A780" s="8">
        <v>43348.057499999995</v>
      </c>
      <c r="B780" s="11" t="str">
        <f>HYPERLINK("https://twitter.com/Revman10","@Revman10")</f>
        <v>@Revman10</v>
      </c>
      <c r="C780" s="6" t="s">
        <v>4403</v>
      </c>
      <c r="D780" s="5" t="s">
        <v>14707</v>
      </c>
      <c r="E780" s="9" t="str">
        <f>HYPERLINK("https://twitter.com/Revman10/status/1037081064869650437","1037081064869650437")</f>
        <v>1037081064869650437</v>
      </c>
      <c r="F780" s="4"/>
      <c r="G780" s="4"/>
      <c r="H780" s="4"/>
      <c r="I780" s="10" t="str">
        <f>HYPERLINK("http://twitter.com/download/android","Twitter for Android")</f>
        <v>Twitter for Android</v>
      </c>
      <c r="J780" s="2">
        <v>76</v>
      </c>
      <c r="K780" s="2">
        <v>96</v>
      </c>
      <c r="L780" s="2">
        <v>0</v>
      </c>
      <c r="M780" s="2"/>
      <c r="N780" s="8">
        <v>43271.257766203707</v>
      </c>
      <c r="O780" s="4" t="s">
        <v>324</v>
      </c>
      <c r="P780" s="3" t="s">
        <v>4401</v>
      </c>
      <c r="Q780" s="4"/>
      <c r="R780" s="4"/>
      <c r="S780" s="9" t="str">
        <f>HYPERLINK("https://pbs.twimg.com/profile_images/1027487813896429568/Gbn1h0z3.jpg","View")</f>
        <v>View</v>
      </c>
    </row>
    <row r="781" spans="1:19" ht="30">
      <c r="A781" s="8">
        <v>43348.055844907409</v>
      </c>
      <c r="B781" s="11" t="str">
        <f>HYPERLINK("https://twitter.com/TSheikhyfard","@TSheikhyfard")</f>
        <v>@TSheikhyfard</v>
      </c>
      <c r="C781" s="6" t="s">
        <v>14706</v>
      </c>
      <c r="D781" s="5" t="s">
        <v>14705</v>
      </c>
      <c r="E781" s="9" t="str">
        <f>HYPERLINK("https://twitter.com/TSheikhyfard/status/1037080466405384193","1037080466405384193")</f>
        <v>1037080466405384193</v>
      </c>
      <c r="F781" s="4"/>
      <c r="G781" s="10" t="s">
        <v>14704</v>
      </c>
      <c r="H781" s="4"/>
      <c r="I781" s="10" t="str">
        <f>HYPERLINK("http://twitter.com/download/android","Twitter for Android")</f>
        <v>Twitter for Android</v>
      </c>
      <c r="J781" s="2">
        <v>198</v>
      </c>
      <c r="K781" s="2">
        <v>257</v>
      </c>
      <c r="L781" s="2">
        <v>0</v>
      </c>
      <c r="M781" s="2"/>
      <c r="N781" s="8">
        <v>43305.527337962965</v>
      </c>
      <c r="O781" s="4" t="s">
        <v>2193</v>
      </c>
      <c r="P781" s="3" t="s">
        <v>14703</v>
      </c>
      <c r="Q781" s="4"/>
      <c r="R781" s="4"/>
      <c r="S781" s="9" t="str">
        <f>HYPERLINK("https://pbs.twimg.com/profile_images/1036608118212493312/YqDblhIx.jpg","View")</f>
        <v>View</v>
      </c>
    </row>
    <row r="782" spans="1:19" ht="12.5">
      <c r="A782" s="8">
        <v>43348.052789351852</v>
      </c>
      <c r="B782" s="11" t="str">
        <f>HYPERLINK("https://twitter.com/Silverboy","@Silverboy")</f>
        <v>@Silverboy</v>
      </c>
      <c r="C782" s="6" t="s">
        <v>802</v>
      </c>
      <c r="D782" s="5" t="s">
        <v>14702</v>
      </c>
      <c r="E782" s="9" t="str">
        <f>HYPERLINK("https://twitter.com/Silverboy/status/1037079358987558912","1037079358987558912")</f>
        <v>1037079358987558912</v>
      </c>
      <c r="F782" s="4"/>
      <c r="G782" s="4"/>
      <c r="H782" s="4"/>
      <c r="I782" s="10" t="str">
        <f>HYPERLINK("http://twitter.com/download/android","Twitter for Android")</f>
        <v>Twitter for Android</v>
      </c>
      <c r="J782" s="2">
        <v>27</v>
      </c>
      <c r="K782" s="2">
        <v>52</v>
      </c>
      <c r="L782" s="2">
        <v>0</v>
      </c>
      <c r="M782" s="2"/>
      <c r="N782" s="8">
        <v>39749.516006944446</v>
      </c>
      <c r="O782" s="4"/>
      <c r="P782" s="3" t="s">
        <v>800</v>
      </c>
      <c r="Q782" s="4"/>
      <c r="R782" s="4"/>
      <c r="S782" s="9" t="str">
        <f>HYPERLINK("https://pbs.twimg.com/profile_images/587716386417278976/LylbXwNr.jpg","View")</f>
        <v>View</v>
      </c>
    </row>
    <row r="783" spans="1:19" ht="40">
      <c r="A783" s="8">
        <v>43348.052500000005</v>
      </c>
      <c r="B783" s="11" t="str">
        <f>HYPERLINK("https://twitter.com/_aMirOO_","@_aMirOO_")</f>
        <v>@_aMirOO_</v>
      </c>
      <c r="C783" s="6" t="s">
        <v>14701</v>
      </c>
      <c r="D783" s="5" t="s">
        <v>14700</v>
      </c>
      <c r="E783" s="9" t="str">
        <f>HYPERLINK("https://twitter.com/_aMirOO_/status/1037079254431948800","1037079254431948800")</f>
        <v>1037079254431948800</v>
      </c>
      <c r="F783" s="4"/>
      <c r="G783" s="4"/>
      <c r="H783" s="4"/>
      <c r="I783" s="10" t="str">
        <f>HYPERLINK("http://twitter.com/download/android","Twitter for Android")</f>
        <v>Twitter for Android</v>
      </c>
      <c r="J783" s="2">
        <v>254</v>
      </c>
      <c r="K783" s="2">
        <v>342</v>
      </c>
      <c r="L783" s="2">
        <v>10</v>
      </c>
      <c r="M783" s="2"/>
      <c r="N783" s="8">
        <v>40072.572662037041</v>
      </c>
      <c r="O783" s="4" t="s">
        <v>14699</v>
      </c>
      <c r="P783" s="3" t="s">
        <v>14698</v>
      </c>
      <c r="Q783" s="4"/>
      <c r="R783" s="4"/>
      <c r="S783" s="9" t="str">
        <f>HYPERLINK("https://pbs.twimg.com/profile_images/875416432728657921/j6cTtzj4.jpg","View")</f>
        <v>View</v>
      </c>
    </row>
    <row r="784" spans="1:19" ht="30">
      <c r="A784" s="8">
        <v>43348.052048611113</v>
      </c>
      <c r="B784" s="11" t="str">
        <f>HYPERLINK("https://twitter.com/mosn0098","@mosn0098")</f>
        <v>@mosn0098</v>
      </c>
      <c r="C784" s="6" t="s">
        <v>14678</v>
      </c>
      <c r="D784" s="5" t="s">
        <v>14697</v>
      </c>
      <c r="E784" s="9" t="str">
        <f>HYPERLINK("https://twitter.com/mosn0098/status/1037079090648506368","1037079090648506368")</f>
        <v>1037079090648506368</v>
      </c>
      <c r="F784" s="4"/>
      <c r="G784" s="4"/>
      <c r="H784" s="4"/>
      <c r="I784" s="10" t="str">
        <f>HYPERLINK("http://twitter.com","Twitter Web Client")</f>
        <v>Twitter Web Client</v>
      </c>
      <c r="J784" s="2">
        <v>216</v>
      </c>
      <c r="K784" s="2">
        <v>242</v>
      </c>
      <c r="L784" s="2">
        <v>1</v>
      </c>
      <c r="M784" s="2"/>
      <c r="N784" s="8">
        <v>42460.145625000005</v>
      </c>
      <c r="O784" s="4" t="s">
        <v>14676</v>
      </c>
      <c r="P784" s="3"/>
      <c r="Q784" s="4"/>
      <c r="R784" s="4"/>
      <c r="S784" s="9" t="str">
        <f>HYPERLINK("https://pbs.twimg.com/profile_images/717846988058923009/YRvoyxkR.jpg","View")</f>
        <v>View</v>
      </c>
    </row>
    <row r="785" spans="1:19" ht="20">
      <c r="A785" s="8">
        <v>43348.051851851851</v>
      </c>
      <c r="B785" s="11" t="str">
        <f>HYPERLINK("https://twitter.com/MuhamadHashemi","@MuhamadHashemi")</f>
        <v>@MuhamadHashemi</v>
      </c>
      <c r="C785" s="6" t="s">
        <v>11737</v>
      </c>
      <c r="D785" s="5" t="s">
        <v>14696</v>
      </c>
      <c r="E785" s="9" t="str">
        <f>HYPERLINK("https://twitter.com/MuhamadHashemi/status/1037079016707117056","1037079016707117056")</f>
        <v>1037079016707117056</v>
      </c>
      <c r="F785" s="4"/>
      <c r="G785" s="4"/>
      <c r="H785" s="4"/>
      <c r="I785" s="10" t="str">
        <f>HYPERLINK("http://twitter.com/download/android","Twitter for Android")</f>
        <v>Twitter for Android</v>
      </c>
      <c r="J785" s="2">
        <v>63</v>
      </c>
      <c r="K785" s="2">
        <v>115</v>
      </c>
      <c r="L785" s="2">
        <v>0</v>
      </c>
      <c r="M785" s="2"/>
      <c r="N785" s="8">
        <v>42894.115115740744</v>
      </c>
      <c r="O785" s="4"/>
      <c r="P785" s="3" t="s">
        <v>11734</v>
      </c>
      <c r="Q785" s="4"/>
      <c r="R785" s="4"/>
      <c r="S785" s="9" t="str">
        <f>HYPERLINK("https://pbs.twimg.com/profile_images/920352673869844480/y-CFYGyV.jpg","View")</f>
        <v>View</v>
      </c>
    </row>
    <row r="786" spans="1:19" ht="30">
      <c r="A786" s="8">
        <v>43348.051840277782</v>
      </c>
      <c r="B786" s="11" t="str">
        <f>HYPERLINK("https://twitter.com/Alireza_Malekii","@Alireza_Malekii")</f>
        <v>@Alireza_Malekii</v>
      </c>
      <c r="C786" s="6" t="s">
        <v>3785</v>
      </c>
      <c r="D786" s="5" t="s">
        <v>14695</v>
      </c>
      <c r="E786" s="9" t="str">
        <f>HYPERLINK("https://twitter.com/Alireza_Malekii/status/1037079014085718019","1037079014085718019")</f>
        <v>1037079014085718019</v>
      </c>
      <c r="F786" s="4"/>
      <c r="G786" s="10" t="s">
        <v>14694</v>
      </c>
      <c r="H786" s="4"/>
      <c r="I786" s="10" t="str">
        <f>HYPERLINK("https://mobile.twitter.com","Twitter Lite")</f>
        <v>Twitter Lite</v>
      </c>
      <c r="J786" s="2">
        <v>83</v>
      </c>
      <c r="K786" s="2">
        <v>121</v>
      </c>
      <c r="L786" s="2">
        <v>1</v>
      </c>
      <c r="M786" s="2"/>
      <c r="N786" s="8">
        <v>43225.406747685185</v>
      </c>
      <c r="O786" s="4" t="s">
        <v>34</v>
      </c>
      <c r="P786" s="3" t="s">
        <v>3782</v>
      </c>
      <c r="Q786" s="4"/>
      <c r="R786" s="4"/>
      <c r="S786" s="9" t="str">
        <f>HYPERLINK("https://pbs.twimg.com/profile_images/997755069561946112/VsinKddP.jpg","View")</f>
        <v>View</v>
      </c>
    </row>
    <row r="787" spans="1:19" ht="40">
      <c r="A787" s="8">
        <v>43348.051770833335</v>
      </c>
      <c r="B787" s="11" t="str">
        <f>HYPERLINK("https://twitter.com/Esharat57","@Esharat57")</f>
        <v>@Esharat57</v>
      </c>
      <c r="C787" s="6" t="s">
        <v>14693</v>
      </c>
      <c r="D787" s="5" t="s">
        <v>14692</v>
      </c>
      <c r="E787" s="9" t="str">
        <f>HYPERLINK("https://twitter.com/Esharat57/status/1037078989406437377","1037078989406437377")</f>
        <v>1037078989406437377</v>
      </c>
      <c r="F787" s="4"/>
      <c r="G787" s="4"/>
      <c r="H787" s="4"/>
      <c r="I787" s="10" t="str">
        <f>HYPERLINK("http://twitter.com/download/android","Twitter for Android")</f>
        <v>Twitter for Android</v>
      </c>
      <c r="J787" s="2">
        <v>532</v>
      </c>
      <c r="K787" s="2">
        <v>318</v>
      </c>
      <c r="L787" s="2">
        <v>7</v>
      </c>
      <c r="M787" s="2"/>
      <c r="N787" s="8">
        <v>43000.421759259261</v>
      </c>
      <c r="O787" s="4" t="s">
        <v>324</v>
      </c>
      <c r="P787" s="3" t="s">
        <v>14691</v>
      </c>
      <c r="Q787" s="4"/>
      <c r="R787" s="4"/>
      <c r="S787" s="9" t="str">
        <f>HYPERLINK("https://pbs.twimg.com/profile_images/979603970955018240/6M0cCQ39.jpg","View")</f>
        <v>View</v>
      </c>
    </row>
    <row r="788" spans="1:19" ht="40">
      <c r="A788" s="8">
        <v>43348.051435185189</v>
      </c>
      <c r="B788" s="11" t="str">
        <f>HYPERLINK("https://twitter.com/exkNYO5FhIU4Uf8","@exkNYO5FhIU4Uf8")</f>
        <v>@exkNYO5FhIU4Uf8</v>
      </c>
      <c r="C788" s="6" t="s">
        <v>14656</v>
      </c>
      <c r="D788" s="5" t="s">
        <v>14690</v>
      </c>
      <c r="E788" s="9" t="str">
        <f>HYPERLINK("https://twitter.com/exkNYO5FhIU4Uf8/status/1037078866123206656","1037078866123206656")</f>
        <v>1037078866123206656</v>
      </c>
      <c r="F788" s="4"/>
      <c r="G788" s="10" t="s">
        <v>14689</v>
      </c>
      <c r="H788" s="4"/>
      <c r="I788" s="10" t="str">
        <f>HYPERLINK("http://twitter.com/#!/download/ipad","Twitter for iPad")</f>
        <v>Twitter for iPad</v>
      </c>
      <c r="J788" s="2">
        <v>158</v>
      </c>
      <c r="K788" s="2">
        <v>461</v>
      </c>
      <c r="L788" s="2">
        <v>0</v>
      </c>
      <c r="M788" s="2"/>
      <c r="N788" s="8">
        <v>43316.086261574077</v>
      </c>
      <c r="O788" s="4"/>
      <c r="P788" s="3" t="s">
        <v>14654</v>
      </c>
      <c r="Q788" s="4"/>
      <c r="R788" s="4"/>
      <c r="S788" s="9" t="str">
        <f>HYPERLINK("https://pbs.twimg.com/profile_images/1025496693176000512/1cqEPoNX.jpg","View")</f>
        <v>View</v>
      </c>
    </row>
    <row r="789" spans="1:19" ht="20">
      <c r="A789" s="8">
        <v>43348.051273148143</v>
      </c>
      <c r="B789" s="11" t="str">
        <f>HYPERLINK("https://twitter.com/SaraKisehchi","@SaraKisehchi")</f>
        <v>@SaraKisehchi</v>
      </c>
      <c r="C789" s="6" t="s">
        <v>14688</v>
      </c>
      <c r="D789" s="5" t="s">
        <v>14687</v>
      </c>
      <c r="E789" s="9" t="str">
        <f>HYPERLINK("https://twitter.com/SaraKisehchi/status/1037078808468303874","1037078808468303874")</f>
        <v>1037078808468303874</v>
      </c>
      <c r="F789" s="4"/>
      <c r="G789" s="4"/>
      <c r="H789" s="4"/>
      <c r="I789" s="10" t="str">
        <f>HYPERLINK("http://twitter.com/download/iphone","Twitter for iPhone")</f>
        <v>Twitter for iPhone</v>
      </c>
      <c r="J789" s="2">
        <v>69</v>
      </c>
      <c r="K789" s="2">
        <v>81</v>
      </c>
      <c r="L789" s="2">
        <v>0</v>
      </c>
      <c r="M789" s="2"/>
      <c r="N789" s="8">
        <v>42841.847337962958</v>
      </c>
      <c r="O789" s="4"/>
      <c r="P789" s="3" t="s">
        <v>14686</v>
      </c>
      <c r="Q789" s="4"/>
      <c r="R789" s="4"/>
      <c r="S789" s="9" t="str">
        <f>HYPERLINK("https://pbs.twimg.com/profile_images/853639282615078912/wNjFFKgJ.jpg","View")</f>
        <v>View</v>
      </c>
    </row>
    <row r="790" spans="1:19" ht="30">
      <c r="A790" s="8">
        <v>43348.050509259258</v>
      </c>
      <c r="B790" s="11" t="str">
        <f>HYPERLINK("https://twitter.com/jedale_farhangi","@jedale_farhangi")</f>
        <v>@jedale_farhangi</v>
      </c>
      <c r="C790" s="6" t="s">
        <v>10544</v>
      </c>
      <c r="D790" s="5" t="s">
        <v>14685</v>
      </c>
      <c r="E790" s="9" t="str">
        <f>HYPERLINK("https://twitter.com/jedale_farhangi/status/1037078533237923840","1037078533237923840")</f>
        <v>1037078533237923840</v>
      </c>
      <c r="F790" s="4"/>
      <c r="G790" s="10" t="s">
        <v>14684</v>
      </c>
      <c r="H790" s="4"/>
      <c r="I790" s="10" t="str">
        <f>HYPERLINK("http://twitter.com/download/android","Twitter for Android")</f>
        <v>Twitter for Android</v>
      </c>
      <c r="J790" s="2">
        <v>426</v>
      </c>
      <c r="K790" s="2">
        <v>749</v>
      </c>
      <c r="L790" s="2">
        <v>1</v>
      </c>
      <c r="M790" s="2"/>
      <c r="N790" s="8">
        <v>43276.684131944443</v>
      </c>
      <c r="O790" s="4"/>
      <c r="P790" s="3" t="s">
        <v>10541</v>
      </c>
      <c r="Q790" s="4"/>
      <c r="R790" s="4"/>
      <c r="S790" s="9" t="str">
        <f>HYPERLINK("https://pbs.twimg.com/profile_images/1019185540762136576/IhHwzm65.jpg","View")</f>
        <v>View</v>
      </c>
    </row>
    <row r="791" spans="1:19" ht="20">
      <c r="A791" s="8">
        <v>43348.050439814819</v>
      </c>
      <c r="B791" s="11" t="str">
        <f>HYPERLINK("https://twitter.com/mosn0098","@mosn0098")</f>
        <v>@mosn0098</v>
      </c>
      <c r="C791" s="6" t="s">
        <v>14678</v>
      </c>
      <c r="D791" s="5" t="s">
        <v>14683</v>
      </c>
      <c r="E791" s="9" t="str">
        <f>HYPERLINK("https://twitter.com/mosn0098/status/1037078504138055681","1037078504138055681")</f>
        <v>1037078504138055681</v>
      </c>
      <c r="F791" s="4"/>
      <c r="G791" s="4"/>
      <c r="H791" s="4"/>
      <c r="I791" s="10" t="str">
        <f>HYPERLINK("http://twitter.com","Twitter Web Client")</f>
        <v>Twitter Web Client</v>
      </c>
      <c r="J791" s="2">
        <v>216</v>
      </c>
      <c r="K791" s="2">
        <v>242</v>
      </c>
      <c r="L791" s="2">
        <v>1</v>
      </c>
      <c r="M791" s="2"/>
      <c r="N791" s="8">
        <v>42460.145625000005</v>
      </c>
      <c r="O791" s="4" t="s">
        <v>14676</v>
      </c>
      <c r="P791" s="3"/>
      <c r="Q791" s="4"/>
      <c r="R791" s="4"/>
      <c r="S791" s="9" t="str">
        <f>HYPERLINK("https://pbs.twimg.com/profile_images/717846988058923009/YRvoyxkR.jpg","View")</f>
        <v>View</v>
      </c>
    </row>
    <row r="792" spans="1:19" ht="20">
      <c r="A792" s="8">
        <v>43348.048414351855</v>
      </c>
      <c r="B792" s="11" t="str">
        <f>HYPERLINK("https://twitter.com/iam_amiran","@iam_amiran")</f>
        <v>@iam_amiran</v>
      </c>
      <c r="C792" s="6" t="s">
        <v>14682</v>
      </c>
      <c r="D792" s="5" t="s">
        <v>14681</v>
      </c>
      <c r="E792" s="9" t="str">
        <f>HYPERLINK("https://twitter.com/iam_amiran/status/1037077770151636992","1037077770151636992")</f>
        <v>1037077770151636992</v>
      </c>
      <c r="F792" s="4"/>
      <c r="G792" s="4"/>
      <c r="H792" s="4"/>
      <c r="I792" s="10" t="str">
        <f>HYPERLINK("http://twitter.com/download/android","Twitter for Android")</f>
        <v>Twitter for Android</v>
      </c>
      <c r="J792" s="2">
        <v>28</v>
      </c>
      <c r="K792" s="2">
        <v>40</v>
      </c>
      <c r="L792" s="2">
        <v>0</v>
      </c>
      <c r="M792" s="2"/>
      <c r="N792" s="8">
        <v>42930.966307870374</v>
      </c>
      <c r="O792" s="4" t="s">
        <v>34</v>
      </c>
      <c r="P792" s="3" t="s">
        <v>14680</v>
      </c>
      <c r="Q792" s="10" t="s">
        <v>14679</v>
      </c>
      <c r="R792" s="4"/>
      <c r="S792" s="9" t="str">
        <f>HYPERLINK("https://pbs.twimg.com/profile_images/1031491096541622274/JymyuHt9.jpg","View")</f>
        <v>View</v>
      </c>
    </row>
    <row r="793" spans="1:19" ht="30">
      <c r="A793" s="8">
        <v>43348.048009259262</v>
      </c>
      <c r="B793" s="11" t="str">
        <f>HYPERLINK("https://twitter.com/mosn0098","@mosn0098")</f>
        <v>@mosn0098</v>
      </c>
      <c r="C793" s="6" t="s">
        <v>14678</v>
      </c>
      <c r="D793" s="5" t="s">
        <v>14677</v>
      </c>
      <c r="E793" s="9" t="str">
        <f>HYPERLINK("https://twitter.com/mosn0098/status/1037077624441524224","1037077624441524224")</f>
        <v>1037077624441524224</v>
      </c>
      <c r="F793" s="4"/>
      <c r="G793" s="4"/>
      <c r="H793" s="4"/>
      <c r="I793" s="10" t="str">
        <f>HYPERLINK("http://twitter.com","Twitter Web Client")</f>
        <v>Twitter Web Client</v>
      </c>
      <c r="J793" s="2">
        <v>216</v>
      </c>
      <c r="K793" s="2">
        <v>242</v>
      </c>
      <c r="L793" s="2">
        <v>1</v>
      </c>
      <c r="M793" s="2"/>
      <c r="N793" s="8">
        <v>42460.145625000005</v>
      </c>
      <c r="O793" s="4" t="s">
        <v>14676</v>
      </c>
      <c r="P793" s="3"/>
      <c r="Q793" s="4"/>
      <c r="R793" s="4"/>
      <c r="S793" s="9" t="str">
        <f>HYPERLINK("https://pbs.twimg.com/profile_images/717846988058923009/YRvoyxkR.jpg","View")</f>
        <v>View</v>
      </c>
    </row>
    <row r="794" spans="1:19" ht="40">
      <c r="A794" s="8">
        <v>43348.045682870375</v>
      </c>
      <c r="B794" s="11" t="str">
        <f>HYPERLINK("https://twitter.com/saberbostaniasl","@saberbostaniasl")</f>
        <v>@saberbostaniasl</v>
      </c>
      <c r="C794" s="6" t="s">
        <v>13466</v>
      </c>
      <c r="D794" s="5" t="s">
        <v>14675</v>
      </c>
      <c r="E794" s="9" t="str">
        <f>HYPERLINK("https://twitter.com/saberbostaniasl/status/1037076783005360128","1037076783005360128")</f>
        <v>1037076783005360128</v>
      </c>
      <c r="F794" s="4"/>
      <c r="G794" s="4"/>
      <c r="H794" s="4"/>
      <c r="I794" s="10" t="str">
        <f>HYPERLINK("http://twitter.com/download/android","Twitter for Android")</f>
        <v>Twitter for Android</v>
      </c>
      <c r="J794" s="2">
        <v>7284</v>
      </c>
      <c r="K794" s="2">
        <v>590</v>
      </c>
      <c r="L794" s="2">
        <v>56</v>
      </c>
      <c r="M794" s="2"/>
      <c r="N794" s="8">
        <v>41109.453680555554</v>
      </c>
      <c r="O794" s="4" t="s">
        <v>3090</v>
      </c>
      <c r="P794" s="3" t="s">
        <v>13464</v>
      </c>
      <c r="Q794" s="10" t="s">
        <v>13463</v>
      </c>
      <c r="R794" s="4"/>
      <c r="S794" s="9" t="str">
        <f>HYPERLINK("https://pbs.twimg.com/profile_images/1008002620185894913/m6yFi9nO.jpg","View")</f>
        <v>View</v>
      </c>
    </row>
    <row r="795" spans="1:19" ht="20">
      <c r="A795" s="8">
        <v>43348.044120370367</v>
      </c>
      <c r="B795" s="11" t="str">
        <f>HYPERLINK("https://twitter.com/Azadeazi1","@Azadeazi1")</f>
        <v>@Azadeazi1</v>
      </c>
      <c r="C795" s="6" t="s">
        <v>14674</v>
      </c>
      <c r="D795" s="5" t="s">
        <v>14673</v>
      </c>
      <c r="E795" s="9" t="str">
        <f>HYPERLINK("https://twitter.com/Azadeazi1/status/1037076214048014338","1037076214048014338")</f>
        <v>1037076214048014338</v>
      </c>
      <c r="F795" s="4"/>
      <c r="G795" s="4"/>
      <c r="H795" s="4"/>
      <c r="I795" s="10" t="str">
        <f>HYPERLINK("http://twitter.com/download/iphone","Twitter for iPhone")</f>
        <v>Twitter for iPhone</v>
      </c>
      <c r="J795" s="2">
        <v>26</v>
      </c>
      <c r="K795" s="2">
        <v>82</v>
      </c>
      <c r="L795" s="2">
        <v>0</v>
      </c>
      <c r="M795" s="2"/>
      <c r="N795" s="8">
        <v>43270.945358796293</v>
      </c>
      <c r="O795" s="4" t="s">
        <v>5493</v>
      </c>
      <c r="P795" s="3" t="s">
        <v>14672</v>
      </c>
      <c r="Q795" s="4"/>
      <c r="R795" s="4"/>
      <c r="S795" s="9" t="str">
        <f>HYPERLINK("https://pbs.twimg.com/profile_images/1026811720382275584/uMe2yvgz.jpg","View")</f>
        <v>View</v>
      </c>
    </row>
    <row r="796" spans="1:19" ht="20">
      <c r="A796" s="8">
        <v>43348.043969907405</v>
      </c>
      <c r="B796" s="11" t="str">
        <f>HYPERLINK("https://twitter.com/iran97b","@iran97b")</f>
        <v>@iran97b</v>
      </c>
      <c r="C796" s="6" t="s">
        <v>14671</v>
      </c>
      <c r="D796" s="5" t="s">
        <v>14670</v>
      </c>
      <c r="E796" s="9" t="str">
        <f>HYPERLINK("https://twitter.com/iran97b/status/1037076162428715008","1037076162428715008")</f>
        <v>1037076162428715008</v>
      </c>
      <c r="F796" s="4"/>
      <c r="G796" s="10" t="s">
        <v>14669</v>
      </c>
      <c r="H796" s="4"/>
      <c r="I796" s="10" t="str">
        <f>HYPERLINK("http://twitter.com/download/iphone","Twitter for iPhone")</f>
        <v>Twitter for iPhone</v>
      </c>
      <c r="J796" s="2">
        <v>58</v>
      </c>
      <c r="K796" s="2">
        <v>21</v>
      </c>
      <c r="L796" s="2">
        <v>0</v>
      </c>
      <c r="M796" s="2"/>
      <c r="N796" s="8">
        <v>43180.755057870367</v>
      </c>
      <c r="O796" s="4" t="s">
        <v>1770</v>
      </c>
      <c r="P796" s="3"/>
      <c r="Q796" s="4"/>
      <c r="R796" s="4"/>
      <c r="S796" s="9" t="str">
        <f>HYPERLINK("https://pbs.twimg.com/profile_images/1024156280896798721/a3vMS7ZU.jpg","View")</f>
        <v>View</v>
      </c>
    </row>
    <row r="797" spans="1:19" ht="40">
      <c r="A797" s="8">
        <v>43348.041921296295</v>
      </c>
      <c r="B797" s="11" t="str">
        <f>HYPERLINK("https://twitter.com/Hamiddadashi7","@Hamiddadashi7")</f>
        <v>@Hamiddadashi7</v>
      </c>
      <c r="C797" s="6" t="s">
        <v>14574</v>
      </c>
      <c r="D797" s="5" t="s">
        <v>14668</v>
      </c>
      <c r="E797" s="9" t="str">
        <f>HYPERLINK("https://twitter.com/Hamiddadashi7/status/1037075418493407238","1037075418493407238")</f>
        <v>1037075418493407238</v>
      </c>
      <c r="F797" s="4"/>
      <c r="G797" s="4"/>
      <c r="H797" s="4"/>
      <c r="I797" s="10" t="str">
        <f>HYPERLINK("http://twitter.com/download/android","Twitter for Android")</f>
        <v>Twitter for Android</v>
      </c>
      <c r="J797" s="2">
        <v>0</v>
      </c>
      <c r="K797" s="2">
        <v>0</v>
      </c>
      <c r="L797" s="2">
        <v>0</v>
      </c>
      <c r="M797" s="2"/>
      <c r="N797" s="8">
        <v>43106.624953703707</v>
      </c>
      <c r="O797" s="4" t="s">
        <v>1415</v>
      </c>
      <c r="P797" s="3" t="s">
        <v>14572</v>
      </c>
      <c r="Q797" s="4"/>
      <c r="R797" s="4"/>
      <c r="S797" s="9" t="str">
        <f>HYPERLINK("https://pbs.twimg.com/profile_images/1037067793496252416/Y6sGdEdO.jpg","View")</f>
        <v>View</v>
      </c>
    </row>
    <row r="798" spans="1:19" ht="12.5">
      <c r="A798" s="8">
        <v>43348.041805555556</v>
      </c>
      <c r="B798" s="11" t="str">
        <f>HYPERLINK("https://twitter.com/RahbareEshgh66","@RahbareEshgh66")</f>
        <v>@RahbareEshgh66</v>
      </c>
      <c r="C798" s="6" t="s">
        <v>14464</v>
      </c>
      <c r="D798" s="5" t="s">
        <v>14667</v>
      </c>
      <c r="E798" s="9" t="str">
        <f>HYPERLINK("https://twitter.com/RahbareEshgh66/status/1037075378567880704","1037075378567880704")</f>
        <v>1037075378567880704</v>
      </c>
      <c r="F798" s="4"/>
      <c r="G798" s="4"/>
      <c r="H798" s="4"/>
      <c r="I798" s="10" t="str">
        <f>HYPERLINK("https://mobile.twitter.com","Twitter Lite")</f>
        <v>Twitter Lite</v>
      </c>
      <c r="J798" s="2">
        <v>18</v>
      </c>
      <c r="K798" s="2">
        <v>51</v>
      </c>
      <c r="L798" s="2">
        <v>0</v>
      </c>
      <c r="M798" s="2"/>
      <c r="N798" s="8">
        <v>43347.660509259258</v>
      </c>
      <c r="O798" s="4"/>
      <c r="P798" s="3"/>
      <c r="Q798" s="4"/>
      <c r="R798" s="4"/>
      <c r="S798" s="9" t="str">
        <f>HYPERLINK("https://pbs.twimg.com/profile_images/1036940673247862785/O7dI6bPq.jpg","View")</f>
        <v>View</v>
      </c>
    </row>
    <row r="799" spans="1:19" ht="40">
      <c r="A799" s="8">
        <v>43348.039456018523</v>
      </c>
      <c r="B799" s="11" t="str">
        <f>HYPERLINK("https://twitter.com/10amirhosein10","@10amirhosein10")</f>
        <v>@10amirhosein10</v>
      </c>
      <c r="C799" s="6" t="s">
        <v>14047</v>
      </c>
      <c r="D799" s="5" t="s">
        <v>14666</v>
      </c>
      <c r="E799" s="9" t="str">
        <f>HYPERLINK("https://twitter.com/10amirhosein10/status/1037074526331387904","1037074526331387904")</f>
        <v>1037074526331387904</v>
      </c>
      <c r="F799" s="4"/>
      <c r="G799" s="4"/>
      <c r="H799" s="4"/>
      <c r="I799" s="10" t="str">
        <f>HYPERLINK("http://twitter.com/download/iphone","Twitter for iPhone")</f>
        <v>Twitter for iPhone</v>
      </c>
      <c r="J799" s="2">
        <v>260</v>
      </c>
      <c r="K799" s="2">
        <v>477</v>
      </c>
      <c r="L799" s="2">
        <v>1</v>
      </c>
      <c r="M799" s="2"/>
      <c r="N799" s="8">
        <v>41914.988888888889</v>
      </c>
      <c r="O799" s="4" t="s">
        <v>133</v>
      </c>
      <c r="P799" s="3" t="s">
        <v>14665</v>
      </c>
      <c r="Q799" s="4"/>
      <c r="R799" s="4"/>
      <c r="S799" s="9" t="str">
        <f>HYPERLINK("https://pbs.twimg.com/profile_images/943590821332385793/249swPf5.jpg","View")</f>
        <v>View</v>
      </c>
    </row>
    <row r="800" spans="1:19" ht="40">
      <c r="A800" s="8">
        <v>43348.039282407408</v>
      </c>
      <c r="B800" s="11" t="str">
        <f>HYPERLINK("https://twitter.com/karimian_maisam","@karimian_maisam")</f>
        <v>@karimian_maisam</v>
      </c>
      <c r="C800" s="6" t="s">
        <v>14664</v>
      </c>
      <c r="D800" s="5" t="s">
        <v>14663</v>
      </c>
      <c r="E800" s="9" t="str">
        <f>HYPERLINK("https://twitter.com/karimian_maisam/status/1037074462993260545","1037074462993260545")</f>
        <v>1037074462993260545</v>
      </c>
      <c r="F800" s="4"/>
      <c r="G800" s="4"/>
      <c r="H800" s="4"/>
      <c r="I800" s="10" t="str">
        <f>HYPERLINK("http://twitter.com/download/android","Twitter for Android")</f>
        <v>Twitter for Android</v>
      </c>
      <c r="J800" s="2">
        <v>243</v>
      </c>
      <c r="K800" s="2">
        <v>152</v>
      </c>
      <c r="L800" s="2">
        <v>1</v>
      </c>
      <c r="M800" s="2"/>
      <c r="N800" s="8">
        <v>43228.567106481481</v>
      </c>
      <c r="O800" s="4" t="s">
        <v>17</v>
      </c>
      <c r="P800" s="3" t="s">
        <v>14662</v>
      </c>
      <c r="Q800" s="4"/>
      <c r="R800" s="4"/>
      <c r="S800" s="9" t="str">
        <f>HYPERLINK("https://pbs.twimg.com/profile_images/1000631093488422912/iBNcWsuS.jpg","View")</f>
        <v>View</v>
      </c>
    </row>
    <row r="801" spans="1:19" ht="30">
      <c r="A801" s="8">
        <v>43348.038946759261</v>
      </c>
      <c r="B801" s="11" t="str">
        <f>HYPERLINK("https://twitter.com/hosein1226_ir","@hosein1226_ir")</f>
        <v>@hosein1226_ir</v>
      </c>
      <c r="C801" s="6" t="s">
        <v>14661</v>
      </c>
      <c r="D801" s="5" t="s">
        <v>14660</v>
      </c>
      <c r="E801" s="9" t="str">
        <f>HYPERLINK("https://twitter.com/hosein1226_ir/status/1037074342058909697","1037074342058909697")</f>
        <v>1037074342058909697</v>
      </c>
      <c r="F801" s="4"/>
      <c r="G801" s="4"/>
      <c r="H801" s="4"/>
      <c r="I801" s="10" t="str">
        <f>HYPERLINK("http://twitter.com/download/android","Twitter for Android")</f>
        <v>Twitter for Android</v>
      </c>
      <c r="J801" s="2">
        <v>370</v>
      </c>
      <c r="K801" s="2">
        <v>355</v>
      </c>
      <c r="L801" s="2">
        <v>1</v>
      </c>
      <c r="M801" s="2"/>
      <c r="N801" s="8">
        <v>43221.902222222227</v>
      </c>
      <c r="O801" s="4" t="s">
        <v>14659</v>
      </c>
      <c r="P801" s="3" t="s">
        <v>14658</v>
      </c>
      <c r="Q801" s="10" t="s">
        <v>14657</v>
      </c>
      <c r="R801" s="4"/>
      <c r="S801" s="9" t="str">
        <f>HYPERLINK("https://pbs.twimg.com/profile_images/1036352417250594816/Hqo0Tx3d.jpg","View")</f>
        <v>View</v>
      </c>
    </row>
    <row r="802" spans="1:19" ht="50">
      <c r="A802" s="8">
        <v>43348.038148148145</v>
      </c>
      <c r="B802" s="11" t="str">
        <f>HYPERLINK("https://twitter.com/exkNYO5FhIU4Uf8","@exkNYO5FhIU4Uf8")</f>
        <v>@exkNYO5FhIU4Uf8</v>
      </c>
      <c r="C802" s="6" t="s">
        <v>14656</v>
      </c>
      <c r="D802" s="5" t="s">
        <v>14655</v>
      </c>
      <c r="E802" s="9" t="str">
        <f>HYPERLINK("https://twitter.com/exkNYO5FhIU4Uf8/status/1037074050680532993","1037074050680532993")</f>
        <v>1037074050680532993</v>
      </c>
      <c r="F802" s="4"/>
      <c r="G802" s="4"/>
      <c r="H802" s="4"/>
      <c r="I802" s="10" t="str">
        <f>HYPERLINK("http://twitter.com/#!/download/ipad","Twitter for iPad")</f>
        <v>Twitter for iPad</v>
      </c>
      <c r="J802" s="2">
        <v>158</v>
      </c>
      <c r="K802" s="2">
        <v>461</v>
      </c>
      <c r="L802" s="2">
        <v>0</v>
      </c>
      <c r="M802" s="2"/>
      <c r="N802" s="8">
        <v>43316.086261574077</v>
      </c>
      <c r="O802" s="4"/>
      <c r="P802" s="3" t="s">
        <v>14654</v>
      </c>
      <c r="Q802" s="4"/>
      <c r="R802" s="4"/>
      <c r="S802" s="9" t="str">
        <f>HYPERLINK("https://pbs.twimg.com/profile_images/1025496693176000512/1cqEPoNX.jpg","View")</f>
        <v>View</v>
      </c>
    </row>
    <row r="803" spans="1:19" ht="30">
      <c r="A803" s="8">
        <v>43348.03805555556</v>
      </c>
      <c r="B803" s="11" t="str">
        <f>HYPERLINK("https://twitter.com/iranvatanehame","@iranvatanehame")</f>
        <v>@iranvatanehame</v>
      </c>
      <c r="C803" s="6" t="s">
        <v>14653</v>
      </c>
      <c r="D803" s="5" t="s">
        <v>14652</v>
      </c>
      <c r="E803" s="9" t="str">
        <f>HYPERLINK("https://twitter.com/iranvatanehame/status/1037074017679753217","1037074017679753217")</f>
        <v>1037074017679753217</v>
      </c>
      <c r="F803" s="4"/>
      <c r="G803" s="10" t="s">
        <v>14651</v>
      </c>
      <c r="H803" s="4"/>
      <c r="I803" s="10" t="str">
        <f>HYPERLINK("http://twitter.com/download/android","Twitter for Android")</f>
        <v>Twitter for Android</v>
      </c>
      <c r="J803" s="2">
        <v>59</v>
      </c>
      <c r="K803" s="2">
        <v>47</v>
      </c>
      <c r="L803" s="2">
        <v>0</v>
      </c>
      <c r="M803" s="2"/>
      <c r="N803" s="8">
        <v>43102.889826388884</v>
      </c>
      <c r="O803" s="4"/>
      <c r="P803" s="3"/>
      <c r="Q803" s="4"/>
      <c r="R803" s="4"/>
      <c r="S803" s="9" t="str">
        <f>HYPERLINK("https://pbs.twimg.com/profile_images/958387194351226886/y0LQ1C6l.jpg","View")</f>
        <v>View</v>
      </c>
    </row>
    <row r="804" spans="1:19" ht="40">
      <c r="A804" s="8">
        <v>43348.037349537037</v>
      </c>
      <c r="B804" s="11" t="str">
        <f>HYPERLINK("https://twitter.com/heydri93","@heydri93")</f>
        <v>@heydri93</v>
      </c>
      <c r="C804" s="6" t="s">
        <v>3542</v>
      </c>
      <c r="D804" s="5" t="s">
        <v>14650</v>
      </c>
      <c r="E804" s="9" t="str">
        <f>HYPERLINK("https://twitter.com/heydri93/status/1037073761382674432","1037073761382674432")</f>
        <v>1037073761382674432</v>
      </c>
      <c r="F804" s="4"/>
      <c r="G804" s="4"/>
      <c r="H804" s="4"/>
      <c r="I804" s="10" t="str">
        <f>HYPERLINK("http://twitter.com/download/android","Twitter for Android")</f>
        <v>Twitter for Android</v>
      </c>
      <c r="J804" s="2">
        <v>78</v>
      </c>
      <c r="K804" s="2">
        <v>16</v>
      </c>
      <c r="L804" s="2">
        <v>0</v>
      </c>
      <c r="M804" s="2"/>
      <c r="N804" s="8">
        <v>43264.730462962965</v>
      </c>
      <c r="O804" s="4" t="s">
        <v>17</v>
      </c>
      <c r="P804" s="3"/>
      <c r="Q804" s="4"/>
      <c r="R804" s="4"/>
      <c r="S804" s="9" t="str">
        <f>HYPERLINK("https://pbs.twimg.com/profile_images/1006887066255482880/vb69vP-v.jpg","View")</f>
        <v>View</v>
      </c>
    </row>
    <row r="805" spans="1:19" ht="30">
      <c r="A805" s="8">
        <v>43348.036782407406</v>
      </c>
      <c r="B805" s="11" t="str">
        <f>HYPERLINK("https://twitter.com/SaeedTavanarad","@SaeedTavanarad")</f>
        <v>@SaeedTavanarad</v>
      </c>
      <c r="C805" s="6" t="s">
        <v>14649</v>
      </c>
      <c r="D805" s="5" t="s">
        <v>14648</v>
      </c>
      <c r="E805" s="9" t="str">
        <f>HYPERLINK("https://twitter.com/SaeedTavanarad/status/1037073558365761537","1037073558365761537")</f>
        <v>1037073558365761537</v>
      </c>
      <c r="F805" s="4"/>
      <c r="G805" s="4"/>
      <c r="H805" s="4"/>
      <c r="I805" s="10" t="str">
        <f>HYPERLINK("http://twitter.com/download/android","Twitter for Android")</f>
        <v>Twitter for Android</v>
      </c>
      <c r="J805" s="2">
        <v>2211</v>
      </c>
      <c r="K805" s="2">
        <v>666</v>
      </c>
      <c r="L805" s="2">
        <v>18</v>
      </c>
      <c r="M805" s="2"/>
      <c r="N805" s="8">
        <v>42840.314039351855</v>
      </c>
      <c r="O805" s="4" t="s">
        <v>14647</v>
      </c>
      <c r="P805" s="3" t="s">
        <v>14646</v>
      </c>
      <c r="Q805" s="10" t="s">
        <v>14645</v>
      </c>
      <c r="R805" s="4"/>
      <c r="S805" s="9" t="str">
        <f>HYPERLINK("https://pbs.twimg.com/profile_images/963191677644140545/Tb98iOdO.jpg","View")</f>
        <v>View</v>
      </c>
    </row>
    <row r="806" spans="1:19" ht="30">
      <c r="A806" s="8">
        <v>43348.035960648151</v>
      </c>
      <c r="B806" s="11" t="str">
        <f>HYPERLINK("https://twitter.com/reza16ra","@reza16ra")</f>
        <v>@reza16ra</v>
      </c>
      <c r="C806" s="6" t="s">
        <v>14644</v>
      </c>
      <c r="D806" s="5" t="s">
        <v>14643</v>
      </c>
      <c r="E806" s="9" t="str">
        <f>HYPERLINK("https://twitter.com/reza16ra/status/1037073259773222912","1037073259773222912")</f>
        <v>1037073259773222912</v>
      </c>
      <c r="F806" s="4"/>
      <c r="G806" s="10" t="s">
        <v>14642</v>
      </c>
      <c r="H806" s="4"/>
      <c r="I806" s="10" t="str">
        <f>HYPERLINK("http://twitter.com/download/android","Twitter for Android")</f>
        <v>Twitter for Android</v>
      </c>
      <c r="J806" s="2">
        <v>259</v>
      </c>
      <c r="K806" s="2">
        <v>282</v>
      </c>
      <c r="L806" s="2">
        <v>0</v>
      </c>
      <c r="M806" s="2"/>
      <c r="N806" s="8">
        <v>42512.933078703703</v>
      </c>
      <c r="O806" s="4" t="s">
        <v>34</v>
      </c>
      <c r="P806" s="3" t="s">
        <v>14641</v>
      </c>
      <c r="Q806" s="4"/>
      <c r="R806" s="4"/>
      <c r="S806" s="9" t="str">
        <f>HYPERLINK("https://pbs.twimg.com/profile_images/1023564400773550080/4c7gdAD4.jpg","View")</f>
        <v>View</v>
      </c>
    </row>
    <row r="807" spans="1:19" ht="40">
      <c r="A807" s="8">
        <v>43348.035625000004</v>
      </c>
      <c r="B807" s="11" t="str">
        <f>HYPERLINK("https://twitter.com/simayazaditv","@simayazaditv")</f>
        <v>@simayazaditv</v>
      </c>
      <c r="C807" s="6" t="s">
        <v>1758</v>
      </c>
      <c r="D807" s="5" t="s">
        <v>14640</v>
      </c>
      <c r="E807" s="9" t="str">
        <f>HYPERLINK("https://twitter.com/simayazaditv/status/1037073137115049984","1037073137115049984")</f>
        <v>1037073137115049984</v>
      </c>
      <c r="F807" s="4"/>
      <c r="G807" s="10" t="s">
        <v>14639</v>
      </c>
      <c r="H807" s="4"/>
      <c r="I807" s="10" t="str">
        <f>HYPERLINK("http://twitter.com","Twitter Web Client")</f>
        <v>Twitter Web Client</v>
      </c>
      <c r="J807" s="2">
        <v>6069</v>
      </c>
      <c r="K807" s="2">
        <v>1</v>
      </c>
      <c r="L807" s="2">
        <v>101</v>
      </c>
      <c r="M807" s="2"/>
      <c r="N807" s="8">
        <v>42209.662442129629</v>
      </c>
      <c r="O807" s="4" t="s">
        <v>252</v>
      </c>
      <c r="P807" s="3"/>
      <c r="Q807" s="10" t="s">
        <v>1755</v>
      </c>
      <c r="R807" s="4"/>
      <c r="S807" s="9" t="str">
        <f>HYPERLINK("https://pbs.twimg.com/profile_images/624546008937144321/5aqccHix.png","View")</f>
        <v>View</v>
      </c>
    </row>
    <row r="808" spans="1:19" ht="20">
      <c r="A808" s="8">
        <v>43348.03429398148</v>
      </c>
      <c r="B808" s="11" t="str">
        <f>HYPERLINK("https://twitter.com/interpol1987","@interpol1987")</f>
        <v>@interpol1987</v>
      </c>
      <c r="C808" s="6" t="s">
        <v>9382</v>
      </c>
      <c r="D808" s="5" t="s">
        <v>14638</v>
      </c>
      <c r="E808" s="9" t="str">
        <f>HYPERLINK("https://twitter.com/interpol1987/status/1037072654921068544","1037072654921068544")</f>
        <v>1037072654921068544</v>
      </c>
      <c r="F808" s="4"/>
      <c r="G808" s="10" t="s">
        <v>14637</v>
      </c>
      <c r="H808" s="4"/>
      <c r="I808" s="10" t="str">
        <f>HYPERLINK("http://twitter.com/download/android","Twitter for Android")</f>
        <v>Twitter for Android</v>
      </c>
      <c r="J808" s="2">
        <v>2927</v>
      </c>
      <c r="K808" s="2">
        <v>4191</v>
      </c>
      <c r="L808" s="2">
        <v>2</v>
      </c>
      <c r="M808" s="2"/>
      <c r="N808" s="8">
        <v>42442.068773148145</v>
      </c>
      <c r="O808" s="4" t="s">
        <v>682</v>
      </c>
      <c r="P808" s="3" t="s">
        <v>9380</v>
      </c>
      <c r="Q808" s="4"/>
      <c r="R808" s="4"/>
      <c r="S808" s="9" t="str">
        <f>HYPERLINK("https://pbs.twimg.com/profile_images/1029871965723492352/9AsHSkoz.jpg","View")</f>
        <v>View</v>
      </c>
    </row>
    <row r="809" spans="1:19" ht="40">
      <c r="A809" s="8">
        <v>43348.033668981487</v>
      </c>
      <c r="B809" s="11" t="str">
        <f>HYPERLINK("https://twitter.com/AnahidIRN","@AnahidIRN")</f>
        <v>@AnahidIRN</v>
      </c>
      <c r="C809" s="6" t="s">
        <v>14636</v>
      </c>
      <c r="D809" s="5" t="s">
        <v>14635</v>
      </c>
      <c r="E809" s="9" t="str">
        <f>HYPERLINK("https://twitter.com/AnahidIRN/status/1037072428059578368","1037072428059578368")</f>
        <v>1037072428059578368</v>
      </c>
      <c r="F809" s="4"/>
      <c r="G809" s="4"/>
      <c r="H809" s="4"/>
      <c r="I809" s="10" t="str">
        <f>HYPERLINK("http://twitter.com/#!/download/ipad","Twitter for iPad")</f>
        <v>Twitter for iPad</v>
      </c>
      <c r="J809" s="2">
        <v>4481</v>
      </c>
      <c r="K809" s="2">
        <v>4438</v>
      </c>
      <c r="L809" s="2">
        <v>3</v>
      </c>
      <c r="M809" s="2"/>
      <c r="N809" s="8">
        <v>43103.500486111108</v>
      </c>
      <c r="O809" s="4" t="s">
        <v>14634</v>
      </c>
      <c r="P809" s="3" t="s">
        <v>14633</v>
      </c>
      <c r="Q809" s="4"/>
      <c r="R809" s="4"/>
      <c r="S809" s="9" t="str">
        <f>HYPERLINK("https://pbs.twimg.com/profile_images/993478025797865472/p4cH-LPB.jpg","View")</f>
        <v>View</v>
      </c>
    </row>
    <row r="810" spans="1:19" ht="30">
      <c r="A810" s="8">
        <v>43348.032870370371</v>
      </c>
      <c r="B810" s="11" t="str">
        <f>HYPERLINK("https://twitter.com/BabakKvnD","@BabakKvnD")</f>
        <v>@BabakKvnD</v>
      </c>
      <c r="C810" s="6" t="s">
        <v>14632</v>
      </c>
      <c r="D810" s="5" t="s">
        <v>14631</v>
      </c>
      <c r="E810" s="9" t="str">
        <f>HYPERLINK("https://twitter.com/BabakKvnD/status/1037072140892139520","1037072140892139520")</f>
        <v>1037072140892139520</v>
      </c>
      <c r="F810" s="4"/>
      <c r="G810" s="4"/>
      <c r="H810" s="4"/>
      <c r="I810" s="10" t="str">
        <f>HYPERLINK("http://twitter.com/download/iphone","Twitter for iPhone")</f>
        <v>Twitter for iPhone</v>
      </c>
      <c r="J810" s="2">
        <v>11</v>
      </c>
      <c r="K810" s="2">
        <v>23</v>
      </c>
      <c r="L810" s="2">
        <v>0</v>
      </c>
      <c r="M810" s="2"/>
      <c r="N810" s="8">
        <v>41904.557754629626</v>
      </c>
      <c r="O810" s="4" t="s">
        <v>71</v>
      </c>
      <c r="P810" s="3" t="s">
        <v>14630</v>
      </c>
      <c r="Q810" s="4"/>
      <c r="R810" s="4"/>
      <c r="S810" s="9" t="str">
        <f>HYPERLINK("https://pbs.twimg.com/profile_images/851178981290254336/6KSnxR7T.jpg","View")</f>
        <v>View</v>
      </c>
    </row>
    <row r="811" spans="1:19" ht="30">
      <c r="A811" s="8">
        <v>43348.029560185183</v>
      </c>
      <c r="B811" s="11" t="str">
        <f>HYPERLINK("https://twitter.com/davood274","@davood274")</f>
        <v>@davood274</v>
      </c>
      <c r="C811" s="6" t="s">
        <v>1575</v>
      </c>
      <c r="D811" s="5" t="s">
        <v>14629</v>
      </c>
      <c r="E811" s="9" t="str">
        <f>HYPERLINK("https://twitter.com/davood274/status/1037070940415438852","1037070940415438852")</f>
        <v>1037070940415438852</v>
      </c>
      <c r="F811" s="4"/>
      <c r="G811" s="4"/>
      <c r="H811" s="4"/>
      <c r="I811" s="10" t="str">
        <f>HYPERLINK("http://twitter.com/download/android","Twitter for Android")</f>
        <v>Twitter for Android</v>
      </c>
      <c r="J811" s="2">
        <v>302</v>
      </c>
      <c r="K811" s="2">
        <v>643</v>
      </c>
      <c r="L811" s="2">
        <v>0</v>
      </c>
      <c r="M811" s="2"/>
      <c r="N811" s="8">
        <v>41805.405289351853</v>
      </c>
      <c r="O811" s="4" t="s">
        <v>17</v>
      </c>
      <c r="P811" s="3" t="s">
        <v>6663</v>
      </c>
      <c r="Q811" s="4"/>
      <c r="R811" s="4"/>
      <c r="S811" s="9" t="str">
        <f>HYPERLINK("https://pbs.twimg.com/profile_images/1005366993006936067/F_JGdASe.jpg","View")</f>
        <v>View</v>
      </c>
    </row>
    <row r="812" spans="1:19" ht="50">
      <c r="A812" s="8">
        <v>43348.028668981482</v>
      </c>
      <c r="B812" s="11" t="str">
        <f>HYPERLINK("https://twitter.com/Shervinrmz","@Shervinrmz")</f>
        <v>@Shervinrmz</v>
      </c>
      <c r="C812" s="6" t="s">
        <v>14628</v>
      </c>
      <c r="D812" s="5" t="s">
        <v>14627</v>
      </c>
      <c r="E812" s="9" t="str">
        <f>HYPERLINK("https://twitter.com/Shervinrmz/status/1037070616564772864","1037070616564772864")</f>
        <v>1037070616564772864</v>
      </c>
      <c r="F812" s="10" t="s">
        <v>13297</v>
      </c>
      <c r="G812" s="10" t="s">
        <v>13296</v>
      </c>
      <c r="H812" s="4"/>
      <c r="I812" s="10" t="str">
        <f>HYPERLINK("http://twitter.com/download/android","Twitter for Android")</f>
        <v>Twitter for Android</v>
      </c>
      <c r="J812" s="2">
        <v>610</v>
      </c>
      <c r="K812" s="2">
        <v>627</v>
      </c>
      <c r="L812" s="2">
        <v>3</v>
      </c>
      <c r="M812" s="2"/>
      <c r="N812" s="8">
        <v>42749.408518518518</v>
      </c>
      <c r="O812" s="4" t="s">
        <v>34</v>
      </c>
      <c r="P812" s="3" t="s">
        <v>14626</v>
      </c>
      <c r="Q812" s="4"/>
      <c r="R812" s="4"/>
      <c r="S812" s="9" t="str">
        <f>HYPERLINK("https://pbs.twimg.com/profile_images/1035090581494685696/zQax3bwv.jpg","View")</f>
        <v>View</v>
      </c>
    </row>
    <row r="813" spans="1:19" ht="30">
      <c r="A813" s="8">
        <v>43348.028645833328</v>
      </c>
      <c r="B813" s="11" t="str">
        <f>HYPERLINK("https://twitter.com/Hamiddadashi7","@Hamiddadashi7")</f>
        <v>@Hamiddadashi7</v>
      </c>
      <c r="C813" s="6" t="s">
        <v>14574</v>
      </c>
      <c r="D813" s="5" t="s">
        <v>14625</v>
      </c>
      <c r="E813" s="9" t="str">
        <f>HYPERLINK("https://twitter.com/Hamiddadashi7/status/1037070607899340800","1037070607899340800")</f>
        <v>1037070607899340800</v>
      </c>
      <c r="F813" s="4"/>
      <c r="G813" s="4"/>
      <c r="H813" s="4"/>
      <c r="I813" s="10" t="str">
        <f>HYPERLINK("http://twitter.com/download/android","Twitter for Android")</f>
        <v>Twitter for Android</v>
      </c>
      <c r="J813" s="2">
        <v>0</v>
      </c>
      <c r="K813" s="2">
        <v>0</v>
      </c>
      <c r="L813" s="2">
        <v>0</v>
      </c>
      <c r="M813" s="2"/>
      <c r="N813" s="8">
        <v>43106.624953703707</v>
      </c>
      <c r="O813" s="4" t="s">
        <v>1415</v>
      </c>
      <c r="P813" s="3" t="s">
        <v>14572</v>
      </c>
      <c r="Q813" s="4"/>
      <c r="R813" s="4"/>
      <c r="S813" s="9" t="str">
        <f>HYPERLINK("https://pbs.twimg.com/profile_images/1037067793496252416/Y6sGdEdO.jpg","View")</f>
        <v>View</v>
      </c>
    </row>
    <row r="814" spans="1:19" ht="30">
      <c r="A814" s="8">
        <v>43348.028090277774</v>
      </c>
      <c r="B814" s="11" t="str">
        <f>HYPERLINK("https://twitter.com/mjjavadzadeh","@mjjavadzadeh")</f>
        <v>@mjjavadzadeh</v>
      </c>
      <c r="C814" s="6" t="s">
        <v>14624</v>
      </c>
      <c r="D814" s="5" t="s">
        <v>14623</v>
      </c>
      <c r="E814" s="9" t="str">
        <f>HYPERLINK("https://twitter.com/mjjavadzadeh/status/1037070408720297985","1037070408720297985")</f>
        <v>1037070408720297985</v>
      </c>
      <c r="F814" s="4"/>
      <c r="G814" s="4"/>
      <c r="H814" s="4"/>
      <c r="I814" s="10" t="str">
        <f>HYPERLINK("http://twitter.com/download/iphone","Twitter for iPhone")</f>
        <v>Twitter for iPhone</v>
      </c>
      <c r="J814" s="2">
        <v>1145</v>
      </c>
      <c r="K814" s="2">
        <v>474</v>
      </c>
      <c r="L814" s="2">
        <v>5</v>
      </c>
      <c r="M814" s="2"/>
      <c r="N814" s="8">
        <v>42805.068020833336</v>
      </c>
      <c r="O814" s="4" t="s">
        <v>34</v>
      </c>
      <c r="P814" s="3" t="s">
        <v>14622</v>
      </c>
      <c r="Q814" s="4"/>
      <c r="R814" s="4"/>
      <c r="S814" s="9" t="str">
        <f>HYPERLINK("https://pbs.twimg.com/profile_images/1030051340804874240/OL3UaQ9m.jpg","View")</f>
        <v>View</v>
      </c>
    </row>
    <row r="815" spans="1:19" ht="20">
      <c r="A815" s="8">
        <v>43348.027453703704</v>
      </c>
      <c r="B815" s="11" t="str">
        <f>HYPERLINK("https://twitter.com/kenare_mardomam","@kenare_mardomam")</f>
        <v>@kenare_mardomam</v>
      </c>
      <c r="C815" s="6" t="s">
        <v>14621</v>
      </c>
      <c r="D815" s="5" t="s">
        <v>14620</v>
      </c>
      <c r="E815" s="9" t="str">
        <f>HYPERLINK("https://twitter.com/kenare_mardomam/status/1037070175693139974","1037070175693139974")</f>
        <v>1037070175693139974</v>
      </c>
      <c r="F815" s="4"/>
      <c r="G815" s="10" t="s">
        <v>14619</v>
      </c>
      <c r="H815" s="4"/>
      <c r="I815" s="10" t="str">
        <f>HYPERLINK("http://twitter.com/download/android","Twitter for Android")</f>
        <v>Twitter for Android</v>
      </c>
      <c r="J815" s="2">
        <v>453</v>
      </c>
      <c r="K815" s="2">
        <v>1340</v>
      </c>
      <c r="L815" s="2">
        <v>1</v>
      </c>
      <c r="M815" s="2"/>
      <c r="N815" s="8">
        <v>43275.389548611114</v>
      </c>
      <c r="O815" s="4" t="s">
        <v>14618</v>
      </c>
      <c r="P815" s="3" t="s">
        <v>14617</v>
      </c>
      <c r="Q815" s="4"/>
      <c r="R815" s="4"/>
      <c r="S815" s="9" t="str">
        <f>HYPERLINK("https://pbs.twimg.com/profile_images/1025019720267784192/ovGNsLda.jpg","View")</f>
        <v>View</v>
      </c>
    </row>
    <row r="816" spans="1:19" ht="20">
      <c r="A816" s="8">
        <v>43348.027291666665</v>
      </c>
      <c r="B816" s="11" t="str">
        <f>HYPERLINK("https://twitter.com/m_kamyab25","@m_kamyab25")</f>
        <v>@m_kamyab25</v>
      </c>
      <c r="C816" s="6" t="s">
        <v>14616</v>
      </c>
      <c r="D816" s="5" t="s">
        <v>14615</v>
      </c>
      <c r="E816" s="9" t="str">
        <f>HYPERLINK("https://twitter.com/m_kamyab25/status/1037070117916626945","1037070117916626945")</f>
        <v>1037070117916626945</v>
      </c>
      <c r="F816" s="10" t="s">
        <v>14614</v>
      </c>
      <c r="G816" s="10" t="s">
        <v>14613</v>
      </c>
      <c r="H816" s="4"/>
      <c r="I816" s="10" t="str">
        <f>HYPERLINK("http://twitter.com/download/android","Twitter for Android")</f>
        <v>Twitter for Android</v>
      </c>
      <c r="J816" s="2">
        <v>50</v>
      </c>
      <c r="K816" s="2">
        <v>63</v>
      </c>
      <c r="L816" s="2">
        <v>0</v>
      </c>
      <c r="M816" s="2"/>
      <c r="N816" s="8">
        <v>41638.091562499998</v>
      </c>
      <c r="O816" s="4" t="s">
        <v>34</v>
      </c>
      <c r="P816" s="3" t="s">
        <v>14612</v>
      </c>
      <c r="Q816" s="4"/>
      <c r="R816" s="4"/>
      <c r="S816" s="9" t="str">
        <f>HYPERLINK("https://pbs.twimg.com/profile_images/872886149471227905/Pkg6sXPN.jpg","View")</f>
        <v>View</v>
      </c>
    </row>
    <row r="817" spans="1:19" ht="30">
      <c r="A817" s="8">
        <v>43348.027002314819</v>
      </c>
      <c r="B817" s="11" t="str">
        <f>HYPERLINK("https://twitter.com/mary_hjt","@mary_hjt")</f>
        <v>@mary_hjt</v>
      </c>
      <c r="C817" s="6" t="s">
        <v>14611</v>
      </c>
      <c r="D817" s="5" t="s">
        <v>14610</v>
      </c>
      <c r="E817" s="9" t="str">
        <f>HYPERLINK("https://twitter.com/mary_hjt/status/1037070014258573312","1037070014258573312")</f>
        <v>1037070014258573312</v>
      </c>
      <c r="F817" s="4"/>
      <c r="G817" s="4"/>
      <c r="H817" s="4"/>
      <c r="I817" s="10" t="str">
        <f>HYPERLINK("https://mobile.twitter.com","Twitter Lite")</f>
        <v>Twitter Lite</v>
      </c>
      <c r="J817" s="2">
        <v>111</v>
      </c>
      <c r="K817" s="2">
        <v>291</v>
      </c>
      <c r="L817" s="2">
        <v>2</v>
      </c>
      <c r="M817" s="2"/>
      <c r="N817" s="8">
        <v>41837.269479166665</v>
      </c>
      <c r="O817" s="4"/>
      <c r="P817" s="3" t="s">
        <v>14609</v>
      </c>
      <c r="Q817" s="4"/>
      <c r="R817" s="4"/>
      <c r="S817" s="9" t="str">
        <f>HYPERLINK("https://pbs.twimg.com/profile_images/1002637537838551040/0peymG80.jpg","View")</f>
        <v>View</v>
      </c>
    </row>
    <row r="818" spans="1:19" ht="40">
      <c r="A818" s="8">
        <v>43348.026145833333</v>
      </c>
      <c r="B818" s="11" t="str">
        <f>HYPERLINK("https://twitter.com/Nazdane15","@Nazdane15")</f>
        <v>@Nazdane15</v>
      </c>
      <c r="C818" s="6" t="s">
        <v>14608</v>
      </c>
      <c r="D818" s="5" t="s">
        <v>14607</v>
      </c>
      <c r="E818" s="9" t="str">
        <f>HYPERLINK("https://twitter.com/Nazdane15/status/1037069703087353857","1037069703087353857")</f>
        <v>1037069703087353857</v>
      </c>
      <c r="F818" s="10" t="s">
        <v>14314</v>
      </c>
      <c r="G818" s="10" t="s">
        <v>13143</v>
      </c>
      <c r="H818" s="4"/>
      <c r="I818" s="10" t="str">
        <f>HYPERLINK("http://twitter.com/download/iphone","Twitter for iPhone")</f>
        <v>Twitter for iPhone</v>
      </c>
      <c r="J818" s="2">
        <v>81</v>
      </c>
      <c r="K818" s="2">
        <v>117</v>
      </c>
      <c r="L818" s="2">
        <v>1</v>
      </c>
      <c r="M818" s="2"/>
      <c r="N818" s="8">
        <v>42286.965555555551</v>
      </c>
      <c r="O818" s="4" t="s">
        <v>14606</v>
      </c>
      <c r="P818" s="3" t="s">
        <v>14605</v>
      </c>
      <c r="Q818" s="4"/>
      <c r="R818" s="4"/>
      <c r="S818" s="9" t="str">
        <f>HYPERLINK("https://pbs.twimg.com/profile_images/1009895929783123968/SpDeq2Fz.jpg","View")</f>
        <v>View</v>
      </c>
    </row>
    <row r="819" spans="1:19" ht="70">
      <c r="A819" s="8">
        <v>43348.025925925926</v>
      </c>
      <c r="B819" s="11" t="str">
        <f>HYPERLINK("https://twitter.com/Eranico_com","@Eranico_com")</f>
        <v>@Eranico_com</v>
      </c>
      <c r="C819" s="6" t="s">
        <v>6113</v>
      </c>
      <c r="D819" s="5" t="s">
        <v>14604</v>
      </c>
      <c r="E819" s="9" t="str">
        <f>HYPERLINK("https://twitter.com/Eranico_com/status/1037069623353593856","1037069623353593856")</f>
        <v>1037069623353593856</v>
      </c>
      <c r="F819" s="10" t="s">
        <v>14603</v>
      </c>
      <c r="G819" s="4"/>
      <c r="H819" s="4"/>
      <c r="I819" s="10" t="str">
        <f>HYPERLINK("http://twitter.com/download/iphone","Twitter for iPhone")</f>
        <v>Twitter for iPhone</v>
      </c>
      <c r="J819" s="2">
        <v>7562</v>
      </c>
      <c r="K819" s="2">
        <v>103</v>
      </c>
      <c r="L819" s="2">
        <v>124</v>
      </c>
      <c r="M819" s="2"/>
      <c r="N819" s="8">
        <v>41771.456817129627</v>
      </c>
      <c r="O819" s="4" t="s">
        <v>894</v>
      </c>
      <c r="P819" s="3" t="s">
        <v>6110</v>
      </c>
      <c r="Q819" s="10" t="s">
        <v>6109</v>
      </c>
      <c r="R819" s="4"/>
      <c r="S819" s="9" t="str">
        <f>HYPERLINK("https://pbs.twimg.com/profile_images/932620790100647936/TOsgkBi2.jpg","View")</f>
        <v>View</v>
      </c>
    </row>
    <row r="820" spans="1:19" ht="20">
      <c r="A820" s="8">
        <v>43348.025451388894</v>
      </c>
      <c r="B820" s="11" t="str">
        <f>HYPERLINK("https://twitter.com/nakhoonte","@nakhoonte")</f>
        <v>@nakhoonte</v>
      </c>
      <c r="C820" s="6" t="s">
        <v>14602</v>
      </c>
      <c r="D820" s="5" t="s">
        <v>14601</v>
      </c>
      <c r="E820" s="9" t="str">
        <f>HYPERLINK("https://twitter.com/nakhoonte/status/1037069448715358213","1037069448715358213")</f>
        <v>1037069448715358213</v>
      </c>
      <c r="F820" s="4"/>
      <c r="G820" s="4"/>
      <c r="H820" s="4"/>
      <c r="I820" s="10" t="str">
        <f>HYPERLINK("http://twitter.com/download/android","Twitter for Android")</f>
        <v>Twitter for Android</v>
      </c>
      <c r="J820" s="2">
        <v>418</v>
      </c>
      <c r="K820" s="2">
        <v>514</v>
      </c>
      <c r="L820" s="2">
        <v>0</v>
      </c>
      <c r="M820" s="2"/>
      <c r="N820" s="8">
        <v>42737.271504629629</v>
      </c>
      <c r="O820" s="4" t="s">
        <v>324</v>
      </c>
      <c r="P820" s="3" t="s">
        <v>14600</v>
      </c>
      <c r="Q820" s="4"/>
      <c r="R820" s="4"/>
      <c r="S820" s="9" t="str">
        <f>HYPERLINK("https://pbs.twimg.com/profile_images/863186279411875841/bg4N0GNn.jpg","View")</f>
        <v>View</v>
      </c>
    </row>
    <row r="821" spans="1:19" ht="20">
      <c r="A821" s="8">
        <v>43348.024525462963</v>
      </c>
      <c r="B821" s="11" t="str">
        <f>HYPERLINK("https://twitter.com/mohamadizavosh","@mohamadizavosh")</f>
        <v>@mohamadizavosh</v>
      </c>
      <c r="C821" s="6" t="s">
        <v>14599</v>
      </c>
      <c r="D821" s="5" t="s">
        <v>14598</v>
      </c>
      <c r="E821" s="9" t="str">
        <f>HYPERLINK("https://twitter.com/mohamadizavosh/status/1037069114957803525","1037069114957803525")</f>
        <v>1037069114957803525</v>
      </c>
      <c r="F821" s="4"/>
      <c r="G821" s="4"/>
      <c r="H821" s="4"/>
      <c r="I821" s="10" t="str">
        <f>HYPERLINK("http://twitter.com/download/iphone","Twitter for iPhone")</f>
        <v>Twitter for iPhone</v>
      </c>
      <c r="J821" s="2">
        <v>178</v>
      </c>
      <c r="K821" s="2">
        <v>203</v>
      </c>
      <c r="L821" s="2">
        <v>0</v>
      </c>
      <c r="M821" s="2"/>
      <c r="N821" s="8">
        <v>42690.38444444444</v>
      </c>
      <c r="O821" s="4"/>
      <c r="P821" s="3" t="s">
        <v>14597</v>
      </c>
      <c r="Q821" s="10" t="s">
        <v>14596</v>
      </c>
      <c r="R821" s="4"/>
      <c r="S821" s="9" t="str">
        <f>HYPERLINK("https://pbs.twimg.com/profile_images/938452314897121280/g3qsP8mU.jpg","View")</f>
        <v>View</v>
      </c>
    </row>
    <row r="822" spans="1:19" ht="20">
      <c r="A822" s="8">
        <v>43348.024375000001</v>
      </c>
      <c r="B822" s="11" t="str">
        <f>HYPERLINK("https://twitter.com/Mahdavipmh","@Mahdavipmh")</f>
        <v>@Mahdavipmh</v>
      </c>
      <c r="C822" s="6" t="s">
        <v>14419</v>
      </c>
      <c r="D822" s="5" t="s">
        <v>14595</v>
      </c>
      <c r="E822" s="9" t="str">
        <f>HYPERLINK("https://twitter.com/Mahdavipmh/status/1037069062260645890","1037069062260645890")</f>
        <v>1037069062260645890</v>
      </c>
      <c r="F822" s="4"/>
      <c r="G822" s="4"/>
      <c r="H822" s="4"/>
      <c r="I822" s="10" t="str">
        <f>HYPERLINK("https://mobile.twitter.com","Twitter Lite")</f>
        <v>Twitter Lite</v>
      </c>
      <c r="J822" s="2">
        <v>268</v>
      </c>
      <c r="K822" s="2">
        <v>44</v>
      </c>
      <c r="L822" s="2">
        <v>0</v>
      </c>
      <c r="M822" s="2"/>
      <c r="N822" s="8">
        <v>43192.753032407403</v>
      </c>
      <c r="O822" s="4"/>
      <c r="P822" s="3" t="s">
        <v>14417</v>
      </c>
      <c r="Q822" s="4"/>
      <c r="R822" s="4"/>
      <c r="S822" s="9" t="str">
        <f>HYPERLINK("https://pbs.twimg.com/profile_images/1037044644440354816/PIszE8iQ.jpg","View")</f>
        <v>View</v>
      </c>
    </row>
    <row r="823" spans="1:19" ht="30">
      <c r="A823" s="8">
        <v>43348.0231712963</v>
      </c>
      <c r="B823" s="11" t="str">
        <f>HYPERLINK("https://twitter.com/Rezaz7197","@Rezaz7197")</f>
        <v>@Rezaz7197</v>
      </c>
      <c r="C823" s="6" t="s">
        <v>3577</v>
      </c>
      <c r="D823" s="5" t="s">
        <v>14594</v>
      </c>
      <c r="E823" s="9" t="str">
        <f>HYPERLINK("https://twitter.com/Rezaz7197/status/1037068624417017856","1037068624417017856")</f>
        <v>1037068624417017856</v>
      </c>
      <c r="F823" s="4"/>
      <c r="G823" s="4"/>
      <c r="H823" s="4"/>
      <c r="I823" s="10" t="str">
        <f>HYPERLINK("http://twitter.com/download/iphone","Twitter for iPhone")</f>
        <v>Twitter for iPhone</v>
      </c>
      <c r="J823" s="2">
        <v>114</v>
      </c>
      <c r="K823" s="2">
        <v>131</v>
      </c>
      <c r="L823" s="2">
        <v>0</v>
      </c>
      <c r="M823" s="2"/>
      <c r="N823" s="8">
        <v>43312.732569444444</v>
      </c>
      <c r="O823" s="4"/>
      <c r="P823" s="3" t="s">
        <v>3575</v>
      </c>
      <c r="Q823" s="4"/>
      <c r="R823" s="4"/>
      <c r="S823" s="9" t="str">
        <f>HYPERLINK("https://pbs.twimg.com/profile_images/1024290322015125505/wjbMghxa.jpg","View")</f>
        <v>View</v>
      </c>
    </row>
    <row r="824" spans="1:19" ht="40">
      <c r="A824" s="8">
        <v>43348.021053240736</v>
      </c>
      <c r="B824" s="11" t="str">
        <f>HYPERLINK("https://twitter.com/korosh1215","@korosh1215")</f>
        <v>@korosh1215</v>
      </c>
      <c r="C824" s="6" t="s">
        <v>3047</v>
      </c>
      <c r="D824" s="5" t="s">
        <v>14593</v>
      </c>
      <c r="E824" s="9" t="str">
        <f>HYPERLINK("https://twitter.com/korosh1215/status/1037067857551601664","1037067857551601664")</f>
        <v>1037067857551601664</v>
      </c>
      <c r="F824" s="4"/>
      <c r="G824" s="4"/>
      <c r="H824" s="4"/>
      <c r="I824" s="10" t="str">
        <f>HYPERLINK("http://twitter.com","Twitter Web Client")</f>
        <v>Twitter Web Client</v>
      </c>
      <c r="J824" s="2">
        <v>2282</v>
      </c>
      <c r="K824" s="2">
        <v>744</v>
      </c>
      <c r="L824" s="2">
        <v>18</v>
      </c>
      <c r="M824" s="2"/>
      <c r="N824" s="8">
        <v>42519.018564814818</v>
      </c>
      <c r="O824" s="4"/>
      <c r="P824" s="3" t="s">
        <v>3045</v>
      </c>
      <c r="Q824" s="4"/>
      <c r="R824" s="4"/>
      <c r="S824" s="9" t="str">
        <f>HYPERLINK("https://pbs.twimg.com/profile_images/965007013917941760/wjCmEuk-.jpg","View")</f>
        <v>View</v>
      </c>
    </row>
    <row r="825" spans="1:19" ht="80">
      <c r="A825" s="8">
        <v>43348.020486111112</v>
      </c>
      <c r="B825" s="11" t="str">
        <f>HYPERLINK("https://twitter.com/pmzanganeh","@pmzanganeh")</f>
        <v>@pmzanganeh</v>
      </c>
      <c r="C825" s="6" t="s">
        <v>14592</v>
      </c>
      <c r="D825" s="5" t="s">
        <v>14591</v>
      </c>
      <c r="E825" s="9" t="str">
        <f>HYPERLINK("https://twitter.com/pmzanganeh/status/1037067651967852545","1037067651967852545")</f>
        <v>1037067651967852545</v>
      </c>
      <c r="F825" s="10" t="s">
        <v>14590</v>
      </c>
      <c r="G825" s="4"/>
      <c r="H825" s="4"/>
      <c r="I825" s="10" t="str">
        <f>HYPERLINK("http://twitter.com/download/iphone","Twitter for iPhone")</f>
        <v>Twitter for iPhone</v>
      </c>
      <c r="J825" s="2">
        <v>76</v>
      </c>
      <c r="K825" s="2">
        <v>321</v>
      </c>
      <c r="L825" s="2">
        <v>3</v>
      </c>
      <c r="M825" s="2"/>
      <c r="N825" s="8">
        <v>41843.093622685185</v>
      </c>
      <c r="O825" s="4" t="s">
        <v>133</v>
      </c>
      <c r="P825" s="3" t="s">
        <v>14589</v>
      </c>
      <c r="Q825" s="10" t="s">
        <v>14588</v>
      </c>
      <c r="R825" s="4"/>
      <c r="S825" s="9" t="str">
        <f>HYPERLINK("https://pbs.twimg.com/profile_images/942032263990128640/ThWBbR4D.jpg","View")</f>
        <v>View</v>
      </c>
    </row>
    <row r="826" spans="1:19" ht="40">
      <c r="A826" s="8">
        <v>43348.019467592589</v>
      </c>
      <c r="B826" s="11" t="str">
        <f>HYPERLINK("https://twitter.com/mahditavakkolii","@mahditavakkolii")</f>
        <v>@mahditavakkolii</v>
      </c>
      <c r="C826" s="6" t="s">
        <v>5469</v>
      </c>
      <c r="D826" s="5" t="s">
        <v>14587</v>
      </c>
      <c r="E826" s="9" t="str">
        <f>HYPERLINK("https://twitter.com/mahditavakkolii/status/1037067282646790145","1037067282646790145")</f>
        <v>1037067282646790145</v>
      </c>
      <c r="F826" s="4"/>
      <c r="G826" s="4"/>
      <c r="H826" s="4"/>
      <c r="I826" s="10" t="str">
        <f>HYPERLINK("http://twitter.com/download/iphone","Twitter for iPhone")</f>
        <v>Twitter for iPhone</v>
      </c>
      <c r="J826" s="2">
        <v>194</v>
      </c>
      <c r="K826" s="2">
        <v>190</v>
      </c>
      <c r="L826" s="2">
        <v>0</v>
      </c>
      <c r="M826" s="2"/>
      <c r="N826" s="8">
        <v>42465.655300925922</v>
      </c>
      <c r="O826" s="4"/>
      <c r="P826" s="3" t="s">
        <v>14586</v>
      </c>
      <c r="Q826" s="4"/>
      <c r="R826" s="4"/>
      <c r="S826" s="9" t="str">
        <f>HYPERLINK("https://pbs.twimg.com/profile_images/995214032582803457/IU2rMnR0.jpg","View")</f>
        <v>View</v>
      </c>
    </row>
    <row r="827" spans="1:19" ht="20">
      <c r="A827" s="8">
        <v>43348.019201388888</v>
      </c>
      <c r="B827" s="11" t="str">
        <f>HYPERLINK("https://twitter.com/Hasan_alinezhad","@Hasan_alinezhad")</f>
        <v>@Hasan_alinezhad</v>
      </c>
      <c r="C827" s="6" t="s">
        <v>8708</v>
      </c>
      <c r="D827" s="5" t="s">
        <v>14585</v>
      </c>
      <c r="E827" s="9" t="str">
        <f>HYPERLINK("https://twitter.com/Hasan_alinezhad/status/1037067187524128774","1037067187524128774")</f>
        <v>1037067187524128774</v>
      </c>
      <c r="F827" s="4"/>
      <c r="G827" s="4"/>
      <c r="H827" s="4"/>
      <c r="I827" s="10" t="str">
        <f>HYPERLINK("http://twitter.com/download/iphone","Twitter for iPhone")</f>
        <v>Twitter for iPhone</v>
      </c>
      <c r="J827" s="2">
        <v>373</v>
      </c>
      <c r="K827" s="2">
        <v>416</v>
      </c>
      <c r="L827" s="2">
        <v>1</v>
      </c>
      <c r="M827" s="2"/>
      <c r="N827" s="8">
        <v>42976.155740740738</v>
      </c>
      <c r="O827" s="4"/>
      <c r="P827" s="3" t="s">
        <v>8706</v>
      </c>
      <c r="Q827" s="10" t="s">
        <v>8705</v>
      </c>
      <c r="R827" s="4"/>
      <c r="S827" s="9" t="str">
        <f>HYPERLINK("https://pbs.twimg.com/profile_images/939771596780208130/sZcxXcpo.jpg","View")</f>
        <v>View</v>
      </c>
    </row>
    <row r="828" spans="1:19" ht="20">
      <c r="A828" s="8">
        <v>43348.018611111111</v>
      </c>
      <c r="B828" s="11" t="str">
        <f>HYPERLINK("https://twitter.com/alef_ein_alef","@alef_ein_alef")</f>
        <v>@alef_ein_alef</v>
      </c>
      <c r="C828" s="6" t="s">
        <v>7456</v>
      </c>
      <c r="D828" s="5" t="s">
        <v>14584</v>
      </c>
      <c r="E828" s="9" t="str">
        <f>HYPERLINK("https://twitter.com/alef_ein_alef/status/1037066972087889920","1037066972087889920")</f>
        <v>1037066972087889920</v>
      </c>
      <c r="F828" s="4"/>
      <c r="G828" s="4"/>
      <c r="H828" s="4"/>
      <c r="I828" s="10" t="str">
        <f>HYPERLINK("http://twitter.com/download/android","Twitter for Android")</f>
        <v>Twitter for Android</v>
      </c>
      <c r="J828" s="2">
        <v>79</v>
      </c>
      <c r="K828" s="2">
        <v>271</v>
      </c>
      <c r="L828" s="2">
        <v>0</v>
      </c>
      <c r="M828" s="2"/>
      <c r="N828" s="8">
        <v>43106.115266203706</v>
      </c>
      <c r="O828" s="4"/>
      <c r="P828" s="3" t="s">
        <v>14583</v>
      </c>
      <c r="Q828" s="4"/>
      <c r="R828" s="4"/>
      <c r="S828" s="9" t="str">
        <f>HYPERLINK("https://pbs.twimg.com/profile_images/949420788087689216/cEbTOMqe.jpg","View")</f>
        <v>View</v>
      </c>
    </row>
    <row r="829" spans="1:19" ht="30">
      <c r="A829" s="8">
        <v>43348.017407407402</v>
      </c>
      <c r="B829" s="11" t="str">
        <f>HYPERLINK("https://twitter.com/iiinjaneb","@iiinjaneb")</f>
        <v>@iiinjaneb</v>
      </c>
      <c r="C829" s="6" t="s">
        <v>1361</v>
      </c>
      <c r="D829" s="5" t="s">
        <v>14582</v>
      </c>
      <c r="E829" s="9" t="str">
        <f>HYPERLINK("https://twitter.com/iiinjaneb/status/1037066535960043520","1037066535960043520")</f>
        <v>1037066535960043520</v>
      </c>
      <c r="F829" s="4"/>
      <c r="G829" s="10" t="s">
        <v>14581</v>
      </c>
      <c r="H829" s="4"/>
      <c r="I829" s="10" t="str">
        <f>HYPERLINK("http://twitter.com","Twitter Web Client")</f>
        <v>Twitter Web Client</v>
      </c>
      <c r="J829" s="2">
        <v>209</v>
      </c>
      <c r="K829" s="2">
        <v>513</v>
      </c>
      <c r="L829" s="2">
        <v>0</v>
      </c>
      <c r="M829" s="2"/>
      <c r="N829" s="8">
        <v>40039.88622685185</v>
      </c>
      <c r="O829" s="4"/>
      <c r="P829" s="3" t="s">
        <v>1359</v>
      </c>
      <c r="Q829" s="4"/>
      <c r="R829" s="4"/>
      <c r="S829" s="9" t="str">
        <f>HYPERLINK("https://pbs.twimg.com/profile_images/962324779633127424/T8nWgdC-.jpg","View")</f>
        <v>View</v>
      </c>
    </row>
    <row r="830" spans="1:19" ht="30">
      <c r="A830" s="8">
        <v>43348.017372685186</v>
      </c>
      <c r="B830" s="11" t="str">
        <f>HYPERLINK("https://twitter.com/gvC1PeSEcUErlNi","@gvC1PeSEcUErlNi")</f>
        <v>@gvC1PeSEcUErlNi</v>
      </c>
      <c r="C830" s="6" t="s">
        <v>14580</v>
      </c>
      <c r="D830" s="5" t="s">
        <v>14579</v>
      </c>
      <c r="E830" s="9" t="str">
        <f>HYPERLINK("https://twitter.com/gvC1PeSEcUErlNi/status/1037066522617888768","1037066522617888768")</f>
        <v>1037066522617888768</v>
      </c>
      <c r="F830" s="4"/>
      <c r="G830" s="4"/>
      <c r="H830" s="4"/>
      <c r="I830" s="10" t="str">
        <f>HYPERLINK("http://twitter.com/download/android","Twitter for Android")</f>
        <v>Twitter for Android</v>
      </c>
      <c r="J830" s="2">
        <v>98</v>
      </c>
      <c r="K830" s="2">
        <v>241</v>
      </c>
      <c r="L830" s="2">
        <v>0</v>
      </c>
      <c r="M830" s="2"/>
      <c r="N830" s="8">
        <v>43322.066817129627</v>
      </c>
      <c r="O830" s="4" t="s">
        <v>14578</v>
      </c>
      <c r="P830" s="3" t="s">
        <v>14577</v>
      </c>
      <c r="Q830" s="4"/>
      <c r="R830" s="4"/>
      <c r="S830" s="9" t="str">
        <f>HYPERLINK("https://pbs.twimg.com/profile_images/1027664645727965184/TujYhrcH.jpg","View")</f>
        <v>View</v>
      </c>
    </row>
    <row r="831" spans="1:19" ht="30">
      <c r="A831" s="8">
        <v>43348.017106481479</v>
      </c>
      <c r="B831" s="11" t="str">
        <f>HYPERLINK("https://twitter.com/amirheydari_ir","@amirheydari_ir")</f>
        <v>@amirheydari_ir</v>
      </c>
      <c r="C831" s="6" t="s">
        <v>14576</v>
      </c>
      <c r="D831" s="5" t="s">
        <v>14575</v>
      </c>
      <c r="E831" s="9" t="str">
        <f>HYPERLINK("https://twitter.com/amirheydari_ir/status/1037066426375393280","1037066426375393280")</f>
        <v>1037066426375393280</v>
      </c>
      <c r="F831" s="4"/>
      <c r="G831" s="4"/>
      <c r="H831" s="4"/>
      <c r="I831" s="10" t="str">
        <f>HYPERLINK("http://twitter.com/download/iphone","Twitter for iPhone")</f>
        <v>Twitter for iPhone</v>
      </c>
      <c r="J831" s="2">
        <v>34</v>
      </c>
      <c r="K831" s="2">
        <v>148</v>
      </c>
      <c r="L831" s="2">
        <v>0</v>
      </c>
      <c r="M831" s="2"/>
      <c r="N831" s="8">
        <v>42697.933958333335</v>
      </c>
      <c r="O831" s="4"/>
      <c r="P831" s="3"/>
      <c r="Q831" s="4"/>
      <c r="R831" s="4"/>
      <c r="S831" s="2" t="s">
        <v>155</v>
      </c>
    </row>
    <row r="832" spans="1:19" ht="20">
      <c r="A832" s="8">
        <v>43348.016793981486</v>
      </c>
      <c r="B832" s="11" t="str">
        <f>HYPERLINK("https://twitter.com/Hamiddadashi7","@Hamiddadashi7")</f>
        <v>@Hamiddadashi7</v>
      </c>
      <c r="C832" s="6" t="s">
        <v>14574</v>
      </c>
      <c r="D832" s="5" t="s">
        <v>14573</v>
      </c>
      <c r="E832" s="9" t="str">
        <f>HYPERLINK("https://twitter.com/Hamiddadashi7/status/1037066314869891079","1037066314869891079")</f>
        <v>1037066314869891079</v>
      </c>
      <c r="F832" s="4"/>
      <c r="G832" s="4"/>
      <c r="H832" s="4"/>
      <c r="I832" s="10" t="str">
        <f>HYPERLINK("http://twitter.com/download/android","Twitter for Android")</f>
        <v>Twitter for Android</v>
      </c>
      <c r="J832" s="2">
        <v>0</v>
      </c>
      <c r="K832" s="2">
        <v>0</v>
      </c>
      <c r="L832" s="2">
        <v>0</v>
      </c>
      <c r="M832" s="2"/>
      <c r="N832" s="8">
        <v>43106.624953703707</v>
      </c>
      <c r="O832" s="4" t="s">
        <v>1415</v>
      </c>
      <c r="P832" s="3" t="s">
        <v>14572</v>
      </c>
      <c r="Q832" s="4"/>
      <c r="R832" s="4"/>
      <c r="S832" s="9" t="str">
        <f>HYPERLINK("https://pbs.twimg.com/profile_images/1037067793496252416/Y6sGdEdO.jpg","View")</f>
        <v>View</v>
      </c>
    </row>
    <row r="833" spans="1:19" ht="50">
      <c r="A833" s="8">
        <v>43348.016759259262</v>
      </c>
      <c r="B833" s="11" t="str">
        <f>HYPERLINK("https://twitter.com/Tobot007","@Tobot007")</f>
        <v>@Tobot007</v>
      </c>
      <c r="C833" s="6" t="s">
        <v>14571</v>
      </c>
      <c r="D833" s="5" t="s">
        <v>14570</v>
      </c>
      <c r="E833" s="9" t="str">
        <f>HYPERLINK("https://twitter.com/Tobot007/status/1037066302509248514","1037066302509248514")</f>
        <v>1037066302509248514</v>
      </c>
      <c r="F833" s="10" t="s">
        <v>14569</v>
      </c>
      <c r="G833" s="4"/>
      <c r="H833" s="4"/>
      <c r="I833" s="10" t="str">
        <f>HYPERLINK("http://twitter.com","Twitter Web Client")</f>
        <v>Twitter Web Client</v>
      </c>
      <c r="J833" s="2">
        <v>1352</v>
      </c>
      <c r="K833" s="2">
        <v>220</v>
      </c>
      <c r="L833" s="2">
        <v>7</v>
      </c>
      <c r="M833" s="2"/>
      <c r="N833" s="8">
        <v>42625.771516203706</v>
      </c>
      <c r="O833" s="4"/>
      <c r="P833" s="3" t="s">
        <v>14568</v>
      </c>
      <c r="Q833" s="4"/>
      <c r="R833" s="4"/>
      <c r="S833" s="9" t="str">
        <f>HYPERLINK("https://pbs.twimg.com/profile_images/936280984688963584/-2zA3Zeh.jpg","View")</f>
        <v>View</v>
      </c>
    </row>
    <row r="834" spans="1:19" ht="30">
      <c r="A834" s="8">
        <v>43348.015590277777</v>
      </c>
      <c r="B834" s="11" t="str">
        <f>HYPERLINK("https://twitter.com/iDpy8Zre6hNhcib","@iDpy8Zre6hNhcib")</f>
        <v>@iDpy8Zre6hNhcib</v>
      </c>
      <c r="C834" s="6" t="s">
        <v>14567</v>
      </c>
      <c r="D834" s="5" t="s">
        <v>14566</v>
      </c>
      <c r="E834" s="9" t="str">
        <f>HYPERLINK("https://twitter.com/iDpy8Zre6hNhcib/status/1037065879010385920","1037065879010385920")</f>
        <v>1037065879010385920</v>
      </c>
      <c r="F834" s="4"/>
      <c r="G834" s="10" t="s">
        <v>14565</v>
      </c>
      <c r="H834" s="4"/>
      <c r="I834" s="10" t="str">
        <f>HYPERLINK("http://twitter.com/download/android","Twitter for Android")</f>
        <v>Twitter for Android</v>
      </c>
      <c r="J834" s="2">
        <v>14</v>
      </c>
      <c r="K834" s="2">
        <v>10</v>
      </c>
      <c r="L834" s="2">
        <v>0</v>
      </c>
      <c r="M834" s="2"/>
      <c r="N834" s="8">
        <v>43289.346851851849</v>
      </c>
      <c r="O834" s="4"/>
      <c r="P834" s="3" t="s">
        <v>14564</v>
      </c>
      <c r="Q834" s="4"/>
      <c r="R834" s="4"/>
      <c r="S834" s="9" t="str">
        <f>HYPERLINK("https://pbs.twimg.com/profile_images/1015921597377662976/hEn-V0W4.jpg","View")</f>
        <v>View</v>
      </c>
    </row>
    <row r="835" spans="1:19" ht="40">
      <c r="A835" s="8">
        <v>43348.015590277777</v>
      </c>
      <c r="B835" s="11" t="str">
        <f>HYPERLINK("https://twitter.com/AliVaezzade","@AliVaezzade")</f>
        <v>@AliVaezzade</v>
      </c>
      <c r="C835" s="6" t="s">
        <v>14563</v>
      </c>
      <c r="D835" s="5" t="s">
        <v>14562</v>
      </c>
      <c r="E835" s="9" t="str">
        <f>HYPERLINK("https://twitter.com/AliVaezzade/status/1037065876137299968","1037065876137299968")</f>
        <v>1037065876137299968</v>
      </c>
      <c r="F835" s="4"/>
      <c r="G835" s="4"/>
      <c r="H835" s="4"/>
      <c r="I835" s="10" t="str">
        <f>HYPERLINK("http://twitter.com/download/android","Twitter for Android")</f>
        <v>Twitter for Android</v>
      </c>
      <c r="J835" s="2">
        <v>327</v>
      </c>
      <c r="K835" s="2">
        <v>219</v>
      </c>
      <c r="L835" s="2">
        <v>1</v>
      </c>
      <c r="M835" s="2"/>
      <c r="N835" s="8">
        <v>43050.562222222223</v>
      </c>
      <c r="O835" s="4" t="s">
        <v>17</v>
      </c>
      <c r="P835" s="3" t="s">
        <v>14561</v>
      </c>
      <c r="Q835" s="4"/>
      <c r="R835" s="4"/>
      <c r="S835" s="9" t="str">
        <f>HYPERLINK("https://pbs.twimg.com/profile_images/1007689764852654080/hYmh8Ds3.jpg","View")</f>
        <v>View</v>
      </c>
    </row>
    <row r="836" spans="1:19" ht="40">
      <c r="A836" s="8">
        <v>43348.014398148152</v>
      </c>
      <c r="B836" s="11" t="str">
        <f>HYPERLINK("https://twitter.com/yaghob_saffari","@yaghob_saffari")</f>
        <v>@yaghob_saffari</v>
      </c>
      <c r="C836" s="6" t="s">
        <v>14560</v>
      </c>
      <c r="D836" s="5" t="s">
        <v>14559</v>
      </c>
      <c r="E836" s="9" t="str">
        <f>HYPERLINK("https://twitter.com/yaghob_saffari/status/1037065446518865920","1037065446518865920")</f>
        <v>1037065446518865920</v>
      </c>
      <c r="F836" s="4"/>
      <c r="G836" s="4"/>
      <c r="H836" s="4"/>
      <c r="I836" s="10" t="str">
        <f>HYPERLINK("http://twitter.com/#!/download/ipad","Twitter for iPad")</f>
        <v>Twitter for iPad</v>
      </c>
      <c r="J836" s="2">
        <v>1500</v>
      </c>
      <c r="K836" s="2">
        <v>1291</v>
      </c>
      <c r="L836" s="2">
        <v>6</v>
      </c>
      <c r="M836" s="2"/>
      <c r="N836" s="8">
        <v>43140.915925925925</v>
      </c>
      <c r="O836" s="4"/>
      <c r="P836" s="3" t="s">
        <v>14558</v>
      </c>
      <c r="Q836" s="4"/>
      <c r="R836" s="4"/>
      <c r="S836" s="9" t="str">
        <f>HYPERLINK("https://pbs.twimg.com/profile_images/989926881909661696/nMhQqsnN.jpg","View")</f>
        <v>View</v>
      </c>
    </row>
    <row r="837" spans="1:19" ht="40">
      <c r="A837" s="8">
        <v>43348.014212962968</v>
      </c>
      <c r="B837" s="11" t="str">
        <f>HYPERLINK("https://twitter.com/bikar66","@bikar66")</f>
        <v>@bikar66</v>
      </c>
      <c r="C837" s="6" t="s">
        <v>14557</v>
      </c>
      <c r="D837" s="5" t="s">
        <v>14556</v>
      </c>
      <c r="E837" s="9" t="str">
        <f>HYPERLINK("https://twitter.com/bikar66/status/1037065378898341888","1037065378898341888")</f>
        <v>1037065378898341888</v>
      </c>
      <c r="F837" s="4"/>
      <c r="G837" s="4"/>
      <c r="H837" s="4"/>
      <c r="I837" s="10" t="str">
        <f>HYPERLINK("http://twitter.com/download/android","Twitter for Android")</f>
        <v>Twitter for Android</v>
      </c>
      <c r="J837" s="2">
        <v>74</v>
      </c>
      <c r="K837" s="2">
        <v>83</v>
      </c>
      <c r="L837" s="2">
        <v>0</v>
      </c>
      <c r="M837" s="2"/>
      <c r="N837" s="8">
        <v>43274.47519675926</v>
      </c>
      <c r="O837" s="4" t="s">
        <v>34</v>
      </c>
      <c r="P837" s="3" t="s">
        <v>14555</v>
      </c>
      <c r="Q837" s="4"/>
      <c r="R837" s="4"/>
      <c r="S837" s="9" t="str">
        <f>HYPERLINK("https://pbs.twimg.com/profile_images/1036326414319005696/T6LQ8L09.jpg","View")</f>
        <v>View</v>
      </c>
    </row>
    <row r="838" spans="1:19" ht="20">
      <c r="A838" s="8">
        <v>43348.013587962967</v>
      </c>
      <c r="B838" s="11" t="str">
        <f>HYPERLINK("https://twitter.com/hadijanbozorgi","@hadijanbozorgi")</f>
        <v>@hadijanbozorgi</v>
      </c>
      <c r="C838" s="6" t="s">
        <v>14554</v>
      </c>
      <c r="D838" s="5" t="s">
        <v>12879</v>
      </c>
      <c r="E838" s="9" t="str">
        <f>HYPERLINK("https://twitter.com/hadijanbozorgi/status/1037065151919398913","1037065151919398913")</f>
        <v>1037065151919398913</v>
      </c>
      <c r="F838" s="4"/>
      <c r="G838" s="4"/>
      <c r="H838" s="4"/>
      <c r="I838" s="10" t="str">
        <f>HYPERLINK("http://twitter.com/download/android","Twitter for Android")</f>
        <v>Twitter for Android</v>
      </c>
      <c r="J838" s="2">
        <v>150</v>
      </c>
      <c r="K838" s="2">
        <v>57</v>
      </c>
      <c r="L838" s="2">
        <v>0</v>
      </c>
      <c r="M838" s="2"/>
      <c r="N838" s="8">
        <v>40839.947754629626</v>
      </c>
      <c r="O838" s="4" t="s">
        <v>14553</v>
      </c>
      <c r="P838" s="3"/>
      <c r="Q838" s="4"/>
      <c r="R838" s="4"/>
      <c r="S838" s="9" t="str">
        <f>HYPERLINK("https://pbs.twimg.com/profile_images/827430962388725761/XNtxsRms.jpg","View")</f>
        <v>View</v>
      </c>
    </row>
    <row r="839" spans="1:19" ht="12.5">
      <c r="A839" s="8">
        <v>43348.011886574073</v>
      </c>
      <c r="B839" s="11" t="str">
        <f>HYPERLINK("https://twitter.com/Wiktor1177","@Wiktor1177")</f>
        <v>@Wiktor1177</v>
      </c>
      <c r="C839" s="6" t="s">
        <v>4310</v>
      </c>
      <c r="D839" s="5" t="s">
        <v>14552</v>
      </c>
      <c r="E839" s="9" t="str">
        <f>HYPERLINK("https://twitter.com/Wiktor1177/status/1037064535654498304","1037064535654498304")</f>
        <v>1037064535654498304</v>
      </c>
      <c r="F839" s="4"/>
      <c r="G839" s="4"/>
      <c r="H839" s="4"/>
      <c r="I839" s="10" t="str">
        <f>HYPERLINK("https://mobile.twitter.com","Twitter Lite")</f>
        <v>Twitter Lite</v>
      </c>
      <c r="J839" s="2">
        <v>1132</v>
      </c>
      <c r="K839" s="2">
        <v>755</v>
      </c>
      <c r="L839" s="2">
        <v>2</v>
      </c>
      <c r="M839" s="2"/>
      <c r="N839" s="8">
        <v>42362.172731481478</v>
      </c>
      <c r="O839" s="4" t="s">
        <v>4308</v>
      </c>
      <c r="P839" s="3"/>
      <c r="Q839" s="4"/>
      <c r="R839" s="4"/>
      <c r="S839" s="9" t="str">
        <f>HYPERLINK("https://pbs.twimg.com/profile_images/973885386895380481/Ii_DkPlp.jpg","View")</f>
        <v>View</v>
      </c>
    </row>
    <row r="840" spans="1:19" ht="12.5">
      <c r="A840" s="8">
        <v>43348.011840277773</v>
      </c>
      <c r="B840" s="11" t="str">
        <f>HYPERLINK("https://twitter.com/HoomanMashayek1","@HoomanMashayek1")</f>
        <v>@HoomanMashayek1</v>
      </c>
      <c r="C840" s="6" t="s">
        <v>13723</v>
      </c>
      <c r="D840" s="5" t="s">
        <v>14551</v>
      </c>
      <c r="E840" s="9" t="str">
        <f>HYPERLINK("https://twitter.com/HoomanMashayek1/status/1037064517409296385","1037064517409296385")</f>
        <v>1037064517409296385</v>
      </c>
      <c r="F840" s="4"/>
      <c r="G840" s="4"/>
      <c r="H840" s="4"/>
      <c r="I840" s="10" t="str">
        <f>HYPERLINK("http://twitter.com/download/iphone","Twitter for iPhone")</f>
        <v>Twitter for iPhone</v>
      </c>
      <c r="J840" s="2">
        <v>26</v>
      </c>
      <c r="K840" s="2">
        <v>57</v>
      </c>
      <c r="L840" s="2">
        <v>0</v>
      </c>
      <c r="M840" s="2"/>
      <c r="N840" s="8">
        <v>43275.55091435185</v>
      </c>
      <c r="O840" s="4" t="s">
        <v>133</v>
      </c>
      <c r="P840" s="3" t="s">
        <v>13721</v>
      </c>
      <c r="Q840" s="4"/>
      <c r="R840" s="4"/>
      <c r="S840" s="9" t="str">
        <f>HYPERLINK("https://pbs.twimg.com/profile_images/1027475422429278208/wWOmvWnM.jpg","View")</f>
        <v>View</v>
      </c>
    </row>
    <row r="841" spans="1:19" ht="40">
      <c r="A841" s="8">
        <v>43348.01153935185</v>
      </c>
      <c r="B841" s="11" t="str">
        <f>HYPERLINK("https://twitter.com/6t9jl6EwAMaAf3g","@6t9jl6EwAMaAf3g")</f>
        <v>@6t9jl6EwAMaAf3g</v>
      </c>
      <c r="C841" s="6" t="s">
        <v>14550</v>
      </c>
      <c r="D841" s="5" t="s">
        <v>14549</v>
      </c>
      <c r="E841" s="9" t="str">
        <f>HYPERLINK("https://twitter.com/6t9jl6EwAMaAf3g/status/1037064411066916864","1037064411066916864")</f>
        <v>1037064411066916864</v>
      </c>
      <c r="F841" s="4"/>
      <c r="G841" s="4"/>
      <c r="H841" s="4"/>
      <c r="I841" s="10" t="str">
        <f>HYPERLINK("http://twitter.com/download/iphone","Twitter for iPhone")</f>
        <v>Twitter for iPhone</v>
      </c>
      <c r="J841" s="2">
        <v>17</v>
      </c>
      <c r="K841" s="2">
        <v>50</v>
      </c>
      <c r="L841" s="2">
        <v>0</v>
      </c>
      <c r="M841" s="2"/>
      <c r="N841" s="8">
        <v>43261.019745370373</v>
      </c>
      <c r="O841" s="4" t="s">
        <v>14135</v>
      </c>
      <c r="P841" s="3" t="s">
        <v>14548</v>
      </c>
      <c r="Q841" s="4"/>
      <c r="R841" s="4"/>
      <c r="S841" s="9" t="str">
        <f>HYPERLINK("https://pbs.twimg.com/profile_images/1005540681258012673/q-PzY9WI.jpg","View")</f>
        <v>View</v>
      </c>
    </row>
    <row r="842" spans="1:19" ht="20">
      <c r="A842" s="8">
        <v>43348.011134259257</v>
      </c>
      <c r="B842" s="11" t="str">
        <f>HYPERLINK("https://twitter.com/rasool2212","@rasool2212")</f>
        <v>@rasool2212</v>
      </c>
      <c r="C842" s="6" t="s">
        <v>14547</v>
      </c>
      <c r="D842" s="5" t="s">
        <v>14546</v>
      </c>
      <c r="E842" s="9" t="str">
        <f>HYPERLINK("https://twitter.com/rasool2212/status/1037064264123666432","1037064264123666432")</f>
        <v>1037064264123666432</v>
      </c>
      <c r="F842" s="4"/>
      <c r="G842" s="4"/>
      <c r="H842" s="4"/>
      <c r="I842" s="10" t="str">
        <f>HYPERLINK("http://twitter.com/download/iphone","Twitter for iPhone")</f>
        <v>Twitter for iPhone</v>
      </c>
      <c r="J842" s="2">
        <v>16</v>
      </c>
      <c r="K842" s="2">
        <v>100</v>
      </c>
      <c r="L842" s="2">
        <v>0</v>
      </c>
      <c r="M842" s="2"/>
      <c r="N842" s="8">
        <v>43347.020312499997</v>
      </c>
      <c r="O842" s="4" t="s">
        <v>14545</v>
      </c>
      <c r="P842" s="3" t="s">
        <v>14544</v>
      </c>
      <c r="Q842" s="4"/>
      <c r="R842" s="4"/>
      <c r="S842" s="9" t="str">
        <f>HYPERLINK("https://pbs.twimg.com/profile_images/1036711323755864064/me8z5MKo.jpg","View")</f>
        <v>View</v>
      </c>
    </row>
    <row r="843" spans="1:19" ht="20">
      <c r="A843" s="8">
        <v>43348.010787037041</v>
      </c>
      <c r="B843" s="11" t="str">
        <f>HYPERLINK("https://twitter.com/Mohsenkeyani","@Mohsenkeyani")</f>
        <v>@Mohsenkeyani</v>
      </c>
      <c r="C843" s="6" t="s">
        <v>4276</v>
      </c>
      <c r="D843" s="5" t="s">
        <v>14543</v>
      </c>
      <c r="E843" s="9" t="str">
        <f>HYPERLINK("https://twitter.com/Mohsenkeyani/status/1037064134536265728","1037064134536265728")</f>
        <v>1037064134536265728</v>
      </c>
      <c r="F843" s="4"/>
      <c r="G843" s="4"/>
      <c r="H843" s="4"/>
      <c r="I843" s="10" t="str">
        <f>HYPERLINK("http://twitter.com/download/android","Twitter for Android")</f>
        <v>Twitter for Android</v>
      </c>
      <c r="J843" s="2">
        <v>382</v>
      </c>
      <c r="K843" s="2">
        <v>239</v>
      </c>
      <c r="L843" s="2">
        <v>2</v>
      </c>
      <c r="M843" s="2"/>
      <c r="N843" s="8">
        <v>41635.627789351856</v>
      </c>
      <c r="O843" s="4" t="s">
        <v>324</v>
      </c>
      <c r="P843" s="3" t="s">
        <v>4274</v>
      </c>
      <c r="Q843" s="4"/>
      <c r="R843" s="4"/>
      <c r="S843" s="9" t="str">
        <f>HYPERLINK("https://pbs.twimg.com/profile_images/934097774718734336/1eHwt7zg.jpg","View")</f>
        <v>View</v>
      </c>
    </row>
    <row r="844" spans="1:19" ht="30">
      <c r="A844" s="8">
        <v>43348.010555555556</v>
      </c>
      <c r="B844" s="11" t="str">
        <f>HYPERLINK("https://twitter.com/Maragheh2","@Maragheh2")</f>
        <v>@Maragheh2</v>
      </c>
      <c r="C844" s="6" t="s">
        <v>14542</v>
      </c>
      <c r="D844" s="5" t="s">
        <v>14541</v>
      </c>
      <c r="E844" s="9" t="str">
        <f>HYPERLINK("https://twitter.com/Maragheh2/status/1037064050964869120","1037064050964869120")</f>
        <v>1037064050964869120</v>
      </c>
      <c r="F844" s="10" t="s">
        <v>14540</v>
      </c>
      <c r="G844" s="10" t="s">
        <v>14539</v>
      </c>
      <c r="H844" s="4"/>
      <c r="I844" s="10" t="str">
        <f>HYPERLINK("http://twitter.com/download/iphone","Twitter for iPhone")</f>
        <v>Twitter for iPhone</v>
      </c>
      <c r="J844" s="2">
        <v>1779</v>
      </c>
      <c r="K844" s="2">
        <v>4842</v>
      </c>
      <c r="L844" s="2">
        <v>2</v>
      </c>
      <c r="M844" s="2"/>
      <c r="N844" s="8">
        <v>43144.892210648148</v>
      </c>
      <c r="O844" s="4" t="s">
        <v>14538</v>
      </c>
      <c r="P844" s="3" t="s">
        <v>14537</v>
      </c>
      <c r="Q844" s="4"/>
      <c r="R844" s="4"/>
      <c r="S844" s="9" t="str">
        <f>HYPERLINK("https://pbs.twimg.com/profile_images/1016023893470076928/MSAGwMG0.jpg","View")</f>
        <v>View</v>
      </c>
    </row>
    <row r="845" spans="1:19" ht="40">
      <c r="A845" s="8">
        <v>43348.009456018517</v>
      </c>
      <c r="B845" s="11" t="str">
        <f>HYPERLINK("https://twitter.com/Arman_Truth","@Arman_Truth")</f>
        <v>@Arman_Truth</v>
      </c>
      <c r="C845" s="6" t="s">
        <v>1190</v>
      </c>
      <c r="D845" s="5" t="s">
        <v>14536</v>
      </c>
      <c r="E845" s="9" t="str">
        <f>HYPERLINK("https://twitter.com/Arman_Truth/status/1037063652992536577","1037063652992536577")</f>
        <v>1037063652992536577</v>
      </c>
      <c r="F845" s="4"/>
      <c r="G845" s="4"/>
      <c r="H845" s="4"/>
      <c r="I845" s="10" t="str">
        <f>HYPERLINK("http://twitter.com/download/iphone","Twitter for iPhone")</f>
        <v>Twitter for iPhone</v>
      </c>
      <c r="J845" s="2">
        <v>2660</v>
      </c>
      <c r="K845" s="2">
        <v>900</v>
      </c>
      <c r="L845" s="2">
        <v>9</v>
      </c>
      <c r="M845" s="2"/>
      <c r="N845" s="8">
        <v>42751.806643518517</v>
      </c>
      <c r="O845" s="4" t="s">
        <v>1188</v>
      </c>
      <c r="P845" s="3" t="s">
        <v>1187</v>
      </c>
      <c r="Q845" s="10" t="s">
        <v>1186</v>
      </c>
      <c r="R845" s="4"/>
      <c r="S845" s="9" t="str">
        <f>HYPERLINK("https://pbs.twimg.com/profile_images/1036668034767835138/3fOoAyxU.jpg","View")</f>
        <v>View</v>
      </c>
    </row>
    <row r="846" spans="1:19" ht="20">
      <c r="A846" s="8">
        <v>43348.009293981479</v>
      </c>
      <c r="B846" s="11" t="str">
        <f>HYPERLINK("https://twitter.com/kayvanabbassi","@kayvanabbassi")</f>
        <v>@kayvanabbassi</v>
      </c>
      <c r="C846" s="6" t="s">
        <v>14535</v>
      </c>
      <c r="D846" s="5" t="s">
        <v>14534</v>
      </c>
      <c r="E846" s="9" t="str">
        <f>HYPERLINK("https://twitter.com/kayvanabbassi/status/1037063594985377792","1037063594985377792")</f>
        <v>1037063594985377792</v>
      </c>
      <c r="F846" s="4"/>
      <c r="G846" s="10" t="s">
        <v>14533</v>
      </c>
      <c r="H846" s="4"/>
      <c r="I846" s="10" t="str">
        <f>HYPERLINK("http://twitter.com/download/iphone","Twitter for iPhone")</f>
        <v>Twitter for iPhone</v>
      </c>
      <c r="J846" s="2">
        <v>7607</v>
      </c>
      <c r="K846" s="2">
        <v>317</v>
      </c>
      <c r="L846" s="2">
        <v>40</v>
      </c>
      <c r="M846" s="2" t="s">
        <v>80</v>
      </c>
      <c r="N846" s="8">
        <v>39841.338807870372</v>
      </c>
      <c r="O846" s="4" t="s">
        <v>460</v>
      </c>
      <c r="P846" s="3" t="s">
        <v>14532</v>
      </c>
      <c r="Q846" s="10" t="s">
        <v>14531</v>
      </c>
      <c r="R846" s="4"/>
      <c r="S846" s="9" t="str">
        <f>HYPERLINK("https://pbs.twimg.com/profile_images/746827275325288448/MU6Bqo89.jpg","View")</f>
        <v>View</v>
      </c>
    </row>
    <row r="847" spans="1:19" ht="20">
      <c r="A847" s="8">
        <v>43348.008726851855</v>
      </c>
      <c r="B847" s="11" t="str">
        <f>HYPERLINK("https://twitter.com/MuhamadHashemi","@MuhamadHashemi")</f>
        <v>@MuhamadHashemi</v>
      </c>
      <c r="C847" s="6" t="s">
        <v>11737</v>
      </c>
      <c r="D847" s="5" t="s">
        <v>14530</v>
      </c>
      <c r="E847" s="9" t="str">
        <f>HYPERLINK("https://twitter.com/MuhamadHashemi/status/1037063390848528385","1037063390848528385")</f>
        <v>1037063390848528385</v>
      </c>
      <c r="F847" s="4"/>
      <c r="G847" s="4"/>
      <c r="H847" s="4"/>
      <c r="I847" s="10" t="str">
        <f>HYPERLINK("http://twitter.com/download/android","Twitter for Android")</f>
        <v>Twitter for Android</v>
      </c>
      <c r="J847" s="2">
        <v>63</v>
      </c>
      <c r="K847" s="2">
        <v>115</v>
      </c>
      <c r="L847" s="2">
        <v>0</v>
      </c>
      <c r="M847" s="2"/>
      <c r="N847" s="8">
        <v>42894.115115740744</v>
      </c>
      <c r="O847" s="4"/>
      <c r="P847" s="3" t="s">
        <v>11734</v>
      </c>
      <c r="Q847" s="4"/>
      <c r="R847" s="4"/>
      <c r="S847" s="9" t="str">
        <f>HYPERLINK("https://pbs.twimg.com/profile_images/920352673869844480/y-CFYGyV.jpg","View")</f>
        <v>View</v>
      </c>
    </row>
    <row r="848" spans="1:19" ht="20">
      <c r="A848" s="8">
        <v>43348.007118055553</v>
      </c>
      <c r="B848" s="11" t="str">
        <f>HYPERLINK("https://twitter.com/Mohsenkeyani","@Mohsenkeyani")</f>
        <v>@Mohsenkeyani</v>
      </c>
      <c r="C848" s="6" t="s">
        <v>4276</v>
      </c>
      <c r="D848" s="5" t="s">
        <v>14529</v>
      </c>
      <c r="E848" s="9" t="str">
        <f>HYPERLINK("https://twitter.com/Mohsenkeyani/status/1037062807391481856","1037062807391481856")</f>
        <v>1037062807391481856</v>
      </c>
      <c r="F848" s="4"/>
      <c r="G848" s="4"/>
      <c r="H848" s="4"/>
      <c r="I848" s="10" t="str">
        <f>HYPERLINK("http://twitter.com/download/android","Twitter for Android")</f>
        <v>Twitter for Android</v>
      </c>
      <c r="J848" s="2">
        <v>382</v>
      </c>
      <c r="K848" s="2">
        <v>239</v>
      </c>
      <c r="L848" s="2">
        <v>2</v>
      </c>
      <c r="M848" s="2"/>
      <c r="N848" s="8">
        <v>41635.627789351856</v>
      </c>
      <c r="O848" s="4" t="s">
        <v>324</v>
      </c>
      <c r="P848" s="3" t="s">
        <v>4274</v>
      </c>
      <c r="Q848" s="4"/>
      <c r="R848" s="4"/>
      <c r="S848" s="9" t="str">
        <f>HYPERLINK("https://pbs.twimg.com/profile_images/934097774718734336/1eHwt7zg.jpg","View")</f>
        <v>View</v>
      </c>
    </row>
    <row r="849" spans="1:19" ht="30">
      <c r="A849" s="8">
        <v>43348.007094907407</v>
      </c>
      <c r="B849" s="11" t="str">
        <f>HYPERLINK("https://twitter.com/Mohamma75370061","@Mohamma75370061")</f>
        <v>@Mohamma75370061</v>
      </c>
      <c r="C849" s="6" t="s">
        <v>1998</v>
      </c>
      <c r="D849" s="5" t="s">
        <v>14528</v>
      </c>
      <c r="E849" s="9" t="str">
        <f>HYPERLINK("https://twitter.com/Mohamma75370061/status/1037062797799161862","1037062797799161862")</f>
        <v>1037062797799161862</v>
      </c>
      <c r="F849" s="4"/>
      <c r="G849" s="4"/>
      <c r="H849" s="4"/>
      <c r="I849" s="10" t="str">
        <f>HYPERLINK("http://twitter.com/download/android","Twitter for Android")</f>
        <v>Twitter for Android</v>
      </c>
      <c r="J849" s="2">
        <v>2243</v>
      </c>
      <c r="K849" s="2">
        <v>2902</v>
      </c>
      <c r="L849" s="2">
        <v>1</v>
      </c>
      <c r="M849" s="2"/>
      <c r="N849" s="8">
        <v>43270.233599537038</v>
      </c>
      <c r="O849" s="4" t="s">
        <v>11038</v>
      </c>
      <c r="P849" s="3" t="s">
        <v>12017</v>
      </c>
      <c r="Q849" s="4"/>
      <c r="R849" s="4"/>
      <c r="S849" s="9" t="str">
        <f>HYPERLINK("https://pbs.twimg.com/profile_images/1027742418827993089/rEAc7tMh.jpg","View")</f>
        <v>View</v>
      </c>
    </row>
    <row r="850" spans="1:19" ht="30">
      <c r="A850" s="8">
        <v>43348.005219907413</v>
      </c>
      <c r="B850" s="11" t="str">
        <f>HYPERLINK("https://twitter.com/Javad_Fayezi","@Javad_Fayezi")</f>
        <v>@Javad_Fayezi</v>
      </c>
      <c r="C850" s="6" t="s">
        <v>14527</v>
      </c>
      <c r="D850" s="5" t="s">
        <v>14526</v>
      </c>
      <c r="E850" s="9" t="str">
        <f>HYPERLINK("https://twitter.com/Javad_Fayezi/status/1037062117470429186","1037062117470429186")</f>
        <v>1037062117470429186</v>
      </c>
      <c r="F850" s="4"/>
      <c r="G850" s="10" t="s">
        <v>14525</v>
      </c>
      <c r="H850" s="4"/>
      <c r="I850" s="10" t="str">
        <f>HYPERLINK("http://twitter.com/download/android","Twitter for Android")</f>
        <v>Twitter for Android</v>
      </c>
      <c r="J850" s="2">
        <v>9</v>
      </c>
      <c r="K850" s="2">
        <v>8</v>
      </c>
      <c r="L850" s="2">
        <v>0</v>
      </c>
      <c r="M850" s="2"/>
      <c r="N850" s="8">
        <v>43238.073321759264</v>
      </c>
      <c r="O850" s="4" t="s">
        <v>17</v>
      </c>
      <c r="P850" s="3" t="s">
        <v>14524</v>
      </c>
      <c r="Q850" s="4"/>
      <c r="R850" s="4"/>
      <c r="S850" s="9" t="str">
        <f>HYPERLINK("https://pbs.twimg.com/profile_images/1003988105379106817/pf4oEXpi.jpg","View")</f>
        <v>View</v>
      </c>
    </row>
    <row r="851" spans="1:19" ht="40">
      <c r="A851" s="8">
        <v>43348.004583333328</v>
      </c>
      <c r="B851" s="11" t="str">
        <f>HYPERLINK("https://twitter.com/kayhanpanah","@kayhanpanah")</f>
        <v>@kayhanpanah</v>
      </c>
      <c r="C851" s="6" t="s">
        <v>14523</v>
      </c>
      <c r="D851" s="5" t="s">
        <v>14522</v>
      </c>
      <c r="E851" s="9" t="str">
        <f>HYPERLINK("https://twitter.com/kayhanpanah/status/1037061888125939717","1037061888125939717")</f>
        <v>1037061888125939717</v>
      </c>
      <c r="F851" s="4"/>
      <c r="G851" s="10" t="s">
        <v>14521</v>
      </c>
      <c r="H851" s="4"/>
      <c r="I851" s="10" t="str">
        <f>HYPERLINK("http://twitter.com","Twitter Web Client")</f>
        <v>Twitter Web Client</v>
      </c>
      <c r="J851" s="2">
        <v>205</v>
      </c>
      <c r="K851" s="2">
        <v>210</v>
      </c>
      <c r="L851" s="2">
        <v>0</v>
      </c>
      <c r="M851" s="2"/>
      <c r="N851" s="8">
        <v>42758.121388888889</v>
      </c>
      <c r="O851" s="4"/>
      <c r="P851" s="3" t="s">
        <v>14520</v>
      </c>
      <c r="Q851" s="4"/>
      <c r="R851" s="4"/>
      <c r="S851" s="9" t="str">
        <f>HYPERLINK("https://pbs.twimg.com/profile_images/987335723589124097/XKTiCSPX.jpg","View")</f>
        <v>View</v>
      </c>
    </row>
    <row r="852" spans="1:19" ht="30">
      <c r="A852" s="8">
        <v>43348.003703703704</v>
      </c>
      <c r="B852" s="11" t="str">
        <f>HYPERLINK("https://twitter.com/aliamereh","@aliamereh")</f>
        <v>@aliamereh</v>
      </c>
      <c r="C852" s="6" t="s">
        <v>14519</v>
      </c>
      <c r="D852" s="5" t="s">
        <v>14518</v>
      </c>
      <c r="E852" s="9" t="str">
        <f>HYPERLINK("https://twitter.com/aliamereh/status/1037061569421737986","1037061569421737986")</f>
        <v>1037061569421737986</v>
      </c>
      <c r="F852" s="4"/>
      <c r="G852" s="4"/>
      <c r="H852" s="4"/>
      <c r="I852" s="10" t="str">
        <f>HYPERLINK("http://twitter.com/download/iphone","Twitter for iPhone")</f>
        <v>Twitter for iPhone</v>
      </c>
      <c r="J852" s="2">
        <v>1300</v>
      </c>
      <c r="K852" s="2">
        <v>654</v>
      </c>
      <c r="L852" s="2">
        <v>2</v>
      </c>
      <c r="M852" s="2"/>
      <c r="N852" s="8">
        <v>41548.902858796297</v>
      </c>
      <c r="O852" s="4" t="s">
        <v>6616</v>
      </c>
      <c r="P852" s="3" t="s">
        <v>14517</v>
      </c>
      <c r="Q852" s="10" t="s">
        <v>14516</v>
      </c>
      <c r="R852" s="4"/>
      <c r="S852" s="9" t="str">
        <f>HYPERLINK("https://pbs.twimg.com/profile_images/804059149533384705/B0jdDIfe.jpg","View")</f>
        <v>View</v>
      </c>
    </row>
    <row r="853" spans="1:19" ht="20">
      <c r="A853" s="8">
        <v>43348.003645833334</v>
      </c>
      <c r="B853" s="11" t="str">
        <f>HYPERLINK("https://twitter.com/Mohsenkeyani","@Mohsenkeyani")</f>
        <v>@Mohsenkeyani</v>
      </c>
      <c r="C853" s="6" t="s">
        <v>4276</v>
      </c>
      <c r="D853" s="5" t="s">
        <v>14515</v>
      </c>
      <c r="E853" s="9" t="str">
        <f>HYPERLINK("https://twitter.com/Mohsenkeyani/status/1037061546537627649","1037061546537627649")</f>
        <v>1037061546537627649</v>
      </c>
      <c r="F853" s="4"/>
      <c r="G853" s="4"/>
      <c r="H853" s="4"/>
      <c r="I853" s="10" t="str">
        <f>HYPERLINK("http://twitter.com/download/android","Twitter for Android")</f>
        <v>Twitter for Android</v>
      </c>
      <c r="J853" s="2">
        <v>382</v>
      </c>
      <c r="K853" s="2">
        <v>239</v>
      </c>
      <c r="L853" s="2">
        <v>2</v>
      </c>
      <c r="M853" s="2"/>
      <c r="N853" s="8">
        <v>41635.627789351856</v>
      </c>
      <c r="O853" s="4" t="s">
        <v>324</v>
      </c>
      <c r="P853" s="3" t="s">
        <v>4274</v>
      </c>
      <c r="Q853" s="4"/>
      <c r="R853" s="4"/>
      <c r="S853" s="9" t="str">
        <f>HYPERLINK("https://pbs.twimg.com/profile_images/934097774718734336/1eHwt7zg.jpg","View")</f>
        <v>View</v>
      </c>
    </row>
    <row r="854" spans="1:19" ht="20">
      <c r="A854" s="8">
        <v>43348.002118055556</v>
      </c>
      <c r="B854" s="11" t="str">
        <f>HYPERLINK("https://twitter.com/mohamad_h_nmt","@mohamad_h_nmt")</f>
        <v>@mohamad_h_nmt</v>
      </c>
      <c r="C854" s="6" t="s">
        <v>14514</v>
      </c>
      <c r="D854" s="5" t="s">
        <v>14513</v>
      </c>
      <c r="E854" s="9" t="str">
        <f>HYPERLINK("https://twitter.com/mohamad_h_nmt/status/1037060994974068736","1037060994974068736")</f>
        <v>1037060994974068736</v>
      </c>
      <c r="F854" s="4"/>
      <c r="G854" s="4"/>
      <c r="H854" s="4"/>
      <c r="I854" s="10" t="str">
        <f>HYPERLINK("http://twitter.com/download/android","Twitter for Android")</f>
        <v>Twitter for Android</v>
      </c>
      <c r="J854" s="2">
        <v>33</v>
      </c>
      <c r="K854" s="2">
        <v>84</v>
      </c>
      <c r="L854" s="2">
        <v>0</v>
      </c>
      <c r="M854" s="2"/>
      <c r="N854" s="8">
        <v>43312.516423611116</v>
      </c>
      <c r="O854" s="4"/>
      <c r="P854" s="3" t="s">
        <v>14512</v>
      </c>
      <c r="Q854" s="4"/>
      <c r="R854" s="4"/>
      <c r="S854" s="9" t="str">
        <f>HYPERLINK("https://pbs.twimg.com/profile_images/1024203582193721345/8AaJD4Kj.jpg","View")</f>
        <v>View</v>
      </c>
    </row>
    <row r="855" spans="1:19" ht="30">
      <c r="A855" s="8">
        <v>43348.001701388886</v>
      </c>
      <c r="B855" s="11" t="str">
        <f>HYPERLINK("https://twitter.com/kamran_sh1788","@kamran_sh1788")</f>
        <v>@kamran_sh1788</v>
      </c>
      <c r="C855" s="6" t="s">
        <v>6763</v>
      </c>
      <c r="D855" s="5" t="s">
        <v>14511</v>
      </c>
      <c r="E855" s="9" t="str">
        <f>HYPERLINK("https://twitter.com/kamran_sh1788/status/1037060844167815170","1037060844167815170")</f>
        <v>1037060844167815170</v>
      </c>
      <c r="F855" s="4"/>
      <c r="G855" s="10" t="s">
        <v>14510</v>
      </c>
      <c r="H855" s="4"/>
      <c r="I855" s="10" t="str">
        <f>HYPERLINK("http://twitter.com/download/android","Twitter for Android")</f>
        <v>Twitter for Android</v>
      </c>
      <c r="J855" s="2">
        <v>791</v>
      </c>
      <c r="K855" s="2">
        <v>387</v>
      </c>
      <c r="L855" s="2">
        <v>9</v>
      </c>
      <c r="M855" s="2"/>
      <c r="N855" s="8">
        <v>42742.941400462965</v>
      </c>
      <c r="O855" s="4" t="s">
        <v>17</v>
      </c>
      <c r="P855" s="3" t="s">
        <v>6760</v>
      </c>
      <c r="Q855" s="10" t="s">
        <v>77</v>
      </c>
      <c r="R855" s="4"/>
      <c r="S855" s="9" t="str">
        <f>HYPERLINK("https://pbs.twimg.com/profile_images/856539454735097857/BXwne9hh.jpg","View")</f>
        <v>View</v>
      </c>
    </row>
    <row r="856" spans="1:19" ht="20">
      <c r="A856" s="8">
        <v>43348.001655092594</v>
      </c>
      <c r="B856" s="11" t="str">
        <f>HYPERLINK("https://twitter.com/Ladan26478598","@Ladan26478598")</f>
        <v>@Ladan26478598</v>
      </c>
      <c r="C856" s="6" t="s">
        <v>14509</v>
      </c>
      <c r="D856" s="5" t="s">
        <v>14508</v>
      </c>
      <c r="E856" s="9" t="str">
        <f>HYPERLINK("https://twitter.com/Ladan26478598/status/1037060829059985410","1037060829059985410")</f>
        <v>1037060829059985410</v>
      </c>
      <c r="F856" s="4"/>
      <c r="G856" s="4"/>
      <c r="H856" s="4"/>
      <c r="I856" s="10" t="str">
        <f>HYPERLINK("https://mobile.twitter.com","Twitter Lite")</f>
        <v>Twitter Lite</v>
      </c>
      <c r="J856" s="2">
        <v>36</v>
      </c>
      <c r="K856" s="2">
        <v>131</v>
      </c>
      <c r="L856" s="2">
        <v>0</v>
      </c>
      <c r="M856" s="2"/>
      <c r="N856" s="8">
        <v>43240.758263888885</v>
      </c>
      <c r="O856" s="4"/>
      <c r="P856" s="3" t="s">
        <v>14507</v>
      </c>
      <c r="Q856" s="4"/>
      <c r="R856" s="4"/>
      <c r="S856" s="2" t="s">
        <v>155</v>
      </c>
    </row>
    <row r="857" spans="1:19" ht="20">
      <c r="A857" s="8">
        <v>43348.00163194444</v>
      </c>
      <c r="B857" s="11" t="str">
        <f>HYPERLINK("https://twitter.com/sefi1363","@sefi1363")</f>
        <v>@sefi1363</v>
      </c>
      <c r="C857" s="6" t="s">
        <v>14506</v>
      </c>
      <c r="D857" s="5" t="s">
        <v>14505</v>
      </c>
      <c r="E857" s="9" t="str">
        <f>HYPERLINK("https://twitter.com/sefi1363/status/1037060818955853826","1037060818955853826")</f>
        <v>1037060818955853826</v>
      </c>
      <c r="F857" s="4"/>
      <c r="G857" s="10" t="s">
        <v>14504</v>
      </c>
      <c r="H857" s="4"/>
      <c r="I857" s="10" t="str">
        <f>HYPERLINK("http://twitter.com/download/iphone","Twitter for iPhone")</f>
        <v>Twitter for iPhone</v>
      </c>
      <c r="J857" s="2">
        <v>99</v>
      </c>
      <c r="K857" s="2">
        <v>262</v>
      </c>
      <c r="L857" s="2">
        <v>0</v>
      </c>
      <c r="M857" s="2"/>
      <c r="N857" s="8">
        <v>42934.396261574075</v>
      </c>
      <c r="O857" s="4"/>
      <c r="P857" s="3" t="s">
        <v>14503</v>
      </c>
      <c r="Q857" s="4"/>
      <c r="R857" s="4"/>
      <c r="S857" s="9" t="str">
        <f>HYPERLINK("https://pbs.twimg.com/profile_images/1023108556327985152/V--ZIXqD.jpg","View")</f>
        <v>View</v>
      </c>
    </row>
    <row r="858" spans="1:19" ht="30">
      <c r="A858" s="8">
        <v>43347.999895833331</v>
      </c>
      <c r="B858" s="11" t="str">
        <f>HYPERLINK("https://twitter.com/bidelparwaz","@bidelparwaz")</f>
        <v>@bidelparwaz</v>
      </c>
      <c r="C858" s="6" t="s">
        <v>12664</v>
      </c>
      <c r="D858" s="5" t="s">
        <v>14502</v>
      </c>
      <c r="E858" s="9" t="str">
        <f>HYPERLINK("https://twitter.com/bidelparwaz/status/1037060191337021445","1037060191337021445")</f>
        <v>1037060191337021445</v>
      </c>
      <c r="F858" s="4"/>
      <c r="G858" s="4"/>
      <c r="H858" s="4"/>
      <c r="I858" s="10" t="str">
        <f>HYPERLINK("https://mobile.twitter.com","Twitter Lite")</f>
        <v>Twitter Lite</v>
      </c>
      <c r="J858" s="2">
        <v>472</v>
      </c>
      <c r="K858" s="2">
        <v>1284</v>
      </c>
      <c r="L858" s="2">
        <v>0</v>
      </c>
      <c r="M858" s="2"/>
      <c r="N858" s="8">
        <v>41362.729085648149</v>
      </c>
      <c r="O858" s="4"/>
      <c r="P858" s="3"/>
      <c r="Q858" s="4"/>
      <c r="R858" s="4"/>
      <c r="S858" s="9" t="str">
        <f>HYPERLINK("https://pbs.twimg.com/profile_images/3447034949/e8cf38722bbd1c4be8a1a450911927ce.jpeg","View")</f>
        <v>View</v>
      </c>
    </row>
    <row r="859" spans="1:19" ht="50">
      <c r="A859" s="8">
        <v>43347.997719907406</v>
      </c>
      <c r="B859" s="11" t="str">
        <f>HYPERLINK("https://twitter.com/nasleranj","@nasleranj")</f>
        <v>@nasleranj</v>
      </c>
      <c r="C859" s="6" t="s">
        <v>4379</v>
      </c>
      <c r="D859" s="5" t="s">
        <v>14501</v>
      </c>
      <c r="E859" s="9" t="str">
        <f>HYPERLINK("https://twitter.com/nasleranj/status/1037059399720886274","1037059399720886274")</f>
        <v>1037059399720886274</v>
      </c>
      <c r="F859" s="4" t="s">
        <v>14500</v>
      </c>
      <c r="G859" s="4"/>
      <c r="H859" s="4"/>
      <c r="I859" s="10" t="str">
        <f>HYPERLINK("http://twitter.com/download/android","Twitter for Android")</f>
        <v>Twitter for Android</v>
      </c>
      <c r="J859" s="2">
        <v>1061</v>
      </c>
      <c r="K859" s="2">
        <v>437</v>
      </c>
      <c r="L859" s="2">
        <v>6</v>
      </c>
      <c r="M859" s="2"/>
      <c r="N859" s="8">
        <v>42767.068020833336</v>
      </c>
      <c r="O859" s="4" t="s">
        <v>4377</v>
      </c>
      <c r="P859" s="3" t="s">
        <v>4376</v>
      </c>
      <c r="Q859" s="4"/>
      <c r="R859" s="4"/>
      <c r="S859" s="9" t="str">
        <f>HYPERLINK("https://pbs.twimg.com/profile_images/1036009483946864640/HDT_Lt7K.jpg","View")</f>
        <v>View</v>
      </c>
    </row>
    <row r="860" spans="1:19" ht="30">
      <c r="A860" s="8">
        <v>43347.99728009259</v>
      </c>
      <c r="B860" s="11" t="str">
        <f>HYPERLINK("https://twitter.com/monavvaralfekr","@monavvaralfekr")</f>
        <v>@monavvaralfekr</v>
      </c>
      <c r="C860" s="6" t="s">
        <v>3498</v>
      </c>
      <c r="D860" s="5" t="s">
        <v>14499</v>
      </c>
      <c r="E860" s="9" t="str">
        <f>HYPERLINK("https://twitter.com/monavvaralfekr/status/1037059243290050565","1037059243290050565")</f>
        <v>1037059243290050565</v>
      </c>
      <c r="F860" s="4"/>
      <c r="G860" s="4"/>
      <c r="H860" s="4"/>
      <c r="I860" s="10" t="str">
        <f>HYPERLINK("http://twitter.com/download/android","Twitter for Android")</f>
        <v>Twitter for Android</v>
      </c>
      <c r="J860" s="2">
        <v>185</v>
      </c>
      <c r="K860" s="2">
        <v>475</v>
      </c>
      <c r="L860" s="2">
        <v>1</v>
      </c>
      <c r="M860" s="2"/>
      <c r="N860" s="8">
        <v>43205.744166666671</v>
      </c>
      <c r="O860" s="4"/>
      <c r="P860" s="3"/>
      <c r="Q860" s="4"/>
      <c r="R860" s="4"/>
      <c r="S860" s="9" t="str">
        <f>HYPERLINK("https://pbs.twimg.com/profile_images/1025839516173697024/lMf5IPKb.jpg","View")</f>
        <v>View</v>
      </c>
    </row>
    <row r="861" spans="1:19" ht="30">
      <c r="A861" s="8">
        <v>43347.996840277774</v>
      </c>
      <c r="B861" s="11" t="str">
        <f>HYPERLINK("https://twitter.com/marzban316","@marzban316")</f>
        <v>@marzban316</v>
      </c>
      <c r="C861" s="6" t="s">
        <v>11653</v>
      </c>
      <c r="D861" s="5" t="s">
        <v>14498</v>
      </c>
      <c r="E861" s="9" t="str">
        <f>HYPERLINK("https://twitter.com/marzban316/status/1037059082191032322","1037059082191032322")</f>
        <v>1037059082191032322</v>
      </c>
      <c r="F861" s="4"/>
      <c r="G861" s="10" t="s">
        <v>14497</v>
      </c>
      <c r="H861" s="4"/>
      <c r="I861" s="10" t="str">
        <f>HYPERLINK("http://twitter.com/download/android","Twitter for Android")</f>
        <v>Twitter for Android</v>
      </c>
      <c r="J861" s="2">
        <v>2529</v>
      </c>
      <c r="K861" s="2">
        <v>449</v>
      </c>
      <c r="L861" s="2">
        <v>17</v>
      </c>
      <c r="M861" s="2"/>
      <c r="N861" s="8">
        <v>42112.570648148147</v>
      </c>
      <c r="O861" s="4" t="s">
        <v>11650</v>
      </c>
      <c r="P861" s="3" t="s">
        <v>11649</v>
      </c>
      <c r="Q861" s="4"/>
      <c r="R861" s="4"/>
      <c r="S861" s="9" t="str">
        <f>HYPERLINK("https://pbs.twimg.com/profile_images/1013562578629480448/VZ8YHMRF.jpg","View")</f>
        <v>View</v>
      </c>
    </row>
    <row r="862" spans="1:19" ht="30">
      <c r="A862" s="8">
        <v>43347.996608796297</v>
      </c>
      <c r="B862" s="11" t="str">
        <f>HYPERLINK("https://twitter.com/Theo_Herzl","@Theo_Herzl")</f>
        <v>@Theo_Herzl</v>
      </c>
      <c r="C862" s="6" t="s">
        <v>14496</v>
      </c>
      <c r="D862" s="5" t="s">
        <v>14495</v>
      </c>
      <c r="E862" s="9" t="str">
        <f>HYPERLINK("https://twitter.com/Theo_Herzl/status/1037058998271397888","1037058998271397888")</f>
        <v>1037058998271397888</v>
      </c>
      <c r="F862" s="4"/>
      <c r="G862" s="4"/>
      <c r="H862" s="4"/>
      <c r="I862" s="10" t="str">
        <f>HYPERLINK("http://twitter.com/download/android","Twitter for Android")</f>
        <v>Twitter for Android</v>
      </c>
      <c r="J862" s="2">
        <v>370</v>
      </c>
      <c r="K862" s="2">
        <v>305</v>
      </c>
      <c r="L862" s="2">
        <v>1</v>
      </c>
      <c r="M862" s="2"/>
      <c r="N862" s="8">
        <v>41464.54315972222</v>
      </c>
      <c r="O862" s="4"/>
      <c r="P862" s="3" t="s">
        <v>14494</v>
      </c>
      <c r="Q862" s="4"/>
      <c r="R862" s="4"/>
      <c r="S862" s="9" t="str">
        <f>HYPERLINK("https://pbs.twimg.com/profile_images/1029445297116774402/wf9tHCnn.jpg","View")</f>
        <v>View</v>
      </c>
    </row>
    <row r="863" spans="1:19" ht="30">
      <c r="A863" s="8">
        <v>43347.99417824074</v>
      </c>
      <c r="B863" s="11" t="str">
        <f>HYPERLINK("https://twitter.com/koushki_ahmad","@koushki_ahmad")</f>
        <v>@koushki_ahmad</v>
      </c>
      <c r="C863" s="6" t="s">
        <v>14493</v>
      </c>
      <c r="D863" s="5" t="s">
        <v>14492</v>
      </c>
      <c r="E863" s="9" t="str">
        <f>HYPERLINK("https://twitter.com/koushki_ahmad/status/1037058116377104385","1037058116377104385")</f>
        <v>1037058116377104385</v>
      </c>
      <c r="F863" s="4"/>
      <c r="G863" s="4"/>
      <c r="H863" s="4"/>
      <c r="I863" s="10" t="str">
        <f>HYPERLINK("http://twitter.com/download/iphone","Twitter for iPhone")</f>
        <v>Twitter for iPhone</v>
      </c>
      <c r="J863" s="2">
        <v>940</v>
      </c>
      <c r="K863" s="2">
        <v>311</v>
      </c>
      <c r="L863" s="2">
        <v>5</v>
      </c>
      <c r="M863" s="2"/>
      <c r="N863" s="8">
        <v>42607.62909722222</v>
      </c>
      <c r="O863" s="4" t="s">
        <v>34</v>
      </c>
      <c r="P863" s="3" t="s">
        <v>14491</v>
      </c>
      <c r="Q863" s="4"/>
      <c r="R863" s="4"/>
      <c r="S863" s="9" t="str">
        <f>HYPERLINK("https://pbs.twimg.com/profile_images/916368678723170304/yMbYwPUn.jpg","View")</f>
        <v>View</v>
      </c>
    </row>
    <row r="864" spans="1:19" ht="20">
      <c r="A864" s="8">
        <v>43347.992615740739</v>
      </c>
      <c r="B864" s="11" t="str">
        <f>HYPERLINK("https://twitter.com/PM5531","@PM5531")</f>
        <v>@PM5531</v>
      </c>
      <c r="C864" s="6" t="s">
        <v>3278</v>
      </c>
      <c r="D864" s="5" t="s">
        <v>14490</v>
      </c>
      <c r="E864" s="9" t="str">
        <f>HYPERLINK("https://twitter.com/PM5531/status/1037057551995744256","1037057551995744256")</f>
        <v>1037057551995744256</v>
      </c>
      <c r="F864" s="4"/>
      <c r="G864" s="4"/>
      <c r="H864" s="4"/>
      <c r="I864" s="10" t="str">
        <f>HYPERLINK("http://twitter.com/download/android","Twitter for Android")</f>
        <v>Twitter for Android</v>
      </c>
      <c r="J864" s="2">
        <v>37</v>
      </c>
      <c r="K864" s="2">
        <v>24</v>
      </c>
      <c r="L864" s="2">
        <v>0</v>
      </c>
      <c r="M864" s="2"/>
      <c r="N864" s="8">
        <v>43154.491770833338</v>
      </c>
      <c r="O864" s="4" t="s">
        <v>14489</v>
      </c>
      <c r="P864" s="3" t="s">
        <v>14488</v>
      </c>
      <c r="Q864" s="4"/>
      <c r="R864" s="4"/>
      <c r="S864" s="9" t="str">
        <f>HYPERLINK("https://pbs.twimg.com/profile_images/1036312118105174017/oRSQvaaI.jpg","View")</f>
        <v>View</v>
      </c>
    </row>
    <row r="865" spans="1:19" ht="20">
      <c r="A865" s="8">
        <v>43347.990717592591</v>
      </c>
      <c r="B865" s="11" t="str">
        <f>HYPERLINK("https://twitter.com/attari_alireza","@attari_alireza")</f>
        <v>@attari_alireza</v>
      </c>
      <c r="C865" s="6" t="s">
        <v>14487</v>
      </c>
      <c r="D865" s="5" t="s">
        <v>14486</v>
      </c>
      <c r="E865" s="9" t="str">
        <f>HYPERLINK("https://twitter.com/attari_alireza/status/1037056864335392769","1037056864335392769")</f>
        <v>1037056864335392769</v>
      </c>
      <c r="F865" s="4"/>
      <c r="G865" s="4"/>
      <c r="H865" s="4"/>
      <c r="I865" s="10" t="str">
        <f>HYPERLINK("http://twitter.com/download/android","Twitter for Android")</f>
        <v>Twitter for Android</v>
      </c>
      <c r="J865" s="2">
        <v>12</v>
      </c>
      <c r="K865" s="2">
        <v>54</v>
      </c>
      <c r="L865" s="2">
        <v>0</v>
      </c>
      <c r="M865" s="2"/>
      <c r="N865" s="8">
        <v>43227.570497685185</v>
      </c>
      <c r="O865" s="4" t="s">
        <v>5369</v>
      </c>
      <c r="P865" s="3" t="s">
        <v>14485</v>
      </c>
      <c r="Q865" s="4"/>
      <c r="R865" s="4"/>
      <c r="S865" s="9" t="str">
        <f>HYPERLINK("https://pbs.twimg.com/profile_images/1004244612574253056/qPA7c1XO.jpg","View")</f>
        <v>View</v>
      </c>
    </row>
    <row r="866" spans="1:19" ht="40">
      <c r="A866" s="8">
        <v>43347.99050925926</v>
      </c>
      <c r="B866" s="11" t="str">
        <f>HYPERLINK("https://twitter.com/gomnam_110","@gomnam_110")</f>
        <v>@gomnam_110</v>
      </c>
      <c r="C866" s="6" t="s">
        <v>11850</v>
      </c>
      <c r="D866" s="5" t="s">
        <v>14484</v>
      </c>
      <c r="E866" s="9" t="str">
        <f>HYPERLINK("https://twitter.com/gomnam_110/status/1037056786182930433","1037056786182930433")</f>
        <v>1037056786182930433</v>
      </c>
      <c r="F866" s="10" t="s">
        <v>14483</v>
      </c>
      <c r="G866" s="4"/>
      <c r="H866" s="4"/>
      <c r="I866" s="10" t="str">
        <f>HYPERLINK("http://twitter.com/download/android","Twitter for Android")</f>
        <v>Twitter for Android</v>
      </c>
      <c r="J866" s="2">
        <v>260</v>
      </c>
      <c r="K866" s="2">
        <v>238</v>
      </c>
      <c r="L866" s="2">
        <v>4</v>
      </c>
      <c r="M866" s="2"/>
      <c r="N866" s="8">
        <v>43318.118738425925</v>
      </c>
      <c r="O866" s="4" t="s">
        <v>17</v>
      </c>
      <c r="P866" s="3" t="s">
        <v>11847</v>
      </c>
      <c r="Q866" s="4"/>
      <c r="R866" s="4"/>
      <c r="S866" s="9" t="str">
        <f>HYPERLINK("https://pbs.twimg.com/profile_images/1030793714799726592/mmT51eeT.jpg","View")</f>
        <v>View</v>
      </c>
    </row>
    <row r="867" spans="1:19" ht="40">
      <c r="A867" s="8">
        <v>43347.989155092597</v>
      </c>
      <c r="B867" s="11" t="str">
        <f>HYPERLINK("https://twitter.com/PooriaKashi","@PooriaKashi")</f>
        <v>@PooriaKashi</v>
      </c>
      <c r="C867" s="6" t="s">
        <v>14482</v>
      </c>
      <c r="D867" s="5" t="s">
        <v>14481</v>
      </c>
      <c r="E867" s="9" t="str">
        <f>HYPERLINK("https://twitter.com/PooriaKashi/status/1037056297248727040","1037056297248727040")</f>
        <v>1037056297248727040</v>
      </c>
      <c r="F867" s="4"/>
      <c r="G867" s="4"/>
      <c r="H867" s="4"/>
      <c r="I867" s="10" t="str">
        <f>HYPERLINK("http://twitter.com","Twitter Web Client")</f>
        <v>Twitter Web Client</v>
      </c>
      <c r="J867" s="2">
        <v>35</v>
      </c>
      <c r="K867" s="2">
        <v>24</v>
      </c>
      <c r="L867" s="2">
        <v>0</v>
      </c>
      <c r="M867" s="2"/>
      <c r="N867" s="8">
        <v>43106.934398148151</v>
      </c>
      <c r="O867" s="4" t="s">
        <v>14480</v>
      </c>
      <c r="P867" s="3" t="s">
        <v>14479</v>
      </c>
      <c r="Q867" s="4"/>
      <c r="R867" s="4"/>
      <c r="S867" s="9" t="str">
        <f>HYPERLINK("https://pbs.twimg.com/profile_images/950425702884659200/UaU3rG4q.jpg","View")</f>
        <v>View</v>
      </c>
    </row>
    <row r="868" spans="1:19" ht="20">
      <c r="A868" s="8">
        <v>43347.989062499997</v>
      </c>
      <c r="B868" s="11" t="str">
        <f>HYPERLINK("https://twitter.com/Farajzadeh1986","@Farajzadeh1986")</f>
        <v>@Farajzadeh1986</v>
      </c>
      <c r="C868" s="6" t="s">
        <v>14478</v>
      </c>
      <c r="D868" s="5" t="s">
        <v>14477</v>
      </c>
      <c r="E868" s="9" t="str">
        <f>HYPERLINK("https://twitter.com/Farajzadeh1986/status/1037056264768024577","1037056264768024577")</f>
        <v>1037056264768024577</v>
      </c>
      <c r="F868" s="4"/>
      <c r="G868" s="4"/>
      <c r="H868" s="4"/>
      <c r="I868" s="10" t="str">
        <f>HYPERLINK("http://twitter.com/download/android","Twitter for Android")</f>
        <v>Twitter for Android</v>
      </c>
      <c r="J868" s="2">
        <v>1842</v>
      </c>
      <c r="K868" s="2">
        <v>913</v>
      </c>
      <c r="L868" s="2">
        <v>2</v>
      </c>
      <c r="M868" s="2"/>
      <c r="N868" s="8">
        <v>42097.844259259262</v>
      </c>
      <c r="O868" s="4" t="s">
        <v>14476</v>
      </c>
      <c r="P868" s="3" t="s">
        <v>14475</v>
      </c>
      <c r="Q868" s="4"/>
      <c r="R868" s="4"/>
      <c r="S868" s="9" t="str">
        <f>HYPERLINK("https://pbs.twimg.com/profile_images/1002633830203879425/ADLH0ktj.jpg","View")</f>
        <v>View</v>
      </c>
    </row>
    <row r="869" spans="1:19" ht="30">
      <c r="A869" s="8">
        <v>43347.988587962958</v>
      </c>
      <c r="B869" s="11" t="str">
        <f>HYPERLINK("https://twitter.com/davood274","@davood274")</f>
        <v>@davood274</v>
      </c>
      <c r="C869" s="6" t="s">
        <v>1575</v>
      </c>
      <c r="D869" s="5" t="s">
        <v>14474</v>
      </c>
      <c r="E869" s="9" t="str">
        <f>HYPERLINK("https://twitter.com/davood274/status/1037056093439049728","1037056093439049728")</f>
        <v>1037056093439049728</v>
      </c>
      <c r="F869" s="4"/>
      <c r="G869" s="4"/>
      <c r="H869" s="4"/>
      <c r="I869" s="10" t="str">
        <f>HYPERLINK("http://twitter.com/download/android","Twitter for Android")</f>
        <v>Twitter for Android</v>
      </c>
      <c r="J869" s="2">
        <v>303</v>
      </c>
      <c r="K869" s="2">
        <v>643</v>
      </c>
      <c r="L869" s="2">
        <v>0</v>
      </c>
      <c r="M869" s="2"/>
      <c r="N869" s="8">
        <v>41805.405289351853</v>
      </c>
      <c r="O869" s="4" t="s">
        <v>17</v>
      </c>
      <c r="P869" s="3" t="s">
        <v>6663</v>
      </c>
      <c r="Q869" s="4"/>
      <c r="R869" s="4"/>
      <c r="S869" s="9" t="str">
        <f>HYPERLINK("https://pbs.twimg.com/profile_images/1005366993006936067/F_JGdASe.jpg","View")</f>
        <v>View</v>
      </c>
    </row>
    <row r="870" spans="1:19" ht="20">
      <c r="A870" s="8">
        <v>43347.987835648149</v>
      </c>
      <c r="B870" s="11" t="str">
        <f>HYPERLINK("https://twitter.com/vatan_emrooz","@vatan_emrooz")</f>
        <v>@vatan_emrooz</v>
      </c>
      <c r="C870" s="6" t="s">
        <v>4839</v>
      </c>
      <c r="D870" s="5" t="s">
        <v>14473</v>
      </c>
      <c r="E870" s="9" t="str">
        <f>HYPERLINK("https://twitter.com/vatan_emrooz/status/1037055819743985666","1037055819743985666")</f>
        <v>1037055819743985666</v>
      </c>
      <c r="F870" s="10" t="s">
        <v>14472</v>
      </c>
      <c r="G870" s="10" t="s">
        <v>14471</v>
      </c>
      <c r="H870" s="4"/>
      <c r="I870" s="10" t="str">
        <f>HYPERLINK("https://buffer.com","Buffer")</f>
        <v>Buffer</v>
      </c>
      <c r="J870" s="2">
        <v>34319</v>
      </c>
      <c r="K870" s="2">
        <v>6</v>
      </c>
      <c r="L870" s="2">
        <v>149</v>
      </c>
      <c r="M870" s="2"/>
      <c r="N870" s="8">
        <v>41674.692928240736</v>
      </c>
      <c r="O870" s="4" t="s">
        <v>17</v>
      </c>
      <c r="P870" s="3" t="s">
        <v>4835</v>
      </c>
      <c r="Q870" s="10" t="s">
        <v>4834</v>
      </c>
      <c r="R870" s="4"/>
      <c r="S870" s="9" t="str">
        <f>HYPERLINK("https://pbs.twimg.com/profile_images/430690734371389440/nTTwj_SD.jpeg","View")</f>
        <v>View</v>
      </c>
    </row>
    <row r="871" spans="1:19" ht="20">
      <c r="A871" s="8">
        <v>43347.987349537041</v>
      </c>
      <c r="B871" s="11" t="str">
        <f>HYPERLINK("https://twitter.com/demokracy","@demokracy")</f>
        <v>@demokracy</v>
      </c>
      <c r="C871" s="6" t="s">
        <v>4021</v>
      </c>
      <c r="D871" s="5" t="s">
        <v>14470</v>
      </c>
      <c r="E871" s="9" t="str">
        <f>HYPERLINK("https://twitter.com/demokracy/status/1037055644409442304","1037055644409442304")</f>
        <v>1037055644409442304</v>
      </c>
      <c r="F871" s="4"/>
      <c r="G871" s="4"/>
      <c r="H871" s="4"/>
      <c r="I871" s="10" t="str">
        <f>HYPERLINK("http://twitter.com/download/iphone","Twitter for iPhone")</f>
        <v>Twitter for iPhone</v>
      </c>
      <c r="J871" s="2">
        <v>2155</v>
      </c>
      <c r="K871" s="2">
        <v>834</v>
      </c>
      <c r="L871" s="2">
        <v>13</v>
      </c>
      <c r="M871" s="2"/>
      <c r="N871" s="8">
        <v>39852.540347222224</v>
      </c>
      <c r="O871" s="4" t="s">
        <v>324</v>
      </c>
      <c r="P871" s="3" t="s">
        <v>4019</v>
      </c>
      <c r="Q871" s="4"/>
      <c r="R871" s="4"/>
      <c r="S871" s="9" t="str">
        <f>HYPERLINK("https://pbs.twimg.com/profile_images/972720470641598464/k64X46SR.jpg","View")</f>
        <v>View</v>
      </c>
    </row>
    <row r="872" spans="1:19" ht="40">
      <c r="A872" s="8">
        <v>43347.987233796295</v>
      </c>
      <c r="B872" s="11" t="str">
        <f>HYPERLINK("https://twitter.com/meysamsaaedi","@meysamsaaedi")</f>
        <v>@meysamsaaedi</v>
      </c>
      <c r="C872" s="6" t="s">
        <v>6103</v>
      </c>
      <c r="D872" s="5" t="s">
        <v>14469</v>
      </c>
      <c r="E872" s="9" t="str">
        <f>HYPERLINK("https://twitter.com/meysamsaaedi/status/1037055601505972224","1037055601505972224")</f>
        <v>1037055601505972224</v>
      </c>
      <c r="F872" s="4"/>
      <c r="G872" s="4"/>
      <c r="H872" s="4"/>
      <c r="I872" s="10" t="str">
        <f>HYPERLINK("http://twitter.com/download/iphone","Twitter for iPhone")</f>
        <v>Twitter for iPhone</v>
      </c>
      <c r="J872" s="2">
        <v>638</v>
      </c>
      <c r="K872" s="2">
        <v>535</v>
      </c>
      <c r="L872" s="2">
        <v>1</v>
      </c>
      <c r="M872" s="2"/>
      <c r="N872" s="8">
        <v>43214.727488425924</v>
      </c>
      <c r="O872" s="4" t="s">
        <v>34</v>
      </c>
      <c r="P872" s="3"/>
      <c r="Q872" s="4"/>
      <c r="R872" s="4"/>
      <c r="S872" s="9" t="str">
        <f>HYPERLINK("https://pbs.twimg.com/profile_images/997481549778927616/C5gWF06K.jpg","View")</f>
        <v>View</v>
      </c>
    </row>
    <row r="873" spans="1:19" ht="40">
      <c r="A873" s="8">
        <v>43347.985127314816</v>
      </c>
      <c r="B873" s="11" t="str">
        <f>HYPERLINK("https://twitter.com/Plusboy7916","@Plusboy7916")</f>
        <v>@Plusboy7916</v>
      </c>
      <c r="C873" s="6" t="s">
        <v>2132</v>
      </c>
      <c r="D873" s="5" t="s">
        <v>14468</v>
      </c>
      <c r="E873" s="9" t="str">
        <f>HYPERLINK("https://twitter.com/Plusboy7916/status/1037054837849030661","1037054837849030661")</f>
        <v>1037054837849030661</v>
      </c>
      <c r="F873" s="4"/>
      <c r="G873" s="4"/>
      <c r="H873" s="4"/>
      <c r="I873" s="10" t="str">
        <f>HYPERLINK("http://twitter.com","Twitter Web Client")</f>
        <v>Twitter Web Client</v>
      </c>
      <c r="J873" s="2">
        <v>862</v>
      </c>
      <c r="K873" s="2">
        <v>991</v>
      </c>
      <c r="L873" s="2">
        <v>1</v>
      </c>
      <c r="M873" s="2"/>
      <c r="N873" s="8">
        <v>43103.001979166671</v>
      </c>
      <c r="O873" s="4"/>
      <c r="P873" s="3" t="s">
        <v>2130</v>
      </c>
      <c r="Q873" s="4"/>
      <c r="R873" s="4"/>
      <c r="S873" s="9" t="str">
        <f>HYPERLINK("https://pbs.twimg.com/profile_images/989969258158403584/7PZPWCMH.jpg","View")</f>
        <v>View</v>
      </c>
    </row>
    <row r="874" spans="1:19" ht="30">
      <c r="A874" s="8">
        <v>43347.984988425931</v>
      </c>
      <c r="B874" s="11" t="str">
        <f>HYPERLINK("https://twitter.com/leili40","@leili40")</f>
        <v>@leili40</v>
      </c>
      <c r="C874" s="6" t="s">
        <v>14467</v>
      </c>
      <c r="D874" s="5" t="s">
        <v>14466</v>
      </c>
      <c r="E874" s="9" t="str">
        <f>HYPERLINK("https://twitter.com/leili40/status/1037054787949391873","1037054787949391873")</f>
        <v>1037054787949391873</v>
      </c>
      <c r="F874" s="4"/>
      <c r="G874" s="4"/>
      <c r="H874" s="4"/>
      <c r="I874" s="10" t="str">
        <f>HYPERLINK("http://twitter.com/download/iphone","Twitter for iPhone")</f>
        <v>Twitter for iPhone</v>
      </c>
      <c r="J874" s="2">
        <v>513</v>
      </c>
      <c r="K874" s="2">
        <v>528</v>
      </c>
      <c r="L874" s="2">
        <v>2</v>
      </c>
      <c r="M874" s="2"/>
      <c r="N874" s="8">
        <v>41636.332974537036</v>
      </c>
      <c r="O874" s="4"/>
      <c r="P874" s="3" t="s">
        <v>14465</v>
      </c>
      <c r="Q874" s="4"/>
      <c r="R874" s="4"/>
      <c r="S874" s="9" t="str">
        <f>HYPERLINK("https://pbs.twimg.com/profile_images/1018585735618875392/0eFMzkIQ.jpg","View")</f>
        <v>View</v>
      </c>
    </row>
    <row r="875" spans="1:19" ht="30">
      <c r="A875" s="8">
        <v>43347.983668981484</v>
      </c>
      <c r="B875" s="11" t="str">
        <f>HYPERLINK("https://twitter.com/RahbareEshgh66","@RahbareEshgh66")</f>
        <v>@RahbareEshgh66</v>
      </c>
      <c r="C875" s="6" t="s">
        <v>14464</v>
      </c>
      <c r="D875" s="5" t="s">
        <v>14463</v>
      </c>
      <c r="E875" s="9" t="str">
        <f>HYPERLINK("https://twitter.com/RahbareEshgh66/status/1037054309349945344","1037054309349945344")</f>
        <v>1037054309349945344</v>
      </c>
      <c r="F875" s="4"/>
      <c r="G875" s="4"/>
      <c r="H875" s="4"/>
      <c r="I875" s="10" t="str">
        <f>HYPERLINK("https://mobile.twitter.com","Twitter Lite")</f>
        <v>Twitter Lite</v>
      </c>
      <c r="J875" s="2">
        <v>18</v>
      </c>
      <c r="K875" s="2">
        <v>37</v>
      </c>
      <c r="L875" s="2">
        <v>0</v>
      </c>
      <c r="M875" s="2"/>
      <c r="N875" s="8">
        <v>43347.660509259258</v>
      </c>
      <c r="O875" s="4"/>
      <c r="P875" s="3"/>
      <c r="Q875" s="4"/>
      <c r="R875" s="4"/>
      <c r="S875" s="9" t="str">
        <f>HYPERLINK("https://pbs.twimg.com/profile_images/1036940673247862785/O7dI6bPq.jpg","View")</f>
        <v>View</v>
      </c>
    </row>
    <row r="876" spans="1:19" ht="40">
      <c r="A876" s="8">
        <v>43347.981134259258</v>
      </c>
      <c r="B876" s="11" t="str">
        <f>HYPERLINK("https://twitter.com/MesbahiArsam","@MesbahiArsam")</f>
        <v>@MesbahiArsam</v>
      </c>
      <c r="C876" s="6" t="s">
        <v>14416</v>
      </c>
      <c r="D876" s="5" t="s">
        <v>14462</v>
      </c>
      <c r="E876" s="9" t="str">
        <f>HYPERLINK("https://twitter.com/MesbahiArsam/status/1037053391632052225","1037053391632052225")</f>
        <v>1037053391632052225</v>
      </c>
      <c r="F876" s="4"/>
      <c r="G876" s="4"/>
      <c r="H876" s="4"/>
      <c r="I876" s="10" t="str">
        <f>HYPERLINK("http://twitter.com/download/iphone","Twitter for iPhone")</f>
        <v>Twitter for iPhone</v>
      </c>
      <c r="J876" s="2">
        <v>0</v>
      </c>
      <c r="K876" s="2">
        <v>2</v>
      </c>
      <c r="L876" s="2">
        <v>0</v>
      </c>
      <c r="M876" s="2"/>
      <c r="N876" s="8">
        <v>43275.47792824074</v>
      </c>
      <c r="O876" s="4" t="s">
        <v>460</v>
      </c>
      <c r="P876" s="3" t="s">
        <v>14414</v>
      </c>
      <c r="Q876" s="10" t="s">
        <v>14413</v>
      </c>
      <c r="R876" s="4"/>
      <c r="S876" s="9" t="str">
        <f>HYPERLINK("https://pbs.twimg.com/profile_images/1032225634792169473/4OYnYAfJ.jpg","View")</f>
        <v>View</v>
      </c>
    </row>
    <row r="877" spans="1:19" ht="70">
      <c r="A877" s="8">
        <v>43347.979699074072</v>
      </c>
      <c r="B877" s="11" t="str">
        <f>HYPERLINK("https://twitter.com/a0725fb4670c4dd","@a0725fb4670c4dd")</f>
        <v>@a0725fb4670c4dd</v>
      </c>
      <c r="C877" s="6" t="s">
        <v>14461</v>
      </c>
      <c r="D877" s="5" t="s">
        <v>14460</v>
      </c>
      <c r="E877" s="9" t="str">
        <f>HYPERLINK("https://twitter.com/a0725fb4670c4dd/status/1037052870292643843","1037052870292643843")</f>
        <v>1037052870292643843</v>
      </c>
      <c r="F877" s="10" t="s">
        <v>14459</v>
      </c>
      <c r="G877" s="4"/>
      <c r="H877" s="4"/>
      <c r="I877" s="10" t="str">
        <f>HYPERLINK("http://twitter.com/download/android","Twitter for Android")</f>
        <v>Twitter for Android</v>
      </c>
      <c r="J877" s="2">
        <v>103</v>
      </c>
      <c r="K877" s="2">
        <v>265</v>
      </c>
      <c r="L877" s="2">
        <v>1</v>
      </c>
      <c r="M877" s="2"/>
      <c r="N877" s="8">
        <v>41956.943159722221</v>
      </c>
      <c r="O877" s="4" t="s">
        <v>8807</v>
      </c>
      <c r="P877" s="3" t="s">
        <v>14458</v>
      </c>
      <c r="Q877" s="4"/>
      <c r="R877" s="4"/>
      <c r="S877" s="9" t="str">
        <f>HYPERLINK("https://pbs.twimg.com/profile_images/931447926001471488/zrJr_uN5.jpg","View")</f>
        <v>View</v>
      </c>
    </row>
    <row r="878" spans="1:19" ht="20">
      <c r="A878" s="8">
        <v>43347.97855324074</v>
      </c>
      <c r="B878" s="11" t="str">
        <f>HYPERLINK("https://twitter.com/littlemarat","@littlemarat")</f>
        <v>@littlemarat</v>
      </c>
      <c r="C878" s="6" t="s">
        <v>14457</v>
      </c>
      <c r="D878" s="5" t="s">
        <v>14456</v>
      </c>
      <c r="E878" s="9" t="str">
        <f>HYPERLINK("https://twitter.com/littlemarat/status/1037052455610081281","1037052455610081281")</f>
        <v>1037052455610081281</v>
      </c>
      <c r="F878" s="4"/>
      <c r="G878" s="4"/>
      <c r="H878" s="4"/>
      <c r="I878" s="10" t="str">
        <f>HYPERLINK("http://twitter.com/download/android","Twitter for Android")</f>
        <v>Twitter for Android</v>
      </c>
      <c r="J878" s="2">
        <v>4</v>
      </c>
      <c r="K878" s="2">
        <v>26</v>
      </c>
      <c r="L878" s="2">
        <v>0</v>
      </c>
      <c r="M878" s="2"/>
      <c r="N878" s="8">
        <v>42864.153773148151</v>
      </c>
      <c r="O878" s="4"/>
      <c r="P878" s="3" t="s">
        <v>14455</v>
      </c>
      <c r="Q878" s="4"/>
      <c r="R878" s="4"/>
      <c r="S878" s="9" t="str">
        <f>HYPERLINK("https://pbs.twimg.com/profile_images/1034892736229330944/-DgQFfvE.jpg","View")</f>
        <v>View</v>
      </c>
    </row>
    <row r="879" spans="1:19" ht="20">
      <c r="A879" s="8">
        <v>43347.977812500001</v>
      </c>
      <c r="B879" s="11" t="str">
        <f>HYPERLINK("https://twitter.com/demokracy","@demokracy")</f>
        <v>@demokracy</v>
      </c>
      <c r="C879" s="6" t="s">
        <v>4021</v>
      </c>
      <c r="D879" s="5" t="s">
        <v>14454</v>
      </c>
      <c r="E879" s="9" t="str">
        <f>HYPERLINK("https://twitter.com/demokracy/status/1037052188479184896","1037052188479184896")</f>
        <v>1037052188479184896</v>
      </c>
      <c r="F879" s="4"/>
      <c r="G879" s="4"/>
      <c r="H879" s="4"/>
      <c r="I879" s="10" t="str">
        <f>HYPERLINK("http://twitter.com/download/iphone","Twitter for iPhone")</f>
        <v>Twitter for iPhone</v>
      </c>
      <c r="J879" s="2">
        <v>2155</v>
      </c>
      <c r="K879" s="2">
        <v>834</v>
      </c>
      <c r="L879" s="2">
        <v>13</v>
      </c>
      <c r="M879" s="2"/>
      <c r="N879" s="8">
        <v>39852.540347222224</v>
      </c>
      <c r="O879" s="4" t="s">
        <v>324</v>
      </c>
      <c r="P879" s="3" t="s">
        <v>4019</v>
      </c>
      <c r="Q879" s="4"/>
      <c r="R879" s="4"/>
      <c r="S879" s="9" t="str">
        <f>HYPERLINK("https://pbs.twimg.com/profile_images/972720470641598464/k64X46SR.jpg","View")</f>
        <v>View</v>
      </c>
    </row>
    <row r="880" spans="1:19" ht="30">
      <c r="A880" s="8">
        <v>43347.976597222223</v>
      </c>
      <c r="B880" s="11" t="str">
        <f>HYPERLINK("https://twitter.com/sina69am","@sina69am")</f>
        <v>@sina69am</v>
      </c>
      <c r="C880" s="6" t="s">
        <v>13524</v>
      </c>
      <c r="D880" s="5" t="s">
        <v>14453</v>
      </c>
      <c r="E880" s="9" t="str">
        <f>HYPERLINK("https://twitter.com/sina69am/status/1037051745720000514","1037051745720000514")</f>
        <v>1037051745720000514</v>
      </c>
      <c r="F880" s="4"/>
      <c r="G880" s="10" t="s">
        <v>14452</v>
      </c>
      <c r="H880" s="4"/>
      <c r="I880" s="10" t="str">
        <f>HYPERLINK("https://mobile.twitter.com","Twitter Lite")</f>
        <v>Twitter Lite</v>
      </c>
      <c r="J880" s="2">
        <v>177</v>
      </c>
      <c r="K880" s="2">
        <v>273</v>
      </c>
      <c r="L880" s="2">
        <v>0</v>
      </c>
      <c r="M880" s="2"/>
      <c r="N880" s="8">
        <v>43010.917476851857</v>
      </c>
      <c r="O880" s="4" t="s">
        <v>13522</v>
      </c>
      <c r="P880" s="3" t="s">
        <v>13521</v>
      </c>
      <c r="Q880" s="4"/>
      <c r="R880" s="4"/>
      <c r="S880" s="9" t="str">
        <f>HYPERLINK("https://pbs.twimg.com/profile_images/1036956348997615617/HsS915U1.jpg","View")</f>
        <v>View</v>
      </c>
    </row>
    <row r="881" spans="1:19" ht="20">
      <c r="A881" s="8">
        <v>43347.9762962963</v>
      </c>
      <c r="B881" s="11" t="str">
        <f>HYPERLINK("https://twitter.com/mehdipaidar","@mehdipaidar")</f>
        <v>@mehdipaidar</v>
      </c>
      <c r="C881" s="6" t="s">
        <v>14451</v>
      </c>
      <c r="D881" s="5" t="s">
        <v>14450</v>
      </c>
      <c r="E881" s="9" t="str">
        <f>HYPERLINK("https://twitter.com/mehdipaidar/status/1037051636127031297","1037051636127031297")</f>
        <v>1037051636127031297</v>
      </c>
      <c r="F881" s="4"/>
      <c r="G881" s="4"/>
      <c r="H881" s="4"/>
      <c r="I881" s="10" t="str">
        <f>HYPERLINK("http://twitter.com/download/android","Twitter for Android")</f>
        <v>Twitter for Android</v>
      </c>
      <c r="J881" s="2">
        <v>113</v>
      </c>
      <c r="K881" s="2">
        <v>172</v>
      </c>
      <c r="L881" s="2">
        <v>0</v>
      </c>
      <c r="M881" s="2"/>
      <c r="N881" s="8">
        <v>41347.826620370368</v>
      </c>
      <c r="O881" s="4" t="s">
        <v>14449</v>
      </c>
      <c r="P881" s="3" t="s">
        <v>14448</v>
      </c>
      <c r="Q881" s="10" t="s">
        <v>14447</v>
      </c>
      <c r="R881" s="4"/>
      <c r="S881" s="9" t="str">
        <f>HYPERLINK("https://pbs.twimg.com/profile_images/459417226714836993/8vNTUSwh.jpeg","View")</f>
        <v>View</v>
      </c>
    </row>
    <row r="882" spans="1:19" ht="40">
      <c r="A882" s="8">
        <v>43347.975057870368</v>
      </c>
      <c r="B882" s="11" t="str">
        <f>HYPERLINK("https://twitter.com/AhmadPo","@AhmadPo")</f>
        <v>@AhmadPo</v>
      </c>
      <c r="C882" s="6" t="s">
        <v>7050</v>
      </c>
      <c r="D882" s="5" t="s">
        <v>14446</v>
      </c>
      <c r="E882" s="9" t="str">
        <f>HYPERLINK("https://twitter.com/AhmadPo/status/1037051189404295168","1037051189404295168")</f>
        <v>1037051189404295168</v>
      </c>
      <c r="F882" s="4"/>
      <c r="G882" s="4"/>
      <c r="H882" s="4"/>
      <c r="I882" s="10" t="str">
        <f>HYPERLINK("http://twitter.com/download/android","Twitter for Android")</f>
        <v>Twitter for Android</v>
      </c>
      <c r="J882" s="2">
        <v>523</v>
      </c>
      <c r="K882" s="2">
        <v>455</v>
      </c>
      <c r="L882" s="2">
        <v>2</v>
      </c>
      <c r="M882" s="2"/>
      <c r="N882" s="8">
        <v>40703.467581018514</v>
      </c>
      <c r="O882" s="4"/>
      <c r="P882" s="3" t="s">
        <v>7048</v>
      </c>
      <c r="Q882" s="4"/>
      <c r="R882" s="4"/>
      <c r="S882" s="9" t="str">
        <f>HYPERLINK("https://pbs.twimg.com/profile_images/994659791980060672/QIGBrCRs.jpg","View")</f>
        <v>View</v>
      </c>
    </row>
    <row r="883" spans="1:19" ht="20">
      <c r="A883" s="8">
        <v>43347.971620370372</v>
      </c>
      <c r="B883" s="11" t="str">
        <f>HYPERLINK("https://twitter.com/atshani1","@atshani1")</f>
        <v>@atshani1</v>
      </c>
      <c r="C883" s="6" t="s">
        <v>14445</v>
      </c>
      <c r="D883" s="5" t="s">
        <v>14444</v>
      </c>
      <c r="E883" s="9" t="str">
        <f>HYPERLINK("https://twitter.com/atshani1/status/1037049944065146883","1037049944065146883")</f>
        <v>1037049944065146883</v>
      </c>
      <c r="F883" s="10" t="s">
        <v>14443</v>
      </c>
      <c r="G883" s="10" t="s">
        <v>14442</v>
      </c>
      <c r="H883" s="4"/>
      <c r="I883" s="10" t="str">
        <f>HYPERLINK("http://twitter.com/download/android","Twitter for Android")</f>
        <v>Twitter for Android</v>
      </c>
      <c r="J883" s="2">
        <v>171</v>
      </c>
      <c r="K883" s="2">
        <v>202</v>
      </c>
      <c r="L883" s="2">
        <v>0</v>
      </c>
      <c r="M883" s="2"/>
      <c r="N883" s="8">
        <v>43319.999571759261</v>
      </c>
      <c r="O883" s="4" t="s">
        <v>14441</v>
      </c>
      <c r="P883" s="3"/>
      <c r="Q883" s="4"/>
      <c r="R883" s="4"/>
      <c r="S883" s="9" t="str">
        <f>HYPERLINK("https://pbs.twimg.com/profile_images/1029081982574227456/HFj9yWWn.jpg","View")</f>
        <v>View</v>
      </c>
    </row>
    <row r="884" spans="1:19" ht="40">
      <c r="A884" s="8">
        <v>43347.970034722224</v>
      </c>
      <c r="B884" s="11" t="str">
        <f>HYPERLINK("https://twitter.com/Ehsanfiroozii3","@Ehsanfiroozii3")</f>
        <v>@Ehsanfiroozii3</v>
      </c>
      <c r="C884" s="6" t="s">
        <v>14440</v>
      </c>
      <c r="D884" s="5" t="s">
        <v>14439</v>
      </c>
      <c r="E884" s="9" t="str">
        <f>HYPERLINK("https://twitter.com/Ehsanfiroozii3/status/1037049367323140098","1037049367323140098")</f>
        <v>1037049367323140098</v>
      </c>
      <c r="F884" s="4"/>
      <c r="G884" s="4"/>
      <c r="H884" s="4"/>
      <c r="I884" s="10" t="str">
        <f>HYPERLINK("http://twitter.com/download/android","Twitter for Android")</f>
        <v>Twitter for Android</v>
      </c>
      <c r="J884" s="2">
        <v>18</v>
      </c>
      <c r="K884" s="2">
        <v>41</v>
      </c>
      <c r="L884" s="2">
        <v>0</v>
      </c>
      <c r="M884" s="2"/>
      <c r="N884" s="8">
        <v>43006.916261574079</v>
      </c>
      <c r="O884" s="4" t="s">
        <v>14438</v>
      </c>
      <c r="P884" s="3" t="s">
        <v>14437</v>
      </c>
      <c r="Q884" s="4"/>
      <c r="R884" s="4"/>
      <c r="S884" s="9" t="str">
        <f>HYPERLINK("https://pbs.twimg.com/profile_images/917170469467512832/6gUS0hpD.jpg","View")</f>
        <v>View</v>
      </c>
    </row>
    <row r="885" spans="1:19" ht="30">
      <c r="A885" s="8">
        <v>43347.969768518524</v>
      </c>
      <c r="B885" s="11" t="str">
        <f>HYPERLINK("https://twitter.com/RaminR85","@RaminR85")</f>
        <v>@RaminR85</v>
      </c>
      <c r="C885" s="6" t="s">
        <v>10046</v>
      </c>
      <c r="D885" s="5" t="s">
        <v>14436</v>
      </c>
      <c r="E885" s="9" t="str">
        <f>HYPERLINK("https://twitter.com/RaminR85/status/1037049271772749824","1037049271772749824")</f>
        <v>1037049271772749824</v>
      </c>
      <c r="F885" s="4"/>
      <c r="G885" s="4"/>
      <c r="H885" s="4"/>
      <c r="I885" s="10" t="str">
        <f>HYPERLINK("http://twitter.com/download/android","Twitter for Android")</f>
        <v>Twitter for Android</v>
      </c>
      <c r="J885" s="2">
        <v>131</v>
      </c>
      <c r="K885" s="2">
        <v>343</v>
      </c>
      <c r="L885" s="2">
        <v>0</v>
      </c>
      <c r="M885" s="2"/>
      <c r="N885" s="8">
        <v>42654.933530092589</v>
      </c>
      <c r="O885" s="4" t="s">
        <v>34</v>
      </c>
      <c r="P885" s="3" t="s">
        <v>14435</v>
      </c>
      <c r="Q885" s="4"/>
      <c r="R885" s="4"/>
      <c r="S885" s="9" t="str">
        <f>HYPERLINK("https://pbs.twimg.com/profile_images/1034770456275021825/_Cv2bo0D.jpg","View")</f>
        <v>View</v>
      </c>
    </row>
    <row r="886" spans="1:19" ht="30">
      <c r="A886" s="8">
        <v>43347.968645833331</v>
      </c>
      <c r="B886" s="11" t="str">
        <f>HYPERLINK("https://twitter.com/smb_h","@smb_h")</f>
        <v>@smb_h</v>
      </c>
      <c r="C886" s="6" t="s">
        <v>14434</v>
      </c>
      <c r="D886" s="5" t="s">
        <v>14433</v>
      </c>
      <c r="E886" s="9" t="str">
        <f>HYPERLINK("https://twitter.com/smb_h/status/1037048863465635842","1037048863465635842")</f>
        <v>1037048863465635842</v>
      </c>
      <c r="F886" s="4"/>
      <c r="G886" s="4"/>
      <c r="H886" s="4"/>
      <c r="I886" s="10" t="str">
        <f>HYPERLINK("http://twitter.com/download/android","Twitter for Android")</f>
        <v>Twitter for Android</v>
      </c>
      <c r="J886" s="2">
        <v>5</v>
      </c>
      <c r="K886" s="2">
        <v>7</v>
      </c>
      <c r="L886" s="2">
        <v>0</v>
      </c>
      <c r="M886" s="2"/>
      <c r="N886" s="8">
        <v>42874.981666666667</v>
      </c>
      <c r="O886" s="4" t="s">
        <v>1415</v>
      </c>
      <c r="P886" s="3" t="s">
        <v>14432</v>
      </c>
      <c r="Q886" s="10" t="s">
        <v>14431</v>
      </c>
      <c r="R886" s="4"/>
      <c r="S886" s="9" t="str">
        <f>HYPERLINK("https://pbs.twimg.com/profile_images/1012381388115513345/LeeLRE7z.jpg","View")</f>
        <v>View</v>
      </c>
    </row>
    <row r="887" spans="1:19" ht="40">
      <c r="A887" s="8">
        <v>43347.967152777783</v>
      </c>
      <c r="B887" s="11" t="str">
        <f>HYPERLINK("https://twitter.com/Raheleh333","@Raheleh333")</f>
        <v>@Raheleh333</v>
      </c>
      <c r="C887" s="6" t="s">
        <v>14430</v>
      </c>
      <c r="D887" s="5" t="s">
        <v>14429</v>
      </c>
      <c r="E887" s="9" t="str">
        <f>HYPERLINK("https://twitter.com/Raheleh333/status/1037048324233355264","1037048324233355264")</f>
        <v>1037048324233355264</v>
      </c>
      <c r="F887" s="4"/>
      <c r="G887" s="4"/>
      <c r="H887" s="4"/>
      <c r="I887" s="10" t="str">
        <f>HYPERLINK("http://twitter.com/download/android","Twitter for Android")</f>
        <v>Twitter for Android</v>
      </c>
      <c r="J887" s="2">
        <v>14</v>
      </c>
      <c r="K887" s="2">
        <v>8</v>
      </c>
      <c r="L887" s="2">
        <v>0</v>
      </c>
      <c r="M887" s="2"/>
      <c r="N887" s="8">
        <v>43343.833043981482</v>
      </c>
      <c r="O887" s="4" t="s">
        <v>14428</v>
      </c>
      <c r="P887" s="3" t="s">
        <v>14427</v>
      </c>
      <c r="Q887" s="4"/>
      <c r="R887" s="4"/>
      <c r="S887" s="9" t="str">
        <f>HYPERLINK("https://pbs.twimg.com/profile_images/1036985981759639555/OXzRzHIk.jpg","View")</f>
        <v>View</v>
      </c>
    </row>
    <row r="888" spans="1:19" ht="30">
      <c r="A888" s="8">
        <v>43347.967094907406</v>
      </c>
      <c r="B888" s="11" t="str">
        <f>HYPERLINK("https://twitter.com/Hamid__Vakili","@Hamid__Vakili")</f>
        <v>@Hamid__Vakili</v>
      </c>
      <c r="C888" s="6" t="s">
        <v>11644</v>
      </c>
      <c r="D888" s="5" t="s">
        <v>14426</v>
      </c>
      <c r="E888" s="9" t="str">
        <f>HYPERLINK("https://twitter.com/Hamid__Vakili/status/1037048304390033408","1037048304390033408")</f>
        <v>1037048304390033408</v>
      </c>
      <c r="F888" s="4"/>
      <c r="G888" s="4"/>
      <c r="H888" s="4"/>
      <c r="I888" s="10" t="str">
        <f>HYPERLINK("http://twitter.com/download/iphone","Twitter for iPhone")</f>
        <v>Twitter for iPhone</v>
      </c>
      <c r="J888" s="2">
        <v>423</v>
      </c>
      <c r="K888" s="2">
        <v>332</v>
      </c>
      <c r="L888" s="2">
        <v>1</v>
      </c>
      <c r="M888" s="2"/>
      <c r="N888" s="8">
        <v>43019.473344907412</v>
      </c>
      <c r="O888" s="4" t="s">
        <v>17</v>
      </c>
      <c r="P888" s="3" t="s">
        <v>11642</v>
      </c>
      <c r="Q888" s="10" t="s">
        <v>11641</v>
      </c>
      <c r="R888" s="4"/>
      <c r="S888" s="9" t="str">
        <f>HYPERLINK("https://pbs.twimg.com/profile_images/918027471722774529/msNRg8Bq.jpg","View")</f>
        <v>View</v>
      </c>
    </row>
    <row r="889" spans="1:19" ht="30">
      <c r="A889" s="8">
        <v>43347.965138888889</v>
      </c>
      <c r="B889" s="11" t="str">
        <f>HYPERLINK("https://twitter.com/mm_azizi","@mm_azizi")</f>
        <v>@mm_azizi</v>
      </c>
      <c r="C889" s="6" t="s">
        <v>14425</v>
      </c>
      <c r="D889" s="5" t="s">
        <v>14424</v>
      </c>
      <c r="E889" s="9" t="str">
        <f>HYPERLINK("https://twitter.com/mm_azizi/status/1037047595443662849","1037047595443662849")</f>
        <v>1037047595443662849</v>
      </c>
      <c r="F889" s="4"/>
      <c r="G889" s="4"/>
      <c r="H889" s="4"/>
      <c r="I889" s="10" t="str">
        <f>HYPERLINK("http://twitter.com/download/iphone","Twitter for iPhone")</f>
        <v>Twitter for iPhone</v>
      </c>
      <c r="J889" s="2">
        <v>396</v>
      </c>
      <c r="K889" s="2">
        <v>253</v>
      </c>
      <c r="L889" s="2">
        <v>2</v>
      </c>
      <c r="M889" s="2"/>
      <c r="N889" s="8">
        <v>41740.123263888891</v>
      </c>
      <c r="O889" s="4" t="s">
        <v>34</v>
      </c>
      <c r="P889" s="3"/>
      <c r="Q889" s="4"/>
      <c r="R889" s="4"/>
      <c r="S889" s="9" t="str">
        <f>HYPERLINK("https://pbs.twimg.com/profile_images/1032711387225698306/ukWqCk1s.jpg","View")</f>
        <v>View</v>
      </c>
    </row>
    <row r="890" spans="1:19" ht="20">
      <c r="A890" s="8">
        <v>43347.962696759263</v>
      </c>
      <c r="B890" s="11" t="str">
        <f>HYPERLINK("https://twitter.com/narimanfarzad","@narimanfarzad")</f>
        <v>@narimanfarzad</v>
      </c>
      <c r="C890" s="6" t="s">
        <v>14423</v>
      </c>
      <c r="D890" s="5" t="s">
        <v>14422</v>
      </c>
      <c r="E890" s="9" t="str">
        <f>HYPERLINK("https://twitter.com/narimanfarzad/status/1037046707811430402","1037046707811430402")</f>
        <v>1037046707811430402</v>
      </c>
      <c r="F890" s="4"/>
      <c r="G890" s="10" t="s">
        <v>14421</v>
      </c>
      <c r="H890" s="4"/>
      <c r="I890" s="10" t="str">
        <f>HYPERLINK("http://twitter.com/download/android","Twitter for Android")</f>
        <v>Twitter for Android</v>
      </c>
      <c r="J890" s="2">
        <v>548</v>
      </c>
      <c r="K890" s="2">
        <v>1007</v>
      </c>
      <c r="L890" s="2">
        <v>4</v>
      </c>
      <c r="M890" s="2"/>
      <c r="N890" s="8">
        <v>42623.002905092595</v>
      </c>
      <c r="O890" s="4" t="s">
        <v>1631</v>
      </c>
      <c r="P890" s="3" t="s">
        <v>14420</v>
      </c>
      <c r="Q890" s="4"/>
      <c r="R890" s="4"/>
      <c r="S890" s="9" t="str">
        <f>HYPERLINK("https://pbs.twimg.com/profile_images/1023873883030671360/SDtVrjjb.jpg","View")</f>
        <v>View</v>
      </c>
    </row>
    <row r="891" spans="1:19" ht="20">
      <c r="A891" s="8">
        <v>43347.962233796294</v>
      </c>
      <c r="B891" s="11" t="str">
        <f>HYPERLINK("https://twitter.com/Mahdavipmh","@Mahdavipmh")</f>
        <v>@Mahdavipmh</v>
      </c>
      <c r="C891" s="6" t="s">
        <v>14419</v>
      </c>
      <c r="D891" s="5" t="s">
        <v>14418</v>
      </c>
      <c r="E891" s="9" t="str">
        <f>HYPERLINK("https://twitter.com/Mahdavipmh/status/1037046539775090688","1037046539775090688")</f>
        <v>1037046539775090688</v>
      </c>
      <c r="F891" s="4"/>
      <c r="G891" s="4"/>
      <c r="H891" s="4"/>
      <c r="I891" s="10" t="str">
        <f>HYPERLINK("https://mobile.twitter.com","Twitter Lite")</f>
        <v>Twitter Lite</v>
      </c>
      <c r="J891" s="2">
        <v>265</v>
      </c>
      <c r="K891" s="2">
        <v>44</v>
      </c>
      <c r="L891" s="2">
        <v>0</v>
      </c>
      <c r="M891" s="2"/>
      <c r="N891" s="8">
        <v>43192.753032407403</v>
      </c>
      <c r="O891" s="4"/>
      <c r="P891" s="3" t="s">
        <v>14417</v>
      </c>
      <c r="Q891" s="4"/>
      <c r="R891" s="4"/>
      <c r="S891" s="9" t="str">
        <f>HYPERLINK("https://pbs.twimg.com/profile_images/1037044644440354816/PIszE8iQ.jpg","View")</f>
        <v>View</v>
      </c>
    </row>
    <row r="892" spans="1:19" ht="40">
      <c r="A892" s="8">
        <v>43347.962129629625</v>
      </c>
      <c r="B892" s="11" t="str">
        <f>HYPERLINK("https://twitter.com/MesbahiArsam","@MesbahiArsam")</f>
        <v>@MesbahiArsam</v>
      </c>
      <c r="C892" s="6" t="s">
        <v>14416</v>
      </c>
      <c r="D892" s="5" t="s">
        <v>14415</v>
      </c>
      <c r="E892" s="9" t="str">
        <f>HYPERLINK("https://twitter.com/MesbahiArsam/status/1037046503045570560","1037046503045570560")</f>
        <v>1037046503045570560</v>
      </c>
      <c r="F892" s="4"/>
      <c r="G892" s="4"/>
      <c r="H892" s="4"/>
      <c r="I892" s="10" t="str">
        <f>HYPERLINK("http://twitter.com/download/iphone","Twitter for iPhone")</f>
        <v>Twitter for iPhone</v>
      </c>
      <c r="J892" s="2">
        <v>0</v>
      </c>
      <c r="K892" s="2">
        <v>2</v>
      </c>
      <c r="L892" s="2">
        <v>0</v>
      </c>
      <c r="M892" s="2"/>
      <c r="N892" s="8">
        <v>43275.47792824074</v>
      </c>
      <c r="O892" s="4" t="s">
        <v>460</v>
      </c>
      <c r="P892" s="3" t="s">
        <v>14414</v>
      </c>
      <c r="Q892" s="10" t="s">
        <v>14413</v>
      </c>
      <c r="R892" s="4"/>
      <c r="S892" s="9" t="str">
        <f>HYPERLINK("https://pbs.twimg.com/profile_images/1032225634792169473/4OYnYAfJ.jpg","View")</f>
        <v>View</v>
      </c>
    </row>
    <row r="893" spans="1:19" ht="30">
      <c r="A893" s="8">
        <v>43347.961134259254</v>
      </c>
      <c r="B893" s="11" t="str">
        <f>HYPERLINK("https://twitter.com/Milad_9776","@Milad_9776")</f>
        <v>@Milad_9776</v>
      </c>
      <c r="C893" s="6" t="s">
        <v>12671</v>
      </c>
      <c r="D893" s="5" t="s">
        <v>14412</v>
      </c>
      <c r="E893" s="9" t="str">
        <f>HYPERLINK("https://twitter.com/Milad_9776/status/1037046141685252096","1037046141685252096")</f>
        <v>1037046141685252096</v>
      </c>
      <c r="F893" s="4"/>
      <c r="G893" s="10" t="s">
        <v>14411</v>
      </c>
      <c r="H893" s="4"/>
      <c r="I893" s="10" t="str">
        <f>HYPERLINK("http://twitter.com","Twitter Web Client")</f>
        <v>Twitter Web Client</v>
      </c>
      <c r="J893" s="2">
        <v>1161</v>
      </c>
      <c r="K893" s="2">
        <v>729</v>
      </c>
      <c r="L893" s="2">
        <v>2</v>
      </c>
      <c r="M893" s="2"/>
      <c r="N893" s="8">
        <v>42941.705763888887</v>
      </c>
      <c r="O893" s="4" t="s">
        <v>17</v>
      </c>
      <c r="P893" s="3" t="s">
        <v>12669</v>
      </c>
      <c r="Q893" s="4"/>
      <c r="R893" s="4"/>
      <c r="S893" s="9" t="str">
        <f>HYPERLINK("https://pbs.twimg.com/profile_images/1000918482110861313/nuSQIU6Z.jpg","View")</f>
        <v>View</v>
      </c>
    </row>
    <row r="894" spans="1:19" ht="40">
      <c r="A894" s="8">
        <v>43347.960902777777</v>
      </c>
      <c r="B894" s="11" t="str">
        <f>HYPERLINK("https://twitter.com/TaghvayiZ","@TaghvayiZ")</f>
        <v>@TaghvayiZ</v>
      </c>
      <c r="C894" s="6" t="s">
        <v>12488</v>
      </c>
      <c r="D894" s="5" t="s">
        <v>14410</v>
      </c>
      <c r="E894" s="9" t="str">
        <f>HYPERLINK("https://twitter.com/TaghvayiZ/status/1037046059661516800","1037046059661516800")</f>
        <v>1037046059661516800</v>
      </c>
      <c r="F894" s="4"/>
      <c r="G894" s="4"/>
      <c r="H894" s="4"/>
      <c r="I894" s="10" t="str">
        <f>HYPERLINK("http://twitter.com/download/iphone","Twitter for iPhone")</f>
        <v>Twitter for iPhone</v>
      </c>
      <c r="J894" s="2">
        <v>331</v>
      </c>
      <c r="K894" s="2">
        <v>242</v>
      </c>
      <c r="L894" s="2">
        <v>1</v>
      </c>
      <c r="M894" s="2"/>
      <c r="N894" s="8">
        <v>43160.826874999999</v>
      </c>
      <c r="O894" s="4" t="s">
        <v>34</v>
      </c>
      <c r="P894" s="3" t="s">
        <v>12486</v>
      </c>
      <c r="Q894" s="4"/>
      <c r="R894" s="4"/>
      <c r="S894" s="9" t="str">
        <f>HYPERLINK("https://pbs.twimg.com/profile_images/989556304925593601/q3N_ciTi.jpg","View")</f>
        <v>View</v>
      </c>
    </row>
    <row r="895" spans="1:19" ht="40">
      <c r="A895" s="8">
        <v>43347.960682870369</v>
      </c>
      <c r="B895" s="11" t="str">
        <f>HYPERLINK("https://twitter.com/AHbarati_63","@AHbarati_63")</f>
        <v>@AHbarati_63</v>
      </c>
      <c r="C895" s="6" t="s">
        <v>4675</v>
      </c>
      <c r="D895" s="5" t="s">
        <v>14409</v>
      </c>
      <c r="E895" s="9" t="str">
        <f>HYPERLINK("https://twitter.com/AHbarati_63/status/1037045979654975493","1037045979654975493")</f>
        <v>1037045979654975493</v>
      </c>
      <c r="F895" s="4"/>
      <c r="G895" s="4"/>
      <c r="H895" s="4"/>
      <c r="I895" s="10" t="str">
        <f>HYPERLINK("http://twitter.com","Twitter Web Client")</f>
        <v>Twitter Web Client</v>
      </c>
      <c r="J895" s="2">
        <v>29</v>
      </c>
      <c r="K895" s="2">
        <v>42</v>
      </c>
      <c r="L895" s="2">
        <v>0</v>
      </c>
      <c r="M895" s="2"/>
      <c r="N895" s="8">
        <v>43287.855428240742</v>
      </c>
      <c r="O895" s="4" t="s">
        <v>4673</v>
      </c>
      <c r="P895" s="3" t="s">
        <v>4672</v>
      </c>
      <c r="Q895" s="4"/>
      <c r="R895" s="4"/>
      <c r="S895" s="9" t="str">
        <f>HYPERLINK("https://pbs.twimg.com/profile_images/1021711725572239362/Z0x42RtO.jpg","View")</f>
        <v>View</v>
      </c>
    </row>
    <row r="896" spans="1:19" ht="40">
      <c r="A896" s="8">
        <v>43347.960439814815</v>
      </c>
      <c r="B896" s="11" t="str">
        <f>HYPERLINK("https://twitter.com/raa_mhmd","@raa_mhmd")</f>
        <v>@raa_mhmd</v>
      </c>
      <c r="C896" s="6" t="s">
        <v>14408</v>
      </c>
      <c r="D896" s="5" t="s">
        <v>14407</v>
      </c>
      <c r="E896" s="9" t="str">
        <f>HYPERLINK("https://twitter.com/raa_mhmd/status/1037045889628610564","1037045889628610564")</f>
        <v>1037045889628610564</v>
      </c>
      <c r="F896" s="4"/>
      <c r="G896" s="4"/>
      <c r="H896" s="4"/>
      <c r="I896" s="10" t="str">
        <f>HYPERLINK("http://twitter.com/download/android","Twitter for Android")</f>
        <v>Twitter for Android</v>
      </c>
      <c r="J896" s="2">
        <v>1853</v>
      </c>
      <c r="K896" s="2">
        <v>1412</v>
      </c>
      <c r="L896" s="2">
        <v>4</v>
      </c>
      <c r="M896" s="2"/>
      <c r="N896" s="8">
        <v>43190.613310185188</v>
      </c>
      <c r="O896" s="4" t="s">
        <v>14406</v>
      </c>
      <c r="P896" s="3" t="s">
        <v>14405</v>
      </c>
      <c r="Q896" s="4"/>
      <c r="R896" s="4"/>
      <c r="S896" s="9" t="str">
        <f>HYPERLINK("https://pbs.twimg.com/profile_images/1012671945786253313/A9Wfs7Zc.jpg","View")</f>
        <v>View</v>
      </c>
    </row>
    <row r="897" spans="1:19" ht="70">
      <c r="A897" s="8">
        <v>43347.959560185191</v>
      </c>
      <c r="B897" s="11" t="str">
        <f>HYPERLINK("https://twitter.com/a_maghami","@a_maghami")</f>
        <v>@a_maghami</v>
      </c>
      <c r="C897" s="6" t="s">
        <v>4332</v>
      </c>
      <c r="D897" s="5" t="s">
        <v>14404</v>
      </c>
      <c r="E897" s="9" t="str">
        <f>HYPERLINK("https://twitter.com/a_maghami/status/1037045571058458624","1037045571058458624")</f>
        <v>1037045571058458624</v>
      </c>
      <c r="F897" s="10" t="s">
        <v>14403</v>
      </c>
      <c r="G897" s="4"/>
      <c r="H897" s="4"/>
      <c r="I897" s="10" t="str">
        <f>HYPERLINK("http://twitter.com/download/android","Twitter for Android")</f>
        <v>Twitter for Android</v>
      </c>
      <c r="J897" s="2">
        <v>140</v>
      </c>
      <c r="K897" s="2">
        <v>266</v>
      </c>
      <c r="L897" s="2">
        <v>1</v>
      </c>
      <c r="M897" s="2"/>
      <c r="N897" s="8">
        <v>41507.376886574071</v>
      </c>
      <c r="O897" s="4" t="s">
        <v>324</v>
      </c>
      <c r="P897" s="3" t="s">
        <v>4328</v>
      </c>
      <c r="Q897" s="10" t="s">
        <v>4327</v>
      </c>
      <c r="R897" s="4"/>
      <c r="S897" s="9" t="str">
        <f>HYPERLINK("https://pbs.twimg.com/profile_images/378800000729051711/bd566e9e4ba7bff75d083188111793dc.jpeg","View")</f>
        <v>View</v>
      </c>
    </row>
    <row r="898" spans="1:19" ht="50">
      <c r="A898" s="8">
        <v>43347.958923611106</v>
      </c>
      <c r="B898" s="11" t="str">
        <f>HYPERLINK("https://twitter.com/MaryamToosi","@MaryamToosi")</f>
        <v>@MaryamToosi</v>
      </c>
      <c r="C898" s="6" t="s">
        <v>14402</v>
      </c>
      <c r="D898" s="5" t="s">
        <v>14401</v>
      </c>
      <c r="E898" s="9" t="str">
        <f>HYPERLINK("https://twitter.com/MaryamToosi/status/1037045339675656192","1037045339675656192")</f>
        <v>1037045339675656192</v>
      </c>
      <c r="F898" s="10" t="s">
        <v>13774</v>
      </c>
      <c r="G898" s="10" t="s">
        <v>13296</v>
      </c>
      <c r="H898" s="4"/>
      <c r="I898" s="10" t="str">
        <f>HYPERLINK("http://twitter.com/download/iphone","Twitter for iPhone")</f>
        <v>Twitter for iPhone</v>
      </c>
      <c r="J898" s="2">
        <v>420</v>
      </c>
      <c r="K898" s="2">
        <v>564</v>
      </c>
      <c r="L898" s="2">
        <v>10</v>
      </c>
      <c r="M898" s="2"/>
      <c r="N898" s="8">
        <v>41504.857372685183</v>
      </c>
      <c r="O898" s="4" t="s">
        <v>14400</v>
      </c>
      <c r="P898" s="3" t="s">
        <v>14399</v>
      </c>
      <c r="Q898" s="4"/>
      <c r="R898" s="4"/>
      <c r="S898" s="9" t="str">
        <f>HYPERLINK("https://pbs.twimg.com/profile_images/723816608649625600/fUH5MiYE.jpg","View")</f>
        <v>View</v>
      </c>
    </row>
    <row r="899" spans="1:19" ht="40">
      <c r="A899" s="8">
        <v>43347.957766203705</v>
      </c>
      <c r="B899" s="11" t="str">
        <f>HYPERLINK("https://twitter.com/OmidPouraziz","@OmidPouraziz")</f>
        <v>@OmidPouraziz</v>
      </c>
      <c r="C899" s="6" t="s">
        <v>4605</v>
      </c>
      <c r="D899" s="5" t="s">
        <v>14398</v>
      </c>
      <c r="E899" s="9" t="str">
        <f>HYPERLINK("https://twitter.com/OmidPouraziz/status/1037044923667832833","1037044923667832833")</f>
        <v>1037044923667832833</v>
      </c>
      <c r="F899" s="4"/>
      <c r="G899" s="4"/>
      <c r="H899" s="4"/>
      <c r="I899" s="10" t="str">
        <f>HYPERLINK("http://twitter.com/download/iphone","Twitter for iPhone")</f>
        <v>Twitter for iPhone</v>
      </c>
      <c r="J899" s="2">
        <v>173</v>
      </c>
      <c r="K899" s="2">
        <v>670</v>
      </c>
      <c r="L899" s="2">
        <v>1</v>
      </c>
      <c r="M899" s="2"/>
      <c r="N899" s="8">
        <v>41593.060752314814</v>
      </c>
      <c r="O899" s="4" t="s">
        <v>4603</v>
      </c>
      <c r="P899" s="3" t="s">
        <v>11708</v>
      </c>
      <c r="Q899" s="10" t="s">
        <v>4601</v>
      </c>
      <c r="R899" s="4"/>
      <c r="S899" s="9" t="str">
        <f>HYPERLINK("https://pbs.twimg.com/profile_images/1007528872282378240/IzFlT-Cm.jpg","View")</f>
        <v>View</v>
      </c>
    </row>
    <row r="900" spans="1:19" ht="40">
      <c r="A900" s="8">
        <v>43347.956909722227</v>
      </c>
      <c r="B900" s="11" t="str">
        <f>HYPERLINK("https://twitter.com/MorshediAmir","@MorshediAmir")</f>
        <v>@MorshediAmir</v>
      </c>
      <c r="C900" s="6" t="s">
        <v>298</v>
      </c>
      <c r="D900" s="5" t="s">
        <v>14397</v>
      </c>
      <c r="E900" s="9" t="str">
        <f>HYPERLINK("https://twitter.com/MorshediAmir/status/1037044612748255232","1037044612748255232")</f>
        <v>1037044612748255232</v>
      </c>
      <c r="F900" s="4"/>
      <c r="G900" s="4"/>
      <c r="H900" s="4"/>
      <c r="I900" s="10" t="str">
        <f>HYPERLINK("http://twitter.com/download/android","Twitter for Android")</f>
        <v>Twitter for Android</v>
      </c>
      <c r="J900" s="2">
        <v>329</v>
      </c>
      <c r="K900" s="2">
        <v>164</v>
      </c>
      <c r="L900" s="2">
        <v>3</v>
      </c>
      <c r="M900" s="2"/>
      <c r="N900" s="8">
        <v>42358.495324074072</v>
      </c>
      <c r="O900" s="4"/>
      <c r="P900" s="3" t="s">
        <v>295</v>
      </c>
      <c r="Q900" s="4"/>
      <c r="R900" s="4"/>
      <c r="S900" s="9" t="str">
        <f>HYPERLINK("https://pbs.twimg.com/profile_images/1037048781118816258/NFOQLmly.jpg","View")</f>
        <v>View</v>
      </c>
    </row>
    <row r="901" spans="1:19" ht="40">
      <c r="A901" s="8">
        <v>43347.956689814819</v>
      </c>
      <c r="B901" s="11" t="str">
        <f>HYPERLINK("https://twitter.com/SPakroo","@SPakroo")</f>
        <v>@SPakroo</v>
      </c>
      <c r="C901" s="6" t="s">
        <v>4824</v>
      </c>
      <c r="D901" s="5" t="s">
        <v>14396</v>
      </c>
      <c r="E901" s="9" t="str">
        <f>HYPERLINK("https://twitter.com/SPakroo/status/1037044531835809792","1037044531835809792")</f>
        <v>1037044531835809792</v>
      </c>
      <c r="F901" s="4"/>
      <c r="G901" s="4"/>
      <c r="H901" s="4"/>
      <c r="I901" s="10" t="str">
        <f>HYPERLINK("http://twitter.com","Twitter Web Client")</f>
        <v>Twitter Web Client</v>
      </c>
      <c r="J901" s="2">
        <v>6</v>
      </c>
      <c r="K901" s="2">
        <v>25</v>
      </c>
      <c r="L901" s="2">
        <v>0</v>
      </c>
      <c r="M901" s="2"/>
      <c r="N901" s="8">
        <v>43310.822800925926</v>
      </c>
      <c r="O901" s="4"/>
      <c r="P901" s="3"/>
      <c r="Q901" s="4"/>
      <c r="R901" s="4"/>
      <c r="S901" s="9" t="str">
        <f>HYPERLINK("https://pbs.twimg.com/profile_images/1026468958969331713/pXihc-bs.jpg","View")</f>
        <v>View</v>
      </c>
    </row>
    <row r="902" spans="1:19" ht="30">
      <c r="A902" s="8">
        <v>43347.956597222219</v>
      </c>
      <c r="B902" s="11" t="str">
        <f>HYPERLINK("https://twitter.com/Alireza_Malekii","@Alireza_Malekii")</f>
        <v>@Alireza_Malekii</v>
      </c>
      <c r="C902" s="6" t="s">
        <v>3785</v>
      </c>
      <c r="D902" s="5" t="s">
        <v>14395</v>
      </c>
      <c r="E902" s="9" t="str">
        <f>HYPERLINK("https://twitter.com/Alireza_Malekii/status/1037044498705117184","1037044498705117184")</f>
        <v>1037044498705117184</v>
      </c>
      <c r="F902" s="4"/>
      <c r="G902" s="10" t="s">
        <v>14394</v>
      </c>
      <c r="H902" s="4"/>
      <c r="I902" s="10" t="str">
        <f>HYPERLINK("https://mobile.twitter.com","Twitter Lite")</f>
        <v>Twitter Lite</v>
      </c>
      <c r="J902" s="2">
        <v>84</v>
      </c>
      <c r="K902" s="2">
        <v>121</v>
      </c>
      <c r="L902" s="2">
        <v>1</v>
      </c>
      <c r="M902" s="2"/>
      <c r="N902" s="8">
        <v>43225.406747685185</v>
      </c>
      <c r="O902" s="4" t="s">
        <v>34</v>
      </c>
      <c r="P902" s="3" t="s">
        <v>3782</v>
      </c>
      <c r="Q902" s="4"/>
      <c r="R902" s="4"/>
      <c r="S902" s="9" t="str">
        <f>HYPERLINK("https://pbs.twimg.com/profile_images/997755069561946112/VsinKddP.jpg","View")</f>
        <v>View</v>
      </c>
    </row>
    <row r="903" spans="1:19" ht="20">
      <c r="A903" s="8">
        <v>43347.95616898148</v>
      </c>
      <c r="B903" s="11" t="str">
        <f>HYPERLINK("https://twitter.com/AYafteh","@AYafteh")</f>
        <v>@AYafteh</v>
      </c>
      <c r="C903" s="6" t="s">
        <v>14393</v>
      </c>
      <c r="D903" s="5" t="s">
        <v>14392</v>
      </c>
      <c r="E903" s="9" t="str">
        <f>HYPERLINK("https://twitter.com/AYafteh/status/1037044344023379973","1037044344023379973")</f>
        <v>1037044344023379973</v>
      </c>
      <c r="F903" s="4"/>
      <c r="G903" s="4"/>
      <c r="H903" s="4"/>
      <c r="I903" s="10" t="str">
        <f>HYPERLINK("https://mobile.twitter.com","Twitter Lite")</f>
        <v>Twitter Lite</v>
      </c>
      <c r="J903" s="2">
        <v>735</v>
      </c>
      <c r="K903" s="2">
        <v>1272</v>
      </c>
      <c r="L903" s="2">
        <v>1</v>
      </c>
      <c r="M903" s="2"/>
      <c r="N903" s="8">
        <v>42770.486273148148</v>
      </c>
      <c r="O903" s="4"/>
      <c r="P903" s="3" t="s">
        <v>14391</v>
      </c>
      <c r="Q903" s="4"/>
      <c r="R903" s="4"/>
      <c r="S903" s="9" t="str">
        <f>HYPERLINK("https://pbs.twimg.com/profile_images/992498939134971905/8CLcVv_X.jpg","View")</f>
        <v>View</v>
      </c>
    </row>
    <row r="904" spans="1:19" ht="40">
      <c r="A904" s="8">
        <v>43347.955891203703</v>
      </c>
      <c r="B904" s="11" t="str">
        <f>HYPERLINK("https://twitter.com/alikishizadeh","@alikishizadeh")</f>
        <v>@alikishizadeh</v>
      </c>
      <c r="C904" s="6" t="s">
        <v>4587</v>
      </c>
      <c r="D904" s="5" t="s">
        <v>14390</v>
      </c>
      <c r="E904" s="9" t="str">
        <f>HYPERLINK("https://twitter.com/alikishizadeh/status/1037044244240850944","1037044244240850944")</f>
        <v>1037044244240850944</v>
      </c>
      <c r="F904" s="4"/>
      <c r="G904" s="4"/>
      <c r="H904" s="4"/>
      <c r="I904" s="10" t="str">
        <f>HYPERLINK("http://twitter.com/download/android","Twitter for Android")</f>
        <v>Twitter for Android</v>
      </c>
      <c r="J904" s="2">
        <v>158</v>
      </c>
      <c r="K904" s="2">
        <v>195</v>
      </c>
      <c r="L904" s="2">
        <v>0</v>
      </c>
      <c r="M904" s="2"/>
      <c r="N904" s="8">
        <v>40593.031782407408</v>
      </c>
      <c r="O904" s="4" t="s">
        <v>34</v>
      </c>
      <c r="P904" s="3" t="s">
        <v>14389</v>
      </c>
      <c r="Q904" s="4"/>
      <c r="R904" s="4"/>
      <c r="S904" s="9" t="str">
        <f>HYPERLINK("https://pbs.twimg.com/profile_images/968421759383941120/jFsq1KO5.jpg","View")</f>
        <v>View</v>
      </c>
    </row>
    <row r="905" spans="1:19" ht="20">
      <c r="A905" s="8">
        <v>43347.955868055556</v>
      </c>
      <c r="B905" s="11" t="str">
        <f>HYPERLINK("https://twitter.com/m_r_f_najafi","@m_r_f_najafi")</f>
        <v>@m_r_f_najafi</v>
      </c>
      <c r="C905" s="6" t="s">
        <v>4383</v>
      </c>
      <c r="D905" s="5" t="s">
        <v>14388</v>
      </c>
      <c r="E905" s="9" t="str">
        <f>HYPERLINK("https://twitter.com/m_r_f_najafi/status/1037044234807734272","1037044234807734272")</f>
        <v>1037044234807734272</v>
      </c>
      <c r="F905" s="4"/>
      <c r="G905" s="4"/>
      <c r="H905" s="4"/>
      <c r="I905" s="10" t="str">
        <f>HYPERLINK("http://twitter.com/download/android","Twitter for Android")</f>
        <v>Twitter for Android</v>
      </c>
      <c r="J905" s="2">
        <v>211</v>
      </c>
      <c r="K905" s="2">
        <v>33</v>
      </c>
      <c r="L905" s="2">
        <v>3</v>
      </c>
      <c r="M905" s="2"/>
      <c r="N905" s="8">
        <v>43032.872303240743</v>
      </c>
      <c r="O905" s="4"/>
      <c r="P905" s="3"/>
      <c r="Q905" s="4"/>
      <c r="R905" s="4"/>
      <c r="S905" s="9" t="str">
        <f>HYPERLINK("https://pbs.twimg.com/profile_images/932731081786142720/P3d8Wbit.jpg","View")</f>
        <v>View</v>
      </c>
    </row>
    <row r="906" spans="1:19" ht="20">
      <c r="A906" s="8">
        <v>43347.955543981487</v>
      </c>
      <c r="B906" s="11" t="str">
        <f>HYPERLINK("https://twitter.com/hajgheisar","@hajgheisar")</f>
        <v>@hajgheisar</v>
      </c>
      <c r="C906" s="6" t="s">
        <v>14387</v>
      </c>
      <c r="D906" s="5" t="s">
        <v>14386</v>
      </c>
      <c r="E906" s="9" t="str">
        <f>HYPERLINK("https://twitter.com/hajgheisar/status/1037044115370721280","1037044115370721280")</f>
        <v>1037044115370721280</v>
      </c>
      <c r="F906" s="4"/>
      <c r="G906" s="4"/>
      <c r="H906" s="4"/>
      <c r="I906" s="10" t="str">
        <f>HYPERLINK("https://mobile.twitter.com","Twitter Lite")</f>
        <v>Twitter Lite</v>
      </c>
      <c r="J906" s="2">
        <v>72</v>
      </c>
      <c r="K906" s="2">
        <v>25</v>
      </c>
      <c r="L906" s="2">
        <v>0</v>
      </c>
      <c r="M906" s="2"/>
      <c r="N906" s="8">
        <v>43033.206087962964</v>
      </c>
      <c r="O906" s="4" t="s">
        <v>3854</v>
      </c>
      <c r="P906" s="3" t="s">
        <v>14385</v>
      </c>
      <c r="Q906" s="4"/>
      <c r="R906" s="4"/>
      <c r="S906" s="9" t="str">
        <f>HYPERLINK("https://pbs.twimg.com/profile_images/1013569796842106881/Y_txsu6J.jpg","View")</f>
        <v>View</v>
      </c>
    </row>
    <row r="907" spans="1:19" ht="30">
      <c r="A907" s="8">
        <v>43347.955405092594</v>
      </c>
      <c r="B907" s="11" t="str">
        <f>HYPERLINK("https://twitter.com/MalcolmSardar","@MalcolmSardar")</f>
        <v>@MalcolmSardar</v>
      </c>
      <c r="C907" s="6" t="s">
        <v>2664</v>
      </c>
      <c r="D907" s="5" t="s">
        <v>14384</v>
      </c>
      <c r="E907" s="9" t="str">
        <f>HYPERLINK("https://twitter.com/MalcolmSardar/status/1037044064632418305","1037044064632418305")</f>
        <v>1037044064632418305</v>
      </c>
      <c r="F907" s="4"/>
      <c r="G907" s="4"/>
      <c r="H907" s="4"/>
      <c r="I907" s="10" t="str">
        <f>HYPERLINK("http://twitter.com/download/android","Twitter for Android")</f>
        <v>Twitter for Android</v>
      </c>
      <c r="J907" s="2">
        <v>1468</v>
      </c>
      <c r="K907" s="2">
        <v>722</v>
      </c>
      <c r="L907" s="2">
        <v>2</v>
      </c>
      <c r="M907" s="2"/>
      <c r="N907" s="8">
        <v>43159.496840277774</v>
      </c>
      <c r="O907" s="4"/>
      <c r="P907" s="3" t="s">
        <v>2662</v>
      </c>
      <c r="Q907" s="4"/>
      <c r="R907" s="4"/>
      <c r="S907" s="9" t="str">
        <f>HYPERLINK("https://pbs.twimg.com/profile_images/1011365979543269376/HZoqxlLs.jpg","View")</f>
        <v>View</v>
      </c>
    </row>
    <row r="908" spans="1:19" ht="20">
      <c r="A908" s="8">
        <v>43347.954340277778</v>
      </c>
      <c r="B908" s="11" t="str">
        <f>HYPERLINK("https://twitter.com/mohamadhayati63","@mohamadhayati63")</f>
        <v>@mohamadhayati63</v>
      </c>
      <c r="C908" s="6" t="s">
        <v>1129</v>
      </c>
      <c r="D908" s="5" t="s">
        <v>14383</v>
      </c>
      <c r="E908" s="9" t="str">
        <f>HYPERLINK("https://twitter.com/mohamadhayati63/status/1037043681021386753","1037043681021386753")</f>
        <v>1037043681021386753</v>
      </c>
      <c r="F908" s="4"/>
      <c r="G908" s="10" t="s">
        <v>14382</v>
      </c>
      <c r="H908" s="4"/>
      <c r="I908" s="10" t="str">
        <f>HYPERLINK("http://twitter.com/download/android","Twitter for Android")</f>
        <v>Twitter for Android</v>
      </c>
      <c r="J908" s="2">
        <v>124</v>
      </c>
      <c r="K908" s="2">
        <v>44</v>
      </c>
      <c r="L908" s="2">
        <v>0</v>
      </c>
      <c r="M908" s="2"/>
      <c r="N908" s="8">
        <v>42766.788287037038</v>
      </c>
      <c r="O908" s="4"/>
      <c r="P908" s="3"/>
      <c r="Q908" s="4"/>
      <c r="R908" s="4"/>
      <c r="S908" s="9" t="str">
        <f>HYPERLINK("https://pbs.twimg.com/profile_images/827817604546969601/nOBV6_Ir.jpg","View")</f>
        <v>View</v>
      </c>
    </row>
    <row r="909" spans="1:19" ht="40">
      <c r="A909" s="8">
        <v>43347.953055555554</v>
      </c>
      <c r="B909" s="11" t="str">
        <f>HYPERLINK("https://twitter.com/m_bayatzanjani","@m_bayatzanjani")</f>
        <v>@m_bayatzanjani</v>
      </c>
      <c r="C909" s="6" t="s">
        <v>484</v>
      </c>
      <c r="D909" s="5" t="s">
        <v>14381</v>
      </c>
      <c r="E909" s="9" t="str">
        <f>HYPERLINK("https://twitter.com/m_bayatzanjani/status/1037043216468635648","1037043216468635648")</f>
        <v>1037043216468635648</v>
      </c>
      <c r="F909" s="4"/>
      <c r="G909" s="4"/>
      <c r="H909" s="4"/>
      <c r="I909" s="10" t="str">
        <f>HYPERLINK("http://twitter.com/download/iphone","Twitter for iPhone")</f>
        <v>Twitter for iPhone</v>
      </c>
      <c r="J909" s="2">
        <v>8901</v>
      </c>
      <c r="K909" s="2">
        <v>218</v>
      </c>
      <c r="L909" s="2">
        <v>56</v>
      </c>
      <c r="M909" s="2"/>
      <c r="N909" s="8">
        <v>41492.081261574072</v>
      </c>
      <c r="O909" s="4" t="s">
        <v>482</v>
      </c>
      <c r="P909" s="3" t="s">
        <v>12328</v>
      </c>
      <c r="Q909" s="10" t="s">
        <v>480</v>
      </c>
      <c r="R909" s="4"/>
      <c r="S909" s="9" t="str">
        <f>HYPERLINK("https://pbs.twimg.com/profile_images/1016707041891627009/GAghAK2Y.jpg","View")</f>
        <v>View</v>
      </c>
    </row>
    <row r="910" spans="1:19" ht="30">
      <c r="A910" s="8">
        <v>43347.9528587963</v>
      </c>
      <c r="B910" s="11" t="str">
        <f>HYPERLINK("https://twitter.com/313omidvar","@313omidvar")</f>
        <v>@313omidvar</v>
      </c>
      <c r="C910" s="6" t="s">
        <v>14380</v>
      </c>
      <c r="D910" s="5" t="s">
        <v>14379</v>
      </c>
      <c r="E910" s="9" t="str">
        <f>HYPERLINK("https://twitter.com/313omidvar/status/1037043143395483648","1037043143395483648")</f>
        <v>1037043143395483648</v>
      </c>
      <c r="F910" s="4"/>
      <c r="G910" s="4"/>
      <c r="H910" s="4"/>
      <c r="I910" s="10" t="str">
        <f>HYPERLINK("http://twitter.com/download/android","Twitter for Android")</f>
        <v>Twitter for Android</v>
      </c>
      <c r="J910" s="2">
        <v>31</v>
      </c>
      <c r="K910" s="2">
        <v>65</v>
      </c>
      <c r="L910" s="2">
        <v>0</v>
      </c>
      <c r="M910" s="2"/>
      <c r="N910" s="8">
        <v>43256.812962962962</v>
      </c>
      <c r="O910" s="4" t="s">
        <v>14378</v>
      </c>
      <c r="P910" s="3" t="s">
        <v>14377</v>
      </c>
      <c r="Q910" s="4"/>
      <c r="R910" s="4"/>
      <c r="S910" s="9" t="str">
        <f>HYPERLINK("https://pbs.twimg.com/profile_images/1036962458748039169/Z_fL44f0.jpg","View")</f>
        <v>View</v>
      </c>
    </row>
    <row r="911" spans="1:19" ht="20">
      <c r="A911" s="8">
        <v>43347.952256944445</v>
      </c>
      <c r="B911" s="11" t="str">
        <f>HYPERLINK("https://twitter.com/rmn_ndr","@rmn_ndr")</f>
        <v>@rmn_ndr</v>
      </c>
      <c r="C911" s="6" t="s">
        <v>14376</v>
      </c>
      <c r="D911" s="5" t="s">
        <v>14375</v>
      </c>
      <c r="E911" s="9" t="str">
        <f>HYPERLINK("https://twitter.com/rmn_ndr/status/1037042923915829248","1037042923915829248")</f>
        <v>1037042923915829248</v>
      </c>
      <c r="F911" s="4"/>
      <c r="G911" s="4"/>
      <c r="H911" s="4"/>
      <c r="I911" s="10" t="str">
        <f>HYPERLINK("http://twitter.com","Twitter Web Client")</f>
        <v>Twitter Web Client</v>
      </c>
      <c r="J911" s="2">
        <v>2</v>
      </c>
      <c r="K911" s="2">
        <v>18</v>
      </c>
      <c r="L911" s="2">
        <v>0</v>
      </c>
      <c r="M911" s="2"/>
      <c r="N911" s="8">
        <v>43202.09075231482</v>
      </c>
      <c r="O911" s="4"/>
      <c r="P911" s="3"/>
      <c r="Q911" s="4"/>
      <c r="R911" s="4"/>
      <c r="S911" s="2" t="s">
        <v>155</v>
      </c>
    </row>
    <row r="912" spans="1:19" ht="30">
      <c r="A912" s="8">
        <v>43347.94908564815</v>
      </c>
      <c r="B912" s="11" t="str">
        <f>HYPERLINK("https://twitter.com/Alireza_Malekii","@Alireza_Malekii")</f>
        <v>@Alireza_Malekii</v>
      </c>
      <c r="C912" s="6" t="s">
        <v>3785</v>
      </c>
      <c r="D912" s="5" t="s">
        <v>14374</v>
      </c>
      <c r="E912" s="9" t="str">
        <f>HYPERLINK("https://twitter.com/Alireza_Malekii/status/1037041774919868416","1037041774919868416")</f>
        <v>1037041774919868416</v>
      </c>
      <c r="F912" s="4"/>
      <c r="G912" s="10" t="s">
        <v>14373</v>
      </c>
      <c r="H912" s="4"/>
      <c r="I912" s="10" t="str">
        <f>HYPERLINK("https://mobile.twitter.com","Twitter Lite")</f>
        <v>Twitter Lite</v>
      </c>
      <c r="J912" s="2">
        <v>84</v>
      </c>
      <c r="K912" s="2">
        <v>121</v>
      </c>
      <c r="L912" s="2">
        <v>1</v>
      </c>
      <c r="M912" s="2"/>
      <c r="N912" s="8">
        <v>43225.406747685185</v>
      </c>
      <c r="O912" s="4" t="s">
        <v>34</v>
      </c>
      <c r="P912" s="3" t="s">
        <v>3782</v>
      </c>
      <c r="Q912" s="4"/>
      <c r="R912" s="4"/>
      <c r="S912" s="9" t="str">
        <f>HYPERLINK("https://pbs.twimg.com/profile_images/997755069561946112/VsinKddP.jpg","View")</f>
        <v>View</v>
      </c>
    </row>
    <row r="913" spans="1:19" ht="30">
      <c r="A913" s="8">
        <v>43347.948460648149</v>
      </c>
      <c r="B913" s="11" t="str">
        <f>HYPERLINK("https://twitter.com/leilimohseni","@leilimohseni")</f>
        <v>@leilimohseni</v>
      </c>
      <c r="C913" s="6" t="s">
        <v>14372</v>
      </c>
      <c r="D913" s="5" t="s">
        <v>14371</v>
      </c>
      <c r="E913" s="9" t="str">
        <f>HYPERLINK("https://twitter.com/leilimohseni/status/1037041551573217280","1037041551573217280")</f>
        <v>1037041551573217280</v>
      </c>
      <c r="F913" s="4"/>
      <c r="G913" s="4"/>
      <c r="H913" s="4"/>
      <c r="I913" s="10" t="str">
        <f>HYPERLINK("http://twitter.com/download/android","Twitter for Android")</f>
        <v>Twitter for Android</v>
      </c>
      <c r="J913" s="2">
        <v>4</v>
      </c>
      <c r="K913" s="2">
        <v>14</v>
      </c>
      <c r="L913" s="2">
        <v>0</v>
      </c>
      <c r="M913" s="2"/>
      <c r="N913" s="8">
        <v>42888.210335648153</v>
      </c>
      <c r="O913" s="4" t="s">
        <v>7139</v>
      </c>
      <c r="P913" s="3" t="s">
        <v>14370</v>
      </c>
      <c r="Q913" s="4"/>
      <c r="R913" s="4"/>
      <c r="S913" s="9" t="str">
        <f>HYPERLINK("https://pbs.twimg.com/profile_images/1035402159121215488/8_7tNV16.jpg","View")</f>
        <v>View</v>
      </c>
    </row>
    <row r="914" spans="1:19" ht="40">
      <c r="A914" s="8">
        <v>43347.947800925926</v>
      </c>
      <c r="B914" s="11" t="str">
        <f>HYPERLINK("https://twitter.com/d_w_wolf","@d_w_wolf")</f>
        <v>@d_w_wolf</v>
      </c>
      <c r="C914" s="6" t="s">
        <v>12690</v>
      </c>
      <c r="D914" s="5" t="s">
        <v>14369</v>
      </c>
      <c r="E914" s="9" t="str">
        <f>HYPERLINK("https://twitter.com/d_w_wolf/status/1037041309004058625","1037041309004058625")</f>
        <v>1037041309004058625</v>
      </c>
      <c r="F914" s="4"/>
      <c r="G914" s="10" t="s">
        <v>14368</v>
      </c>
      <c r="H914" s="4"/>
      <c r="I914" s="10" t="str">
        <f>HYPERLINK("http://twitter.com/download/android","Twitter for Android")</f>
        <v>Twitter for Android</v>
      </c>
      <c r="J914" s="2">
        <v>730</v>
      </c>
      <c r="K914" s="2">
        <v>572</v>
      </c>
      <c r="L914" s="2">
        <v>0</v>
      </c>
      <c r="M914" s="2"/>
      <c r="N914" s="8">
        <v>42404.035115740742</v>
      </c>
      <c r="O914" s="4" t="s">
        <v>12687</v>
      </c>
      <c r="P914" s="3" t="s">
        <v>12686</v>
      </c>
      <c r="Q914" s="4"/>
      <c r="R914" s="4"/>
      <c r="S914" s="9" t="str">
        <f>HYPERLINK("https://pbs.twimg.com/profile_images/913892091901685762/JtrJeM3Z.jpg","View")</f>
        <v>View</v>
      </c>
    </row>
    <row r="915" spans="1:19" ht="20">
      <c r="A915" s="8">
        <v>43347.945694444439</v>
      </c>
      <c r="B915" s="11" t="str">
        <f>HYPERLINK("https://twitter.com/HBidmeshk","@HBidmeshk")</f>
        <v>@HBidmeshk</v>
      </c>
      <c r="C915" s="6" t="s">
        <v>13311</v>
      </c>
      <c r="D915" s="5" t="s">
        <v>14367</v>
      </c>
      <c r="E915" s="9" t="str">
        <f>HYPERLINK("https://twitter.com/HBidmeshk/status/1037040548820000768","1037040548820000768")</f>
        <v>1037040548820000768</v>
      </c>
      <c r="F915" s="4"/>
      <c r="G915" s="4"/>
      <c r="H915" s="4"/>
      <c r="I915" s="10" t="str">
        <f>HYPERLINK("http://twitter.com/#!/download/ipad","Twitter for iPad")</f>
        <v>Twitter for iPad</v>
      </c>
      <c r="J915" s="2">
        <v>7</v>
      </c>
      <c r="K915" s="2">
        <v>21</v>
      </c>
      <c r="L915" s="2">
        <v>0</v>
      </c>
      <c r="M915" s="2"/>
      <c r="N915" s="8">
        <v>43241.736342592594</v>
      </c>
      <c r="O915" s="4"/>
      <c r="P915" s="3"/>
      <c r="Q915" s="4"/>
      <c r="R915" s="4"/>
      <c r="S915" s="9" t="str">
        <f>HYPERLINK("https://pbs.twimg.com/profile_images/1010987634779357189/3h8fzHyv.jpg","View")</f>
        <v>View</v>
      </c>
    </row>
    <row r="916" spans="1:19" ht="20">
      <c r="A916" s="8">
        <v>43347.943865740745</v>
      </c>
      <c r="B916" s="11" t="str">
        <f>HYPERLINK("https://twitter.com/hra_news","@hra_news")</f>
        <v>@hra_news</v>
      </c>
      <c r="C916" s="6" t="s">
        <v>4272</v>
      </c>
      <c r="D916" s="5" t="s">
        <v>14366</v>
      </c>
      <c r="E916" s="9" t="str">
        <f>HYPERLINK("https://twitter.com/hra_news/status/1037039883980886017","1037039883980886017")</f>
        <v>1037039883980886017</v>
      </c>
      <c r="F916" s="4"/>
      <c r="G916" s="10" t="s">
        <v>14365</v>
      </c>
      <c r="H916" s="4"/>
      <c r="I916" s="10" t="str">
        <f>HYPERLINK("http://twitter.com","Twitter Web Client")</f>
        <v>Twitter Web Client</v>
      </c>
      <c r="J916" s="2">
        <v>5770</v>
      </c>
      <c r="K916" s="2">
        <v>25</v>
      </c>
      <c r="L916" s="2">
        <v>132</v>
      </c>
      <c r="M916" s="2"/>
      <c r="N916" s="8">
        <v>40166.766736111109</v>
      </c>
      <c r="O916" s="4" t="s">
        <v>1415</v>
      </c>
      <c r="P916" s="3" t="s">
        <v>4268</v>
      </c>
      <c r="Q916" s="10" t="s">
        <v>4267</v>
      </c>
      <c r="R916" s="4"/>
      <c r="S916" s="9" t="str">
        <f>HYPERLINK("https://pbs.twimg.com/profile_images/1020299248456253441/3S_8IvTU.jpg","View")</f>
        <v>View</v>
      </c>
    </row>
    <row r="917" spans="1:19" ht="80">
      <c r="A917" s="8">
        <v>43347.942928240736</v>
      </c>
      <c r="B917" s="11" t="str">
        <f>HYPERLINK("https://twitter.com/sadeq_hosseini","@sadeq_hosseini")</f>
        <v>@sadeq_hosseini</v>
      </c>
      <c r="C917" s="6" t="s">
        <v>3205</v>
      </c>
      <c r="D917" s="5" t="s">
        <v>14364</v>
      </c>
      <c r="E917" s="9" t="str">
        <f>HYPERLINK("https://twitter.com/sadeq_hosseini/status/1037039544103837696","1037039544103837696")</f>
        <v>1037039544103837696</v>
      </c>
      <c r="F917" s="4" t="s">
        <v>13913</v>
      </c>
      <c r="G917" s="4"/>
      <c r="H917" s="4"/>
      <c r="I917" s="10" t="str">
        <f>HYPERLINK("http://twitter.com/download/iphone","Twitter for iPhone")</f>
        <v>Twitter for iPhone</v>
      </c>
      <c r="J917" s="2">
        <v>4200</v>
      </c>
      <c r="K917" s="2">
        <v>261</v>
      </c>
      <c r="L917" s="2">
        <v>48</v>
      </c>
      <c r="M917" s="2"/>
      <c r="N917" s="8">
        <v>41468.055902777778</v>
      </c>
      <c r="O917" s="4" t="s">
        <v>3203</v>
      </c>
      <c r="P917" s="3" t="s">
        <v>3202</v>
      </c>
      <c r="Q917" s="10" t="s">
        <v>3201</v>
      </c>
      <c r="R917" s="4"/>
      <c r="S917" s="9" t="str">
        <f>HYPERLINK("https://pbs.twimg.com/profile_images/1026731719158890496/Me7R_PX_.jpg","View")</f>
        <v>View</v>
      </c>
    </row>
    <row r="918" spans="1:19" ht="30">
      <c r="A918" s="8">
        <v>43347.94195601852</v>
      </c>
      <c r="B918" s="11" t="str">
        <f>HYPERLINK("https://twitter.com/Rosha_tn","@Rosha_tn")</f>
        <v>@Rosha_tn</v>
      </c>
      <c r="C918" s="6" t="s">
        <v>14363</v>
      </c>
      <c r="D918" s="5" t="s">
        <v>14362</v>
      </c>
      <c r="E918" s="9" t="str">
        <f>HYPERLINK("https://twitter.com/Rosha_tn/status/1037039191899693058","1037039191899693058")</f>
        <v>1037039191899693058</v>
      </c>
      <c r="F918" s="4"/>
      <c r="G918" s="4"/>
      <c r="H918" s="4"/>
      <c r="I918" s="10" t="str">
        <f>HYPERLINK("http://twitter.com/download/android","Twitter for Android")</f>
        <v>Twitter for Android</v>
      </c>
      <c r="J918" s="2">
        <v>714</v>
      </c>
      <c r="K918" s="2">
        <v>230</v>
      </c>
      <c r="L918" s="2">
        <v>4</v>
      </c>
      <c r="M918" s="2"/>
      <c r="N918" s="8">
        <v>42778.862800925926</v>
      </c>
      <c r="O918" s="4" t="s">
        <v>14361</v>
      </c>
      <c r="P918" s="3" t="s">
        <v>14360</v>
      </c>
      <c r="Q918" s="4"/>
      <c r="R918" s="4"/>
      <c r="S918" s="9" t="str">
        <f>HYPERLINK("https://pbs.twimg.com/profile_images/1027885095682748418/Om1A22rv.jpg","View")</f>
        <v>View</v>
      </c>
    </row>
    <row r="919" spans="1:19" ht="30">
      <c r="A919" s="8">
        <v>43347.941446759258</v>
      </c>
      <c r="B919" s="11" t="str">
        <f>HYPERLINK("https://twitter.com/seyedhmd","@seyedhmd")</f>
        <v>@seyedhmd</v>
      </c>
      <c r="C919" s="6" t="s">
        <v>14359</v>
      </c>
      <c r="D919" s="5" t="s">
        <v>14358</v>
      </c>
      <c r="E919" s="9" t="str">
        <f>HYPERLINK("https://twitter.com/seyedhmd/status/1037039008310804482","1037039008310804482")</f>
        <v>1037039008310804482</v>
      </c>
      <c r="F919" s="4"/>
      <c r="G919" s="10" t="s">
        <v>14357</v>
      </c>
      <c r="H919" s="4"/>
      <c r="I919" s="10" t="str">
        <f>HYPERLINK("http://twitter.com/download/iphone","Twitter for iPhone")</f>
        <v>Twitter for iPhone</v>
      </c>
      <c r="J919" s="2">
        <v>10202</v>
      </c>
      <c r="K919" s="2">
        <v>8352</v>
      </c>
      <c r="L919" s="2">
        <v>12</v>
      </c>
      <c r="M919" s="2"/>
      <c r="N919" s="8">
        <v>43021.81417824074</v>
      </c>
      <c r="O919" s="4" t="s">
        <v>34</v>
      </c>
      <c r="P919" s="3" t="s">
        <v>14356</v>
      </c>
      <c r="Q919" s="4"/>
      <c r="R919" s="4"/>
      <c r="S919" s="9" t="str">
        <f>HYPERLINK("https://pbs.twimg.com/profile_images/987034880725921792/E2v4ocdm.jpg","View")</f>
        <v>View</v>
      </c>
    </row>
    <row r="920" spans="1:19" ht="20">
      <c r="A920" s="8">
        <v>43347.94131944445</v>
      </c>
      <c r="B920" s="11" t="str">
        <f>HYPERLINK("https://twitter.com/hra_news","@hra_news")</f>
        <v>@hra_news</v>
      </c>
      <c r="C920" s="6" t="s">
        <v>4272</v>
      </c>
      <c r="D920" s="5" t="s">
        <v>14355</v>
      </c>
      <c r="E920" s="9" t="str">
        <f>HYPERLINK("https://twitter.com/hra_news/status/1037038960256733184","1037038960256733184")</f>
        <v>1037038960256733184</v>
      </c>
      <c r="F920" s="10" t="s">
        <v>14354</v>
      </c>
      <c r="G920" s="10" t="s">
        <v>14353</v>
      </c>
      <c r="H920" s="4"/>
      <c r="I920" s="10" t="str">
        <f>HYPERLINK("http://twitter.com","Twitter Web Client")</f>
        <v>Twitter Web Client</v>
      </c>
      <c r="J920" s="2">
        <v>5770</v>
      </c>
      <c r="K920" s="2">
        <v>25</v>
      </c>
      <c r="L920" s="2">
        <v>132</v>
      </c>
      <c r="M920" s="2"/>
      <c r="N920" s="8">
        <v>40166.766736111109</v>
      </c>
      <c r="O920" s="4" t="s">
        <v>1415</v>
      </c>
      <c r="P920" s="3" t="s">
        <v>4268</v>
      </c>
      <c r="Q920" s="10" t="s">
        <v>4267</v>
      </c>
      <c r="R920" s="4"/>
      <c r="S920" s="9" t="str">
        <f>HYPERLINK("https://pbs.twimg.com/profile_images/1020299248456253441/3S_8IvTU.jpg","View")</f>
        <v>View</v>
      </c>
    </row>
    <row r="921" spans="1:19" ht="40">
      <c r="A921" s="8">
        <v>43347.941250000003</v>
      </c>
      <c r="B921" s="11" t="str">
        <f>HYPERLINK("https://twitter.com/KookaMoka","@KookaMoka")</f>
        <v>@KookaMoka</v>
      </c>
      <c r="C921" s="6" t="s">
        <v>14352</v>
      </c>
      <c r="D921" s="5" t="s">
        <v>14351</v>
      </c>
      <c r="E921" s="9" t="str">
        <f>HYPERLINK("https://twitter.com/KookaMoka/status/1037038939075424257","1037038939075424257")</f>
        <v>1037038939075424257</v>
      </c>
      <c r="F921" s="4"/>
      <c r="G921" s="4"/>
      <c r="H921" s="4"/>
      <c r="I921" s="10" t="str">
        <f>HYPERLINK("http://twitter.com","Twitter Web Client")</f>
        <v>Twitter Web Client</v>
      </c>
      <c r="J921" s="2">
        <v>235</v>
      </c>
      <c r="K921" s="2">
        <v>186</v>
      </c>
      <c r="L921" s="2">
        <v>0</v>
      </c>
      <c r="M921" s="2"/>
      <c r="N921" s="8">
        <v>43028.267476851848</v>
      </c>
      <c r="O921" s="4" t="s">
        <v>324</v>
      </c>
      <c r="P921" s="3" t="s">
        <v>14350</v>
      </c>
      <c r="Q921" s="4"/>
      <c r="R921" s="4"/>
      <c r="S921" s="9" t="str">
        <f>HYPERLINK("https://pbs.twimg.com/profile_images/1015798546677682177/Bj2xmwzh.jpg","View")</f>
        <v>View</v>
      </c>
    </row>
    <row r="922" spans="1:19" ht="20">
      <c r="A922" s="8">
        <v>43347.939004629632</v>
      </c>
      <c r="B922" s="11" t="str">
        <f>HYPERLINK("https://twitter.com/Captain_bayashi","@Captain_bayashi")</f>
        <v>@Captain_bayashi</v>
      </c>
      <c r="C922" s="6" t="s">
        <v>14349</v>
      </c>
      <c r="D922" s="5" t="s">
        <v>14348</v>
      </c>
      <c r="E922" s="9" t="str">
        <f>HYPERLINK("https://twitter.com/Captain_bayashi/status/1037038123866382336","1037038123866382336")</f>
        <v>1037038123866382336</v>
      </c>
      <c r="F922" s="4"/>
      <c r="G922" s="4"/>
      <c r="H922" s="4"/>
      <c r="I922" s="10" t="str">
        <f>HYPERLINK("https://mobile.twitter.com","Twitter Lite")</f>
        <v>Twitter Lite</v>
      </c>
      <c r="J922" s="2">
        <v>716</v>
      </c>
      <c r="K922" s="2">
        <v>879</v>
      </c>
      <c r="L922" s="2">
        <v>0</v>
      </c>
      <c r="M922" s="2"/>
      <c r="N922" s="8">
        <v>43130.07949074074</v>
      </c>
      <c r="O922" s="4"/>
      <c r="P922" s="3"/>
      <c r="Q922" s="4"/>
      <c r="R922" s="4"/>
      <c r="S922" s="9" t="str">
        <f>HYPERLINK("https://pbs.twimg.com/profile_images/958119429119905792/HNeUICJi.jpg","View")</f>
        <v>View</v>
      </c>
    </row>
    <row r="923" spans="1:19" ht="12.5">
      <c r="A923" s="8">
        <v>43347.937719907408</v>
      </c>
      <c r="B923" s="11" t="str">
        <f>HYPERLINK("https://twitter.com/nabavi8","@nabavi8")</f>
        <v>@nabavi8</v>
      </c>
      <c r="C923" s="6" t="s">
        <v>4465</v>
      </c>
      <c r="D923" s="5" t="s">
        <v>14347</v>
      </c>
      <c r="E923" s="9" t="str">
        <f>HYPERLINK("https://twitter.com/nabavi8/status/1037037659057573888","1037037659057573888")</f>
        <v>1037037659057573888</v>
      </c>
      <c r="F923" s="4"/>
      <c r="G923" s="4"/>
      <c r="H923" s="4"/>
      <c r="I923" s="10" t="str">
        <f>HYPERLINK("http://twitter.com","Twitter Web Client")</f>
        <v>Twitter Web Client</v>
      </c>
      <c r="J923" s="2">
        <v>114</v>
      </c>
      <c r="K923" s="2">
        <v>477</v>
      </c>
      <c r="L923" s="2">
        <v>1</v>
      </c>
      <c r="M923" s="2"/>
      <c r="N923" s="8">
        <v>41600.829421296294</v>
      </c>
      <c r="O923" s="4" t="s">
        <v>794</v>
      </c>
      <c r="P923" s="3" t="s">
        <v>4463</v>
      </c>
      <c r="Q923" s="4"/>
      <c r="R923" s="4"/>
      <c r="S923" s="9" t="str">
        <f>HYPERLINK("https://pbs.twimg.com/profile_images/668534963575255041/4KqebuFh.jpg","View")</f>
        <v>View</v>
      </c>
    </row>
    <row r="924" spans="1:19" ht="20">
      <c r="A924" s="8">
        <v>43347.936099537037</v>
      </c>
      <c r="B924" s="11" t="str">
        <f>HYPERLINK("https://twitter.com/AAbedi82","@AAbedi82")</f>
        <v>@AAbedi82</v>
      </c>
      <c r="C924" s="6" t="s">
        <v>11548</v>
      </c>
      <c r="D924" s="5" t="s">
        <v>14346</v>
      </c>
      <c r="E924" s="9" t="str">
        <f>HYPERLINK("https://twitter.com/AAbedi82/status/1037037071469297664","1037037071469297664")</f>
        <v>1037037071469297664</v>
      </c>
      <c r="F924" s="4"/>
      <c r="G924" s="4"/>
      <c r="H924" s="4"/>
      <c r="I924" s="10" t="str">
        <f>HYPERLINK("http://twitter.com","Twitter Web Client")</f>
        <v>Twitter Web Client</v>
      </c>
      <c r="J924" s="2">
        <v>7</v>
      </c>
      <c r="K924" s="2">
        <v>81</v>
      </c>
      <c r="L924" s="2">
        <v>0</v>
      </c>
      <c r="M924" s="2"/>
      <c r="N924" s="8">
        <v>42515.776180555556</v>
      </c>
      <c r="O924" s="4"/>
      <c r="P924" s="3"/>
      <c r="Q924" s="4"/>
      <c r="R924" s="4"/>
      <c r="S924" s="9" t="str">
        <f>HYPERLINK("https://pbs.twimg.com/profile_images/735475350659072000/maPuuACS.jpg","View")</f>
        <v>View</v>
      </c>
    </row>
    <row r="925" spans="1:19" ht="12.5">
      <c r="A925" s="8">
        <v>43347.933993055558</v>
      </c>
      <c r="B925" s="11" t="str">
        <f>HYPERLINK("https://twitter.com/nabavi8","@nabavi8")</f>
        <v>@nabavi8</v>
      </c>
      <c r="C925" s="6" t="s">
        <v>4465</v>
      </c>
      <c r="D925" s="5" t="s">
        <v>14345</v>
      </c>
      <c r="E925" s="9" t="str">
        <f>HYPERLINK("https://twitter.com/nabavi8/status/1037036307241787392","1037036307241787392")</f>
        <v>1037036307241787392</v>
      </c>
      <c r="F925" s="4"/>
      <c r="G925" s="4"/>
      <c r="H925" s="4"/>
      <c r="I925" s="10" t="str">
        <f>HYPERLINK("http://twitter.com","Twitter Web Client")</f>
        <v>Twitter Web Client</v>
      </c>
      <c r="J925" s="2">
        <v>114</v>
      </c>
      <c r="K925" s="2">
        <v>477</v>
      </c>
      <c r="L925" s="2">
        <v>1</v>
      </c>
      <c r="M925" s="2"/>
      <c r="N925" s="8">
        <v>41600.829421296294</v>
      </c>
      <c r="O925" s="4" t="s">
        <v>794</v>
      </c>
      <c r="P925" s="3" t="s">
        <v>4463</v>
      </c>
      <c r="Q925" s="4"/>
      <c r="R925" s="4"/>
      <c r="S925" s="9" t="str">
        <f>HYPERLINK("https://pbs.twimg.com/profile_images/668534963575255041/4KqebuFh.jpg","View")</f>
        <v>View</v>
      </c>
    </row>
    <row r="926" spans="1:19" ht="40">
      <c r="A926" s="8">
        <v>43347.933993055558</v>
      </c>
      <c r="B926" s="11" t="str">
        <f>HYPERLINK("https://twitter.com/Maneto15","@Maneto15")</f>
        <v>@Maneto15</v>
      </c>
      <c r="C926" s="6" t="s">
        <v>14344</v>
      </c>
      <c r="D926" s="5" t="s">
        <v>14343</v>
      </c>
      <c r="E926" s="9" t="str">
        <f>HYPERLINK("https://twitter.com/Maneto15/status/1037036306382110720","1037036306382110720")</f>
        <v>1037036306382110720</v>
      </c>
      <c r="F926" s="4"/>
      <c r="G926" s="4"/>
      <c r="H926" s="4"/>
      <c r="I926" s="10" t="str">
        <f>HYPERLINK("http://twitter.com/download/android","Twitter for Android")</f>
        <v>Twitter for Android</v>
      </c>
      <c r="J926" s="2">
        <v>266</v>
      </c>
      <c r="K926" s="2">
        <v>210</v>
      </c>
      <c r="L926" s="2">
        <v>2</v>
      </c>
      <c r="M926" s="2"/>
      <c r="N926" s="8">
        <v>43272.744016203702</v>
      </c>
      <c r="O926" s="4" t="s">
        <v>1078</v>
      </c>
      <c r="P926" s="3" t="s">
        <v>14342</v>
      </c>
      <c r="Q926" s="10" t="s">
        <v>14341</v>
      </c>
      <c r="R926" s="4"/>
      <c r="S926" s="9" t="str">
        <f>HYPERLINK("https://pbs.twimg.com/profile_images/1036009254010929153/akV8C9oH.jpg","View")</f>
        <v>View</v>
      </c>
    </row>
    <row r="927" spans="1:19" ht="40">
      <c r="A927" s="8">
        <v>43347.932604166665</v>
      </c>
      <c r="B927" s="11" t="str">
        <f>HYPERLINK("https://twitter.com/MoTaghiAm","@MoTaghiAm")</f>
        <v>@MoTaghiAm</v>
      </c>
      <c r="C927" s="6" t="s">
        <v>14340</v>
      </c>
      <c r="D927" s="5" t="s">
        <v>14339</v>
      </c>
      <c r="E927" s="9" t="str">
        <f>HYPERLINK("https://twitter.com/MoTaghiAm/status/1037035803271196677","1037035803271196677")</f>
        <v>1037035803271196677</v>
      </c>
      <c r="F927" s="4"/>
      <c r="G927" s="4"/>
      <c r="H927" s="4"/>
      <c r="I927" s="10" t="str">
        <f>HYPERLINK("http://twitter.com/download/android","Twitter for Android")</f>
        <v>Twitter for Android</v>
      </c>
      <c r="J927" s="2">
        <v>17</v>
      </c>
      <c r="K927" s="2">
        <v>246</v>
      </c>
      <c r="L927" s="2">
        <v>0</v>
      </c>
      <c r="M927" s="2"/>
      <c r="N927" s="8">
        <v>43102.455277777779</v>
      </c>
      <c r="O927" s="4"/>
      <c r="P927" s="3" t="s">
        <v>14338</v>
      </c>
      <c r="Q927" s="4"/>
      <c r="R927" s="4"/>
      <c r="S927" s="9" t="str">
        <f>HYPERLINK("https://pbs.twimg.com/profile_images/948455321432977408/aNwm4e2v.jpg","View")</f>
        <v>View</v>
      </c>
    </row>
    <row r="928" spans="1:19" ht="30">
      <c r="A928" s="8">
        <v>43347.932604166665</v>
      </c>
      <c r="B928" s="11" t="str">
        <f>HYPERLINK("https://twitter.com/ali_fakhari2017","@ali_fakhari2017")</f>
        <v>@ali_fakhari2017</v>
      </c>
      <c r="C928" s="6" t="s">
        <v>14337</v>
      </c>
      <c r="D928" s="5" t="s">
        <v>14336</v>
      </c>
      <c r="E928" s="9" t="str">
        <f>HYPERLINK("https://twitter.com/ali_fakhari2017/status/1037035802092601344","1037035802092601344")</f>
        <v>1037035802092601344</v>
      </c>
      <c r="F928" s="4"/>
      <c r="G928" s="10" t="s">
        <v>14335</v>
      </c>
      <c r="H928" s="4"/>
      <c r="I928" s="10" t="str">
        <f>HYPERLINK("http://twitter.com","Twitter Web Client")</f>
        <v>Twitter Web Client</v>
      </c>
      <c r="J928" s="2">
        <v>402</v>
      </c>
      <c r="K928" s="2">
        <v>333</v>
      </c>
      <c r="L928" s="2">
        <v>3</v>
      </c>
      <c r="M928" s="2"/>
      <c r="N928" s="8">
        <v>42588.727476851855</v>
      </c>
      <c r="O928" s="4" t="s">
        <v>14334</v>
      </c>
      <c r="P928" s="3"/>
      <c r="Q928" s="4"/>
      <c r="R928" s="4"/>
      <c r="S928" s="9" t="str">
        <f>HYPERLINK("https://pbs.twimg.com/profile_images/998615056769138692/7FAZYN3m.jpg","View")</f>
        <v>View</v>
      </c>
    </row>
    <row r="929" spans="1:19" ht="30">
      <c r="A929" s="8">
        <v>43347.929386574076</v>
      </c>
      <c r="B929" s="11" t="str">
        <f>HYPERLINK("https://twitter.com/_SepahSalar","@_SepahSalar")</f>
        <v>@_SepahSalar</v>
      </c>
      <c r="C929" s="6" t="s">
        <v>3730</v>
      </c>
      <c r="D929" s="5" t="s">
        <v>14333</v>
      </c>
      <c r="E929" s="9" t="str">
        <f>HYPERLINK("https://twitter.com/_SepahSalar/status/1037034636986212354","1037034636986212354")</f>
        <v>1037034636986212354</v>
      </c>
      <c r="F929" s="4"/>
      <c r="G929" s="4"/>
      <c r="H929" s="4"/>
      <c r="I929" s="10" t="str">
        <f>HYPERLINK("http://twitter.com/download/android","Twitter for Android")</f>
        <v>Twitter for Android</v>
      </c>
      <c r="J929" s="2">
        <v>1007</v>
      </c>
      <c r="K929" s="2">
        <v>657</v>
      </c>
      <c r="L929" s="2">
        <v>4</v>
      </c>
      <c r="M929" s="2"/>
      <c r="N929" s="8">
        <v>43038.902962962966</v>
      </c>
      <c r="O929" s="4" t="s">
        <v>104</v>
      </c>
      <c r="P929" s="3" t="s">
        <v>3728</v>
      </c>
      <c r="Q929" s="4"/>
      <c r="R929" s="4"/>
      <c r="S929" s="9" t="str">
        <f>HYPERLINK("https://pbs.twimg.com/profile_images/983765135893454851/3QQtg4-I.jpg","View")</f>
        <v>View</v>
      </c>
    </row>
    <row r="930" spans="1:19" ht="40">
      <c r="A930" s="8">
        <v>43347.929120370369</v>
      </c>
      <c r="B930" s="11" t="str">
        <f>HYPERLINK("https://twitter.com/fotoohi_amir","@fotoohi_amir")</f>
        <v>@fotoohi_amir</v>
      </c>
      <c r="C930" s="6" t="s">
        <v>14332</v>
      </c>
      <c r="D930" s="5" t="s">
        <v>14331</v>
      </c>
      <c r="E930" s="9" t="str">
        <f>HYPERLINK("https://twitter.com/fotoohi_amir/status/1037034540169158657","1037034540169158657")</f>
        <v>1037034540169158657</v>
      </c>
      <c r="F930" s="4"/>
      <c r="G930" s="10" t="s">
        <v>14330</v>
      </c>
      <c r="H930" s="4"/>
      <c r="I930" s="10" t="str">
        <f>HYPERLINK("http://twitter.com/download/android","Twitter for Android")</f>
        <v>Twitter for Android</v>
      </c>
      <c r="J930" s="2">
        <v>462</v>
      </c>
      <c r="K930" s="2">
        <v>399</v>
      </c>
      <c r="L930" s="2">
        <v>1</v>
      </c>
      <c r="M930" s="2"/>
      <c r="N930" s="8">
        <v>42902.695358796293</v>
      </c>
      <c r="O930" s="4" t="s">
        <v>324</v>
      </c>
      <c r="P930" s="3" t="s">
        <v>14329</v>
      </c>
      <c r="Q930" s="4"/>
      <c r="R930" s="4"/>
      <c r="S930" s="9" t="str">
        <f>HYPERLINK("https://pbs.twimg.com/profile_images/1030158972479782913/VXTINmi_.jpg","View")</f>
        <v>View</v>
      </c>
    </row>
    <row r="931" spans="1:19" ht="80">
      <c r="A931" s="8">
        <v>43347.928495370375</v>
      </c>
      <c r="B931" s="11" t="str">
        <f>HYPERLINK("https://twitter.com/R_Rajabpour","@R_Rajabpour")</f>
        <v>@R_Rajabpour</v>
      </c>
      <c r="C931" s="6" t="s">
        <v>14328</v>
      </c>
      <c r="D931" s="5" t="s">
        <v>14327</v>
      </c>
      <c r="E931" s="9" t="str">
        <f>HYPERLINK("https://twitter.com/R_Rajabpour/status/1037034313328541696","1037034313328541696")</f>
        <v>1037034313328541696</v>
      </c>
      <c r="F931" s="10" t="s">
        <v>13297</v>
      </c>
      <c r="G931" s="10" t="s">
        <v>13296</v>
      </c>
      <c r="H931" s="4"/>
      <c r="I931" s="10" t="str">
        <f>HYPERLINK("http://twitter.com/download/android","Twitter for Android")</f>
        <v>Twitter for Android</v>
      </c>
      <c r="J931" s="2">
        <v>2352</v>
      </c>
      <c r="K931" s="2">
        <v>2197</v>
      </c>
      <c r="L931" s="2">
        <v>8</v>
      </c>
      <c r="M931" s="2"/>
      <c r="N931" s="8">
        <v>42749.728622685187</v>
      </c>
      <c r="O931" s="4" t="s">
        <v>8823</v>
      </c>
      <c r="P931" s="3" t="s">
        <v>14326</v>
      </c>
      <c r="Q931" s="4"/>
      <c r="R931" s="4"/>
      <c r="S931" s="9" t="str">
        <f>HYPERLINK("https://pbs.twimg.com/profile_images/1012507887497895936/23oc7GBi.jpg","View")</f>
        <v>View</v>
      </c>
    </row>
    <row r="932" spans="1:19" ht="20">
      <c r="A932" s="8">
        <v>43347.927997685183</v>
      </c>
      <c r="B932" s="11" t="str">
        <f>HYPERLINK("https://twitter.com/mirza_borjerdi","@mirza_borjerdi")</f>
        <v>@mirza_borjerdi</v>
      </c>
      <c r="C932" s="6" t="s">
        <v>9560</v>
      </c>
      <c r="D932" s="5" t="s">
        <v>14325</v>
      </c>
      <c r="E932" s="9" t="str">
        <f>HYPERLINK("https://twitter.com/mirza_borjerdi/status/1037034132579266560","1037034132579266560")</f>
        <v>1037034132579266560</v>
      </c>
      <c r="F932" s="4"/>
      <c r="G932" s="4"/>
      <c r="H932" s="4"/>
      <c r="I932" s="10" t="str">
        <f>HYPERLINK("http://twitter.com/download/android","Twitter for Android")</f>
        <v>Twitter for Android</v>
      </c>
      <c r="J932" s="2">
        <v>481</v>
      </c>
      <c r="K932" s="2">
        <v>739</v>
      </c>
      <c r="L932" s="2">
        <v>0</v>
      </c>
      <c r="M932" s="2"/>
      <c r="N932" s="8">
        <v>43235.710023148145</v>
      </c>
      <c r="O932" s="4"/>
      <c r="P932" s="3" t="s">
        <v>9558</v>
      </c>
      <c r="Q932" s="4"/>
      <c r="R932" s="4"/>
      <c r="S932" s="9" t="str">
        <f>HYPERLINK("https://pbs.twimg.com/profile_images/1034539644019507201/zudHXYEh.jpg","View")</f>
        <v>View</v>
      </c>
    </row>
    <row r="933" spans="1:19" ht="30">
      <c r="A933" s="8">
        <v>43347.927280092597</v>
      </c>
      <c r="B933" s="11" t="str">
        <f>HYPERLINK("https://twitter.com/CyberDaragh","@CyberDaragh")</f>
        <v>@CyberDaragh</v>
      </c>
      <c r="C933" s="6" t="s">
        <v>14324</v>
      </c>
      <c r="D933" s="5" t="s">
        <v>14323</v>
      </c>
      <c r="E933" s="9" t="str">
        <f>HYPERLINK("https://twitter.com/CyberDaragh/status/1037033874809909248","1037033874809909248")</f>
        <v>1037033874809909248</v>
      </c>
      <c r="F933" s="4"/>
      <c r="G933" s="10" t="s">
        <v>14322</v>
      </c>
      <c r="H933" s="4"/>
      <c r="I933" s="10" t="str">
        <f>HYPERLINK("http://twitter.com/download/android","Twitter for Android")</f>
        <v>Twitter for Android</v>
      </c>
      <c r="J933" s="2">
        <v>7</v>
      </c>
      <c r="K933" s="2">
        <v>78</v>
      </c>
      <c r="L933" s="2">
        <v>0</v>
      </c>
      <c r="M933" s="2"/>
      <c r="N933" s="8">
        <v>43315.52180555556</v>
      </c>
      <c r="O933" s="4" t="s">
        <v>17</v>
      </c>
      <c r="P933" s="3" t="s">
        <v>14321</v>
      </c>
      <c r="Q933" s="4"/>
      <c r="R933" s="4"/>
      <c r="S933" s="9" t="str">
        <f>HYPERLINK("https://pbs.twimg.com/profile_images/1025291032081063936/k9aieXYK.jpg","View")</f>
        <v>View</v>
      </c>
    </row>
    <row r="934" spans="1:19" ht="30">
      <c r="A934" s="8">
        <v>43347.926979166667</v>
      </c>
      <c r="B934" s="11" t="str">
        <f>HYPERLINK("https://twitter.com/fereshtehsahar1","@fereshtehsahar1")</f>
        <v>@fereshtehsahar1</v>
      </c>
      <c r="C934" s="6" t="s">
        <v>13586</v>
      </c>
      <c r="D934" s="5" t="s">
        <v>14320</v>
      </c>
      <c r="E934" s="9" t="str">
        <f>HYPERLINK("https://twitter.com/fereshtehsahar1/status/1037033765980307457","1037033765980307457")</f>
        <v>1037033765980307457</v>
      </c>
      <c r="F934" s="4"/>
      <c r="G934" s="4"/>
      <c r="H934" s="4"/>
      <c r="I934" s="10" t="str">
        <f>HYPERLINK("http://twitter.com/download/android","Twitter for Android")</f>
        <v>Twitter for Android</v>
      </c>
      <c r="J934" s="2">
        <v>24</v>
      </c>
      <c r="K934" s="2">
        <v>55</v>
      </c>
      <c r="L934" s="2">
        <v>0</v>
      </c>
      <c r="M934" s="2"/>
      <c r="N934" s="8">
        <v>43110.425567129627</v>
      </c>
      <c r="O934" s="4" t="s">
        <v>4784</v>
      </c>
      <c r="P934" s="3" t="s">
        <v>13584</v>
      </c>
      <c r="Q934" s="4"/>
      <c r="R934" s="4"/>
      <c r="S934" s="9" t="str">
        <f>HYPERLINK("https://pbs.twimg.com/profile_images/1036888672568782848/upqPkFce.jpg","View")</f>
        <v>View</v>
      </c>
    </row>
    <row r="935" spans="1:19" ht="50">
      <c r="A935" s="8">
        <v>43347.926944444444</v>
      </c>
      <c r="B935" s="11" t="str">
        <f>HYPERLINK("https://twitter.com/_mhnabi_","@_mhnabi_")</f>
        <v>@_mhnabi_</v>
      </c>
      <c r="C935" s="6" t="s">
        <v>10139</v>
      </c>
      <c r="D935" s="5" t="s">
        <v>14319</v>
      </c>
      <c r="E935" s="9" t="str">
        <f>HYPERLINK("https://twitter.com/_mhnabi_/status/1037033752344649728","1037033752344649728")</f>
        <v>1037033752344649728</v>
      </c>
      <c r="F935" s="10" t="s">
        <v>14318</v>
      </c>
      <c r="G935" s="4"/>
      <c r="H935" s="4"/>
      <c r="I935" s="10" t="str">
        <f>HYPERLINK("http://twitter.com/download/iphone","Twitter for iPhone")</f>
        <v>Twitter for iPhone</v>
      </c>
      <c r="J935" s="2">
        <v>101</v>
      </c>
      <c r="K935" s="2">
        <v>87</v>
      </c>
      <c r="L935" s="2">
        <v>0</v>
      </c>
      <c r="M935" s="2"/>
      <c r="N935" s="8">
        <v>41663.055868055555</v>
      </c>
      <c r="O935" s="4"/>
      <c r="P935" s="3" t="s">
        <v>10137</v>
      </c>
      <c r="Q935" s="4"/>
      <c r="R935" s="4"/>
      <c r="S935" s="9" t="str">
        <f>HYPERLINK("https://pbs.twimg.com/profile_images/465494547322380288/zUD5PSuQ.jpeg","View")</f>
        <v>View</v>
      </c>
    </row>
    <row r="936" spans="1:19" ht="20">
      <c r="A936" s="8">
        <v>43347.925729166665</v>
      </c>
      <c r="B936" s="11" t="str">
        <f>HYPERLINK("https://twitter.com/rezak1346","@rezak1346")</f>
        <v>@rezak1346</v>
      </c>
      <c r="C936" s="6" t="s">
        <v>2398</v>
      </c>
      <c r="D936" s="5" t="s">
        <v>14317</v>
      </c>
      <c r="E936" s="9" t="str">
        <f>HYPERLINK("https://twitter.com/rezak1346/status/1037033314421551105","1037033314421551105")</f>
        <v>1037033314421551105</v>
      </c>
      <c r="F936" s="4"/>
      <c r="G936" s="4"/>
      <c r="H936" s="4"/>
      <c r="I936" s="10" t="str">
        <f>HYPERLINK("http://twitter.com/download/android","Twitter for Android")</f>
        <v>Twitter for Android</v>
      </c>
      <c r="J936" s="2">
        <v>54</v>
      </c>
      <c r="K936" s="2">
        <v>125</v>
      </c>
      <c r="L936" s="2">
        <v>0</v>
      </c>
      <c r="M936" s="2"/>
      <c r="N936" s="8">
        <v>42930.728749999995</v>
      </c>
      <c r="O936" s="4" t="s">
        <v>324</v>
      </c>
      <c r="P936" s="3"/>
      <c r="Q936" s="4"/>
      <c r="R936" s="4"/>
      <c r="S936" s="9" t="str">
        <f>HYPERLINK("https://pbs.twimg.com/profile_images/1030528112453410822/1dXapEKK.jpg","View")</f>
        <v>View</v>
      </c>
    </row>
    <row r="937" spans="1:19" ht="40">
      <c r="A937" s="8">
        <v>43347.925324074073</v>
      </c>
      <c r="B937" s="11" t="str">
        <f>HYPERLINK("https://twitter.com/shin_err","@shin_err")</f>
        <v>@shin_err</v>
      </c>
      <c r="C937" s="6" t="s">
        <v>14316</v>
      </c>
      <c r="D937" s="5" t="s">
        <v>14315</v>
      </c>
      <c r="E937" s="9" t="str">
        <f>HYPERLINK("https://twitter.com/shin_err/status/1037033167142703104","1037033167142703104")</f>
        <v>1037033167142703104</v>
      </c>
      <c r="F937" s="10" t="s">
        <v>14314</v>
      </c>
      <c r="G937" s="10" t="s">
        <v>13143</v>
      </c>
      <c r="H937" s="4"/>
      <c r="I937" s="10" t="str">
        <f>HYPERLINK("http://twitter.com/download/iphone","Twitter for iPhone")</f>
        <v>Twitter for iPhone</v>
      </c>
      <c r="J937" s="2">
        <v>3047</v>
      </c>
      <c r="K937" s="2">
        <v>1887</v>
      </c>
      <c r="L937" s="2">
        <v>5</v>
      </c>
      <c r="M937" s="2"/>
      <c r="N937" s="8">
        <v>42878.219710648147</v>
      </c>
      <c r="O937" s="4"/>
      <c r="P937" s="3"/>
      <c r="Q937" s="4"/>
      <c r="R937" s="4"/>
      <c r="S937" s="9" t="str">
        <f>HYPERLINK("https://pbs.twimg.com/profile_images/1034712076848164865/WNMSxc2A.jpg","View")</f>
        <v>View</v>
      </c>
    </row>
    <row r="938" spans="1:19" ht="20">
      <c r="A938" s="8">
        <v>43347.924756944441</v>
      </c>
      <c r="B938" s="11" t="str">
        <f>HYPERLINK("https://twitter.com/hobuoot","@hobuoot")</f>
        <v>@hobuoot</v>
      </c>
      <c r="C938" s="6" t="s">
        <v>14313</v>
      </c>
      <c r="D938" s="5" t="s">
        <v>14312</v>
      </c>
      <c r="E938" s="9" t="str">
        <f>HYPERLINK("https://twitter.com/hobuoot/status/1037032960363511808","1037032960363511808")</f>
        <v>1037032960363511808</v>
      </c>
      <c r="F938" s="4"/>
      <c r="G938" s="4"/>
      <c r="H938" s="4"/>
      <c r="I938" s="10" t="str">
        <f>HYPERLINK("http://twitter.com/download/android","Twitter for Android")</f>
        <v>Twitter for Android</v>
      </c>
      <c r="J938" s="2">
        <v>291</v>
      </c>
      <c r="K938" s="2">
        <v>113</v>
      </c>
      <c r="L938" s="2">
        <v>1</v>
      </c>
      <c r="M938" s="2"/>
      <c r="N938" s="8">
        <v>43303.509780092594</v>
      </c>
      <c r="O938" s="4" t="s">
        <v>14311</v>
      </c>
      <c r="P938" s="3" t="s">
        <v>14310</v>
      </c>
      <c r="Q938" s="4"/>
      <c r="R938" s="4"/>
      <c r="S938" s="9" t="str">
        <f>HYPERLINK("https://pbs.twimg.com/profile_images/1028874075958071296/uGVLrgFQ.jpg","View")</f>
        <v>View</v>
      </c>
    </row>
    <row r="939" spans="1:19" ht="30">
      <c r="A939" s="8">
        <v>43347.922314814816</v>
      </c>
      <c r="B939" s="11" t="str">
        <f>HYPERLINK("https://twitter.com/ipayaam","@ipayaam")</f>
        <v>@ipayaam</v>
      </c>
      <c r="C939" s="6" t="s">
        <v>14309</v>
      </c>
      <c r="D939" s="5" t="s">
        <v>14308</v>
      </c>
      <c r="E939" s="9" t="str">
        <f>HYPERLINK("https://twitter.com/ipayaam/status/1037032077076713472","1037032077076713472")</f>
        <v>1037032077076713472</v>
      </c>
      <c r="F939" s="10" t="s">
        <v>14307</v>
      </c>
      <c r="G939" s="10" t="s">
        <v>14306</v>
      </c>
      <c r="H939" s="4"/>
      <c r="I939" s="10" t="str">
        <f>HYPERLINK("http://twitter.com","Twitter Web Client")</f>
        <v>Twitter Web Client</v>
      </c>
      <c r="J939" s="2">
        <v>112</v>
      </c>
      <c r="K939" s="2">
        <v>180</v>
      </c>
      <c r="L939" s="2">
        <v>0</v>
      </c>
      <c r="M939" s="2"/>
      <c r="N939" s="8">
        <v>39985.124097222222</v>
      </c>
      <c r="O939" s="4"/>
      <c r="P939" s="3" t="s">
        <v>14305</v>
      </c>
      <c r="Q939" s="4"/>
      <c r="R939" s="4"/>
      <c r="S939" s="9" t="str">
        <f>HYPERLINK("https://pbs.twimg.com/profile_images/1006459657483964416/3nssIzP2.jpg","View")</f>
        <v>View</v>
      </c>
    </row>
    <row r="940" spans="1:19" ht="30">
      <c r="A940" s="8">
        <v>43347.921539351853</v>
      </c>
      <c r="B940" s="11" t="str">
        <f>HYPERLINK("https://twitter.com/MasMavi1988","@MasMavi1988")</f>
        <v>@MasMavi1988</v>
      </c>
      <c r="C940" s="6" t="s">
        <v>14304</v>
      </c>
      <c r="D940" s="5" t="s">
        <v>14303</v>
      </c>
      <c r="E940" s="9" t="str">
        <f>HYPERLINK("https://twitter.com/MasMavi1988/status/1037031793860464640","1037031793860464640")</f>
        <v>1037031793860464640</v>
      </c>
      <c r="F940" s="4"/>
      <c r="G940" s="4"/>
      <c r="H940" s="4"/>
      <c r="I940" s="10" t="str">
        <f>HYPERLINK("http://twitter.com/download/android","Twitter for Android")</f>
        <v>Twitter for Android</v>
      </c>
      <c r="J940" s="2">
        <v>1275</v>
      </c>
      <c r="K940" s="2">
        <v>200</v>
      </c>
      <c r="L940" s="2">
        <v>2</v>
      </c>
      <c r="M940" s="2"/>
      <c r="N940" s="8">
        <v>41664.800173611111</v>
      </c>
      <c r="O940" s="4"/>
      <c r="P940" s="3" t="s">
        <v>14302</v>
      </c>
      <c r="Q940" s="4"/>
      <c r="R940" s="4"/>
      <c r="S940" s="9" t="str">
        <f>HYPERLINK("https://pbs.twimg.com/profile_images/530644555301810176/IAublZrx.jpeg","View")</f>
        <v>View</v>
      </c>
    </row>
    <row r="941" spans="1:19" ht="40">
      <c r="A941" s="8">
        <v>43347.921099537038</v>
      </c>
      <c r="B941" s="11" t="str">
        <f>HYPERLINK("https://twitter.com/MahnaRad","@MahnaRad")</f>
        <v>@MahnaRad</v>
      </c>
      <c r="C941" s="6" t="s">
        <v>14301</v>
      </c>
      <c r="D941" s="5" t="s">
        <v>14300</v>
      </c>
      <c r="E941" s="9" t="str">
        <f>HYPERLINK("https://twitter.com/MahnaRad/status/1037031635655553025","1037031635655553025")</f>
        <v>1037031635655553025</v>
      </c>
      <c r="F941" s="4"/>
      <c r="G941" s="4"/>
      <c r="H941" s="4"/>
      <c r="I941" s="10" t="str">
        <f>HYPERLINK("http://twitter.com/download/iphone","Twitter for iPhone")</f>
        <v>Twitter for iPhone</v>
      </c>
      <c r="J941" s="2">
        <v>274</v>
      </c>
      <c r="K941" s="2">
        <v>319</v>
      </c>
      <c r="L941" s="2">
        <v>0</v>
      </c>
      <c r="M941" s="2"/>
      <c r="N941" s="8">
        <v>43134.581956018519</v>
      </c>
      <c r="O941" s="4" t="s">
        <v>34</v>
      </c>
      <c r="P941" s="3" t="s">
        <v>14299</v>
      </c>
      <c r="Q941" s="4"/>
      <c r="R941" s="4"/>
      <c r="S941" s="9" t="str">
        <f>HYPERLINK("https://pbs.twimg.com/profile_images/959738366265839616/TkYim8TS.jpg","View")</f>
        <v>View</v>
      </c>
    </row>
    <row r="942" spans="1:19" ht="12.5">
      <c r="A942" s="8">
        <v>43347.921053240745</v>
      </c>
      <c r="B942" s="11" t="str">
        <f>HYPERLINK("https://twitter.com/saeed_arturk","@saeed_arturk")</f>
        <v>@saeed_arturk</v>
      </c>
      <c r="C942" s="6" t="s">
        <v>14298</v>
      </c>
      <c r="D942" s="5" t="s">
        <v>14297</v>
      </c>
      <c r="E942" s="9" t="str">
        <f>HYPERLINK("https://twitter.com/saeed_arturk/status/1037031618765049857","1037031618765049857")</f>
        <v>1037031618765049857</v>
      </c>
      <c r="F942" s="4"/>
      <c r="G942" s="10" t="s">
        <v>14296</v>
      </c>
      <c r="H942" s="4"/>
      <c r="I942" s="10" t="str">
        <f>HYPERLINK("http://twitter.com/download/android","Twitter for Android")</f>
        <v>Twitter for Android</v>
      </c>
      <c r="J942" s="2">
        <v>142</v>
      </c>
      <c r="K942" s="2">
        <v>339</v>
      </c>
      <c r="L942" s="2">
        <v>0</v>
      </c>
      <c r="M942" s="2"/>
      <c r="N942" s="8">
        <v>42914.211284722223</v>
      </c>
      <c r="O942" s="4" t="s">
        <v>14295</v>
      </c>
      <c r="P942" s="3"/>
      <c r="Q942" s="4"/>
      <c r="R942" s="4"/>
      <c r="S942" s="9" t="str">
        <f>HYPERLINK("https://pbs.twimg.com/profile_images/880174353870077952/RJ_D9cVe.jpg","View")</f>
        <v>View</v>
      </c>
    </row>
    <row r="943" spans="1:19" ht="40">
      <c r="A943" s="8">
        <v>43347.920451388884</v>
      </c>
      <c r="B943" s="11" t="str">
        <f>HYPERLINK("https://twitter.com/PeimanSoltani66","@PeimanSoltani66")</f>
        <v>@PeimanSoltani66</v>
      </c>
      <c r="C943" s="6" t="s">
        <v>13120</v>
      </c>
      <c r="D943" s="5" t="s">
        <v>14294</v>
      </c>
      <c r="E943" s="9" t="str">
        <f>HYPERLINK("https://twitter.com/PeimanSoltani66/status/1037031398090129408","1037031398090129408")</f>
        <v>1037031398090129408</v>
      </c>
      <c r="F943" s="4"/>
      <c r="G943" s="10" t="s">
        <v>14293</v>
      </c>
      <c r="H943" s="4"/>
      <c r="I943" s="10" t="str">
        <f>HYPERLINK("http://twitter.com/download/android","Twitter for Android")</f>
        <v>Twitter for Android</v>
      </c>
      <c r="J943" s="2">
        <v>680</v>
      </c>
      <c r="K943" s="2">
        <v>975</v>
      </c>
      <c r="L943" s="2">
        <v>1</v>
      </c>
      <c r="M943" s="2"/>
      <c r="N943" s="8">
        <v>42744.539872685185</v>
      </c>
      <c r="O943" s="4" t="s">
        <v>34</v>
      </c>
      <c r="P943" s="3" t="s">
        <v>13118</v>
      </c>
      <c r="Q943" s="4"/>
      <c r="R943" s="4"/>
      <c r="S943" s="9" t="str">
        <f>HYPERLINK("https://pbs.twimg.com/profile_images/1033811391529066496/DXwwbzpJ.jpg","View")</f>
        <v>View</v>
      </c>
    </row>
    <row r="944" spans="1:19" ht="12.5">
      <c r="A944" s="8">
        <v>43347.920092592598</v>
      </c>
      <c r="B944" s="11" t="str">
        <f>HYPERLINK("https://twitter.com/mfr00110","@mfr00110")</f>
        <v>@mfr00110</v>
      </c>
      <c r="C944" s="6" t="s">
        <v>14292</v>
      </c>
      <c r="D944" s="5" t="s">
        <v>14291</v>
      </c>
      <c r="E944" s="9" t="str">
        <f>HYPERLINK("https://twitter.com/mfr00110/status/1037031270327484417","1037031270327484417")</f>
        <v>1037031270327484417</v>
      </c>
      <c r="F944" s="4"/>
      <c r="G944" s="10" t="s">
        <v>14290</v>
      </c>
      <c r="H944" s="4"/>
      <c r="I944" s="10" t="str">
        <f>HYPERLINK("http://twitter.com/download/android","Twitter for Android")</f>
        <v>Twitter for Android</v>
      </c>
      <c r="J944" s="2">
        <v>6</v>
      </c>
      <c r="K944" s="2">
        <v>22</v>
      </c>
      <c r="L944" s="2">
        <v>0</v>
      </c>
      <c r="M944" s="2"/>
      <c r="N944" s="8">
        <v>43307.961030092592</v>
      </c>
      <c r="O944" s="4"/>
      <c r="P944" s="3"/>
      <c r="Q944" s="4"/>
      <c r="R944" s="4"/>
      <c r="S944" s="9" t="str">
        <f>HYPERLINK("https://pbs.twimg.com/profile_images/1036371384799309824/RyQHeG8E.jpg","View")</f>
        <v>View</v>
      </c>
    </row>
    <row r="945" spans="1:19" ht="12.5">
      <c r="A945" s="8">
        <v>43347.919965277775</v>
      </c>
      <c r="B945" s="11" t="str">
        <f>HYPERLINK("https://twitter.com/royanouri1990","@royanouri1990")</f>
        <v>@royanouri1990</v>
      </c>
      <c r="C945" s="6" t="s">
        <v>13798</v>
      </c>
      <c r="D945" s="5" t="s">
        <v>14289</v>
      </c>
      <c r="E945" s="9" t="str">
        <f>HYPERLINK("https://twitter.com/royanouri1990/status/1037031221685932032","1037031221685932032")</f>
        <v>1037031221685932032</v>
      </c>
      <c r="F945" s="4"/>
      <c r="G945" s="10" t="s">
        <v>14288</v>
      </c>
      <c r="H945" s="4"/>
      <c r="I945" s="10" t="str">
        <f>HYPERLINK("http://twitter.com/download/iphone","Twitter for iPhone")</f>
        <v>Twitter for iPhone</v>
      </c>
      <c r="J945" s="2">
        <v>1111</v>
      </c>
      <c r="K945" s="2">
        <v>171</v>
      </c>
      <c r="L945" s="2">
        <v>9</v>
      </c>
      <c r="M945" s="2"/>
      <c r="N945" s="8">
        <v>41283.635428240741</v>
      </c>
      <c r="O945" s="4" t="s">
        <v>13796</v>
      </c>
      <c r="P945" s="3" t="s">
        <v>13795</v>
      </c>
      <c r="Q945" s="4"/>
      <c r="R945" s="4"/>
      <c r="S945" s="9" t="str">
        <f>HYPERLINK("https://pbs.twimg.com/profile_images/1031204699092017153/Rxr3fgzY.jpg","View")</f>
        <v>View</v>
      </c>
    </row>
    <row r="946" spans="1:19" ht="30">
      <c r="A946" s="8">
        <v>43347.919456018513</v>
      </c>
      <c r="B946" s="11" t="str">
        <f>HYPERLINK("https://twitter.com/ManotoNews","@ManotoNews")</f>
        <v>@ManotoNews</v>
      </c>
      <c r="C946" s="6" t="s">
        <v>1174</v>
      </c>
      <c r="D946" s="5" t="s">
        <v>14287</v>
      </c>
      <c r="E946" s="9" t="str">
        <f>HYPERLINK("https://twitter.com/ManotoNews/status/1037031037413416960","1037031037413416960")</f>
        <v>1037031037413416960</v>
      </c>
      <c r="F946" s="4"/>
      <c r="G946" s="10" t="s">
        <v>14286</v>
      </c>
      <c r="H946" s="4"/>
      <c r="I946" s="10" t="str">
        <f>HYPERLINK("http://snappytv.com","SnappyTV.com")</f>
        <v>SnappyTV.com</v>
      </c>
      <c r="J946" s="2">
        <v>448127</v>
      </c>
      <c r="K946" s="2">
        <v>16</v>
      </c>
      <c r="L946" s="2">
        <v>619</v>
      </c>
      <c r="M946" s="2" t="s">
        <v>80</v>
      </c>
      <c r="N946" s="8">
        <v>40859.711631944447</v>
      </c>
      <c r="O946" s="4" t="s">
        <v>460</v>
      </c>
      <c r="P946" s="3" t="s">
        <v>1171</v>
      </c>
      <c r="Q946" s="10" t="s">
        <v>1170</v>
      </c>
      <c r="R946" s="4"/>
      <c r="S946" s="9" t="str">
        <f>HYPERLINK("https://pbs.twimg.com/profile_images/976899507744051201/07FIeivp.jpg","View")</f>
        <v>View</v>
      </c>
    </row>
    <row r="947" spans="1:19" ht="30">
      <c r="A947" s="8">
        <v>43347.919317129628</v>
      </c>
      <c r="B947" s="11" t="str">
        <f>HYPERLINK("https://twitter.com/sohael141","@sohael141")</f>
        <v>@sohael141</v>
      </c>
      <c r="C947" s="6" t="s">
        <v>14285</v>
      </c>
      <c r="D947" s="5" t="s">
        <v>14284</v>
      </c>
      <c r="E947" s="9" t="str">
        <f>HYPERLINK("https://twitter.com/sohael141/status/1037030989409775622","1037030989409775622")</f>
        <v>1037030989409775622</v>
      </c>
      <c r="F947" s="4"/>
      <c r="G947" s="10" t="s">
        <v>14283</v>
      </c>
      <c r="H947" s="4"/>
      <c r="I947" s="10" t="str">
        <f>HYPERLINK("http://twitter.com","Twitter Web Client")</f>
        <v>Twitter Web Client</v>
      </c>
      <c r="J947" s="2">
        <v>3862</v>
      </c>
      <c r="K947" s="2">
        <v>4032</v>
      </c>
      <c r="L947" s="2">
        <v>7</v>
      </c>
      <c r="M947" s="2"/>
      <c r="N947" s="8">
        <v>42851.972627314812</v>
      </c>
      <c r="O947" s="4"/>
      <c r="P947" s="3" t="s">
        <v>14282</v>
      </c>
      <c r="Q947" s="10" t="s">
        <v>14281</v>
      </c>
      <c r="R947" s="4"/>
      <c r="S947" s="9" t="str">
        <f>HYPERLINK("https://pbs.twimg.com/profile_images/995905257640259584/eW0iO8AH.jpg","View")</f>
        <v>View</v>
      </c>
    </row>
    <row r="948" spans="1:19" ht="30">
      <c r="A948" s="8">
        <v>43347.918900462959</v>
      </c>
      <c r="B948" s="11" t="str">
        <f>HYPERLINK("https://twitter.com/reza12607034","@reza12607034")</f>
        <v>@reza12607034</v>
      </c>
      <c r="C948" s="6" t="s">
        <v>11707</v>
      </c>
      <c r="D948" s="5" t="s">
        <v>14280</v>
      </c>
      <c r="E948" s="9" t="str">
        <f>HYPERLINK("https://twitter.com/reza12607034/status/1037030837768908800","1037030837768908800")</f>
        <v>1037030837768908800</v>
      </c>
      <c r="F948" s="4"/>
      <c r="G948" s="4"/>
      <c r="H948" s="4"/>
      <c r="I948" s="10" t="str">
        <f>HYPERLINK("http://twitter.com/download/iphone","Twitter for iPhone")</f>
        <v>Twitter for iPhone</v>
      </c>
      <c r="J948" s="2">
        <v>7</v>
      </c>
      <c r="K948" s="2">
        <v>67</v>
      </c>
      <c r="L948" s="2">
        <v>0</v>
      </c>
      <c r="M948" s="2"/>
      <c r="N948" s="8">
        <v>43116.957025462965</v>
      </c>
      <c r="O948" s="4"/>
      <c r="P948" s="3" t="s">
        <v>14279</v>
      </c>
      <c r="Q948" s="4"/>
      <c r="R948" s="4"/>
      <c r="S948" s="2" t="s">
        <v>155</v>
      </c>
    </row>
    <row r="949" spans="1:19" ht="30">
      <c r="A949" s="8">
        <v>43347.918287037042</v>
      </c>
      <c r="B949" s="11" t="str">
        <f>HYPERLINK("https://twitter.com/DoctorOLALA","@DoctorOLALA")</f>
        <v>@DoctorOLALA</v>
      </c>
      <c r="C949" s="6" t="s">
        <v>8002</v>
      </c>
      <c r="D949" s="5" t="s">
        <v>14278</v>
      </c>
      <c r="E949" s="9" t="str">
        <f>HYPERLINK("https://twitter.com/DoctorOLALA/status/1037030614002593792","1037030614002593792")</f>
        <v>1037030614002593792</v>
      </c>
      <c r="F949" s="4"/>
      <c r="G949" s="4"/>
      <c r="H949" s="4"/>
      <c r="I949" s="10" t="str">
        <f>HYPERLINK("http://twitter.com/download/iphone","Twitter for iPhone")</f>
        <v>Twitter for iPhone</v>
      </c>
      <c r="J949" s="2">
        <v>603</v>
      </c>
      <c r="K949" s="2">
        <v>403</v>
      </c>
      <c r="L949" s="2">
        <v>2</v>
      </c>
      <c r="M949" s="2"/>
      <c r="N949" s="8">
        <v>43119.287881944445</v>
      </c>
      <c r="O949" s="4" t="s">
        <v>7999</v>
      </c>
      <c r="P949" s="3" t="s">
        <v>7998</v>
      </c>
      <c r="Q949" s="4"/>
      <c r="R949" s="4"/>
      <c r="S949" s="9" t="str">
        <f>HYPERLINK("https://pbs.twimg.com/profile_images/992042874530217991/v5f0PfkG.jpg","View")</f>
        <v>View</v>
      </c>
    </row>
    <row r="950" spans="1:19" ht="20">
      <c r="A950" s="8">
        <v>43347.917951388888</v>
      </c>
      <c r="B950" s="11" t="str">
        <f>HYPERLINK("https://twitter.com/vahid7th","@vahid7th")</f>
        <v>@vahid7th</v>
      </c>
      <c r="C950" s="6" t="s">
        <v>14277</v>
      </c>
      <c r="D950" s="5" t="s">
        <v>14276</v>
      </c>
      <c r="E950" s="9" t="str">
        <f>HYPERLINK("https://twitter.com/vahid7th/status/1037030493949177859","1037030493949177859")</f>
        <v>1037030493949177859</v>
      </c>
      <c r="F950" s="4"/>
      <c r="G950" s="4"/>
      <c r="H950" s="4"/>
      <c r="I950" s="10" t="str">
        <f>HYPERLINK("http://twitter.com/download/android","Twitter for Android")</f>
        <v>Twitter for Android</v>
      </c>
      <c r="J950" s="2">
        <v>1772</v>
      </c>
      <c r="K950" s="2">
        <v>437</v>
      </c>
      <c r="L950" s="2">
        <v>20</v>
      </c>
      <c r="M950" s="2"/>
      <c r="N950" s="8">
        <v>41544.103263888886</v>
      </c>
      <c r="O950" s="4" t="s">
        <v>14275</v>
      </c>
      <c r="P950" s="3" t="s">
        <v>14274</v>
      </c>
      <c r="Q950" s="4"/>
      <c r="R950" s="4"/>
      <c r="S950" s="9" t="str">
        <f>HYPERLINK("https://pbs.twimg.com/profile_images/1020702769592881152/0eO72UnQ.jpg","View")</f>
        <v>View</v>
      </c>
    </row>
    <row r="951" spans="1:19" ht="20">
      <c r="A951" s="8">
        <v>43347.917037037041</v>
      </c>
      <c r="B951" s="11" t="str">
        <f>HYPERLINK("https://twitter.com/hamid__shirazi","@hamid__shirazi")</f>
        <v>@hamid__shirazi</v>
      </c>
      <c r="C951" s="6" t="s">
        <v>14273</v>
      </c>
      <c r="D951" s="5" t="s">
        <v>14272</v>
      </c>
      <c r="E951" s="9" t="str">
        <f>HYPERLINK("https://twitter.com/hamid__shirazi/status/1037030163421294592","1037030163421294592")</f>
        <v>1037030163421294592</v>
      </c>
      <c r="F951" s="4"/>
      <c r="G951" s="10" t="s">
        <v>14271</v>
      </c>
      <c r="H951" s="4"/>
      <c r="I951" s="10" t="str">
        <f>HYPERLINK("http://twitter.com/download/android","Twitter for Android")</f>
        <v>Twitter for Android</v>
      </c>
      <c r="J951" s="2">
        <v>790</v>
      </c>
      <c r="K951" s="2">
        <v>360</v>
      </c>
      <c r="L951" s="2">
        <v>8</v>
      </c>
      <c r="M951" s="2"/>
      <c r="N951" s="8">
        <v>42716.607210648144</v>
      </c>
      <c r="O951" s="4" t="s">
        <v>12848</v>
      </c>
      <c r="P951" s="3" t="s">
        <v>14270</v>
      </c>
      <c r="Q951" s="4"/>
      <c r="R951" s="4"/>
      <c r="S951" s="9" t="str">
        <f>HYPERLINK("https://pbs.twimg.com/profile_images/1019336755588272129/hPqsz7vq.jpg","View")</f>
        <v>View</v>
      </c>
    </row>
    <row r="952" spans="1:19" ht="50">
      <c r="A952" s="8">
        <v>43347.916550925926</v>
      </c>
      <c r="B952" s="11" t="str">
        <f>HYPERLINK("https://twitter.com/azhargushe","@azhargushe")</f>
        <v>@azhargushe</v>
      </c>
      <c r="C952" s="6" t="s">
        <v>7813</v>
      </c>
      <c r="D952" s="5" t="s">
        <v>14269</v>
      </c>
      <c r="E952" s="9" t="str">
        <f>HYPERLINK("https://twitter.com/azhargushe/status/1037029986820128769","1037029986820128769")</f>
        <v>1037029986820128769</v>
      </c>
      <c r="F952" s="10" t="s">
        <v>14268</v>
      </c>
      <c r="G952" s="4"/>
      <c r="H952" s="4"/>
      <c r="I952" s="10" t="str">
        <f>HYPERLINK("http://twitter.com","Twitter Web Client")</f>
        <v>Twitter Web Client</v>
      </c>
      <c r="J952" s="2">
        <v>1396</v>
      </c>
      <c r="K952" s="2">
        <v>919</v>
      </c>
      <c r="L952" s="2">
        <v>3</v>
      </c>
      <c r="M952" s="2"/>
      <c r="N952" s="8">
        <v>42011.748900462961</v>
      </c>
      <c r="O952" s="4"/>
      <c r="P952" s="3"/>
      <c r="Q952" s="4"/>
      <c r="R952" s="4"/>
      <c r="S952" s="9" t="str">
        <f>HYPERLINK("https://pbs.twimg.com/profile_images/1024018957496471556/xcvJIqkJ.jpg","View")</f>
        <v>View</v>
      </c>
    </row>
    <row r="953" spans="1:19" ht="20">
      <c r="A953" s="8">
        <v>43347.91469907407</v>
      </c>
      <c r="B953" s="11" t="str">
        <f>HYPERLINK("https://twitter.com/mohajer7618","@mohajer7618")</f>
        <v>@mohajer7618</v>
      </c>
      <c r="C953" s="6" t="s">
        <v>14244</v>
      </c>
      <c r="D953" s="5" t="s">
        <v>14267</v>
      </c>
      <c r="E953" s="9" t="str">
        <f>HYPERLINK("https://twitter.com/mohajer7618/status/1037029317186908163","1037029317186908163")</f>
        <v>1037029317186908163</v>
      </c>
      <c r="F953" s="4"/>
      <c r="G953" s="10" t="s">
        <v>14266</v>
      </c>
      <c r="H953" s="4"/>
      <c r="I953" s="10" t="str">
        <f>HYPERLINK("http://twitter.com/download/iphone","Twitter for iPhone")</f>
        <v>Twitter for iPhone</v>
      </c>
      <c r="J953" s="2">
        <v>82</v>
      </c>
      <c r="K953" s="2">
        <v>38</v>
      </c>
      <c r="L953" s="2">
        <v>1</v>
      </c>
      <c r="M953" s="2"/>
      <c r="N953" s="8">
        <v>43321.101446759261</v>
      </c>
      <c r="O953" s="4" t="s">
        <v>14242</v>
      </c>
      <c r="P953" s="3" t="s">
        <v>14241</v>
      </c>
      <c r="Q953" s="4"/>
      <c r="R953" s="4"/>
      <c r="S953" s="9" t="str">
        <f>HYPERLINK("https://pbs.twimg.com/profile_images/1027493118466113536/iOiuMfPU.jpg","View")</f>
        <v>View</v>
      </c>
    </row>
    <row r="954" spans="1:19" ht="20">
      <c r="A954" s="8">
        <v>43347.914537037039</v>
      </c>
      <c r="B954" s="11" t="str">
        <f>HYPERLINK("https://twitter.com/MAMOOTTI","@MAMOOTTI")</f>
        <v>@MAMOOTTI</v>
      </c>
      <c r="C954" s="6" t="s">
        <v>12031</v>
      </c>
      <c r="D954" s="5" t="s">
        <v>14265</v>
      </c>
      <c r="E954" s="9" t="str">
        <f>HYPERLINK("https://twitter.com/MAMOOTTI/status/1037029257288077313","1037029257288077313")</f>
        <v>1037029257288077313</v>
      </c>
      <c r="F954" s="4"/>
      <c r="G954" s="4"/>
      <c r="H954" s="4"/>
      <c r="I954" s="10" t="str">
        <f>HYPERLINK("http://twitter.com/download/android","Twitter for Android")</f>
        <v>Twitter for Android</v>
      </c>
      <c r="J954" s="2">
        <v>6</v>
      </c>
      <c r="K954" s="2">
        <v>15</v>
      </c>
      <c r="L954" s="2">
        <v>0</v>
      </c>
      <c r="M954" s="2"/>
      <c r="N954" s="8">
        <v>43346.61509259259</v>
      </c>
      <c r="O954" s="4"/>
      <c r="P954" s="3"/>
      <c r="Q954" s="4"/>
      <c r="R954" s="4"/>
      <c r="S954" s="2" t="s">
        <v>155</v>
      </c>
    </row>
    <row r="955" spans="1:19" ht="20">
      <c r="A955" s="8">
        <v>43347.914224537039</v>
      </c>
      <c r="B955" s="11" t="str">
        <f>HYPERLINK("https://twitter.com/seyed1m","@seyed1m")</f>
        <v>@seyed1m</v>
      </c>
      <c r="C955" s="6" t="s">
        <v>14264</v>
      </c>
      <c r="D955" s="5" t="s">
        <v>14263</v>
      </c>
      <c r="E955" s="9" t="str">
        <f>HYPERLINK("https://twitter.com/seyed1m/status/1037029144306040832","1037029144306040832")</f>
        <v>1037029144306040832</v>
      </c>
      <c r="F955" s="4"/>
      <c r="G955" s="4"/>
      <c r="H955" s="4"/>
      <c r="I955" s="10" t="str">
        <f>HYPERLINK("http://twitter.com/download/android","Twitter for Android")</f>
        <v>Twitter for Android</v>
      </c>
      <c r="J955" s="2">
        <v>261</v>
      </c>
      <c r="K955" s="2">
        <v>375</v>
      </c>
      <c r="L955" s="2">
        <v>0</v>
      </c>
      <c r="M955" s="2"/>
      <c r="N955" s="8">
        <v>43308.924456018518</v>
      </c>
      <c r="O955" s="4" t="s">
        <v>14262</v>
      </c>
      <c r="P955" s="3" t="s">
        <v>14261</v>
      </c>
      <c r="Q955" s="4"/>
      <c r="R955" s="4"/>
      <c r="S955" s="9" t="str">
        <f>HYPERLINK("https://pbs.twimg.com/profile_images/1033321039474970624/DvX7CzLi.jpg","View")</f>
        <v>View</v>
      </c>
    </row>
    <row r="956" spans="1:19" ht="30">
      <c r="A956" s="8">
        <v>43347.912210648152</v>
      </c>
      <c r="B956" s="11" t="str">
        <f>HYPERLINK("https://twitter.com/h_hamidirad","@h_hamidirad")</f>
        <v>@h_hamidirad</v>
      </c>
      <c r="C956" s="6" t="s">
        <v>4970</v>
      </c>
      <c r="D956" s="5" t="s">
        <v>14260</v>
      </c>
      <c r="E956" s="9" t="str">
        <f>HYPERLINK("https://twitter.com/h_hamidirad/status/1037028411737362433","1037028411737362433")</f>
        <v>1037028411737362433</v>
      </c>
      <c r="F956" s="4"/>
      <c r="G956" s="10" t="s">
        <v>14259</v>
      </c>
      <c r="H956" s="4"/>
      <c r="I956" s="10" t="str">
        <f>HYPERLINK("http://twitter.com/download/android","Twitter for Android")</f>
        <v>Twitter for Android</v>
      </c>
      <c r="J956" s="2">
        <v>649</v>
      </c>
      <c r="K956" s="2">
        <v>1208</v>
      </c>
      <c r="L956" s="2">
        <v>0</v>
      </c>
      <c r="M956" s="2"/>
      <c r="N956" s="8">
        <v>43315.978831018518</v>
      </c>
      <c r="O956" s="4"/>
      <c r="P956" s="3" t="s">
        <v>4968</v>
      </c>
      <c r="Q956" s="10" t="s">
        <v>4967</v>
      </c>
      <c r="R956" s="4"/>
      <c r="S956" s="9" t="str">
        <f>HYPERLINK("https://pbs.twimg.com/profile_images/1035254113091633154/THOBeKr6.jpg","View")</f>
        <v>View</v>
      </c>
    </row>
    <row r="957" spans="1:19" ht="40">
      <c r="A957" s="8">
        <v>43347.911979166667</v>
      </c>
      <c r="B957" s="11" t="str">
        <f>HYPERLINK("https://twitter.com/drcode0","@drcode0")</f>
        <v>@drcode0</v>
      </c>
      <c r="C957" s="6" t="s">
        <v>14258</v>
      </c>
      <c r="D957" s="5" t="s">
        <v>14257</v>
      </c>
      <c r="E957" s="9" t="str">
        <f>HYPERLINK("https://twitter.com/drcode0/status/1037028328119644160","1037028328119644160")</f>
        <v>1037028328119644160</v>
      </c>
      <c r="F957" s="4"/>
      <c r="G957" s="4"/>
      <c r="H957" s="4"/>
      <c r="I957" s="10" t="str">
        <f>HYPERLINK("http://twitter.com/download/android","Twitter for Android")</f>
        <v>Twitter for Android</v>
      </c>
      <c r="J957" s="2">
        <v>6353</v>
      </c>
      <c r="K957" s="2">
        <v>85</v>
      </c>
      <c r="L957" s="2">
        <v>40</v>
      </c>
      <c r="M957" s="2"/>
      <c r="N957" s="8">
        <v>42790.641527777778</v>
      </c>
      <c r="O957" s="4" t="s">
        <v>104</v>
      </c>
      <c r="P957" s="3" t="s">
        <v>14256</v>
      </c>
      <c r="Q957" s="4"/>
      <c r="R957" s="4"/>
      <c r="S957" s="9" t="str">
        <f>HYPERLINK("https://pbs.twimg.com/profile_images/1016341882669076480/6uB-wFaM.jpg","View")</f>
        <v>View</v>
      </c>
    </row>
    <row r="958" spans="1:19" ht="30">
      <c r="A958" s="8">
        <v>43347.911932870367</v>
      </c>
      <c r="B958" s="11" t="str">
        <f>HYPERLINK("https://twitter.com/PARSANAZAR1","@PARSANAZAR1")</f>
        <v>@PARSANAZAR1</v>
      </c>
      <c r="C958" s="6" t="s">
        <v>14255</v>
      </c>
      <c r="D958" s="5" t="s">
        <v>14254</v>
      </c>
      <c r="E958" s="9" t="str">
        <f>HYPERLINK("https://twitter.com/PARSANAZAR1/status/1037028313053765633","1037028313053765633")</f>
        <v>1037028313053765633</v>
      </c>
      <c r="F958" s="4"/>
      <c r="G958" s="4"/>
      <c r="H958" s="4"/>
      <c r="I958" s="10" t="str">
        <f>HYPERLINK("http://twitter.com/download/android","Twitter for Android")</f>
        <v>Twitter for Android</v>
      </c>
      <c r="J958" s="2">
        <v>279</v>
      </c>
      <c r="K958" s="2">
        <v>260</v>
      </c>
      <c r="L958" s="2">
        <v>0</v>
      </c>
      <c r="M958" s="2"/>
      <c r="N958" s="8">
        <v>42727.363506944443</v>
      </c>
      <c r="O958" s="4"/>
      <c r="P958" s="3" t="s">
        <v>14253</v>
      </c>
      <c r="Q958" s="4"/>
      <c r="R958" s="4"/>
      <c r="S958" s="9" t="str">
        <f>HYPERLINK("https://pbs.twimg.com/profile_images/1011622575577944064/d4NhBRdI.jpg","View")</f>
        <v>View</v>
      </c>
    </row>
    <row r="959" spans="1:19" ht="20">
      <c r="A959" s="8">
        <v>43347.910775462966</v>
      </c>
      <c r="B959" s="11" t="str">
        <f>HYPERLINK("https://twitter.com/3rdscript","@3rdscript")</f>
        <v>@3rdscript</v>
      </c>
      <c r="C959" s="6" t="s">
        <v>14252</v>
      </c>
      <c r="D959" s="5" t="s">
        <v>14251</v>
      </c>
      <c r="E959" s="9" t="str">
        <f>HYPERLINK("https://twitter.com/3rdscript/status/1037027894227288065","1037027894227288065")</f>
        <v>1037027894227288065</v>
      </c>
      <c r="F959" s="4"/>
      <c r="G959" s="4"/>
      <c r="H959" s="4"/>
      <c r="I959" s="10" t="str">
        <f>HYPERLINK("http://twitter.com/download/iphone","Twitter for iPhone")</f>
        <v>Twitter for iPhone</v>
      </c>
      <c r="J959" s="2">
        <v>403</v>
      </c>
      <c r="K959" s="2">
        <v>151</v>
      </c>
      <c r="L959" s="2">
        <v>4</v>
      </c>
      <c r="M959" s="2"/>
      <c r="N959" s="8">
        <v>40563.891435185185</v>
      </c>
      <c r="O959" s="4"/>
      <c r="P959" s="3" t="s">
        <v>14250</v>
      </c>
      <c r="Q959" s="4"/>
      <c r="R959" s="4"/>
      <c r="S959" s="9" t="str">
        <f>HYPERLINK("https://pbs.twimg.com/profile_images/959692953047400448/vw67V_jZ.jpg","View")</f>
        <v>View</v>
      </c>
    </row>
    <row r="960" spans="1:19" ht="12.5">
      <c r="A960" s="8">
        <v>43347.91034722222</v>
      </c>
      <c r="B960" s="11" t="str">
        <f>HYPERLINK("https://twitter.com/darabi_vahid","@darabi_vahid")</f>
        <v>@darabi_vahid</v>
      </c>
      <c r="C960" s="6" t="s">
        <v>14249</v>
      </c>
      <c r="D960" s="5" t="s">
        <v>14248</v>
      </c>
      <c r="E960" s="9" t="str">
        <f>HYPERLINK("https://twitter.com/darabi_vahid/status/1037027739520393216","1037027739520393216")</f>
        <v>1037027739520393216</v>
      </c>
      <c r="F960" s="4"/>
      <c r="G960" s="4"/>
      <c r="H960" s="4"/>
      <c r="I960" s="10" t="str">
        <f>HYPERLINK("http://twitter.com/download/android","Twitter for Android")</f>
        <v>Twitter for Android</v>
      </c>
      <c r="J960" s="2">
        <v>1005</v>
      </c>
      <c r="K960" s="2">
        <v>1049</v>
      </c>
      <c r="L960" s="2">
        <v>0</v>
      </c>
      <c r="M960" s="2"/>
      <c r="N960" s="8">
        <v>42041.860300925924</v>
      </c>
      <c r="O960" s="4" t="s">
        <v>25</v>
      </c>
      <c r="P960" s="3" t="s">
        <v>14247</v>
      </c>
      <c r="Q960" s="10" t="s">
        <v>14246</v>
      </c>
      <c r="R960" s="4"/>
      <c r="S960" s="9" t="str">
        <f>HYPERLINK("https://pbs.twimg.com/profile_images/938865426284601344/kVbuozh-.jpg","View")</f>
        <v>View</v>
      </c>
    </row>
    <row r="961" spans="1:19" ht="30">
      <c r="A961" s="8">
        <v>43347.909490740742</v>
      </c>
      <c r="B961" s="11" t="str">
        <f>HYPERLINK("https://twitter.com/AminDinakani66","@AminDinakani66")</f>
        <v>@AminDinakani66</v>
      </c>
      <c r="C961" s="6" t="s">
        <v>13230</v>
      </c>
      <c r="D961" s="5" t="s">
        <v>14245</v>
      </c>
      <c r="E961" s="9" t="str">
        <f>HYPERLINK("https://twitter.com/AminDinakani66/status/1037027426298150913","1037027426298150913")</f>
        <v>1037027426298150913</v>
      </c>
      <c r="F961" s="4"/>
      <c r="G961" s="4"/>
      <c r="H961" s="4"/>
      <c r="I961" s="10" t="str">
        <f>HYPERLINK("http://twitter.com/download/android","Twitter for Android")</f>
        <v>Twitter for Android</v>
      </c>
      <c r="J961" s="2">
        <v>361</v>
      </c>
      <c r="K961" s="2">
        <v>468</v>
      </c>
      <c r="L961" s="2">
        <v>0</v>
      </c>
      <c r="M961" s="2"/>
      <c r="N961" s="8">
        <v>43229.917569444442</v>
      </c>
      <c r="O961" s="4" t="s">
        <v>13228</v>
      </c>
      <c r="P961" s="3" t="s">
        <v>13227</v>
      </c>
      <c r="Q961" s="4"/>
      <c r="R961" s="4"/>
      <c r="S961" s="9" t="str">
        <f>HYPERLINK("https://pbs.twimg.com/profile_images/996037165334388736/jeYVldw9.jpg","View")</f>
        <v>View</v>
      </c>
    </row>
    <row r="962" spans="1:19" ht="20">
      <c r="A962" s="8">
        <v>43347.907592592594</v>
      </c>
      <c r="B962" s="11" t="str">
        <f>HYPERLINK("https://twitter.com/mohajer7618","@mohajer7618")</f>
        <v>@mohajer7618</v>
      </c>
      <c r="C962" s="6" t="s">
        <v>14244</v>
      </c>
      <c r="D962" s="5" t="s">
        <v>14243</v>
      </c>
      <c r="E962" s="9" t="str">
        <f>HYPERLINK("https://twitter.com/mohajer7618/status/1037026741766774784","1037026741766774784")</f>
        <v>1037026741766774784</v>
      </c>
      <c r="F962" s="4"/>
      <c r="G962" s="4"/>
      <c r="H962" s="4"/>
      <c r="I962" s="10" t="str">
        <f>HYPERLINK("http://twitter.com/download/iphone","Twitter for iPhone")</f>
        <v>Twitter for iPhone</v>
      </c>
      <c r="J962" s="2">
        <v>82</v>
      </c>
      <c r="K962" s="2">
        <v>38</v>
      </c>
      <c r="L962" s="2">
        <v>1</v>
      </c>
      <c r="M962" s="2"/>
      <c r="N962" s="8">
        <v>43321.101446759261</v>
      </c>
      <c r="O962" s="4" t="s">
        <v>14242</v>
      </c>
      <c r="P962" s="3" t="s">
        <v>14241</v>
      </c>
      <c r="Q962" s="4"/>
      <c r="R962" s="4"/>
      <c r="S962" s="9" t="str">
        <f>HYPERLINK("https://pbs.twimg.com/profile_images/1027493118466113536/iOiuMfPU.jpg","View")</f>
        <v>View</v>
      </c>
    </row>
    <row r="963" spans="1:19" ht="20">
      <c r="A963" s="8">
        <v>43347.907569444447</v>
      </c>
      <c r="B963" s="11" t="str">
        <f>HYPERLINK("https://twitter.com/gomnam_110","@gomnam_110")</f>
        <v>@gomnam_110</v>
      </c>
      <c r="C963" s="6" t="s">
        <v>11850</v>
      </c>
      <c r="D963" s="5" t="s">
        <v>14240</v>
      </c>
      <c r="E963" s="9" t="str">
        <f>HYPERLINK("https://twitter.com/gomnam_110/status/1037026729766912000","1037026729766912000")</f>
        <v>1037026729766912000</v>
      </c>
      <c r="F963" s="4"/>
      <c r="G963" s="10" t="s">
        <v>14239</v>
      </c>
      <c r="H963" s="4"/>
      <c r="I963" s="10" t="str">
        <f>HYPERLINK("http://twitter.com/download/android","Twitter for Android")</f>
        <v>Twitter for Android</v>
      </c>
      <c r="J963" s="2">
        <v>264</v>
      </c>
      <c r="K963" s="2">
        <v>239</v>
      </c>
      <c r="L963" s="2">
        <v>4</v>
      </c>
      <c r="M963" s="2"/>
      <c r="N963" s="8">
        <v>43318.118738425925</v>
      </c>
      <c r="O963" s="4" t="s">
        <v>17</v>
      </c>
      <c r="P963" s="3" t="s">
        <v>11847</v>
      </c>
      <c r="Q963" s="4"/>
      <c r="R963" s="4"/>
      <c r="S963" s="9" t="str">
        <f>HYPERLINK("https://pbs.twimg.com/profile_images/1030793714799726592/mmT51eeT.jpg","View")</f>
        <v>View</v>
      </c>
    </row>
    <row r="964" spans="1:19" ht="20">
      <c r="A964" s="8">
        <v>43347.906076388885</v>
      </c>
      <c r="B964" s="11" t="str">
        <f>HYPERLINK("https://twitter.com/azizi80alire","@azizi80alire")</f>
        <v>@azizi80alire</v>
      </c>
      <c r="C964" s="6" t="s">
        <v>9986</v>
      </c>
      <c r="D964" s="5" t="s">
        <v>14238</v>
      </c>
      <c r="E964" s="9" t="str">
        <f>HYPERLINK("https://twitter.com/azizi80alire/status/1037026190387806208","1037026190387806208")</f>
        <v>1037026190387806208</v>
      </c>
      <c r="F964" s="4"/>
      <c r="G964" s="4"/>
      <c r="H964" s="4"/>
      <c r="I964" s="10" t="str">
        <f>HYPERLINK("http://twitter.com/download/android","Twitter for Android")</f>
        <v>Twitter for Android</v>
      </c>
      <c r="J964" s="2">
        <v>393</v>
      </c>
      <c r="K964" s="2">
        <v>516</v>
      </c>
      <c r="L964" s="2">
        <v>0</v>
      </c>
      <c r="M964" s="2"/>
      <c r="N964" s="8">
        <v>42096.012106481481</v>
      </c>
      <c r="O964" s="4" t="s">
        <v>17</v>
      </c>
      <c r="P964" s="3" t="s">
        <v>9983</v>
      </c>
      <c r="Q964" s="4"/>
      <c r="R964" s="4"/>
      <c r="S964" s="9" t="str">
        <f>HYPERLINK("https://pbs.twimg.com/profile_images/1034047284818964480/yKG5kM-t.jpg","View")</f>
        <v>View</v>
      </c>
    </row>
    <row r="965" spans="1:19" ht="40">
      <c r="A965" s="8">
        <v>43347.903229166666</v>
      </c>
      <c r="B965" s="11" t="str">
        <f>HYPERLINK("https://twitter.com/DinparvarMortza","@DinparvarMortza")</f>
        <v>@DinparvarMortza</v>
      </c>
      <c r="C965" s="6" t="s">
        <v>14192</v>
      </c>
      <c r="D965" s="5" t="s">
        <v>14237</v>
      </c>
      <c r="E965" s="9" t="str">
        <f>HYPERLINK("https://twitter.com/DinparvarMortza/status/1037025159566241794","1037025159566241794")</f>
        <v>1037025159566241794</v>
      </c>
      <c r="F965" s="4"/>
      <c r="G965" s="4"/>
      <c r="H965" s="4"/>
      <c r="I965" s="10" t="str">
        <f>HYPERLINK("http://twitter.com/download/iphone","Twitter for iPhone")</f>
        <v>Twitter for iPhone</v>
      </c>
      <c r="J965" s="2">
        <v>63</v>
      </c>
      <c r="K965" s="2">
        <v>245</v>
      </c>
      <c r="L965" s="2">
        <v>0</v>
      </c>
      <c r="M965" s="2"/>
      <c r="N965" s="8">
        <v>43305.525752314818</v>
      </c>
      <c r="O965" s="4" t="s">
        <v>34</v>
      </c>
      <c r="P965" s="3" t="s">
        <v>14190</v>
      </c>
      <c r="Q965" s="4"/>
      <c r="R965" s="4"/>
      <c r="S965" s="9" t="str">
        <f>HYPERLINK("https://pbs.twimg.com/profile_images/1031468449518837760/TvBSLJXg.jpg","View")</f>
        <v>View</v>
      </c>
    </row>
    <row r="966" spans="1:19" ht="40">
      <c r="A966" s="8">
        <v>43347.902962962966</v>
      </c>
      <c r="B966" s="11" t="str">
        <f>HYPERLINK("https://twitter.com/5blxo4P11acqv1L","@5blxo4P11acqv1L")</f>
        <v>@5blxo4P11acqv1L</v>
      </c>
      <c r="C966" s="6" t="s">
        <v>14236</v>
      </c>
      <c r="D966" s="5" t="s">
        <v>14235</v>
      </c>
      <c r="E966" s="9" t="str">
        <f>HYPERLINK("https://twitter.com/5blxo4P11acqv1L/status/1037025061776052225","1037025061776052225")</f>
        <v>1037025061776052225</v>
      </c>
      <c r="F966" s="4"/>
      <c r="G966" s="4"/>
      <c r="H966" s="4"/>
      <c r="I966" s="10" t="str">
        <f>HYPERLINK("https://mobile.twitter.com","Twitter Lite")</f>
        <v>Twitter Lite</v>
      </c>
      <c r="J966" s="2">
        <v>64</v>
      </c>
      <c r="K966" s="2">
        <v>148</v>
      </c>
      <c r="L966" s="2">
        <v>0</v>
      </c>
      <c r="M966" s="2"/>
      <c r="N966" s="8">
        <v>43085.379687499997</v>
      </c>
      <c r="O966" s="4"/>
      <c r="P966" s="3" t="s">
        <v>14234</v>
      </c>
      <c r="Q966" s="4"/>
      <c r="R966" s="4"/>
      <c r="S966" s="9" t="str">
        <f>HYPERLINK("https://pbs.twimg.com/profile_images/1004656018545102848/exuOu2-m.jpg","View")</f>
        <v>View</v>
      </c>
    </row>
    <row r="967" spans="1:19" ht="30">
      <c r="A967" s="8">
        <v>43347.901828703703</v>
      </c>
      <c r="B967" s="11" t="str">
        <f>HYPERLINK("https://twitter.com/maahdisss","@maahdisss")</f>
        <v>@maahdisss</v>
      </c>
      <c r="C967" s="6" t="s">
        <v>11475</v>
      </c>
      <c r="D967" s="5" t="s">
        <v>14233</v>
      </c>
      <c r="E967" s="9" t="str">
        <f>HYPERLINK("https://twitter.com/maahdisss/status/1037024649446666241","1037024649446666241")</f>
        <v>1037024649446666241</v>
      </c>
      <c r="F967" s="4"/>
      <c r="G967" s="4"/>
      <c r="H967" s="4"/>
      <c r="I967" s="10" t="str">
        <f>HYPERLINK("http://twitter.com/download/android","Twitter for Android")</f>
        <v>Twitter for Android</v>
      </c>
      <c r="J967" s="2">
        <v>46</v>
      </c>
      <c r="K967" s="2">
        <v>202</v>
      </c>
      <c r="L967" s="2">
        <v>0</v>
      </c>
      <c r="M967" s="2"/>
      <c r="N967" s="8">
        <v>43313.935648148152</v>
      </c>
      <c r="O967" s="4" t="s">
        <v>25</v>
      </c>
      <c r="P967" s="3" t="s">
        <v>11473</v>
      </c>
      <c r="Q967" s="4"/>
      <c r="R967" s="4"/>
      <c r="S967" s="9" t="str">
        <f>HYPERLINK("https://pbs.twimg.com/profile_images/1036306486954287110/aAk4jO2R.jpg","View")</f>
        <v>View</v>
      </c>
    </row>
    <row r="968" spans="1:19" ht="20">
      <c r="A968" s="8">
        <v>43347.900034722217</v>
      </c>
      <c r="B968" s="11" t="str">
        <f>HYPERLINK("https://twitter.com/Yanga47653106","@Yanga47653106")</f>
        <v>@Yanga47653106</v>
      </c>
      <c r="C968" s="6" t="s">
        <v>14232</v>
      </c>
      <c r="D968" s="5" t="s">
        <v>14231</v>
      </c>
      <c r="E968" s="9" t="str">
        <f>HYPERLINK("https://twitter.com/Yanga47653106/status/1037024001665712129","1037024001665712129")</f>
        <v>1037024001665712129</v>
      </c>
      <c r="F968" s="4"/>
      <c r="G968" s="4"/>
      <c r="H968" s="4"/>
      <c r="I968" s="10" t="str">
        <f>HYPERLINK("http://twitter.com/download/android","Twitter for Android")</f>
        <v>Twitter for Android</v>
      </c>
      <c r="J968" s="2">
        <v>27</v>
      </c>
      <c r="K968" s="2">
        <v>59</v>
      </c>
      <c r="L968" s="2">
        <v>0</v>
      </c>
      <c r="M968" s="2"/>
      <c r="N968" s="8">
        <v>43247.970821759256</v>
      </c>
      <c r="O968" s="4"/>
      <c r="P968" s="3" t="s">
        <v>14230</v>
      </c>
      <c r="Q968" s="4"/>
      <c r="R968" s="4"/>
      <c r="S968" s="9" t="str">
        <f>HYPERLINK("https://pbs.twimg.com/profile_images/1000814651318456320/dqPmg52O.jpg","View")</f>
        <v>View</v>
      </c>
    </row>
    <row r="969" spans="1:19" ht="20">
      <c r="A969" s="8">
        <v>43347.899756944447</v>
      </c>
      <c r="B969" s="11" t="str">
        <f>HYPERLINK("https://twitter.com/persi_gas","@persi_gas")</f>
        <v>@persi_gas</v>
      </c>
      <c r="C969" s="6" t="s">
        <v>14229</v>
      </c>
      <c r="D969" s="5" t="s">
        <v>14228</v>
      </c>
      <c r="E969" s="9" t="str">
        <f>HYPERLINK("https://twitter.com/persi_gas/status/1037023902369767424","1037023902369767424")</f>
        <v>1037023902369767424</v>
      </c>
      <c r="F969" s="4"/>
      <c r="G969" s="4"/>
      <c r="H969" s="4"/>
      <c r="I969" s="10" t="str">
        <f>HYPERLINK("http://twitter.com/download/android","Twitter for Android")</f>
        <v>Twitter for Android</v>
      </c>
      <c r="J969" s="2">
        <v>25</v>
      </c>
      <c r="K969" s="2">
        <v>30</v>
      </c>
      <c r="L969" s="2">
        <v>0</v>
      </c>
      <c r="M969" s="2"/>
      <c r="N969" s="8">
        <v>43103.872719907406</v>
      </c>
      <c r="O969" s="4" t="s">
        <v>14227</v>
      </c>
      <c r="P969" s="3"/>
      <c r="Q969" s="4"/>
      <c r="R969" s="4"/>
      <c r="S969" s="9" t="str">
        <f>HYPERLINK("https://pbs.twimg.com/profile_images/948609873989849088/S1yAB-gw.jpg","View")</f>
        <v>View</v>
      </c>
    </row>
    <row r="970" spans="1:19" ht="20">
      <c r="A970" s="8">
        <v>43347.899641203709</v>
      </c>
      <c r="B970" s="11" t="str">
        <f>HYPERLINK("https://twitter.com/jaheleahli","@jaheleahli")</f>
        <v>@jaheleahli</v>
      </c>
      <c r="C970" s="6" t="s">
        <v>14138</v>
      </c>
      <c r="D970" s="12" t="s">
        <v>14226</v>
      </c>
      <c r="E970" s="9" t="str">
        <f>HYPERLINK("https://twitter.com/jaheleahli/status/1037023856911900673","1037023856911900673")</f>
        <v>1037023856911900673</v>
      </c>
      <c r="F970" s="4"/>
      <c r="G970" s="10" t="s">
        <v>14225</v>
      </c>
      <c r="H970" s="4"/>
      <c r="I970" s="10" t="str">
        <f>HYPERLINK("http://twitter.com/download/iphone","Twitter for iPhone")</f>
        <v>Twitter for iPhone</v>
      </c>
      <c r="J970" s="2">
        <v>11</v>
      </c>
      <c r="K970" s="2">
        <v>20</v>
      </c>
      <c r="L970" s="2">
        <v>0</v>
      </c>
      <c r="M970" s="2"/>
      <c r="N970" s="8">
        <v>43345.028321759259</v>
      </c>
      <c r="O970" s="4" t="s">
        <v>14135</v>
      </c>
      <c r="P970" s="3" t="s">
        <v>14134</v>
      </c>
      <c r="Q970" s="4"/>
      <c r="R970" s="4"/>
      <c r="S970" s="9" t="str">
        <f>HYPERLINK("https://pbs.twimg.com/profile_images/1035983883727241217/N4X6dwlz.jpg","View")</f>
        <v>View</v>
      </c>
    </row>
    <row r="971" spans="1:19" ht="30">
      <c r="A971" s="8">
        <v>43347.899178240739</v>
      </c>
      <c r="B971" s="11" t="str">
        <f>HYPERLINK("https://twitter.com/ab_kh_ir","@ab_kh_ir")</f>
        <v>@ab_kh_ir</v>
      </c>
      <c r="C971" s="6" t="s">
        <v>14224</v>
      </c>
      <c r="D971" s="5" t="s">
        <v>14223</v>
      </c>
      <c r="E971" s="9" t="str">
        <f>HYPERLINK("https://twitter.com/ab_kh_ir/status/1037023691266293761","1037023691266293761")</f>
        <v>1037023691266293761</v>
      </c>
      <c r="F971" s="4" t="s">
        <v>14222</v>
      </c>
      <c r="G971" s="4"/>
      <c r="H971" s="4"/>
      <c r="I971" s="10" t="str">
        <f>HYPERLINK("http://twitter.com","Twitter Web Client")</f>
        <v>Twitter Web Client</v>
      </c>
      <c r="J971" s="2">
        <v>590</v>
      </c>
      <c r="K971" s="2">
        <v>654</v>
      </c>
      <c r="L971" s="2">
        <v>1</v>
      </c>
      <c r="M971" s="2"/>
      <c r="N971" s="8">
        <v>43188.109178240746</v>
      </c>
      <c r="O971" s="4" t="s">
        <v>14221</v>
      </c>
      <c r="P971" s="3"/>
      <c r="Q971" s="4"/>
      <c r="R971" s="4"/>
      <c r="S971" s="9" t="str">
        <f>HYPERLINK("https://pbs.twimg.com/profile_images/1028155274526257152/eUzabrNc.jpg","View")</f>
        <v>View</v>
      </c>
    </row>
    <row r="972" spans="1:19" ht="40">
      <c r="A972" s="8">
        <v>43347.897175925929</v>
      </c>
      <c r="B972" s="11" t="str">
        <f>HYPERLINK("https://twitter.com/news365_online","@news365_online")</f>
        <v>@news365_online</v>
      </c>
      <c r="C972" s="6" t="s">
        <v>2325</v>
      </c>
      <c r="D972" s="5" t="s">
        <v>14220</v>
      </c>
      <c r="E972" s="9" t="str">
        <f>HYPERLINK("https://twitter.com/news365_online/status/1037022964779245568","1037022964779245568")</f>
        <v>1037022964779245568</v>
      </c>
      <c r="F972" s="10" t="s">
        <v>14219</v>
      </c>
      <c r="G972" s="10" t="s">
        <v>14218</v>
      </c>
      <c r="H972" s="4"/>
      <c r="I972" s="10" t="str">
        <f>HYPERLINK("http://twitter.com/download/android","Twitter for Android")</f>
        <v>Twitter for Android</v>
      </c>
      <c r="J972" s="2">
        <v>809</v>
      </c>
      <c r="K972" s="2">
        <v>333</v>
      </c>
      <c r="L972" s="2">
        <v>7</v>
      </c>
      <c r="M972" s="2"/>
      <c r="N972" s="8">
        <v>42809.003078703703</v>
      </c>
      <c r="O972" s="4" t="s">
        <v>34</v>
      </c>
      <c r="P972" s="3" t="s">
        <v>2322</v>
      </c>
      <c r="Q972" s="10" t="s">
        <v>2321</v>
      </c>
      <c r="R972" s="4"/>
      <c r="S972" s="9" t="str">
        <f>HYPERLINK("https://pbs.twimg.com/profile_images/923199727667220480/A0Mv4a_i.jpg","View")</f>
        <v>View</v>
      </c>
    </row>
    <row r="973" spans="1:19" ht="30">
      <c r="A973" s="8">
        <v>43347.897106481483</v>
      </c>
      <c r="B973" s="11" t="str">
        <f>HYPERLINK("https://twitter.com/teclamachenko","@teclamachenko")</f>
        <v>@teclamachenko</v>
      </c>
      <c r="C973" s="6" t="s">
        <v>3984</v>
      </c>
      <c r="D973" s="5" t="s">
        <v>14217</v>
      </c>
      <c r="E973" s="9" t="str">
        <f>HYPERLINK("https://twitter.com/teclamachenko/status/1037022941291130880","1037022941291130880")</f>
        <v>1037022941291130880</v>
      </c>
      <c r="F973" s="4"/>
      <c r="G973" s="4"/>
      <c r="H973" s="4"/>
      <c r="I973" s="10" t="str">
        <f>HYPERLINK("http://twitter.com/download/android","Twitter for Android")</f>
        <v>Twitter for Android</v>
      </c>
      <c r="J973" s="2">
        <v>3834</v>
      </c>
      <c r="K973" s="2">
        <v>978</v>
      </c>
      <c r="L973" s="2">
        <v>16</v>
      </c>
      <c r="M973" s="2"/>
      <c r="N973" s="8">
        <v>42912.16878472222</v>
      </c>
      <c r="O973" s="4" t="s">
        <v>3982</v>
      </c>
      <c r="P973" s="3" t="s">
        <v>8847</v>
      </c>
      <c r="Q973" s="4"/>
      <c r="R973" s="4"/>
      <c r="S973" s="9" t="str">
        <f>HYPERLINK("https://pbs.twimg.com/profile_images/994479360253063170/6rT51vV9.jpg","View")</f>
        <v>View</v>
      </c>
    </row>
    <row r="974" spans="1:19" ht="40">
      <c r="A974" s="8">
        <v>43347.896979166668</v>
      </c>
      <c r="B974" s="11" t="str">
        <f>HYPERLINK("https://twitter.com/javad_teyyeb","@javad_teyyeb")</f>
        <v>@javad_teyyeb</v>
      </c>
      <c r="C974" s="6" t="s">
        <v>14216</v>
      </c>
      <c r="D974" s="5" t="s">
        <v>14215</v>
      </c>
      <c r="E974" s="9" t="str">
        <f>HYPERLINK("https://twitter.com/javad_teyyeb/status/1037022895128682496","1037022895128682496")</f>
        <v>1037022895128682496</v>
      </c>
      <c r="F974" s="4"/>
      <c r="G974" s="4"/>
      <c r="H974" s="4"/>
      <c r="I974" s="10" t="str">
        <f>HYPERLINK("http://twitter.com/download/android","Twitter for Android")</f>
        <v>Twitter for Android</v>
      </c>
      <c r="J974" s="2">
        <v>888</v>
      </c>
      <c r="K974" s="2">
        <v>587</v>
      </c>
      <c r="L974" s="2">
        <v>0</v>
      </c>
      <c r="M974" s="2"/>
      <c r="N974" s="8">
        <v>43246.225115740745</v>
      </c>
      <c r="O974" s="4" t="s">
        <v>14214</v>
      </c>
      <c r="P974" s="3" t="s">
        <v>14213</v>
      </c>
      <c r="Q974" s="10" t="s">
        <v>14212</v>
      </c>
      <c r="R974" s="4"/>
      <c r="S974" s="9" t="str">
        <f>HYPERLINK("https://pbs.twimg.com/profile_images/1035485064480653318/6Dy48nj2.jpg","View")</f>
        <v>View</v>
      </c>
    </row>
    <row r="975" spans="1:19" ht="40">
      <c r="A975" s="8">
        <v>43347.896192129629</v>
      </c>
      <c r="B975" s="11" t="str">
        <f>HYPERLINK("https://twitter.com/mahmood_cheragh","@mahmood_cheragh")</f>
        <v>@mahmood_cheragh</v>
      </c>
      <c r="C975" s="6" t="s">
        <v>10418</v>
      </c>
      <c r="D975" s="5" t="s">
        <v>14211</v>
      </c>
      <c r="E975" s="9" t="str">
        <f>HYPERLINK("https://twitter.com/mahmood_cheragh/status/1037022607319724035","1037022607319724035")</f>
        <v>1037022607319724035</v>
      </c>
      <c r="F975" s="4"/>
      <c r="G975" s="4"/>
      <c r="H975" s="4"/>
      <c r="I975" s="10" t="str">
        <f>HYPERLINK("http://twitter.com/download/android","Twitter for Android")</f>
        <v>Twitter for Android</v>
      </c>
      <c r="J975" s="2">
        <v>1370</v>
      </c>
      <c r="K975" s="2">
        <v>3740</v>
      </c>
      <c r="L975" s="2">
        <v>1</v>
      </c>
      <c r="M975" s="2"/>
      <c r="N975" s="8">
        <v>41810.58693287037</v>
      </c>
      <c r="O975" s="4" t="s">
        <v>10416</v>
      </c>
      <c r="P975" s="3" t="s">
        <v>10415</v>
      </c>
      <c r="Q975" s="4"/>
      <c r="R975" s="4"/>
      <c r="S975" s="9" t="str">
        <f>HYPERLINK("https://pbs.twimg.com/profile_images/664744325109014528/G2KkuZ_q.jpg","View")</f>
        <v>View</v>
      </c>
    </row>
    <row r="976" spans="1:19" ht="20">
      <c r="A976" s="8">
        <v>43347.896064814813</v>
      </c>
      <c r="B976" s="11" t="str">
        <f>HYPERLINK("https://twitter.com/Master56123916","@Master56123916")</f>
        <v>@Master56123916</v>
      </c>
      <c r="C976" s="6" t="s">
        <v>14210</v>
      </c>
      <c r="D976" s="5" t="s">
        <v>14209</v>
      </c>
      <c r="E976" s="9" t="str">
        <f>HYPERLINK("https://twitter.com/Master56123916/status/1037022560901312514","1037022560901312514")</f>
        <v>1037022560901312514</v>
      </c>
      <c r="F976" s="4"/>
      <c r="G976" s="4"/>
      <c r="H976" s="4"/>
      <c r="I976" s="10" t="str">
        <f>HYPERLINK("http://twitter.com/download/android","Twitter for Android")</f>
        <v>Twitter for Android</v>
      </c>
      <c r="J976" s="2">
        <v>21</v>
      </c>
      <c r="K976" s="2">
        <v>31</v>
      </c>
      <c r="L976" s="2">
        <v>0</v>
      </c>
      <c r="M976" s="2"/>
      <c r="N976" s="8">
        <v>43296.850821759261</v>
      </c>
      <c r="O976" s="4" t="s">
        <v>7729</v>
      </c>
      <c r="P976" s="3" t="s">
        <v>14208</v>
      </c>
      <c r="Q976" s="4"/>
      <c r="R976" s="4"/>
      <c r="S976" s="9" t="str">
        <f>HYPERLINK("https://pbs.twimg.com/profile_images/1025012329040281600/wWSXnAUQ.jpg","View")</f>
        <v>View</v>
      </c>
    </row>
    <row r="977" spans="1:19" ht="30">
      <c r="A977" s="8">
        <v>43347.895497685182</v>
      </c>
      <c r="B977" s="11" t="str">
        <f>HYPERLINK("https://twitter.com/Mat__fire","@Mat__fire")</f>
        <v>@Mat__fire</v>
      </c>
      <c r="C977" s="6" t="s">
        <v>13023</v>
      </c>
      <c r="D977" s="5" t="s">
        <v>14207</v>
      </c>
      <c r="E977" s="9" t="str">
        <f>HYPERLINK("https://twitter.com/Mat__fire/status/1037022355158003712","1037022355158003712")</f>
        <v>1037022355158003712</v>
      </c>
      <c r="F977" s="4"/>
      <c r="G977" s="4"/>
      <c r="H977" s="4"/>
      <c r="I977" s="10" t="str">
        <f>HYPERLINK("http://twitter.com/download/android","Twitter for Android")</f>
        <v>Twitter for Android</v>
      </c>
      <c r="J977" s="2">
        <v>494</v>
      </c>
      <c r="K977" s="2">
        <v>365</v>
      </c>
      <c r="L977" s="2">
        <v>8</v>
      </c>
      <c r="M977" s="2"/>
      <c r="N977" s="8">
        <v>42370.687557870369</v>
      </c>
      <c r="O977" s="4" t="s">
        <v>13021</v>
      </c>
      <c r="P977" s="3" t="s">
        <v>13020</v>
      </c>
      <c r="Q977" s="4"/>
      <c r="R977" s="4"/>
      <c r="S977" s="9" t="str">
        <f>HYPERLINK("https://pbs.twimg.com/profile_images/817815430936989696/AWg8WUtN.jpg","View")</f>
        <v>View</v>
      </c>
    </row>
    <row r="978" spans="1:19" ht="20">
      <c r="A978" s="8">
        <v>43347.894837962958</v>
      </c>
      <c r="B978" s="11" t="str">
        <f>HYPERLINK("https://twitter.com/Alitoosi3","@Alitoosi3")</f>
        <v>@Alitoosi3</v>
      </c>
      <c r="C978" s="6" t="s">
        <v>14206</v>
      </c>
      <c r="D978" s="5" t="s">
        <v>14205</v>
      </c>
      <c r="E978" s="9" t="str">
        <f>HYPERLINK("https://twitter.com/Alitoosi3/status/1037022117353725954","1037022117353725954")</f>
        <v>1037022117353725954</v>
      </c>
      <c r="F978" s="4"/>
      <c r="G978" s="4"/>
      <c r="H978" s="4"/>
      <c r="I978" s="10" t="str">
        <f>HYPERLINK("https://mobile.twitter.com","Twitter Lite")</f>
        <v>Twitter Lite</v>
      </c>
      <c r="J978" s="2">
        <v>128</v>
      </c>
      <c r="K978" s="2">
        <v>386</v>
      </c>
      <c r="L978" s="2">
        <v>1</v>
      </c>
      <c r="M978" s="2"/>
      <c r="N978" s="8">
        <v>43244.712685185186</v>
      </c>
      <c r="O978" s="4" t="s">
        <v>190</v>
      </c>
      <c r="P978" s="3" t="s">
        <v>14204</v>
      </c>
      <c r="Q978" s="4"/>
      <c r="R978" s="4"/>
      <c r="S978" s="9" t="str">
        <f>HYPERLINK("https://pbs.twimg.com/profile_images/1008025769115865094/mN-hgtt0.jpg","View")</f>
        <v>View</v>
      </c>
    </row>
    <row r="979" spans="1:19" ht="30">
      <c r="A979" s="8">
        <v>43347.893518518518</v>
      </c>
      <c r="B979" s="11" t="str">
        <f>HYPERLINK("https://twitter.com/ali88142674","@ali88142674")</f>
        <v>@ali88142674</v>
      </c>
      <c r="C979" s="6" t="s">
        <v>2883</v>
      </c>
      <c r="D979" s="5" t="s">
        <v>14203</v>
      </c>
      <c r="E979" s="9" t="str">
        <f>HYPERLINK("https://twitter.com/ali88142674/status/1037021641321140224","1037021641321140224")</f>
        <v>1037021641321140224</v>
      </c>
      <c r="F979" s="4"/>
      <c r="G979" s="10" t="s">
        <v>14202</v>
      </c>
      <c r="H979" s="4"/>
      <c r="I979" s="10" t="str">
        <f>HYPERLINK("http://twitter.com/download/iphone","Twitter for iPhone")</f>
        <v>Twitter for iPhone</v>
      </c>
      <c r="J979" s="2">
        <v>3</v>
      </c>
      <c r="K979" s="2">
        <v>35</v>
      </c>
      <c r="L979" s="2">
        <v>0</v>
      </c>
      <c r="M979" s="2"/>
      <c r="N979" s="8">
        <v>43345.890011574069</v>
      </c>
      <c r="O979" s="4" t="s">
        <v>34</v>
      </c>
      <c r="P979" s="3"/>
      <c r="Q979" s="4"/>
      <c r="R979" s="4"/>
      <c r="S979" s="9" t="str">
        <f>HYPERLINK("https://pbs.twimg.com/profile_images/1036298790729342977/uL-PyygD.jpg","View")</f>
        <v>View</v>
      </c>
    </row>
    <row r="980" spans="1:19" ht="50">
      <c r="A980" s="8">
        <v>43347.893472222218</v>
      </c>
      <c r="B980" s="11" t="str">
        <f>HYPERLINK("https://twitter.com/dina_pn2017","@dina_pn2017")</f>
        <v>@dina_pn2017</v>
      </c>
      <c r="C980" s="6" t="s">
        <v>13308</v>
      </c>
      <c r="D980" s="5" t="s">
        <v>14201</v>
      </c>
      <c r="E980" s="9" t="str">
        <f>HYPERLINK("https://twitter.com/dina_pn2017/status/1037021624321622016","1037021624321622016")</f>
        <v>1037021624321622016</v>
      </c>
      <c r="F980" s="10" t="s">
        <v>14200</v>
      </c>
      <c r="G980" s="4"/>
      <c r="H980" s="4"/>
      <c r="I980" s="10" t="str">
        <f>HYPERLINK("http://twitter.com/download/android","Twitter for Android")</f>
        <v>Twitter for Android</v>
      </c>
      <c r="J980" s="2">
        <v>2676</v>
      </c>
      <c r="K980" s="2">
        <v>2649</v>
      </c>
      <c r="L980" s="2">
        <v>2</v>
      </c>
      <c r="M980" s="2"/>
      <c r="N980" s="8">
        <v>42727.911122685182</v>
      </c>
      <c r="O980" s="4" t="s">
        <v>13305</v>
      </c>
      <c r="P980" s="3" t="s">
        <v>13304</v>
      </c>
      <c r="Q980" s="4"/>
      <c r="R980" s="4"/>
      <c r="S980" s="9" t="str">
        <f>HYPERLINK("https://pbs.twimg.com/profile_images/891035330119438336/LLvZ-cp9.jpg","View")</f>
        <v>View</v>
      </c>
    </row>
    <row r="981" spans="1:19" ht="30">
      <c r="A981" s="8">
        <v>43347.892418981486</v>
      </c>
      <c r="B981" s="11" t="str">
        <f>HYPERLINK("https://twitter.com/M__khabarnegar","@M__khabarnegar")</f>
        <v>@M__khabarnegar</v>
      </c>
      <c r="C981" s="6" t="s">
        <v>14199</v>
      </c>
      <c r="D981" s="5" t="s">
        <v>13223</v>
      </c>
      <c r="E981" s="9" t="str">
        <f>HYPERLINK("https://twitter.com/M__khabarnegar/status/1037021239913603073","1037021239913603073")</f>
        <v>1037021239913603073</v>
      </c>
      <c r="F981" s="4"/>
      <c r="G981" s="4"/>
      <c r="H981" s="4"/>
      <c r="I981" s="10" t="str">
        <f>HYPERLINK("http://twitter.com","Twitter Web Client")</f>
        <v>Twitter Web Client</v>
      </c>
      <c r="J981" s="2">
        <v>8577</v>
      </c>
      <c r="K981" s="2">
        <v>5136</v>
      </c>
      <c r="L981" s="2">
        <v>36</v>
      </c>
      <c r="M981" s="2"/>
      <c r="N981" s="8">
        <v>41968.66715277778</v>
      </c>
      <c r="O981" s="4" t="s">
        <v>17</v>
      </c>
      <c r="P981" s="3" t="s">
        <v>14198</v>
      </c>
      <c r="Q981" s="4"/>
      <c r="R981" s="4"/>
      <c r="S981" s="9" t="str">
        <f>HYPERLINK("https://pbs.twimg.com/profile_images/925222836603707392/epULR-Ym.jpg","View")</f>
        <v>View</v>
      </c>
    </row>
    <row r="982" spans="1:19" ht="30">
      <c r="A982" s="8">
        <v>43347.891817129625</v>
      </c>
      <c r="B982" s="11" t="str">
        <f>HYPERLINK("https://twitter.com/yousefi_taha","@yousefi_taha")</f>
        <v>@yousefi_taha</v>
      </c>
      <c r="C982" s="6" t="s">
        <v>14197</v>
      </c>
      <c r="D982" s="5" t="s">
        <v>14196</v>
      </c>
      <c r="E982" s="9" t="str">
        <f>HYPERLINK("https://twitter.com/yousefi_taha/status/1037021021906391051","1037021021906391051")</f>
        <v>1037021021906391051</v>
      </c>
      <c r="F982" s="4"/>
      <c r="G982" s="4"/>
      <c r="H982" s="4"/>
      <c r="I982" s="10" t="str">
        <f>HYPERLINK("http://twitter.com/download/android","Twitter for Android")</f>
        <v>Twitter for Android</v>
      </c>
      <c r="J982" s="2">
        <v>99</v>
      </c>
      <c r="K982" s="2">
        <v>33</v>
      </c>
      <c r="L982" s="2">
        <v>0</v>
      </c>
      <c r="M982" s="2"/>
      <c r="N982" s="8">
        <v>42912.09412037037</v>
      </c>
      <c r="O982" s="4" t="s">
        <v>14195</v>
      </c>
      <c r="P982" s="3" t="s">
        <v>14194</v>
      </c>
      <c r="Q982" s="4"/>
      <c r="R982" s="4"/>
      <c r="S982" s="9" t="str">
        <f>HYPERLINK("https://pbs.twimg.com/profile_images/1017714590707306496/QIcu87Km.jpg","View")</f>
        <v>View</v>
      </c>
    </row>
    <row r="983" spans="1:19" ht="30">
      <c r="A983" s="8">
        <v>43347.891689814816</v>
      </c>
      <c r="B983" s="11" t="str">
        <f>HYPERLINK("https://twitter.com/parisapershad","@parisapershad")</f>
        <v>@parisapershad</v>
      </c>
      <c r="C983" s="6" t="s">
        <v>5945</v>
      </c>
      <c r="D983" s="5" t="s">
        <v>14193</v>
      </c>
      <c r="E983" s="9" t="str">
        <f>HYPERLINK("https://twitter.com/parisapershad/status/1037020975114727426","1037020975114727426")</f>
        <v>1037020975114727426</v>
      </c>
      <c r="F983" s="4"/>
      <c r="G983" s="4"/>
      <c r="H983" s="4"/>
      <c r="I983" s="10" t="str">
        <f>HYPERLINK("http://twitter.com/download/android","Twitter for Android")</f>
        <v>Twitter for Android</v>
      </c>
      <c r="J983" s="2">
        <v>40</v>
      </c>
      <c r="K983" s="2">
        <v>84</v>
      </c>
      <c r="L983" s="2">
        <v>0</v>
      </c>
      <c r="M983" s="2"/>
      <c r="N983" s="8">
        <v>41425.364247685182</v>
      </c>
      <c r="O983" s="4"/>
      <c r="P983" s="3" t="s">
        <v>704</v>
      </c>
      <c r="Q983" s="4"/>
      <c r="R983" s="4"/>
      <c r="S983" s="9" t="str">
        <f>HYPERLINK("https://pbs.twimg.com/profile_images/1033793695546527746/VHnH9WVC.jpg","View")</f>
        <v>View</v>
      </c>
    </row>
    <row r="984" spans="1:19" ht="40">
      <c r="A984" s="8">
        <v>43347.890347222223</v>
      </c>
      <c r="B984" s="11" t="str">
        <f>HYPERLINK("https://twitter.com/DinparvarMortza","@DinparvarMortza")</f>
        <v>@DinparvarMortza</v>
      </c>
      <c r="C984" s="6" t="s">
        <v>14192</v>
      </c>
      <c r="D984" s="5" t="s">
        <v>14191</v>
      </c>
      <c r="E984" s="9" t="str">
        <f>HYPERLINK("https://twitter.com/DinparvarMortza/status/1037020488571269120","1037020488571269120")</f>
        <v>1037020488571269120</v>
      </c>
      <c r="F984" s="4"/>
      <c r="G984" s="4"/>
      <c r="H984" s="4"/>
      <c r="I984" s="10" t="str">
        <f>HYPERLINK("http://twitter.com/download/iphone","Twitter for iPhone")</f>
        <v>Twitter for iPhone</v>
      </c>
      <c r="J984" s="2">
        <v>63</v>
      </c>
      <c r="K984" s="2">
        <v>245</v>
      </c>
      <c r="L984" s="2">
        <v>0</v>
      </c>
      <c r="M984" s="2"/>
      <c r="N984" s="8">
        <v>43305.525752314818</v>
      </c>
      <c r="O984" s="4" t="s">
        <v>34</v>
      </c>
      <c r="P984" s="3" t="s">
        <v>14190</v>
      </c>
      <c r="Q984" s="4"/>
      <c r="R984" s="4"/>
      <c r="S984" s="9" t="str">
        <f>HYPERLINK("https://pbs.twimg.com/profile_images/1031468449518837760/TvBSLJXg.jpg","View")</f>
        <v>View</v>
      </c>
    </row>
    <row r="985" spans="1:19" ht="30">
      <c r="A985" s="8">
        <v>43347.889155092591</v>
      </c>
      <c r="B985" s="11" t="str">
        <f>HYPERLINK("https://twitter.com/noahwtd","@noahwtd")</f>
        <v>@noahwtd</v>
      </c>
      <c r="C985" s="6" t="s">
        <v>14189</v>
      </c>
      <c r="D985" s="5" t="s">
        <v>14188</v>
      </c>
      <c r="E985" s="9" t="str">
        <f>HYPERLINK("https://twitter.com/noahwtd/status/1037020057489039360","1037020057489039360")</f>
        <v>1037020057489039360</v>
      </c>
      <c r="F985" s="4"/>
      <c r="G985" s="4"/>
      <c r="H985" s="4"/>
      <c r="I985" s="10" t="str">
        <f>HYPERLINK("http://twitter.com/download/iphone","Twitter for iPhone")</f>
        <v>Twitter for iPhone</v>
      </c>
      <c r="J985" s="2">
        <v>1894</v>
      </c>
      <c r="K985" s="2">
        <v>1755</v>
      </c>
      <c r="L985" s="2">
        <v>5</v>
      </c>
      <c r="M985" s="2"/>
      <c r="N985" s="8">
        <v>42863.824884259258</v>
      </c>
      <c r="O985" s="4"/>
      <c r="P985" s="3"/>
      <c r="Q985" s="4"/>
      <c r="R985" s="4"/>
      <c r="S985" s="9" t="str">
        <f>HYPERLINK("https://pbs.twimg.com/profile_images/1027635308941242368/Ajp0flRU.jpg","View")</f>
        <v>View</v>
      </c>
    </row>
    <row r="986" spans="1:19" ht="30">
      <c r="A986" s="8">
        <v>43347.88853009259</v>
      </c>
      <c r="B986" s="11" t="str">
        <f>HYPERLINK("https://twitter.com/izsoheil7","@izsoheil7")</f>
        <v>@izsoheil7</v>
      </c>
      <c r="C986" s="6" t="s">
        <v>14187</v>
      </c>
      <c r="D986" s="5" t="s">
        <v>14186</v>
      </c>
      <c r="E986" s="9" t="str">
        <f>HYPERLINK("https://twitter.com/izsoheil7/status/1037019831936200704","1037019831936200704")</f>
        <v>1037019831936200704</v>
      </c>
      <c r="F986" s="4"/>
      <c r="G986" s="4"/>
      <c r="H986" s="4"/>
      <c r="I986" s="10" t="str">
        <f>HYPERLINK("http://twitter.com/download/android","Twitter for Android")</f>
        <v>Twitter for Android</v>
      </c>
      <c r="J986" s="2">
        <v>73</v>
      </c>
      <c r="K986" s="2">
        <v>34</v>
      </c>
      <c r="L986" s="2">
        <v>0</v>
      </c>
      <c r="M986" s="2"/>
      <c r="N986" s="8">
        <v>43233.596099537041</v>
      </c>
      <c r="O986" s="4"/>
      <c r="P986" s="3" t="s">
        <v>14185</v>
      </c>
      <c r="Q986" s="4"/>
      <c r="R986" s="4"/>
      <c r="S986" s="9" t="str">
        <f>HYPERLINK("https://pbs.twimg.com/profile_images/1036142818408976385/No5vNL8V.jpg","View")</f>
        <v>View</v>
      </c>
    </row>
    <row r="987" spans="1:19" ht="40">
      <c r="A987" s="8">
        <v>43347.887731481482</v>
      </c>
      <c r="B987" s="11" t="str">
        <f>HYPERLINK("https://twitter.com/j4luna_","@j4luna_")</f>
        <v>@j4luna_</v>
      </c>
      <c r="C987" s="6" t="s">
        <v>14184</v>
      </c>
      <c r="D987" s="5" t="s">
        <v>14183</v>
      </c>
      <c r="E987" s="9" t="str">
        <f>HYPERLINK("https://twitter.com/j4luna_/status/1037019542537601024","1037019542537601024")</f>
        <v>1037019542537601024</v>
      </c>
      <c r="F987" s="4"/>
      <c r="G987" s="4"/>
      <c r="H987" s="4"/>
      <c r="I987" s="10" t="str">
        <f>HYPERLINK("http://twitter.com/download/iphone","Twitter for iPhone")</f>
        <v>Twitter for iPhone</v>
      </c>
      <c r="J987" s="2">
        <v>1192</v>
      </c>
      <c r="K987" s="2">
        <v>1542</v>
      </c>
      <c r="L987" s="2">
        <v>3</v>
      </c>
      <c r="M987" s="2"/>
      <c r="N987" s="8">
        <v>41991.457824074074</v>
      </c>
      <c r="O987" s="4" t="s">
        <v>14182</v>
      </c>
      <c r="P987" s="3" t="s">
        <v>14181</v>
      </c>
      <c r="Q987" s="4"/>
      <c r="R987" s="4"/>
      <c r="S987" s="9" t="str">
        <f>HYPERLINK("https://pbs.twimg.com/profile_images/982713811814711296/dcZvKLQ7.jpg","View")</f>
        <v>View</v>
      </c>
    </row>
    <row r="988" spans="1:19" ht="40">
      <c r="A988" s="8">
        <v>43347.887476851851</v>
      </c>
      <c r="B988" s="11" t="str">
        <f>HYPERLINK("https://twitter.com/Eranico_com","@Eranico_com")</f>
        <v>@Eranico_com</v>
      </c>
      <c r="C988" s="6" t="s">
        <v>6113</v>
      </c>
      <c r="D988" s="5" t="s">
        <v>14180</v>
      </c>
      <c r="E988" s="9" t="str">
        <f>HYPERLINK("https://twitter.com/Eranico_com/status/1037019450959179776","1037019450959179776")</f>
        <v>1037019450959179776</v>
      </c>
      <c r="F988" s="10" t="s">
        <v>14179</v>
      </c>
      <c r="G988" s="4"/>
      <c r="H988" s="4"/>
      <c r="I988" s="10" t="str">
        <f>HYPERLINK("http://twitter.com/download/iphone","Twitter for iPhone")</f>
        <v>Twitter for iPhone</v>
      </c>
      <c r="J988" s="2">
        <v>7569</v>
      </c>
      <c r="K988" s="2">
        <v>103</v>
      </c>
      <c r="L988" s="2">
        <v>124</v>
      </c>
      <c r="M988" s="2"/>
      <c r="N988" s="8">
        <v>41771.456817129627</v>
      </c>
      <c r="O988" s="4" t="s">
        <v>894</v>
      </c>
      <c r="P988" s="3" t="s">
        <v>6110</v>
      </c>
      <c r="Q988" s="10" t="s">
        <v>6109</v>
      </c>
      <c r="R988" s="4"/>
      <c r="S988" s="9" t="str">
        <f>HYPERLINK("https://pbs.twimg.com/profile_images/932620790100647936/TOsgkBi2.jpg","View")</f>
        <v>View</v>
      </c>
    </row>
    <row r="989" spans="1:19" ht="20">
      <c r="A989" s="8">
        <v>43347.887152777781</v>
      </c>
      <c r="B989" s="11" t="str">
        <f>HYPERLINK("https://twitter.com/2wZBX5ZjIXuUUjp","@2wZBX5ZjIXuUUjp")</f>
        <v>@2wZBX5ZjIXuUUjp</v>
      </c>
      <c r="C989" s="6" t="s">
        <v>7193</v>
      </c>
      <c r="D989" s="5" t="s">
        <v>14178</v>
      </c>
      <c r="E989" s="9" t="str">
        <f>HYPERLINK("https://twitter.com/2wZBX5ZjIXuUUjp/status/1037019332126101506","1037019332126101506")</f>
        <v>1037019332126101506</v>
      </c>
      <c r="F989" s="4"/>
      <c r="G989" s="4"/>
      <c r="H989" s="4"/>
      <c r="I989" s="10" t="str">
        <f>HYPERLINK("http://twitter.com/download/android","Twitter for Android")</f>
        <v>Twitter for Android</v>
      </c>
      <c r="J989" s="2">
        <v>25</v>
      </c>
      <c r="K989" s="2">
        <v>25</v>
      </c>
      <c r="L989" s="2">
        <v>0</v>
      </c>
      <c r="M989" s="2"/>
      <c r="N989" s="8">
        <v>43329.861805555556</v>
      </c>
      <c r="O989" s="4"/>
      <c r="P989" s="3" t="s">
        <v>7190</v>
      </c>
      <c r="Q989" s="4"/>
      <c r="R989" s="4"/>
      <c r="S989" s="9" t="str">
        <f>HYPERLINK("https://pbs.twimg.com/profile_images/1030522263362318336/Bp9iLWPi.jpg","View")</f>
        <v>View</v>
      </c>
    </row>
    <row r="990" spans="1:19" ht="20">
      <c r="A990" s="8">
        <v>43347.886956018519</v>
      </c>
      <c r="B990" s="11" t="str">
        <f>HYPERLINK("https://twitter.com/bayanitwt","@bayanitwt")</f>
        <v>@bayanitwt</v>
      </c>
      <c r="C990" s="6" t="s">
        <v>14177</v>
      </c>
      <c r="D990" s="5" t="s">
        <v>14176</v>
      </c>
      <c r="E990" s="9" t="str">
        <f>HYPERLINK("https://twitter.com/bayanitwt/status/1037019261112397824","1037019261112397824")</f>
        <v>1037019261112397824</v>
      </c>
      <c r="F990" s="4"/>
      <c r="G990" s="4"/>
      <c r="H990" s="4"/>
      <c r="I990" s="10" t="str">
        <f>HYPERLINK("http://twitter.com/download/android","Twitter for Android")</f>
        <v>Twitter for Android</v>
      </c>
      <c r="J990" s="2">
        <v>708</v>
      </c>
      <c r="K990" s="2">
        <v>632</v>
      </c>
      <c r="L990" s="2">
        <v>1</v>
      </c>
      <c r="M990" s="2"/>
      <c r="N990" s="8">
        <v>40684.752291666664</v>
      </c>
      <c r="O990" s="4" t="s">
        <v>104</v>
      </c>
      <c r="P990" s="3" t="s">
        <v>14175</v>
      </c>
      <c r="Q990" s="4"/>
      <c r="R990" s="4"/>
      <c r="S990" s="9" t="str">
        <f>HYPERLINK("https://pbs.twimg.com/profile_images/1036285700742819840/gn6zUInm.jpg","View")</f>
        <v>View</v>
      </c>
    </row>
    <row r="991" spans="1:19" ht="30">
      <c r="A991" s="8">
        <v>43347.886747685188</v>
      </c>
      <c r="B991" s="11" t="str">
        <f>HYPERLINK("https://twitter.com/Tavakoli_MH","@Tavakoli_MH")</f>
        <v>@Tavakoli_MH</v>
      </c>
      <c r="C991" s="6" t="s">
        <v>14174</v>
      </c>
      <c r="D991" s="5" t="s">
        <v>14173</v>
      </c>
      <c r="E991" s="9" t="str">
        <f>HYPERLINK("https://twitter.com/Tavakoli_MH/status/1037019184188850176","1037019184188850176")</f>
        <v>1037019184188850176</v>
      </c>
      <c r="F991" s="4"/>
      <c r="G991" s="10" t="s">
        <v>14172</v>
      </c>
      <c r="H991" s="4"/>
      <c r="I991" s="10" t="str">
        <f>HYPERLINK("http://twitter.com/download/android","Twitter for Android")</f>
        <v>Twitter for Android</v>
      </c>
      <c r="J991" s="2">
        <v>460</v>
      </c>
      <c r="K991" s="2">
        <v>366</v>
      </c>
      <c r="L991" s="2">
        <v>2</v>
      </c>
      <c r="M991" s="2"/>
      <c r="N991" s="8">
        <v>42578.857291666667</v>
      </c>
      <c r="O991" s="4" t="s">
        <v>14171</v>
      </c>
      <c r="P991" s="3" t="s">
        <v>14170</v>
      </c>
      <c r="Q991" s="4"/>
      <c r="R991" s="4"/>
      <c r="S991" s="9" t="str">
        <f>HYPERLINK("https://pbs.twimg.com/profile_images/805079927322275842/5ql8DSMw.jpg","View")</f>
        <v>View</v>
      </c>
    </row>
    <row r="992" spans="1:19" ht="20">
      <c r="A992" s="8">
        <v>43347.886736111112</v>
      </c>
      <c r="B992" s="11" t="str">
        <f>HYPERLINK("https://twitter.com/S_akherbin","@S_akherbin")</f>
        <v>@S_akherbin</v>
      </c>
      <c r="C992" s="6" t="s">
        <v>14169</v>
      </c>
      <c r="D992" s="5" t="s">
        <v>14168</v>
      </c>
      <c r="E992" s="9" t="str">
        <f>HYPERLINK("https://twitter.com/S_akherbin/status/1037019183761043464","1037019183761043464")</f>
        <v>1037019183761043464</v>
      </c>
      <c r="F992" s="4"/>
      <c r="G992" s="10" t="s">
        <v>14167</v>
      </c>
      <c r="H992" s="4"/>
      <c r="I992" s="10" t="str">
        <f>HYPERLINK("http://twitter.com/download/android","Twitter for Android")</f>
        <v>Twitter for Android</v>
      </c>
      <c r="J992" s="2">
        <v>8</v>
      </c>
      <c r="K992" s="2">
        <v>21</v>
      </c>
      <c r="L992" s="2">
        <v>0</v>
      </c>
      <c r="M992" s="2"/>
      <c r="N992" s="8">
        <v>43329.49018518519</v>
      </c>
      <c r="O992" s="4"/>
      <c r="P992" s="3" t="s">
        <v>14166</v>
      </c>
      <c r="Q992" s="4"/>
      <c r="R992" s="4"/>
      <c r="S992" s="9" t="str">
        <f>HYPERLINK("https://pbs.twimg.com/profile_images/1030353781547053056/gaII85qj.jpg","View")</f>
        <v>View</v>
      </c>
    </row>
    <row r="993" spans="1:19" ht="40">
      <c r="A993" s="8">
        <v>43347.885347222225</v>
      </c>
      <c r="B993" s="11" t="str">
        <f>HYPERLINK("https://twitter.com/erfan_shaigan","@erfan_shaigan")</f>
        <v>@erfan_shaigan</v>
      </c>
      <c r="C993" s="6" t="s">
        <v>7103</v>
      </c>
      <c r="D993" s="5" t="s">
        <v>14165</v>
      </c>
      <c r="E993" s="9" t="str">
        <f>HYPERLINK("https://twitter.com/erfan_shaigan/status/1037018678192209921","1037018678192209921")</f>
        <v>1037018678192209921</v>
      </c>
      <c r="F993" s="4"/>
      <c r="G993" s="4"/>
      <c r="H993" s="4"/>
      <c r="I993" s="10" t="str">
        <f>HYPERLINK("http://twitter.com/download/android","Twitter for Android")</f>
        <v>Twitter for Android</v>
      </c>
      <c r="J993" s="2">
        <v>37</v>
      </c>
      <c r="K993" s="2">
        <v>13</v>
      </c>
      <c r="L993" s="2">
        <v>0</v>
      </c>
      <c r="M993" s="2"/>
      <c r="N993" s="8">
        <v>43125.7581712963</v>
      </c>
      <c r="O993" s="4"/>
      <c r="P993" s="3" t="s">
        <v>7100</v>
      </c>
      <c r="Q993" s="4"/>
      <c r="R993" s="4"/>
      <c r="S993" s="9" t="str">
        <f>HYPERLINK("https://pbs.twimg.com/profile_images/988174125016363010/Q-Lh3WpG.jpg","View")</f>
        <v>View</v>
      </c>
    </row>
    <row r="994" spans="1:19" ht="30">
      <c r="A994" s="8">
        <v>43347.885046296295</v>
      </c>
      <c r="B994" s="11" t="str">
        <f>HYPERLINK("https://twitter.com/teclamachenko","@teclamachenko")</f>
        <v>@teclamachenko</v>
      </c>
      <c r="C994" s="6" t="s">
        <v>3984</v>
      </c>
      <c r="D994" s="5" t="s">
        <v>14164</v>
      </c>
      <c r="E994" s="9" t="str">
        <f>HYPERLINK("https://twitter.com/teclamachenko/status/1037018567949078529","1037018567949078529")</f>
        <v>1037018567949078529</v>
      </c>
      <c r="F994" s="4"/>
      <c r="G994" s="4"/>
      <c r="H994" s="4"/>
      <c r="I994" s="10" t="str">
        <f>HYPERLINK("http://twitter.com/download/android","Twitter for Android")</f>
        <v>Twitter for Android</v>
      </c>
      <c r="J994" s="2">
        <v>3833</v>
      </c>
      <c r="K994" s="2">
        <v>978</v>
      </c>
      <c r="L994" s="2">
        <v>16</v>
      </c>
      <c r="M994" s="2"/>
      <c r="N994" s="8">
        <v>42912.16878472222</v>
      </c>
      <c r="O994" s="4" t="s">
        <v>3982</v>
      </c>
      <c r="P994" s="3" t="s">
        <v>8847</v>
      </c>
      <c r="Q994" s="4"/>
      <c r="R994" s="4"/>
      <c r="S994" s="9" t="str">
        <f>HYPERLINK("https://pbs.twimg.com/profile_images/994479360253063170/6rT51vV9.jpg","View")</f>
        <v>View</v>
      </c>
    </row>
    <row r="995" spans="1:19" ht="30">
      <c r="A995" s="8">
        <v>43347.884513888886</v>
      </c>
      <c r="B995" s="11" t="str">
        <f>HYPERLINK("https://twitter.com/zm_chalangar","@zm_chalangar")</f>
        <v>@zm_chalangar</v>
      </c>
      <c r="C995" s="6" t="s">
        <v>14163</v>
      </c>
      <c r="D995" s="5" t="s">
        <v>14162</v>
      </c>
      <c r="E995" s="9" t="str">
        <f>HYPERLINK("https://twitter.com/zm_chalangar/status/1037018375841636353","1037018375841636353")</f>
        <v>1037018375841636353</v>
      </c>
      <c r="F995" s="4"/>
      <c r="G995" s="4"/>
      <c r="H995" s="4"/>
      <c r="I995" s="10" t="str">
        <f>HYPERLINK("http://twitter.com/download/iphone","Twitter for iPhone")</f>
        <v>Twitter for iPhone</v>
      </c>
      <c r="J995" s="2">
        <v>769</v>
      </c>
      <c r="K995" s="2">
        <v>1037</v>
      </c>
      <c r="L995" s="2">
        <v>0</v>
      </c>
      <c r="M995" s="2"/>
      <c r="N995" s="8">
        <v>42997.871979166666</v>
      </c>
      <c r="O995" s="4" t="s">
        <v>17</v>
      </c>
      <c r="P995" s="3" t="s">
        <v>14161</v>
      </c>
      <c r="Q995" s="4"/>
      <c r="R995" s="4"/>
      <c r="S995" s="9" t="str">
        <f>HYPERLINK("https://pbs.twimg.com/profile_images/988603793838309378/kUE2NiLl.jpg","View")</f>
        <v>View</v>
      </c>
    </row>
    <row r="996" spans="1:19" ht="12.5">
      <c r="A996" s="8">
        <v>43347.882094907407</v>
      </c>
      <c r="B996" s="11" t="str">
        <f>HYPERLINK("https://twitter.com/Israelkilling","@Israelkilling")</f>
        <v>@Israelkilling</v>
      </c>
      <c r="C996" s="6" t="s">
        <v>14133</v>
      </c>
      <c r="D996" s="5" t="s">
        <v>14160</v>
      </c>
      <c r="E996" s="9" t="str">
        <f>HYPERLINK("https://twitter.com/Israelkilling/status/1037017499387285504","1037017499387285504")</f>
        <v>1037017499387285504</v>
      </c>
      <c r="F996" s="4"/>
      <c r="G996" s="10" t="s">
        <v>14159</v>
      </c>
      <c r="H996" s="4"/>
      <c r="I996" s="10" t="str">
        <f>HYPERLINK("http://twitter.com/download/android","Twitter for Android")</f>
        <v>Twitter for Android</v>
      </c>
      <c r="J996" s="2">
        <v>50</v>
      </c>
      <c r="K996" s="2">
        <v>43</v>
      </c>
      <c r="L996" s="2">
        <v>0</v>
      </c>
      <c r="M996" s="2"/>
      <c r="N996" s="8">
        <v>43311.97179398148</v>
      </c>
      <c r="O996" s="4" t="s">
        <v>748</v>
      </c>
      <c r="P996" s="3" t="s">
        <v>14130</v>
      </c>
      <c r="Q996" s="4"/>
      <c r="R996" s="4"/>
      <c r="S996" s="9" t="str">
        <f>HYPERLINK("https://pbs.twimg.com/profile_images/1036530893794492416/FgdkH8ju.jpg","View")</f>
        <v>View</v>
      </c>
    </row>
    <row r="997" spans="1:19" ht="30">
      <c r="A997" s="8">
        <v>43347.881585648152</v>
      </c>
      <c r="B997" s="11" t="str">
        <f>HYPERLINK("https://twitter.com/sarahastam75","@sarahastam75")</f>
        <v>@sarahastam75</v>
      </c>
      <c r="C997" s="6" t="s">
        <v>2939</v>
      </c>
      <c r="D997" s="5" t="s">
        <v>14158</v>
      </c>
      <c r="E997" s="9" t="str">
        <f>HYPERLINK("https://twitter.com/sarahastam75/status/1037017313525067777","1037017313525067777")</f>
        <v>1037017313525067777</v>
      </c>
      <c r="F997" s="4"/>
      <c r="G997" s="4"/>
      <c r="H997" s="4"/>
      <c r="I997" s="10" t="str">
        <f>HYPERLINK("http://twitter.com","Twitter Web Client")</f>
        <v>Twitter Web Client</v>
      </c>
      <c r="J997" s="2">
        <v>3146</v>
      </c>
      <c r="K997" s="2">
        <v>4072</v>
      </c>
      <c r="L997" s="2">
        <v>0</v>
      </c>
      <c r="M997" s="2"/>
      <c r="N997" s="8">
        <v>43149.075162037036</v>
      </c>
      <c r="O997" s="4" t="s">
        <v>2937</v>
      </c>
      <c r="P997" s="3" t="s">
        <v>2936</v>
      </c>
      <c r="Q997" s="4"/>
      <c r="R997" s="4"/>
      <c r="S997" s="9" t="str">
        <f>HYPERLINK("https://pbs.twimg.com/profile_images/987620349868232704/Hyp8z1AB.jpg","View")</f>
        <v>View</v>
      </c>
    </row>
    <row r="998" spans="1:19" ht="20">
      <c r="A998" s="8">
        <v>43347.881226851852</v>
      </c>
      <c r="B998" s="11" t="str">
        <f>HYPERLINK("https://twitter.com/mahnaznadi95","@mahnaznadi95")</f>
        <v>@mahnaznadi95</v>
      </c>
      <c r="C998" s="6" t="s">
        <v>14157</v>
      </c>
      <c r="D998" s="5" t="s">
        <v>14156</v>
      </c>
      <c r="E998" s="9" t="str">
        <f>HYPERLINK("https://twitter.com/mahnaznadi95/status/1037017187389792256","1037017187389792256")</f>
        <v>1037017187389792256</v>
      </c>
      <c r="F998" s="4"/>
      <c r="G998" s="10" t="s">
        <v>14155</v>
      </c>
      <c r="H998" s="4"/>
      <c r="I998" s="10" t="str">
        <f>HYPERLINK("http://twitter.com","Twitter Web Client")</f>
        <v>Twitter Web Client</v>
      </c>
      <c r="J998" s="2">
        <v>472</v>
      </c>
      <c r="K998" s="2">
        <v>171</v>
      </c>
      <c r="L998" s="2">
        <v>2</v>
      </c>
      <c r="M998" s="2"/>
      <c r="N998" s="8">
        <v>42397.680636574078</v>
      </c>
      <c r="O998" s="4"/>
      <c r="P998" s="3" t="s">
        <v>14154</v>
      </c>
      <c r="Q998" s="4"/>
      <c r="R998" s="4"/>
      <c r="S998" s="9" t="str">
        <f>HYPERLINK("https://pbs.twimg.com/profile_images/1036214918486401025/MpJV1HsS.jpg","View")</f>
        <v>View</v>
      </c>
    </row>
    <row r="999" spans="1:19" ht="20">
      <c r="A999" s="8">
        <v>43347.881041666667</v>
      </c>
      <c r="B999" s="11" t="str">
        <f>HYPERLINK("https://twitter.com/mjr_eng","@mjr_eng")</f>
        <v>@mjr_eng</v>
      </c>
      <c r="C999" s="6" t="s">
        <v>14153</v>
      </c>
      <c r="D999" s="5" t="s">
        <v>14152</v>
      </c>
      <c r="E999" s="9" t="str">
        <f>HYPERLINK("https://twitter.com/mjr_eng/status/1037017117646716928","1037017117646716928")</f>
        <v>1037017117646716928</v>
      </c>
      <c r="F999" s="4"/>
      <c r="G999" s="4"/>
      <c r="H999" s="4"/>
      <c r="I999" s="10" t="str">
        <f>HYPERLINK("http://twitter.com/download/android","Twitter for Android")</f>
        <v>Twitter for Android</v>
      </c>
      <c r="J999" s="2">
        <v>908</v>
      </c>
      <c r="K999" s="2">
        <v>995</v>
      </c>
      <c r="L999" s="2">
        <v>1</v>
      </c>
      <c r="M999" s="2"/>
      <c r="N999" s="8">
        <v>42918.520115740743</v>
      </c>
      <c r="O999" s="4" t="s">
        <v>4643</v>
      </c>
      <c r="P999" s="3" t="s">
        <v>14151</v>
      </c>
      <c r="Q999" s="4"/>
      <c r="R999" s="4"/>
      <c r="S999" s="9" t="str">
        <f>HYPERLINK("https://pbs.twimg.com/profile_images/950332830181142528/lHUrPslD.jpg","View")</f>
        <v>View</v>
      </c>
    </row>
    <row r="1000" spans="1:19" ht="20">
      <c r="A1000" s="8">
        <v>43347.880995370375</v>
      </c>
      <c r="B1000" s="11" t="str">
        <f>HYPERLINK("https://twitter.com/Sepanta65079118","@Sepanta65079118")</f>
        <v>@Sepanta65079118</v>
      </c>
      <c r="C1000" s="6" t="s">
        <v>14150</v>
      </c>
      <c r="D1000" s="5" t="s">
        <v>14149</v>
      </c>
      <c r="E1000" s="9" t="str">
        <f>HYPERLINK("https://twitter.com/Sepanta65079118/status/1037017101926576129","1037017101926576129")</f>
        <v>1037017101926576129</v>
      </c>
      <c r="F1000" s="4"/>
      <c r="G1000" s="4"/>
      <c r="H1000" s="4"/>
      <c r="I1000" s="10" t="str">
        <f>HYPERLINK("http://twitter.com/download/android","Twitter for Android")</f>
        <v>Twitter for Android</v>
      </c>
      <c r="J1000" s="2">
        <v>0</v>
      </c>
      <c r="K1000" s="2">
        <v>49</v>
      </c>
      <c r="L1000" s="2">
        <v>0</v>
      </c>
      <c r="M1000" s="2"/>
      <c r="N1000" s="8">
        <v>43093.544293981482</v>
      </c>
      <c r="O1000" s="4"/>
      <c r="P1000" s="3"/>
      <c r="Q1000" s="4"/>
      <c r="R1000" s="4"/>
      <c r="S1000" s="9" t="str">
        <f>HYPERLINK("https://pbs.twimg.com/profile_images/1032971967131987968/jQi116Dv.jpg","View")</f>
        <v>View</v>
      </c>
    </row>
    <row r="1001" spans="1:19" ht="40">
      <c r="A1001" s="8">
        <v>43347.880312499998</v>
      </c>
      <c r="B1001" s="11" t="str">
        <f>HYPERLINK("https://twitter.com/mojtaba1366622","@mojtaba1366622")</f>
        <v>@mojtaba1366622</v>
      </c>
      <c r="C1001" s="6" t="s">
        <v>13919</v>
      </c>
      <c r="D1001" s="12" t="s">
        <v>14148</v>
      </c>
      <c r="E1001" s="9" t="str">
        <f>HYPERLINK("https://twitter.com/mojtaba1366622/status/1037016854043213830","1037016854043213830")</f>
        <v>1037016854043213830</v>
      </c>
      <c r="F1001" s="4"/>
      <c r="G1001" s="10" t="s">
        <v>14147</v>
      </c>
      <c r="H1001" s="4"/>
      <c r="I1001" s="10" t="str">
        <f>HYPERLINK("http://twitter.com/download/android","Twitter for Android")</f>
        <v>Twitter for Android</v>
      </c>
      <c r="J1001" s="2">
        <v>578</v>
      </c>
      <c r="K1001" s="2">
        <v>157</v>
      </c>
      <c r="L1001" s="2">
        <v>1</v>
      </c>
      <c r="M1001" s="2"/>
      <c r="N1001" s="8">
        <v>42178.976041666669</v>
      </c>
      <c r="O1001" s="4" t="s">
        <v>13917</v>
      </c>
      <c r="P1001" s="3" t="s">
        <v>13916</v>
      </c>
      <c r="Q1001" s="4"/>
      <c r="R1001" s="4"/>
      <c r="S1001" s="9" t="str">
        <f>HYPERLINK("https://pbs.twimg.com/profile_images/1000857883079266304/qTaVQfyq.jpg","View")</f>
        <v>View</v>
      </c>
    </row>
    <row r="1002" spans="1:19" ht="30">
      <c r="A1002" s="8">
        <v>43347.88003472222</v>
      </c>
      <c r="B1002" s="11" t="str">
        <f>HYPERLINK("https://twitter.com/ARAD1368","@ARAD1368")</f>
        <v>@ARAD1368</v>
      </c>
      <c r="C1002" s="6" t="s">
        <v>11729</v>
      </c>
      <c r="D1002" s="5" t="s">
        <v>14146</v>
      </c>
      <c r="E1002" s="9" t="str">
        <f>HYPERLINK("https://twitter.com/ARAD1368/status/1037016754264784896","1037016754264784896")</f>
        <v>1037016754264784896</v>
      </c>
      <c r="F1002" s="4"/>
      <c r="G1002" s="10" t="s">
        <v>14145</v>
      </c>
      <c r="H1002" s="4"/>
      <c r="I1002" s="10" t="str">
        <f>HYPERLINK("http://twitter.com/download/android","Twitter for Android")</f>
        <v>Twitter for Android</v>
      </c>
      <c r="J1002" s="2">
        <v>181</v>
      </c>
      <c r="K1002" s="2">
        <v>657</v>
      </c>
      <c r="L1002" s="2">
        <v>1</v>
      </c>
      <c r="M1002" s="2"/>
      <c r="N1002" s="8">
        <v>42848.492581018523</v>
      </c>
      <c r="O1002" s="4" t="s">
        <v>11259</v>
      </c>
      <c r="P1002" s="3" t="s">
        <v>11727</v>
      </c>
      <c r="Q1002" s="4"/>
      <c r="R1002" s="4"/>
      <c r="S1002" s="9" t="str">
        <f>HYPERLINK("https://pbs.twimg.com/profile_images/995000717311201281/4-KvrFd5.jpg","View")</f>
        <v>View</v>
      </c>
    </row>
    <row r="1003" spans="1:19" ht="40">
      <c r="A1003" s="8">
        <v>43347.878182870365</v>
      </c>
      <c r="B1003" s="11" t="str">
        <f>HYPERLINK("https://twitter.com/mh_zaker","@mh_zaker")</f>
        <v>@mh_zaker</v>
      </c>
      <c r="C1003" s="6" t="s">
        <v>14144</v>
      </c>
      <c r="D1003" s="5" t="s">
        <v>14143</v>
      </c>
      <c r="E1003" s="9" t="str">
        <f>HYPERLINK("https://twitter.com/mh_zaker/status/1037016082261991428","1037016082261991428")</f>
        <v>1037016082261991428</v>
      </c>
      <c r="F1003" s="4"/>
      <c r="G1003" s="4"/>
      <c r="H1003" s="4"/>
      <c r="I1003" s="10" t="str">
        <f>HYPERLINK("http://twitter.com/download/android","Twitter for Android")</f>
        <v>Twitter for Android</v>
      </c>
      <c r="J1003" s="2">
        <v>1114</v>
      </c>
      <c r="K1003" s="2">
        <v>836</v>
      </c>
      <c r="L1003" s="2">
        <v>5</v>
      </c>
      <c r="M1003" s="2"/>
      <c r="N1003" s="8">
        <v>42896.077303240745</v>
      </c>
      <c r="O1003" s="4" t="s">
        <v>17</v>
      </c>
      <c r="P1003" s="3" t="s">
        <v>14142</v>
      </c>
      <c r="Q1003" s="4"/>
      <c r="R1003" s="4"/>
      <c r="S1003" s="9" t="str">
        <f>HYPERLINK("https://pbs.twimg.com/profile_images/1035247043986501632/3y7Xfa9_.jpg","View")</f>
        <v>View</v>
      </c>
    </row>
    <row r="1004" spans="1:19" ht="40">
      <c r="A1004" s="8">
        <v>43347.874490740738</v>
      </c>
      <c r="B1004" s="11" t="str">
        <f>HYPERLINK("https://twitter.com/Colonel313","@Colonel313")</f>
        <v>@Colonel313</v>
      </c>
      <c r="C1004" s="6" t="s">
        <v>14141</v>
      </c>
      <c r="D1004" s="5" t="s">
        <v>14140</v>
      </c>
      <c r="E1004" s="9" t="str">
        <f>HYPERLINK("https://twitter.com/Colonel313/status/1037014742789832704","1037014742789832704")</f>
        <v>1037014742789832704</v>
      </c>
      <c r="F1004" s="4"/>
      <c r="G1004" s="4"/>
      <c r="H1004" s="4"/>
      <c r="I1004" s="10" t="str">
        <f>HYPERLINK("https://mobile.twitter.com","Twitter Lite")</f>
        <v>Twitter Lite</v>
      </c>
      <c r="J1004" s="2">
        <v>117</v>
      </c>
      <c r="K1004" s="2">
        <v>236</v>
      </c>
      <c r="L1004" s="2">
        <v>0</v>
      </c>
      <c r="M1004" s="2"/>
      <c r="N1004" s="8">
        <v>43321.612291666665</v>
      </c>
      <c r="O1004" s="4"/>
      <c r="P1004" s="3"/>
      <c r="Q1004" s="4"/>
      <c r="R1004" s="4"/>
      <c r="S1004" s="9" t="str">
        <f>HYPERLINK("https://pbs.twimg.com/profile_images/1027944415875227648/EzNNEQ_o.jpg","View")</f>
        <v>View</v>
      </c>
    </row>
    <row r="1005" spans="1:19" ht="30">
      <c r="A1005" s="8">
        <v>43347.874027777776</v>
      </c>
      <c r="B1005" s="11" t="str">
        <f>HYPERLINK("https://twitter.com/thetwowords","@thetwowords")</f>
        <v>@thetwowords</v>
      </c>
      <c r="C1005" s="6" t="s">
        <v>7677</v>
      </c>
      <c r="D1005" s="5" t="s">
        <v>14139</v>
      </c>
      <c r="E1005" s="9" t="str">
        <f>HYPERLINK("https://twitter.com/thetwowords/status/1037014575256764416","1037014575256764416")</f>
        <v>1037014575256764416</v>
      </c>
      <c r="F1005" s="4"/>
      <c r="G1005" s="4"/>
      <c r="H1005" s="4"/>
      <c r="I1005" s="10" t="str">
        <f>HYPERLINK("http://twitter.com/download/android","Twitter for Android")</f>
        <v>Twitter for Android</v>
      </c>
      <c r="J1005" s="2">
        <v>112</v>
      </c>
      <c r="K1005" s="2">
        <v>142</v>
      </c>
      <c r="L1005" s="2">
        <v>0</v>
      </c>
      <c r="M1005" s="2"/>
      <c r="N1005" s="8">
        <v>43325.431712962964</v>
      </c>
      <c r="O1005" s="4" t="s">
        <v>34</v>
      </c>
      <c r="P1005" s="3" t="s">
        <v>7675</v>
      </c>
      <c r="Q1005" s="4"/>
      <c r="R1005" s="4"/>
      <c r="S1005" s="9" t="str">
        <f>HYPERLINK("https://pbs.twimg.com/profile_images/1028910300169478144/ziyoQPYt.jpg","View")</f>
        <v>View</v>
      </c>
    </row>
    <row r="1006" spans="1:19" ht="20">
      <c r="A1006" s="8">
        <v>43347.872835648144</v>
      </c>
      <c r="B1006" s="11" t="str">
        <f>HYPERLINK("https://twitter.com/jaheleahli","@jaheleahli")</f>
        <v>@jaheleahli</v>
      </c>
      <c r="C1006" s="6" t="s">
        <v>14138</v>
      </c>
      <c r="D1006" s="5" t="s">
        <v>14137</v>
      </c>
      <c r="E1006" s="9" t="str">
        <f>HYPERLINK("https://twitter.com/jaheleahli/status/1037014144648704000","1037014144648704000")</f>
        <v>1037014144648704000</v>
      </c>
      <c r="F1006" s="4"/>
      <c r="G1006" s="10" t="s">
        <v>14136</v>
      </c>
      <c r="H1006" s="4"/>
      <c r="I1006" s="10" t="str">
        <f>HYPERLINK("http://twitter.com/download/iphone","Twitter for iPhone")</f>
        <v>Twitter for iPhone</v>
      </c>
      <c r="J1006" s="2">
        <v>11</v>
      </c>
      <c r="K1006" s="2">
        <v>19</v>
      </c>
      <c r="L1006" s="2">
        <v>0</v>
      </c>
      <c r="M1006" s="2"/>
      <c r="N1006" s="8">
        <v>43345.028321759259</v>
      </c>
      <c r="O1006" s="4" t="s">
        <v>14135</v>
      </c>
      <c r="P1006" s="3" t="s">
        <v>14134</v>
      </c>
      <c r="Q1006" s="4"/>
      <c r="R1006" s="4"/>
      <c r="S1006" s="9" t="str">
        <f>HYPERLINK("https://pbs.twimg.com/profile_images/1035983883727241217/N4X6dwlz.jpg","View")</f>
        <v>View</v>
      </c>
    </row>
    <row r="1007" spans="1:19" ht="20">
      <c r="A1007" s="8">
        <v>43347.87190972222</v>
      </c>
      <c r="B1007" s="11" t="str">
        <f>HYPERLINK("https://twitter.com/Israelkilling","@Israelkilling")</f>
        <v>@Israelkilling</v>
      </c>
      <c r="C1007" s="6" t="s">
        <v>14133</v>
      </c>
      <c r="D1007" s="5" t="s">
        <v>14132</v>
      </c>
      <c r="E1007" s="9" t="str">
        <f>HYPERLINK("https://twitter.com/Israelkilling/status/1037013811033714690","1037013811033714690")</f>
        <v>1037013811033714690</v>
      </c>
      <c r="F1007" s="4"/>
      <c r="G1007" s="10" t="s">
        <v>14131</v>
      </c>
      <c r="H1007" s="4"/>
      <c r="I1007" s="10" t="str">
        <f>HYPERLINK("http://twitter.com/download/android","Twitter for Android")</f>
        <v>Twitter for Android</v>
      </c>
      <c r="J1007" s="2">
        <v>50</v>
      </c>
      <c r="K1007" s="2">
        <v>43</v>
      </c>
      <c r="L1007" s="2">
        <v>0</v>
      </c>
      <c r="M1007" s="2"/>
      <c r="N1007" s="8">
        <v>43311.97179398148</v>
      </c>
      <c r="O1007" s="4" t="s">
        <v>748</v>
      </c>
      <c r="P1007" s="3" t="s">
        <v>14130</v>
      </c>
      <c r="Q1007" s="4"/>
      <c r="R1007" s="4"/>
      <c r="S1007" s="9" t="str">
        <f>HYPERLINK("https://pbs.twimg.com/profile_images/1036530893794492416/FgdkH8ju.jpg","View")</f>
        <v>View</v>
      </c>
    </row>
    <row r="1008" spans="1:19" ht="20">
      <c r="A1008" s="8">
        <v>43347.870381944449</v>
      </c>
      <c r="B1008" s="11" t="str">
        <f>HYPERLINK("https://twitter.com/_sadix_96","@_sadix_96")</f>
        <v>@_sadix_96</v>
      </c>
      <c r="C1008" s="6" t="s">
        <v>14129</v>
      </c>
      <c r="D1008" s="5" t="s">
        <v>14128</v>
      </c>
      <c r="E1008" s="9" t="str">
        <f>HYPERLINK("https://twitter.com/_sadix_96/status/1037013255561142275","1037013255561142275")</f>
        <v>1037013255561142275</v>
      </c>
      <c r="F1008" s="4"/>
      <c r="G1008" s="4"/>
      <c r="H1008" s="4"/>
      <c r="I1008" s="10" t="str">
        <f>HYPERLINK("http://twitter.com/download/android","Twitter for Android")</f>
        <v>Twitter for Android</v>
      </c>
      <c r="J1008" s="2">
        <v>2224</v>
      </c>
      <c r="K1008" s="2">
        <v>606</v>
      </c>
      <c r="L1008" s="2">
        <v>13</v>
      </c>
      <c r="M1008" s="2"/>
      <c r="N1008" s="8">
        <v>41312.764444444445</v>
      </c>
      <c r="O1008" s="4" t="s">
        <v>12848</v>
      </c>
      <c r="P1008" s="3" t="s">
        <v>14127</v>
      </c>
      <c r="Q1008" s="10" t="s">
        <v>14126</v>
      </c>
      <c r="R1008" s="4"/>
      <c r="S1008" s="9" t="str">
        <f>HYPERLINK("https://pbs.twimg.com/profile_images/1031480466723856384/sCJvnWJf.jpg","View")</f>
        <v>View</v>
      </c>
    </row>
    <row r="1009" spans="1:19" ht="20">
      <c r="A1009" s="8">
        <v>43347.868298611109</v>
      </c>
      <c r="B1009" s="11" t="str">
        <f>HYPERLINK("https://twitter.com/baran2z","@baran2z")</f>
        <v>@baran2z</v>
      </c>
      <c r="C1009" s="6" t="s">
        <v>1398</v>
      </c>
      <c r="D1009" s="5" t="s">
        <v>14125</v>
      </c>
      <c r="E1009" s="9" t="str">
        <f>HYPERLINK("https://twitter.com/baran2z/status/1037012500045123585","1037012500045123585")</f>
        <v>1037012500045123585</v>
      </c>
      <c r="F1009" s="4"/>
      <c r="G1009" s="4"/>
      <c r="H1009" s="4"/>
      <c r="I1009" s="10" t="str">
        <f>HYPERLINK("http://twitter.com","Twitter Web Client")</f>
        <v>Twitter Web Client</v>
      </c>
      <c r="J1009" s="2">
        <v>335</v>
      </c>
      <c r="K1009" s="2">
        <v>426</v>
      </c>
      <c r="L1009" s="2">
        <v>0</v>
      </c>
      <c r="M1009" s="2"/>
      <c r="N1009" s="8">
        <v>42030.673206018517</v>
      </c>
      <c r="O1009" s="4"/>
      <c r="P1009" s="3" t="s">
        <v>1396</v>
      </c>
      <c r="Q1009" s="4"/>
      <c r="R1009" s="4"/>
      <c r="S1009" s="9" t="str">
        <f>HYPERLINK("https://pbs.twimg.com/profile_images/1013346496715132928/lehM4YVI.jpg","View")</f>
        <v>View</v>
      </c>
    </row>
    <row r="1010" spans="1:19" ht="20">
      <c r="A1010" s="8">
        <v>43347.867523148147</v>
      </c>
      <c r="B1010" s="11" t="str">
        <f>HYPERLINK("https://twitter.com/GolRookh","@GolRookh")</f>
        <v>@GolRookh</v>
      </c>
      <c r="C1010" s="6" t="s">
        <v>13957</v>
      </c>
      <c r="D1010" s="5" t="s">
        <v>14124</v>
      </c>
      <c r="E1010" s="9" t="str">
        <f>HYPERLINK("https://twitter.com/GolRookh/status/1037012221329657862","1037012221329657862")</f>
        <v>1037012221329657862</v>
      </c>
      <c r="F1010" s="4"/>
      <c r="G1010" s="4"/>
      <c r="H1010" s="4"/>
      <c r="I1010" s="10" t="str">
        <f>HYPERLINK("http://twitter.com/download/iphone","Twitter for iPhone")</f>
        <v>Twitter for iPhone</v>
      </c>
      <c r="J1010" s="2">
        <v>8</v>
      </c>
      <c r="K1010" s="2">
        <v>75</v>
      </c>
      <c r="L1010" s="2">
        <v>0</v>
      </c>
      <c r="M1010" s="2"/>
      <c r="N1010" s="8">
        <v>43047.762835648144</v>
      </c>
      <c r="O1010" s="4" t="s">
        <v>13955</v>
      </c>
      <c r="P1010" s="3"/>
      <c r="Q1010" s="4"/>
      <c r="R1010" s="4"/>
      <c r="S1010" s="9" t="str">
        <f>HYPERLINK("https://pbs.twimg.com/profile_images/945686245237252098/f6uSfc1r.jpg","View")</f>
        <v>View</v>
      </c>
    </row>
    <row r="1011" spans="1:19" ht="20">
      <c r="A1011" s="8">
        <v>43347.867013888885</v>
      </c>
      <c r="B1011" s="11" t="str">
        <f>HYPERLINK("https://twitter.com/hassansafarika","@hassansafarika")</f>
        <v>@hassansafarika</v>
      </c>
      <c r="C1011" s="6" t="s">
        <v>7160</v>
      </c>
      <c r="D1011" s="5" t="s">
        <v>14123</v>
      </c>
      <c r="E1011" s="9" t="str">
        <f>HYPERLINK("https://twitter.com/hassansafarika/status/1037012032875245569","1037012032875245569")</f>
        <v>1037012032875245569</v>
      </c>
      <c r="F1011" s="4"/>
      <c r="G1011" s="4"/>
      <c r="H1011" s="4"/>
      <c r="I1011" s="10" t="str">
        <f>HYPERLINK("http://twitter.com/download/android","Twitter for Android")</f>
        <v>Twitter for Android</v>
      </c>
      <c r="J1011" s="2">
        <v>1175</v>
      </c>
      <c r="K1011" s="2">
        <v>2253</v>
      </c>
      <c r="L1011" s="2">
        <v>3</v>
      </c>
      <c r="M1011" s="2"/>
      <c r="N1011" s="8">
        <v>43135.556874999995</v>
      </c>
      <c r="O1011" s="4" t="s">
        <v>17</v>
      </c>
      <c r="P1011" s="3" t="s">
        <v>7158</v>
      </c>
      <c r="Q1011" s="4"/>
      <c r="R1011" s="4"/>
      <c r="S1011" s="9" t="str">
        <f>HYPERLINK("https://pbs.twimg.com/profile_images/1009028943242985472/Rm6iR6ZA.jpg","View")</f>
        <v>View</v>
      </c>
    </row>
    <row r="1012" spans="1:19" ht="20">
      <c r="A1012" s="8">
        <v>43347.866354166668</v>
      </c>
      <c r="B1012" s="11" t="str">
        <f>HYPERLINK("https://twitter.com/AJaafari1","@AJaafari1")</f>
        <v>@AJaafari1</v>
      </c>
      <c r="C1012" s="6" t="s">
        <v>1910</v>
      </c>
      <c r="D1012" s="5" t="s">
        <v>14122</v>
      </c>
      <c r="E1012" s="9" t="str">
        <f>HYPERLINK("https://twitter.com/AJaafari1/status/1037011795939082240","1037011795939082240")</f>
        <v>1037011795939082240</v>
      </c>
      <c r="F1012" s="4"/>
      <c r="G1012" s="4"/>
      <c r="H1012" s="4"/>
      <c r="I1012" s="10" t="str">
        <f>HYPERLINK("http://twitter.com/download/android","Twitter for Android")</f>
        <v>Twitter for Android</v>
      </c>
      <c r="J1012" s="2">
        <v>3957</v>
      </c>
      <c r="K1012" s="2">
        <v>3289</v>
      </c>
      <c r="L1012" s="2">
        <v>1</v>
      </c>
      <c r="M1012" s="2"/>
      <c r="N1012" s="8">
        <v>43221.61555555556</v>
      </c>
      <c r="O1012" s="4" t="s">
        <v>324</v>
      </c>
      <c r="P1012" s="3" t="s">
        <v>14121</v>
      </c>
      <c r="Q1012" s="4"/>
      <c r="R1012" s="4"/>
      <c r="S1012" s="9" t="str">
        <f>HYPERLINK("https://pbs.twimg.com/profile_images/991419608698638336/bnEA1XnM.jpg","View")</f>
        <v>View</v>
      </c>
    </row>
    <row r="1013" spans="1:19" ht="40">
      <c r="A1013" s="8">
        <v>43347.863125000003</v>
      </c>
      <c r="B1013" s="11" t="str">
        <f>HYPERLINK("https://twitter.com/iRezaFeizi","@iRezaFeizi")</f>
        <v>@iRezaFeizi</v>
      </c>
      <c r="C1013" s="6" t="s">
        <v>7544</v>
      </c>
      <c r="D1013" s="5" t="s">
        <v>14120</v>
      </c>
      <c r="E1013" s="9" t="str">
        <f>HYPERLINK("https://twitter.com/iRezaFeizi/status/1037010623593414656","1037010623593414656")</f>
        <v>1037010623593414656</v>
      </c>
      <c r="F1013" s="4"/>
      <c r="G1013" s="4"/>
      <c r="H1013" s="4"/>
      <c r="I1013" s="10" t="str">
        <f>HYPERLINK("http://twitter.com/download/iphone","Twitter for iPhone")</f>
        <v>Twitter for iPhone</v>
      </c>
      <c r="J1013" s="2">
        <v>3043</v>
      </c>
      <c r="K1013" s="2">
        <v>1977</v>
      </c>
      <c r="L1013" s="2">
        <v>3</v>
      </c>
      <c r="M1013" s="2"/>
      <c r="N1013" s="8">
        <v>42753.867986111116</v>
      </c>
      <c r="O1013" s="4"/>
      <c r="P1013" s="3" t="s">
        <v>7542</v>
      </c>
      <c r="Q1013" s="10" t="s">
        <v>7541</v>
      </c>
      <c r="R1013" s="4"/>
      <c r="S1013" s="9" t="str">
        <f>HYPERLINK("https://pbs.twimg.com/profile_images/960444516728737792/Pxw_6gIA.jpg","View")</f>
        <v>View</v>
      </c>
    </row>
    <row r="1014" spans="1:19" ht="40">
      <c r="A1014" s="8">
        <v>43347.862175925926</v>
      </c>
      <c r="B1014" s="11" t="str">
        <f>HYPERLINK("https://twitter.com/habib_mazaher","@habib_mazaher")</f>
        <v>@habib_mazaher</v>
      </c>
      <c r="C1014" s="6" t="s">
        <v>14119</v>
      </c>
      <c r="D1014" s="5" t="s">
        <v>14118</v>
      </c>
      <c r="E1014" s="9" t="str">
        <f>HYPERLINK("https://twitter.com/habib_mazaher/status/1037010282105761798","1037010282105761798")</f>
        <v>1037010282105761798</v>
      </c>
      <c r="F1014" s="4"/>
      <c r="G1014" s="10" t="s">
        <v>14117</v>
      </c>
      <c r="H1014" s="4"/>
      <c r="I1014" s="10" t="str">
        <f>HYPERLINK("http://twitter.com/download/android","Twitter for Android")</f>
        <v>Twitter for Android</v>
      </c>
      <c r="J1014" s="2">
        <v>1271</v>
      </c>
      <c r="K1014" s="2">
        <v>390</v>
      </c>
      <c r="L1014" s="2">
        <v>1</v>
      </c>
      <c r="M1014" s="2"/>
      <c r="N1014" s="8">
        <v>42740.992974537032</v>
      </c>
      <c r="O1014" s="4" t="s">
        <v>17</v>
      </c>
      <c r="P1014" s="3" t="s">
        <v>14116</v>
      </c>
      <c r="Q1014" s="4"/>
      <c r="R1014" s="4"/>
      <c r="S1014" s="9" t="str">
        <f>HYPERLINK("https://pbs.twimg.com/profile_images/1032566752507568128/DKklUBdX.jpg","View")</f>
        <v>View</v>
      </c>
    </row>
    <row r="1015" spans="1:19" ht="20">
      <c r="A1015" s="8">
        <v>43347.862071759257</v>
      </c>
      <c r="B1015" s="11" t="str">
        <f>HYPERLINK("https://twitter.com/heydare1365","@heydare1365")</f>
        <v>@heydare1365</v>
      </c>
      <c r="C1015" s="6" t="s">
        <v>14115</v>
      </c>
      <c r="D1015" s="5" t="s">
        <v>14114</v>
      </c>
      <c r="E1015" s="9" t="str">
        <f>HYPERLINK("https://twitter.com/heydare1365/status/1037010243765592069","1037010243765592069")</f>
        <v>1037010243765592069</v>
      </c>
      <c r="F1015" s="4"/>
      <c r="G1015" s="10" t="s">
        <v>14113</v>
      </c>
      <c r="H1015" s="4"/>
      <c r="I1015" s="10" t="str">
        <f>HYPERLINK("http://twitter.com/download/android","Twitter for Android")</f>
        <v>Twitter for Android</v>
      </c>
      <c r="J1015" s="2">
        <v>16</v>
      </c>
      <c r="K1015" s="2">
        <v>25</v>
      </c>
      <c r="L1015" s="2">
        <v>0</v>
      </c>
      <c r="M1015" s="2"/>
      <c r="N1015" s="8">
        <v>42745.483425925922</v>
      </c>
      <c r="O1015" s="4"/>
      <c r="P1015" s="3"/>
      <c r="Q1015" s="4"/>
      <c r="R1015" s="4"/>
      <c r="S1015" s="9" t="str">
        <f>HYPERLINK("https://pbs.twimg.com/profile_images/1036478761460486144/F26RlZcK.jpg","View")</f>
        <v>View</v>
      </c>
    </row>
    <row r="1016" spans="1:19" ht="40">
      <c r="A1016" s="8">
        <v>43347.861724537041</v>
      </c>
      <c r="B1016" s="11" t="str">
        <f>HYPERLINK("https://twitter.com/javanane_irani","@javanane_irani")</f>
        <v>@javanane_irani</v>
      </c>
      <c r="C1016" s="6" t="s">
        <v>2173</v>
      </c>
      <c r="D1016" s="5" t="s">
        <v>14112</v>
      </c>
      <c r="E1016" s="9" t="str">
        <f>HYPERLINK("https://twitter.com/javanane_irani/status/1037010118230114305","1037010118230114305")</f>
        <v>1037010118230114305</v>
      </c>
      <c r="F1016" s="4"/>
      <c r="G1016" s="4"/>
      <c r="H1016" s="4"/>
      <c r="I1016" s="10" t="str">
        <f>HYPERLINK("http://twitter.com","Twitter Web Client")</f>
        <v>Twitter Web Client</v>
      </c>
      <c r="J1016" s="2">
        <v>6591</v>
      </c>
      <c r="K1016" s="2">
        <v>7235</v>
      </c>
      <c r="L1016" s="2">
        <v>4</v>
      </c>
      <c r="M1016" s="2"/>
      <c r="N1016" s="8">
        <v>43134.614490740743</v>
      </c>
      <c r="O1016" s="4" t="s">
        <v>104</v>
      </c>
      <c r="P1016" s="3" t="s">
        <v>2171</v>
      </c>
      <c r="Q1016" s="4"/>
      <c r="R1016" s="4"/>
      <c r="S1016" s="9" t="str">
        <f>HYPERLINK("https://pbs.twimg.com/profile_images/975343201245523973/K32OCytB.jpg","View")</f>
        <v>View</v>
      </c>
    </row>
    <row r="1017" spans="1:19" ht="60">
      <c r="A1017" s="8">
        <v>43347.861585648148</v>
      </c>
      <c r="B1017" s="11" t="str">
        <f>HYPERLINK("https://twitter.com/Hamidnorouzii","@Hamidnorouzii")</f>
        <v>@Hamidnorouzii</v>
      </c>
      <c r="C1017" s="6" t="s">
        <v>14111</v>
      </c>
      <c r="D1017" s="5" t="s">
        <v>14110</v>
      </c>
      <c r="E1017" s="9" t="str">
        <f>HYPERLINK("https://twitter.com/Hamidnorouzii/status/1037010067156082689","1037010067156082689")</f>
        <v>1037010067156082689</v>
      </c>
      <c r="F1017" s="4" t="s">
        <v>14109</v>
      </c>
      <c r="G1017" s="4"/>
      <c r="H1017" s="4"/>
      <c r="I1017" s="10" t="str">
        <f>HYPERLINK("http://twitter.com/download/android","Twitter for Android")</f>
        <v>Twitter for Android</v>
      </c>
      <c r="J1017" s="2">
        <v>75</v>
      </c>
      <c r="K1017" s="2">
        <v>98</v>
      </c>
      <c r="L1017" s="2">
        <v>0</v>
      </c>
      <c r="M1017" s="2"/>
      <c r="N1017" s="8">
        <v>43255.671550925923</v>
      </c>
      <c r="O1017" s="4"/>
      <c r="P1017" s="3" t="s">
        <v>14108</v>
      </c>
      <c r="Q1017" s="4"/>
      <c r="R1017" s="4"/>
      <c r="S1017" s="9" t="str">
        <f>HYPERLINK("https://pbs.twimg.com/profile_images/1013092493875908608/8pWg5Dg9.jpg","View")</f>
        <v>View</v>
      </c>
    </row>
    <row r="1018" spans="1:19" ht="20">
      <c r="A1018" s="8">
        <v>43347.861458333333</v>
      </c>
      <c r="B1018" s="11" t="str">
        <f>HYPERLINK("https://twitter.com/2wZBX5ZjIXuUUjp","@2wZBX5ZjIXuUUjp")</f>
        <v>@2wZBX5ZjIXuUUjp</v>
      </c>
      <c r="C1018" s="6" t="s">
        <v>7193</v>
      </c>
      <c r="D1018" s="5" t="s">
        <v>14107</v>
      </c>
      <c r="E1018" s="9" t="str">
        <f>HYPERLINK("https://twitter.com/2wZBX5ZjIXuUUjp/status/1037010020808962048","1037010020808962048")</f>
        <v>1037010020808962048</v>
      </c>
      <c r="F1018" s="4"/>
      <c r="G1018" s="4"/>
      <c r="H1018" s="4"/>
      <c r="I1018" s="10" t="str">
        <f>HYPERLINK("http://twitter.com/download/android","Twitter for Android")</f>
        <v>Twitter for Android</v>
      </c>
      <c r="J1018" s="2">
        <v>25</v>
      </c>
      <c r="K1018" s="2">
        <v>25</v>
      </c>
      <c r="L1018" s="2">
        <v>0</v>
      </c>
      <c r="M1018" s="2"/>
      <c r="N1018" s="8">
        <v>43329.861805555556</v>
      </c>
      <c r="O1018" s="4"/>
      <c r="P1018" s="3" t="s">
        <v>7190</v>
      </c>
      <c r="Q1018" s="4"/>
      <c r="R1018" s="4"/>
      <c r="S1018" s="9" t="str">
        <f>HYPERLINK("https://pbs.twimg.com/profile_images/1030522263362318336/Bp9iLWPi.jpg","View")</f>
        <v>View</v>
      </c>
    </row>
    <row r="1019" spans="1:19" ht="30">
      <c r="A1019" s="8">
        <v>43347.861168981486</v>
      </c>
      <c r="B1019" s="11" t="str">
        <f>HYPERLINK("https://twitter.com/capitan_reza92","@capitan_reza92")</f>
        <v>@capitan_reza92</v>
      </c>
      <c r="C1019" s="6" t="s">
        <v>14106</v>
      </c>
      <c r="D1019" s="5" t="s">
        <v>14105</v>
      </c>
      <c r="E1019" s="9" t="str">
        <f>HYPERLINK("https://twitter.com/capitan_reza92/status/1037009918677659648","1037009918677659648")</f>
        <v>1037009918677659648</v>
      </c>
      <c r="F1019" s="4"/>
      <c r="G1019" s="4"/>
      <c r="H1019" s="4"/>
      <c r="I1019" s="10" t="str">
        <f>HYPERLINK("http://twitter.com","Twitter Web Client")</f>
        <v>Twitter Web Client</v>
      </c>
      <c r="J1019" s="2">
        <v>163</v>
      </c>
      <c r="K1019" s="2">
        <v>219</v>
      </c>
      <c r="L1019" s="2">
        <v>0</v>
      </c>
      <c r="M1019" s="2"/>
      <c r="N1019" s="8">
        <v>42998.432905092588</v>
      </c>
      <c r="O1019" s="4" t="s">
        <v>14104</v>
      </c>
      <c r="P1019" s="3" t="s">
        <v>14103</v>
      </c>
      <c r="Q1019" s="4"/>
      <c r="R1019" s="4"/>
      <c r="S1019" s="9" t="str">
        <f>HYPERLINK("https://pbs.twimg.com/profile_images/1029679952176840706/HY7rXwQl.jpg","View")</f>
        <v>View</v>
      </c>
    </row>
    <row r="1020" spans="1:19" ht="30">
      <c r="A1020" s="8">
        <v>43347.859050925923</v>
      </c>
      <c r="B1020" s="11" t="str">
        <f>HYPERLINK("https://twitter.com/amir_i_ho","@amir_i_ho")</f>
        <v>@amir_i_ho</v>
      </c>
      <c r="C1020" s="6" t="s">
        <v>12566</v>
      </c>
      <c r="D1020" s="5" t="s">
        <v>14102</v>
      </c>
      <c r="E1020" s="9" t="str">
        <f>HYPERLINK("https://twitter.com/amir_i_ho/status/1037009148054052865","1037009148054052865")</f>
        <v>1037009148054052865</v>
      </c>
      <c r="F1020" s="4"/>
      <c r="G1020" s="4"/>
      <c r="H1020" s="4"/>
      <c r="I1020" s="10" t="str">
        <f>HYPERLINK("http://twitter.com/download/android","Twitter for Android")</f>
        <v>Twitter for Android</v>
      </c>
      <c r="J1020" s="2">
        <v>1521</v>
      </c>
      <c r="K1020" s="2">
        <v>1570</v>
      </c>
      <c r="L1020" s="2">
        <v>1</v>
      </c>
      <c r="M1020" s="2"/>
      <c r="N1020" s="8">
        <v>42743.896469907406</v>
      </c>
      <c r="O1020" s="4"/>
      <c r="P1020" s="3" t="s">
        <v>12564</v>
      </c>
      <c r="Q1020" s="4"/>
      <c r="R1020" s="4"/>
      <c r="S1020" s="9" t="str">
        <f>HYPERLINK("https://pbs.twimg.com/profile_images/979423645176094720/jtW2l58I.jpg","View")</f>
        <v>View</v>
      </c>
    </row>
    <row r="1021" spans="1:19" ht="30">
      <c r="A1021" s="8">
        <v>43347.858761574069</v>
      </c>
      <c r="B1021" s="11" t="str">
        <f>HYPERLINK("https://twitter.com/maarjann","@maarjann")</f>
        <v>@maarjann</v>
      </c>
      <c r="C1021" s="6" t="s">
        <v>14101</v>
      </c>
      <c r="D1021" s="5" t="s">
        <v>14100</v>
      </c>
      <c r="E1021" s="9" t="str">
        <f>HYPERLINK("https://twitter.com/maarjann/status/1037009044274331649","1037009044274331649")</f>
        <v>1037009044274331649</v>
      </c>
      <c r="F1021" s="4"/>
      <c r="G1021" s="4"/>
      <c r="H1021" s="4"/>
      <c r="I1021" s="10" t="str">
        <f>HYPERLINK("http://twitter.com/download/iphone","Twitter for iPhone")</f>
        <v>Twitter for iPhone</v>
      </c>
      <c r="J1021" s="2">
        <v>552</v>
      </c>
      <c r="K1021" s="2">
        <v>419</v>
      </c>
      <c r="L1021" s="2">
        <v>2</v>
      </c>
      <c r="M1021" s="2"/>
      <c r="N1021" s="8">
        <v>43115.413275462968</v>
      </c>
      <c r="O1021" s="4" t="s">
        <v>133</v>
      </c>
      <c r="P1021" s="3" t="s">
        <v>14099</v>
      </c>
      <c r="Q1021" s="4"/>
      <c r="R1021" s="4"/>
      <c r="S1021" s="9" t="str">
        <f>HYPERLINK("https://pbs.twimg.com/profile_images/1036572546932588544/TN_IFBG0.jpg","View")</f>
        <v>View</v>
      </c>
    </row>
    <row r="1022" spans="1:19" ht="40">
      <c r="A1022" s="8">
        <v>43347.858090277776</v>
      </c>
      <c r="B1022" s="11" t="str">
        <f>HYPERLINK("https://twitter.com/sepidedam313","@sepidedam313")</f>
        <v>@sepidedam313</v>
      </c>
      <c r="C1022" s="6" t="s">
        <v>553</v>
      </c>
      <c r="D1022" s="5" t="s">
        <v>14098</v>
      </c>
      <c r="E1022" s="9" t="str">
        <f>HYPERLINK("https://twitter.com/sepidedam313/status/1037008799729561600","1037008799729561600")</f>
        <v>1037008799729561600</v>
      </c>
      <c r="F1022" s="4"/>
      <c r="G1022" s="4"/>
      <c r="H1022" s="4"/>
      <c r="I1022" s="10" t="str">
        <f>HYPERLINK("http://twitter.com/download/android","Twitter for Android")</f>
        <v>Twitter for Android</v>
      </c>
      <c r="J1022" s="2">
        <v>61</v>
      </c>
      <c r="K1022" s="2">
        <v>66</v>
      </c>
      <c r="L1022" s="2">
        <v>1</v>
      </c>
      <c r="M1022" s="2"/>
      <c r="N1022" s="8">
        <v>43316.855891203704</v>
      </c>
      <c r="O1022" s="4"/>
      <c r="P1022" s="3" t="s">
        <v>551</v>
      </c>
      <c r="Q1022" s="4"/>
      <c r="R1022" s="4"/>
      <c r="S1022" s="9" t="str">
        <f>HYPERLINK("https://pbs.twimg.com/profile_images/1033403165310414848/LWb8EJ4v.jpg","View")</f>
        <v>View</v>
      </c>
    </row>
    <row r="1023" spans="1:19" ht="30">
      <c r="A1023" s="8">
        <v>43347.85774305556</v>
      </c>
      <c r="B1023" s="11" t="str">
        <f>HYPERLINK("https://twitter.com/ata_motiei","@ata_motiei")</f>
        <v>@ata_motiei</v>
      </c>
      <c r="C1023" s="6" t="s">
        <v>87</v>
      </c>
      <c r="D1023" s="5" t="s">
        <v>14097</v>
      </c>
      <c r="E1023" s="9" t="str">
        <f>HYPERLINK("https://twitter.com/ata_motiei/status/1037008674324205572","1037008674324205572")</f>
        <v>1037008674324205572</v>
      </c>
      <c r="F1023" s="4"/>
      <c r="G1023" s="4"/>
      <c r="H1023" s="4"/>
      <c r="I1023" s="10" t="str">
        <f>HYPERLINK("http://twitter.com/download/android","Twitter for Android")</f>
        <v>Twitter for Android</v>
      </c>
      <c r="J1023" s="2">
        <v>1210</v>
      </c>
      <c r="K1023" s="2">
        <v>1130</v>
      </c>
      <c r="L1023" s="2">
        <v>4</v>
      </c>
      <c r="M1023" s="2"/>
      <c r="N1023" s="8">
        <v>41106.805983796294</v>
      </c>
      <c r="O1023" s="4" t="s">
        <v>85</v>
      </c>
      <c r="P1023" s="3" t="s">
        <v>84</v>
      </c>
      <c r="Q1023" s="4"/>
      <c r="R1023" s="4"/>
      <c r="S1023" s="9" t="str">
        <f>HYPERLINK("https://pbs.twimg.com/profile_images/985488778021277696/IlVkVdic.jpg","View")</f>
        <v>View</v>
      </c>
    </row>
    <row r="1024" spans="1:19" ht="80">
      <c r="A1024" s="8">
        <v>43347.856516203705</v>
      </c>
      <c r="B1024" s="11" t="str">
        <f>HYPERLINK("https://twitter.com/ehsan_cheraghi","@ehsan_cheraghi")</f>
        <v>@ehsan_cheraghi</v>
      </c>
      <c r="C1024" s="6" t="s">
        <v>13342</v>
      </c>
      <c r="D1024" s="5" t="s">
        <v>14096</v>
      </c>
      <c r="E1024" s="9" t="str">
        <f>HYPERLINK("https://twitter.com/ehsan_cheraghi/status/1037008228700352512","1037008228700352512")</f>
        <v>1037008228700352512</v>
      </c>
      <c r="F1024" s="10" t="s">
        <v>14095</v>
      </c>
      <c r="G1024" s="4"/>
      <c r="H1024" s="4"/>
      <c r="I1024" s="10" t="str">
        <f>HYPERLINK("http://twitter.com/download/android","Twitter for Android")</f>
        <v>Twitter for Android</v>
      </c>
      <c r="J1024" s="2">
        <v>366</v>
      </c>
      <c r="K1024" s="2">
        <v>351</v>
      </c>
      <c r="L1024" s="2">
        <v>0</v>
      </c>
      <c r="M1024" s="2"/>
      <c r="N1024" s="8">
        <v>41306.649108796293</v>
      </c>
      <c r="O1024" s="4"/>
      <c r="P1024" s="3" t="s">
        <v>14094</v>
      </c>
      <c r="Q1024" s="4"/>
      <c r="R1024" s="4"/>
      <c r="S1024" s="9" t="str">
        <f>HYPERLINK("https://pbs.twimg.com/profile_images/1011668002532622339/OSoaz6fi.jpg","View")</f>
        <v>View</v>
      </c>
    </row>
    <row r="1025" spans="1:19" ht="20">
      <c r="A1025" s="8">
        <v>43347.856435185182</v>
      </c>
      <c r="B1025" s="11" t="str">
        <f>HYPERLINK("https://twitter.com/A_Kh1001","@A_Kh1001")</f>
        <v>@A_Kh1001</v>
      </c>
      <c r="C1025" s="6" t="s">
        <v>14093</v>
      </c>
      <c r="D1025" s="5" t="s">
        <v>14092</v>
      </c>
      <c r="E1025" s="9" t="str">
        <f>HYPERLINK("https://twitter.com/A_Kh1001/status/1037008202884374529","1037008202884374529")</f>
        <v>1037008202884374529</v>
      </c>
      <c r="F1025" s="4"/>
      <c r="G1025" s="4"/>
      <c r="H1025" s="4"/>
      <c r="I1025" s="10" t="str">
        <f>HYPERLINK("http://twitter.com","Twitter Web Client")</f>
        <v>Twitter Web Client</v>
      </c>
      <c r="J1025" s="2">
        <v>109</v>
      </c>
      <c r="K1025" s="2">
        <v>142</v>
      </c>
      <c r="L1025" s="2">
        <v>0</v>
      </c>
      <c r="M1025" s="2"/>
      <c r="N1025" s="8">
        <v>41966.720289351855</v>
      </c>
      <c r="O1025" s="4" t="s">
        <v>14091</v>
      </c>
      <c r="P1025" s="3" t="s">
        <v>14090</v>
      </c>
      <c r="Q1025" s="4"/>
      <c r="R1025" s="4"/>
      <c r="S1025" s="9" t="str">
        <f>HYPERLINK("https://pbs.twimg.com/profile_images/1024769461109182464/e43QVjzh.jpg","View")</f>
        <v>View</v>
      </c>
    </row>
    <row r="1026" spans="1:19" ht="20">
      <c r="A1026" s="8">
        <v>43347.856412037036</v>
      </c>
      <c r="B1026" s="11" t="str">
        <f>HYPERLINK("https://twitter.com/SSoshun","@SSoshun")</f>
        <v>@SSoshun</v>
      </c>
      <c r="C1026" s="6" t="s">
        <v>14089</v>
      </c>
      <c r="D1026" s="5" t="s">
        <v>14088</v>
      </c>
      <c r="E1026" s="9" t="str">
        <f>HYPERLINK("https://twitter.com/SSoshun/status/1037008193581445120","1037008193581445120")</f>
        <v>1037008193581445120</v>
      </c>
      <c r="F1026" s="4"/>
      <c r="G1026" s="4"/>
      <c r="H1026" s="4"/>
      <c r="I1026" s="10" t="str">
        <f>HYPERLINK("http://twitter.com/download/iphone","Twitter for iPhone")</f>
        <v>Twitter for iPhone</v>
      </c>
      <c r="J1026" s="2">
        <v>3</v>
      </c>
      <c r="K1026" s="2">
        <v>6</v>
      </c>
      <c r="L1026" s="2">
        <v>0</v>
      </c>
      <c r="M1026" s="2"/>
      <c r="N1026" s="8">
        <v>43342.803912037038</v>
      </c>
      <c r="O1026" s="4"/>
      <c r="P1026" s="3"/>
      <c r="Q1026" s="4"/>
      <c r="R1026" s="4"/>
      <c r="S1026" s="9" t="str">
        <f>HYPERLINK("https://pbs.twimg.com/profile_images/1037008337727094785/D3zMQycx.jpg","View")</f>
        <v>View</v>
      </c>
    </row>
    <row r="1027" spans="1:19" ht="40">
      <c r="A1027" s="8">
        <v>43347.856180555551</v>
      </c>
      <c r="B1027" s="11" t="str">
        <f>HYPERLINK("https://twitter.com/pasdariranshahr","@pasdariranshahr")</f>
        <v>@pasdariranshahr</v>
      </c>
      <c r="C1027" s="6" t="s">
        <v>3574</v>
      </c>
      <c r="D1027" s="5" t="s">
        <v>14087</v>
      </c>
      <c r="E1027" s="9" t="str">
        <f>HYPERLINK("https://twitter.com/pasdariranshahr/status/1037008109506621442","1037008109506621442")</f>
        <v>1037008109506621442</v>
      </c>
      <c r="F1027" s="4"/>
      <c r="G1027" s="10" t="s">
        <v>14086</v>
      </c>
      <c r="H1027" s="4"/>
      <c r="I1027" s="10" t="str">
        <f>HYPERLINK("http://twitter.com/download/android","Twitter for Android")</f>
        <v>Twitter for Android</v>
      </c>
      <c r="J1027" s="2">
        <v>42</v>
      </c>
      <c r="K1027" s="2">
        <v>10</v>
      </c>
      <c r="L1027" s="2">
        <v>2</v>
      </c>
      <c r="M1027" s="2"/>
      <c r="N1027" s="8">
        <v>42574.885347222225</v>
      </c>
      <c r="O1027" s="4" t="s">
        <v>25</v>
      </c>
      <c r="P1027" s="3" t="s">
        <v>3571</v>
      </c>
      <c r="Q1027" s="4"/>
      <c r="R1027" s="4"/>
      <c r="S1027" s="9" t="str">
        <f>HYPERLINK("https://pbs.twimg.com/profile_images/974545942090141696/nli9_hon.jpg","View")</f>
        <v>View</v>
      </c>
    </row>
    <row r="1028" spans="1:19" ht="20">
      <c r="A1028" s="8">
        <v>43347.856076388889</v>
      </c>
      <c r="B1028" s="11" t="str">
        <f>HYPERLINK("https://twitter.com/shamseighth","@shamseighth")</f>
        <v>@shamseighth</v>
      </c>
      <c r="C1028" s="6" t="s">
        <v>6842</v>
      </c>
      <c r="D1028" s="5" t="s">
        <v>14085</v>
      </c>
      <c r="E1028" s="9" t="str">
        <f>HYPERLINK("https://twitter.com/shamseighth/status/1037008072386834432","1037008072386834432")</f>
        <v>1037008072386834432</v>
      </c>
      <c r="F1028" s="4"/>
      <c r="G1028" s="4"/>
      <c r="H1028" s="4"/>
      <c r="I1028" s="10" t="str">
        <f>HYPERLINK("http://twitter.com/download/android","Twitter for Android")</f>
        <v>Twitter for Android</v>
      </c>
      <c r="J1028" s="2">
        <v>4370</v>
      </c>
      <c r="K1028" s="2">
        <v>4655</v>
      </c>
      <c r="L1028" s="2">
        <v>15</v>
      </c>
      <c r="M1028" s="2"/>
      <c r="N1028" s="8">
        <v>42872.903148148151</v>
      </c>
      <c r="O1028" s="4"/>
      <c r="P1028" s="3" t="s">
        <v>6840</v>
      </c>
      <c r="Q1028" s="4"/>
      <c r="R1028" s="4"/>
      <c r="S1028" s="9" t="str">
        <f>HYPERLINK("https://pbs.twimg.com/profile_images/964229894216458240/mWnarH4i.jpg","View")</f>
        <v>View</v>
      </c>
    </row>
    <row r="1029" spans="1:19" ht="20">
      <c r="A1029" s="8">
        <v>43347.854062500002</v>
      </c>
      <c r="B1029" s="11" t="str">
        <f>HYPERLINK("https://twitter.com/spsmhd","@spsmhd")</f>
        <v>@spsmhd</v>
      </c>
      <c r="C1029" s="6" t="s">
        <v>14084</v>
      </c>
      <c r="D1029" s="5" t="s">
        <v>14083</v>
      </c>
      <c r="E1029" s="9" t="str">
        <f>HYPERLINK("https://twitter.com/spsmhd/status/1037007340535525376","1037007340535525376")</f>
        <v>1037007340535525376</v>
      </c>
      <c r="F1029" s="4"/>
      <c r="G1029" s="10" t="s">
        <v>14082</v>
      </c>
      <c r="H1029" s="4"/>
      <c r="I1029" s="10" t="str">
        <f>HYPERLINK("http://twitter.com","Twitter Web Client")</f>
        <v>Twitter Web Client</v>
      </c>
      <c r="J1029" s="2">
        <v>399</v>
      </c>
      <c r="K1029" s="2">
        <v>412</v>
      </c>
      <c r="L1029" s="2">
        <v>1</v>
      </c>
      <c r="M1029" s="2"/>
      <c r="N1029" s="8">
        <v>43107.693460648152</v>
      </c>
      <c r="O1029" s="4" t="s">
        <v>34</v>
      </c>
      <c r="P1029" s="3" t="s">
        <v>14081</v>
      </c>
      <c r="Q1029" s="4"/>
      <c r="R1029" s="4"/>
      <c r="S1029" s="9" t="str">
        <f>HYPERLINK("https://pbs.twimg.com/profile_images/1030773808251265024/2QPcxfwJ.jpg","View")</f>
        <v>View</v>
      </c>
    </row>
    <row r="1030" spans="1:19" ht="20">
      <c r="A1030" s="8">
        <v>43347.851840277777</v>
      </c>
      <c r="B1030" s="11" t="str">
        <f>HYPERLINK("https://twitter.com/yoobisha","@yoobisha")</f>
        <v>@yoobisha</v>
      </c>
      <c r="C1030" s="6" t="s">
        <v>10741</v>
      </c>
      <c r="D1030" s="5" t="s">
        <v>14080</v>
      </c>
      <c r="E1030" s="9" t="str">
        <f>HYPERLINK("https://twitter.com/yoobisha/status/1037006535430307841","1037006535430307841")</f>
        <v>1037006535430307841</v>
      </c>
      <c r="F1030" s="4"/>
      <c r="G1030" s="4"/>
      <c r="H1030" s="4"/>
      <c r="I1030" s="10" t="str">
        <f>HYPERLINK("http://twitter.com/download/android","Twitter for Android")</f>
        <v>Twitter for Android</v>
      </c>
      <c r="J1030" s="2">
        <v>117</v>
      </c>
      <c r="K1030" s="2">
        <v>109</v>
      </c>
      <c r="L1030" s="2">
        <v>0</v>
      </c>
      <c r="M1030" s="2"/>
      <c r="N1030" s="8">
        <v>43304.934907407413</v>
      </c>
      <c r="O1030" s="4" t="s">
        <v>1415</v>
      </c>
      <c r="P1030" s="3" t="s">
        <v>10739</v>
      </c>
      <c r="Q1030" s="4"/>
      <c r="R1030" s="4"/>
      <c r="S1030" s="9" t="str">
        <f>HYPERLINK("https://pbs.twimg.com/profile_images/1032512487717920768/MWi6ZVuG.jpg","View")</f>
        <v>View</v>
      </c>
    </row>
    <row r="1031" spans="1:19" ht="30">
      <c r="A1031" s="8">
        <v>43347.850891203707</v>
      </c>
      <c r="B1031" s="11" t="str">
        <f>HYPERLINK("https://twitter.com/BlackRook5","@BlackRook5")</f>
        <v>@BlackRook5</v>
      </c>
      <c r="C1031" s="6" t="s">
        <v>14079</v>
      </c>
      <c r="D1031" s="5" t="s">
        <v>14078</v>
      </c>
      <c r="E1031" s="9" t="str">
        <f>HYPERLINK("https://twitter.com/BlackRook5/status/1037006191426252802","1037006191426252802")</f>
        <v>1037006191426252802</v>
      </c>
      <c r="F1031" s="4"/>
      <c r="G1031" s="4"/>
      <c r="H1031" s="4"/>
      <c r="I1031" s="10" t="str">
        <f>HYPERLINK("http://twitter.com/download/android","Twitter for Android")</f>
        <v>Twitter for Android</v>
      </c>
      <c r="J1031" s="2">
        <v>396</v>
      </c>
      <c r="K1031" s="2">
        <v>340</v>
      </c>
      <c r="L1031" s="2">
        <v>0</v>
      </c>
      <c r="M1031" s="2"/>
      <c r="N1031" s="8">
        <v>43113.869374999995</v>
      </c>
      <c r="O1031" s="4" t="s">
        <v>104</v>
      </c>
      <c r="P1031" s="3" t="s">
        <v>14077</v>
      </c>
      <c r="Q1031" s="4"/>
      <c r="R1031" s="4"/>
      <c r="S1031" s="9" t="str">
        <f>HYPERLINK("https://pbs.twimg.com/profile_images/952231528779493376/I3ng4ZA7.jpg","View")</f>
        <v>View</v>
      </c>
    </row>
    <row r="1032" spans="1:19" ht="30">
      <c r="A1032" s="8">
        <v>43347.850798611107</v>
      </c>
      <c r="B1032" s="11" t="str">
        <f>HYPERLINK("https://twitter.com/dante2ndgod","@dante2ndgod")</f>
        <v>@dante2ndgod</v>
      </c>
      <c r="C1032" s="6" t="s">
        <v>14076</v>
      </c>
      <c r="D1032" s="5" t="s">
        <v>14075</v>
      </c>
      <c r="E1032" s="9" t="str">
        <f>HYPERLINK("https://twitter.com/dante2ndgod/status/1037006159931224064","1037006159931224064")</f>
        <v>1037006159931224064</v>
      </c>
      <c r="F1032" s="4"/>
      <c r="G1032" s="4"/>
      <c r="H1032" s="4"/>
      <c r="I1032" s="10" t="str">
        <f>HYPERLINK("http://twitter.com/download/iphone","Twitter for iPhone")</f>
        <v>Twitter for iPhone</v>
      </c>
      <c r="J1032" s="2">
        <v>353</v>
      </c>
      <c r="K1032" s="2">
        <v>1024</v>
      </c>
      <c r="L1032" s="2">
        <v>0</v>
      </c>
      <c r="M1032" s="2"/>
      <c r="N1032" s="8">
        <v>43249.98982638889</v>
      </c>
      <c r="O1032" s="4" t="s">
        <v>8310</v>
      </c>
      <c r="P1032" s="3" t="s">
        <v>14074</v>
      </c>
      <c r="Q1032" s="4"/>
      <c r="R1032" s="4"/>
      <c r="S1032" s="9" t="str">
        <f>HYPERLINK("https://pbs.twimg.com/profile_images/1027652767412826113/Vbvs0su4.jpg","View")</f>
        <v>View</v>
      </c>
    </row>
    <row r="1033" spans="1:19" ht="20">
      <c r="A1033" s="8">
        <v>43347.849097222221</v>
      </c>
      <c r="B1033" s="11" t="str">
        <f>HYPERLINK("https://twitter.com/hadinegar","@hadinegar")</f>
        <v>@hadinegar</v>
      </c>
      <c r="C1033" s="6" t="s">
        <v>14073</v>
      </c>
      <c r="D1033" s="5" t="s">
        <v>14072</v>
      </c>
      <c r="E1033" s="9" t="str">
        <f>HYPERLINK("https://twitter.com/hadinegar/status/1037005540377980934","1037005540377980934")</f>
        <v>1037005540377980934</v>
      </c>
      <c r="F1033" s="4"/>
      <c r="G1033" s="4"/>
      <c r="H1033" s="4"/>
      <c r="I1033" s="10" t="str">
        <f>HYPERLINK("http://twitter.com/download/android","Twitter for Android")</f>
        <v>Twitter for Android</v>
      </c>
      <c r="J1033" s="2">
        <v>104</v>
      </c>
      <c r="K1033" s="2">
        <v>183</v>
      </c>
      <c r="L1033" s="2">
        <v>0</v>
      </c>
      <c r="M1033" s="2"/>
      <c r="N1033" s="8">
        <v>42808.632280092592</v>
      </c>
      <c r="O1033" s="4" t="s">
        <v>14071</v>
      </c>
      <c r="P1033" s="3" t="s">
        <v>14070</v>
      </c>
      <c r="Q1033" s="4"/>
      <c r="R1033" s="4"/>
      <c r="S1033" s="9" t="str">
        <f>HYPERLINK("https://pbs.twimg.com/profile_images/1028688887714140160/sxR1Ie1K.jpg","View")</f>
        <v>View</v>
      </c>
    </row>
    <row r="1034" spans="1:19" ht="20">
      <c r="A1034" s="8">
        <v>43347.848634259259</v>
      </c>
      <c r="B1034" s="11" t="str">
        <f>HYPERLINK("https://twitter.com/bibandobar","@bibandobar")</f>
        <v>@bibandobar</v>
      </c>
      <c r="C1034" s="6" t="s">
        <v>4771</v>
      </c>
      <c r="D1034" s="5" t="s">
        <v>14069</v>
      </c>
      <c r="E1034" s="9" t="str">
        <f>HYPERLINK("https://twitter.com/bibandobar/status/1037005374686146563","1037005374686146563")</f>
        <v>1037005374686146563</v>
      </c>
      <c r="F1034" s="4"/>
      <c r="G1034" s="4"/>
      <c r="H1034" s="4"/>
      <c r="I1034" s="10" t="str">
        <f>HYPERLINK("http://twitter.com/download/iphone","Twitter for iPhone")</f>
        <v>Twitter for iPhone</v>
      </c>
      <c r="J1034" s="2">
        <v>1001</v>
      </c>
      <c r="K1034" s="2">
        <v>744</v>
      </c>
      <c r="L1034" s="2">
        <v>0</v>
      </c>
      <c r="M1034" s="2"/>
      <c r="N1034" s="8">
        <v>43250.819965277777</v>
      </c>
      <c r="O1034" s="4" t="s">
        <v>4769</v>
      </c>
      <c r="P1034" s="3" t="s">
        <v>4768</v>
      </c>
      <c r="Q1034" s="4"/>
      <c r="R1034" s="4"/>
      <c r="S1034" s="9" t="str">
        <f>HYPERLINK("https://pbs.twimg.com/profile_images/1025000299981889538/-koeTqrN.jpg","View")</f>
        <v>View</v>
      </c>
    </row>
    <row r="1035" spans="1:19" ht="20">
      <c r="A1035" s="8">
        <v>43347.846805555557</v>
      </c>
      <c r="B1035" s="11" t="str">
        <f>HYPERLINK("https://twitter.com/tahlilsyasi","@tahlilsyasi")</f>
        <v>@tahlilsyasi</v>
      </c>
      <c r="C1035" s="6" t="s">
        <v>14068</v>
      </c>
      <c r="D1035" s="5" t="s">
        <v>14067</v>
      </c>
      <c r="E1035" s="9" t="str">
        <f>HYPERLINK("https://twitter.com/tahlilsyasi/status/1037004709855408128","1037004709855408128")</f>
        <v>1037004709855408128</v>
      </c>
      <c r="F1035" s="4"/>
      <c r="G1035" s="10" t="s">
        <v>14066</v>
      </c>
      <c r="H1035" s="4"/>
      <c r="I1035" s="10" t="str">
        <f>HYPERLINK("http://twitter.com","Twitter Web Client")</f>
        <v>Twitter Web Client</v>
      </c>
      <c r="J1035" s="2">
        <v>69</v>
      </c>
      <c r="K1035" s="2">
        <v>75</v>
      </c>
      <c r="L1035" s="2">
        <v>0</v>
      </c>
      <c r="M1035" s="2"/>
      <c r="N1035" s="8">
        <v>43305.351840277777</v>
      </c>
      <c r="O1035" s="4"/>
      <c r="P1035" s="3" t="s">
        <v>14065</v>
      </c>
      <c r="Q1035" s="10" t="s">
        <v>14064</v>
      </c>
      <c r="R1035" s="4"/>
      <c r="S1035" s="9" t="str">
        <f>HYPERLINK("https://pbs.twimg.com/profile_images/1021607584057487360/Oxd6IYy5.png","View")</f>
        <v>View</v>
      </c>
    </row>
    <row r="1036" spans="1:19" ht="30">
      <c r="A1036" s="8">
        <v>43347.845347222217</v>
      </c>
      <c r="B1036" s="11" t="str">
        <f>HYPERLINK("https://twitter.com/YekNerd","@YekNerd")</f>
        <v>@YekNerd</v>
      </c>
      <c r="C1036" s="6" t="s">
        <v>14063</v>
      </c>
      <c r="D1036" s="5" t="s">
        <v>14062</v>
      </c>
      <c r="E1036" s="9" t="str">
        <f>HYPERLINK("https://twitter.com/YekNerd/status/1037004182958428160","1037004182958428160")</f>
        <v>1037004182958428160</v>
      </c>
      <c r="F1036" s="4"/>
      <c r="G1036" s="4"/>
      <c r="H1036" s="4"/>
      <c r="I1036" s="10" t="str">
        <f>HYPERLINK("https://mobile.twitter.com","Twitter Lite")</f>
        <v>Twitter Lite</v>
      </c>
      <c r="J1036" s="2">
        <v>705</v>
      </c>
      <c r="K1036" s="2">
        <v>755</v>
      </c>
      <c r="L1036" s="2">
        <v>4</v>
      </c>
      <c r="M1036" s="2"/>
      <c r="N1036" s="8">
        <v>40025.064803240741</v>
      </c>
      <c r="O1036" s="4" t="s">
        <v>324</v>
      </c>
      <c r="P1036" s="3" t="s">
        <v>14061</v>
      </c>
      <c r="Q1036" s="10" t="s">
        <v>14060</v>
      </c>
      <c r="R1036" s="4"/>
      <c r="S1036" s="9" t="str">
        <f>HYPERLINK("https://pbs.twimg.com/profile_images/1028034084919017472/uzvQg4VN.jpg","View")</f>
        <v>View</v>
      </c>
    </row>
    <row r="1037" spans="1:19" ht="30">
      <c r="A1037" s="8">
        <v>43347.845081018517</v>
      </c>
      <c r="B1037" s="11" t="str">
        <f>HYPERLINK("https://twitter.com/drmaghsoodi2","@drmaghsoodi2")</f>
        <v>@drmaghsoodi2</v>
      </c>
      <c r="C1037" s="6" t="s">
        <v>5707</v>
      </c>
      <c r="D1037" s="5" t="s">
        <v>14059</v>
      </c>
      <c r="E1037" s="9" t="str">
        <f>HYPERLINK("https://twitter.com/drmaghsoodi2/status/1037004088595177473","1037004088595177473")</f>
        <v>1037004088595177473</v>
      </c>
      <c r="F1037" s="4"/>
      <c r="G1037" s="4"/>
      <c r="H1037" s="4"/>
      <c r="I1037" s="10" t="str">
        <f>HYPERLINK("http://twitter.com/download/android","Twitter for Android")</f>
        <v>Twitter for Android</v>
      </c>
      <c r="J1037" s="2">
        <v>332</v>
      </c>
      <c r="K1037" s="2">
        <v>137</v>
      </c>
      <c r="L1037" s="2">
        <v>1</v>
      </c>
      <c r="M1037" s="2"/>
      <c r="N1037" s="8">
        <v>43120.440185185187</v>
      </c>
      <c r="O1037" s="4"/>
      <c r="P1037" s="3" t="s">
        <v>5705</v>
      </c>
      <c r="Q1037" s="4"/>
      <c r="R1037" s="4"/>
      <c r="S1037" s="9" t="str">
        <f>HYPERLINK("https://pbs.twimg.com/profile_images/962908629690146817/JF8xg-Aa.jpg","View")</f>
        <v>View</v>
      </c>
    </row>
    <row r="1038" spans="1:19" ht="20">
      <c r="A1038" s="8">
        <v>43347.843877314815</v>
      </c>
      <c r="B1038" s="11" t="str">
        <f>HYPERLINK("https://twitter.com/Modem110m","@Modem110m")</f>
        <v>@Modem110m</v>
      </c>
      <c r="C1038" s="6" t="s">
        <v>14058</v>
      </c>
      <c r="D1038" s="5" t="s">
        <v>14057</v>
      </c>
      <c r="E1038" s="9" t="str">
        <f>HYPERLINK("https://twitter.com/Modem110m/status/1037003651288580096","1037003651288580096")</f>
        <v>1037003651288580096</v>
      </c>
      <c r="F1038" s="4"/>
      <c r="G1038" s="4"/>
      <c r="H1038" s="4"/>
      <c r="I1038" s="10" t="str">
        <f>HYPERLINK("http://twitter.com/download/android","Twitter for Android")</f>
        <v>Twitter for Android</v>
      </c>
      <c r="J1038" s="2">
        <v>242</v>
      </c>
      <c r="K1038" s="2">
        <v>107</v>
      </c>
      <c r="L1038" s="2">
        <v>0</v>
      </c>
      <c r="M1038" s="2"/>
      <c r="N1038" s="8">
        <v>43194.168587962966</v>
      </c>
      <c r="O1038" s="4" t="s">
        <v>14056</v>
      </c>
      <c r="P1038" s="3" t="s">
        <v>14055</v>
      </c>
      <c r="Q1038" s="4"/>
      <c r="R1038" s="4"/>
      <c r="S1038" s="9" t="str">
        <f>HYPERLINK("https://pbs.twimg.com/profile_images/982321053149081601/jKHy7LNA.jpg","View")</f>
        <v>View</v>
      </c>
    </row>
    <row r="1039" spans="1:19" ht="30">
      <c r="A1039" s="8">
        <v>43347.843368055561</v>
      </c>
      <c r="B1039" s="11" t="str">
        <f>HYPERLINK("https://twitter.com/nashenas1371","@nashenas1371")</f>
        <v>@nashenas1371</v>
      </c>
      <c r="C1039" s="6" t="s">
        <v>14054</v>
      </c>
      <c r="D1039" s="5" t="s">
        <v>14053</v>
      </c>
      <c r="E1039" s="9" t="str">
        <f>HYPERLINK("https://twitter.com/nashenas1371/status/1037003466760224769","1037003466760224769")</f>
        <v>1037003466760224769</v>
      </c>
      <c r="F1039" s="4"/>
      <c r="G1039" s="4"/>
      <c r="H1039" s="4"/>
      <c r="I1039" s="10" t="str">
        <f>HYPERLINK("http://twitter.com/download/android","Twitter for Android")</f>
        <v>Twitter for Android</v>
      </c>
      <c r="J1039" s="2">
        <v>34</v>
      </c>
      <c r="K1039" s="2">
        <v>82</v>
      </c>
      <c r="L1039" s="2">
        <v>0</v>
      </c>
      <c r="M1039" s="2"/>
      <c r="N1039" s="8">
        <v>43282.756782407407</v>
      </c>
      <c r="O1039" s="4" t="s">
        <v>14052</v>
      </c>
      <c r="P1039" s="3" t="s">
        <v>14051</v>
      </c>
      <c r="Q1039" s="4"/>
      <c r="R1039" s="4"/>
      <c r="S1039" s="9" t="str">
        <f>HYPERLINK("https://pbs.twimg.com/profile_images/1031181026243043333/cRcOr_iZ.jpg","View")</f>
        <v>View</v>
      </c>
    </row>
    <row r="1040" spans="1:19" ht="30">
      <c r="A1040" s="8">
        <v>43347.84306712963</v>
      </c>
      <c r="B1040" s="11" t="str">
        <f>HYPERLINK("https://twitter.com/mohsenzarean","@mohsenzarean")</f>
        <v>@mohsenzarean</v>
      </c>
      <c r="C1040" s="6" t="s">
        <v>14050</v>
      </c>
      <c r="D1040" s="5" t="s">
        <v>14049</v>
      </c>
      <c r="E1040" s="9" t="str">
        <f>HYPERLINK("https://twitter.com/mohsenzarean/status/1037003358610108416","1037003358610108416")</f>
        <v>1037003358610108416</v>
      </c>
      <c r="F1040" s="4"/>
      <c r="G1040" s="4"/>
      <c r="H1040" s="4"/>
      <c r="I1040" s="10" t="str">
        <f>HYPERLINK("http://twitter.com/download/iphone","Twitter for iPhone")</f>
        <v>Twitter for iPhone</v>
      </c>
      <c r="J1040" s="2">
        <v>17</v>
      </c>
      <c r="K1040" s="2">
        <v>79</v>
      </c>
      <c r="L1040" s="2">
        <v>0</v>
      </c>
      <c r="M1040" s="2"/>
      <c r="N1040" s="8">
        <v>42163.857291666667</v>
      </c>
      <c r="O1040" s="4" t="s">
        <v>5026</v>
      </c>
      <c r="P1040" s="3" t="s">
        <v>14048</v>
      </c>
      <c r="Q1040" s="4"/>
      <c r="R1040" s="4"/>
      <c r="S1040" s="9" t="str">
        <f>HYPERLINK("https://pbs.twimg.com/profile_images/948190370323730432/r7Rng83c.jpg","View")</f>
        <v>View</v>
      </c>
    </row>
    <row r="1041" spans="1:19" ht="30">
      <c r="A1041" s="8">
        <v>43347.842337962968</v>
      </c>
      <c r="B1041" s="11" t="str">
        <f>HYPERLINK("https://twitter.com/Amirhos18740054","@Amirhos18740054")</f>
        <v>@Amirhos18740054</v>
      </c>
      <c r="C1041" s="6" t="s">
        <v>14047</v>
      </c>
      <c r="D1041" s="5" t="s">
        <v>14046</v>
      </c>
      <c r="E1041" s="9" t="str">
        <f>HYPERLINK("https://twitter.com/Amirhos18740054/status/1037003091713908736","1037003091713908736")</f>
        <v>1037003091713908736</v>
      </c>
      <c r="F1041" s="4"/>
      <c r="G1041" s="10" t="s">
        <v>14045</v>
      </c>
      <c r="H1041" s="4"/>
      <c r="I1041" s="10" t="str">
        <f>HYPERLINK("http://twitter.com/download/android","Twitter for Android")</f>
        <v>Twitter for Android</v>
      </c>
      <c r="J1041" s="2">
        <v>0</v>
      </c>
      <c r="K1041" s="2">
        <v>9</v>
      </c>
      <c r="L1041" s="2">
        <v>0</v>
      </c>
      <c r="M1041" s="2"/>
      <c r="N1041" s="8">
        <v>43335.649907407409</v>
      </c>
      <c r="O1041" s="4"/>
      <c r="P1041" s="3"/>
      <c r="Q1041" s="4"/>
      <c r="R1041" s="4"/>
      <c r="S1041" s="9" t="str">
        <f>HYPERLINK("https://pbs.twimg.com/profile_images/1032585833004654598/Djho3kne.jpg","View")</f>
        <v>View</v>
      </c>
    </row>
    <row r="1042" spans="1:19" ht="20">
      <c r="A1042" s="8">
        <v>43347.840960648144</v>
      </c>
      <c r="B1042" s="11" t="str">
        <f>HYPERLINK("https://twitter.com/mysamcivil","@mysamcivil")</f>
        <v>@mysamcivil</v>
      </c>
      <c r="C1042" s="6" t="s">
        <v>14044</v>
      </c>
      <c r="D1042" s="5" t="s">
        <v>14043</v>
      </c>
      <c r="E1042" s="9" t="str">
        <f>HYPERLINK("https://twitter.com/mysamcivil/status/1037002591379439616","1037002591379439616")</f>
        <v>1037002591379439616</v>
      </c>
      <c r="F1042" s="4"/>
      <c r="G1042" s="4"/>
      <c r="H1042" s="4"/>
      <c r="I1042" s="10" t="str">
        <f>HYPERLINK("http://twitter.com/download/android","Twitter for Android")</f>
        <v>Twitter for Android</v>
      </c>
      <c r="J1042" s="2">
        <v>442</v>
      </c>
      <c r="K1042" s="2">
        <v>492</v>
      </c>
      <c r="L1042" s="2">
        <v>1</v>
      </c>
      <c r="M1042" s="2"/>
      <c r="N1042" s="8">
        <v>42982.73537037037</v>
      </c>
      <c r="O1042" s="4" t="s">
        <v>5369</v>
      </c>
      <c r="P1042" s="3" t="s">
        <v>14042</v>
      </c>
      <c r="Q1042" s="4"/>
      <c r="R1042" s="4"/>
      <c r="S1042" s="9" t="str">
        <f>HYPERLINK("https://pbs.twimg.com/profile_images/1036917611563339776/tVUOlGjv.jpg","View")</f>
        <v>View</v>
      </c>
    </row>
    <row r="1043" spans="1:19" ht="40">
      <c r="A1043" s="8">
        <v>43347.837592592594</v>
      </c>
      <c r="B1043" s="11" t="str">
        <f>HYPERLINK("https://twitter.com/hyari170","@hyari170")</f>
        <v>@hyari170</v>
      </c>
      <c r="C1043" s="6" t="s">
        <v>9217</v>
      </c>
      <c r="D1043" s="5" t="s">
        <v>14041</v>
      </c>
      <c r="E1043" s="9" t="str">
        <f>HYPERLINK("https://twitter.com/hyari170/status/1037001371176845313","1037001371176845313")</f>
        <v>1037001371176845313</v>
      </c>
      <c r="F1043" s="10" t="s">
        <v>14008</v>
      </c>
      <c r="G1043" s="10" t="s">
        <v>13143</v>
      </c>
      <c r="H1043" s="4"/>
      <c r="I1043" s="10" t="str">
        <f>HYPERLINK("http://twitter.com/download/android","Twitter for Android")</f>
        <v>Twitter for Android</v>
      </c>
      <c r="J1043" s="2">
        <v>1</v>
      </c>
      <c r="K1043" s="2">
        <v>11</v>
      </c>
      <c r="L1043" s="2">
        <v>0</v>
      </c>
      <c r="M1043" s="2"/>
      <c r="N1043" s="8">
        <v>43343.033576388887</v>
      </c>
      <c r="O1043" s="4" t="s">
        <v>17</v>
      </c>
      <c r="P1043" s="3" t="s">
        <v>14040</v>
      </c>
      <c r="Q1043" s="4"/>
      <c r="R1043" s="4"/>
      <c r="S1043" s="9" t="str">
        <f>HYPERLINK("https://pbs.twimg.com/profile_images/1035566335043006464/fFoSaHLX.jpg","View")</f>
        <v>View</v>
      </c>
    </row>
    <row r="1044" spans="1:19" ht="40">
      <c r="A1044" s="8">
        <v>43347.837337962963</v>
      </c>
      <c r="B1044" s="11" t="str">
        <f>HYPERLINK("https://twitter.com/PemiAhmady","@PemiAhmady")</f>
        <v>@PemiAhmady</v>
      </c>
      <c r="C1044" s="6" t="s">
        <v>12729</v>
      </c>
      <c r="D1044" s="5" t="s">
        <v>14039</v>
      </c>
      <c r="E1044" s="9" t="str">
        <f>HYPERLINK("https://twitter.com/PemiAhmady/status/1037001280479289344","1037001280479289344")</f>
        <v>1037001280479289344</v>
      </c>
      <c r="F1044" s="4"/>
      <c r="G1044" s="4"/>
      <c r="H1044" s="4"/>
      <c r="I1044" s="10" t="str">
        <f>HYPERLINK("http://twitter.com/download/android","Twitter for Android")</f>
        <v>Twitter for Android</v>
      </c>
      <c r="J1044" s="2">
        <v>23</v>
      </c>
      <c r="K1044" s="2">
        <v>37</v>
      </c>
      <c r="L1044" s="2">
        <v>0</v>
      </c>
      <c r="M1044" s="2"/>
      <c r="N1044" s="8">
        <v>42378.593622685185</v>
      </c>
      <c r="O1044" s="4"/>
      <c r="P1044" s="3"/>
      <c r="Q1044" s="10" t="s">
        <v>12727</v>
      </c>
      <c r="R1044" s="4"/>
      <c r="S1044" s="9" t="str">
        <f>HYPERLINK("https://pbs.twimg.com/profile_images/1024283033921351680/hRgwnx2N.jpg","View")</f>
        <v>View</v>
      </c>
    </row>
    <row r="1045" spans="1:19" ht="40">
      <c r="A1045" s="8">
        <v>43347.831412037034</v>
      </c>
      <c r="B1045" s="11" t="str">
        <f>HYPERLINK("https://twitter.com/pirkharabat97","@pirkharabat97")</f>
        <v>@pirkharabat97</v>
      </c>
      <c r="C1045" s="6" t="s">
        <v>1015</v>
      </c>
      <c r="D1045" s="5" t="s">
        <v>14038</v>
      </c>
      <c r="E1045" s="9" t="str">
        <f>HYPERLINK("https://twitter.com/pirkharabat97/status/1036999131590479872","1036999131590479872")</f>
        <v>1036999131590479872</v>
      </c>
      <c r="F1045" s="4"/>
      <c r="G1045" s="4"/>
      <c r="H1045" s="4"/>
      <c r="I1045" s="10" t="str">
        <f>HYPERLINK("http://twitter.com","Twitter Web Client")</f>
        <v>Twitter Web Client</v>
      </c>
      <c r="J1045" s="2">
        <v>6</v>
      </c>
      <c r="K1045" s="2">
        <v>46</v>
      </c>
      <c r="L1045" s="2">
        <v>0</v>
      </c>
      <c r="M1045" s="2"/>
      <c r="N1045" s="8">
        <v>43337.821284722224</v>
      </c>
      <c r="O1045" s="4" t="s">
        <v>324</v>
      </c>
      <c r="P1045" s="3" t="s">
        <v>1012</v>
      </c>
      <c r="Q1045" s="4"/>
      <c r="R1045" s="4"/>
      <c r="S1045" s="9" t="str">
        <f>HYPERLINK("https://pbs.twimg.com/profile_images/1033374898478112769/xRqVx_TV.jpg","View")</f>
        <v>View</v>
      </c>
    </row>
    <row r="1046" spans="1:19" ht="20">
      <c r="A1046" s="8">
        <v>43347.82949074074</v>
      </c>
      <c r="B1046" s="11" t="str">
        <f>HYPERLINK("https://twitter.com/hiradbehnia","@hiradbehnia")</f>
        <v>@hiradbehnia</v>
      </c>
      <c r="C1046" s="6" t="s">
        <v>14037</v>
      </c>
      <c r="D1046" s="5" t="s">
        <v>14036</v>
      </c>
      <c r="E1046" s="9" t="str">
        <f>HYPERLINK("https://twitter.com/hiradbehnia/status/1036998437055733762","1036998437055733762")</f>
        <v>1036998437055733762</v>
      </c>
      <c r="F1046" s="4"/>
      <c r="G1046" s="4"/>
      <c r="H1046" s="4"/>
      <c r="I1046" s="10" t="str">
        <f>HYPERLINK("http://twitter.com/download/iphone","Twitter for iPhone")</f>
        <v>Twitter for iPhone</v>
      </c>
      <c r="J1046" s="2">
        <v>1392</v>
      </c>
      <c r="K1046" s="2">
        <v>406</v>
      </c>
      <c r="L1046" s="2">
        <v>1</v>
      </c>
      <c r="M1046" s="2"/>
      <c r="N1046" s="8">
        <v>42745.841377314813</v>
      </c>
      <c r="O1046" s="4" t="s">
        <v>133</v>
      </c>
      <c r="P1046" s="3" t="s">
        <v>14035</v>
      </c>
      <c r="Q1046" s="4"/>
      <c r="R1046" s="4"/>
      <c r="S1046" s="9" t="str">
        <f>HYPERLINK("https://pbs.twimg.com/profile_images/827179513155092481/ad7_9qUQ.jpg","View")</f>
        <v>View</v>
      </c>
    </row>
    <row r="1047" spans="1:19" ht="20">
      <c r="A1047" s="8">
        <v>43347.826516203699</v>
      </c>
      <c r="B1047" s="11" t="str">
        <f>HYPERLINK("https://twitter.com/ATavakouli","@ATavakouli")</f>
        <v>@ATavakouli</v>
      </c>
      <c r="C1047" s="6" t="s">
        <v>14034</v>
      </c>
      <c r="D1047" s="5" t="s">
        <v>14033</v>
      </c>
      <c r="E1047" s="9" t="str">
        <f>HYPERLINK("https://twitter.com/ATavakouli/status/1036997357865451521","1036997357865451521")</f>
        <v>1036997357865451521</v>
      </c>
      <c r="F1047" s="4"/>
      <c r="G1047" s="4"/>
      <c r="H1047" s="4"/>
      <c r="I1047" s="10" t="str">
        <f>HYPERLINK("http://twitter.com/download/android","Twitter for Android")</f>
        <v>Twitter for Android</v>
      </c>
      <c r="J1047" s="2">
        <v>244</v>
      </c>
      <c r="K1047" s="2">
        <v>225</v>
      </c>
      <c r="L1047" s="2">
        <v>0</v>
      </c>
      <c r="M1047" s="2"/>
      <c r="N1047" s="8">
        <v>43012.234317129631</v>
      </c>
      <c r="O1047" s="4" t="s">
        <v>14032</v>
      </c>
      <c r="P1047" s="3" t="s">
        <v>14031</v>
      </c>
      <c r="Q1047" s="4"/>
      <c r="R1047" s="4"/>
      <c r="S1047" s="9" t="str">
        <f>HYPERLINK("https://pbs.twimg.com/profile_images/915401524880314368/cFbmrD-N.jpg","View")</f>
        <v>View</v>
      </c>
    </row>
    <row r="1048" spans="1:19" ht="20">
      <c r="A1048" s="8">
        <v>43347.825312500005</v>
      </c>
      <c r="B1048" s="11" t="str">
        <f>HYPERLINK("https://twitter.com/hm_omran","@hm_omran")</f>
        <v>@hm_omran</v>
      </c>
      <c r="C1048" s="6" t="s">
        <v>5538</v>
      </c>
      <c r="D1048" s="5" t="s">
        <v>14030</v>
      </c>
      <c r="E1048" s="9" t="str">
        <f>HYPERLINK("https://twitter.com/hm_omran/status/1036996923654324226","1036996923654324226")</f>
        <v>1036996923654324226</v>
      </c>
      <c r="F1048" s="4"/>
      <c r="G1048" s="4"/>
      <c r="H1048" s="4"/>
      <c r="I1048" s="10" t="str">
        <f>HYPERLINK("http://twitter.com/download/iphone","Twitter for iPhone")</f>
        <v>Twitter for iPhone</v>
      </c>
      <c r="J1048" s="2">
        <v>59</v>
      </c>
      <c r="K1048" s="2">
        <v>54</v>
      </c>
      <c r="L1048" s="2">
        <v>0</v>
      </c>
      <c r="M1048" s="2"/>
      <c r="N1048" s="8">
        <v>42900.901134259257</v>
      </c>
      <c r="O1048" s="4" t="s">
        <v>34</v>
      </c>
      <c r="P1048" s="3" t="s">
        <v>5536</v>
      </c>
      <c r="Q1048" s="4"/>
      <c r="R1048" s="4"/>
      <c r="S1048" s="9" t="str">
        <f>HYPERLINK("https://pbs.twimg.com/profile_images/875039651282776064/ZTt-qBMD.jpg","View")</f>
        <v>View</v>
      </c>
    </row>
    <row r="1049" spans="1:19" ht="80">
      <c r="A1049" s="8">
        <v>43347.825231481482</v>
      </c>
      <c r="B1049" s="11" t="str">
        <f>HYPERLINK("https://twitter.com/MasoudSli","@MasoudSli")</f>
        <v>@MasoudSli</v>
      </c>
      <c r="C1049" s="6" t="s">
        <v>14029</v>
      </c>
      <c r="D1049" s="5" t="s">
        <v>14028</v>
      </c>
      <c r="E1049" s="9" t="str">
        <f>HYPERLINK("https://twitter.com/MasoudSli/status/1036996892238983168","1036996892238983168")</f>
        <v>1036996892238983168</v>
      </c>
      <c r="F1049" s="10" t="s">
        <v>14027</v>
      </c>
      <c r="G1049" s="10" t="s">
        <v>14026</v>
      </c>
      <c r="H1049" s="4"/>
      <c r="I1049" s="10" t="str">
        <f>HYPERLINK("https://mobile.twitter.com","Twitter Lite")</f>
        <v>Twitter Lite</v>
      </c>
      <c r="J1049" s="2">
        <v>303</v>
      </c>
      <c r="K1049" s="2">
        <v>629</v>
      </c>
      <c r="L1049" s="2">
        <v>2</v>
      </c>
      <c r="M1049" s="2"/>
      <c r="N1049" s="8">
        <v>41133.377893518518</v>
      </c>
      <c r="O1049" s="4" t="s">
        <v>324</v>
      </c>
      <c r="P1049" s="3" t="s">
        <v>14025</v>
      </c>
      <c r="Q1049" s="4"/>
      <c r="R1049" s="4"/>
      <c r="S1049" s="9" t="str">
        <f>HYPERLINK("https://pbs.twimg.com/profile_images/1034512019616096256/UQfRnLJM.jpg","View")</f>
        <v>View</v>
      </c>
    </row>
    <row r="1050" spans="1:19" ht="20">
      <c r="A1050" s="8">
        <v>43347.823923611111</v>
      </c>
      <c r="B1050" s="11" t="str">
        <f>HYPERLINK("https://twitter.com/AmIrR29293701","@AmIrR29293701")</f>
        <v>@AmIrR29293701</v>
      </c>
      <c r="C1050" s="6" t="s">
        <v>14024</v>
      </c>
      <c r="D1050" s="5" t="s">
        <v>14023</v>
      </c>
      <c r="E1050" s="9" t="str">
        <f>HYPERLINK("https://twitter.com/AmIrR29293701/status/1036996420828639232","1036996420828639232")</f>
        <v>1036996420828639232</v>
      </c>
      <c r="F1050" s="4"/>
      <c r="G1050" s="10" t="s">
        <v>14022</v>
      </c>
      <c r="H1050" s="4"/>
      <c r="I1050" s="10" t="str">
        <f>HYPERLINK("http://twitter.com/download/android","Twitter for Android")</f>
        <v>Twitter for Android</v>
      </c>
      <c r="J1050" s="2">
        <v>2</v>
      </c>
      <c r="K1050" s="2">
        <v>4</v>
      </c>
      <c r="L1050" s="2">
        <v>0</v>
      </c>
      <c r="M1050" s="2"/>
      <c r="N1050" s="8">
        <v>43347.520648148144</v>
      </c>
      <c r="O1050" s="4" t="s">
        <v>14021</v>
      </c>
      <c r="P1050" s="3" t="s">
        <v>14020</v>
      </c>
      <c r="Q1050" s="4"/>
      <c r="R1050" s="4"/>
      <c r="S1050" s="9" t="str">
        <f>HYPERLINK("https://pbs.twimg.com/profile_images/1036893776504086528/ci1KMg1m.jpg","View")</f>
        <v>View</v>
      </c>
    </row>
    <row r="1051" spans="1:19" ht="20">
      <c r="A1051" s="8">
        <v>43347.823263888888</v>
      </c>
      <c r="B1051" s="11" t="str">
        <f>HYPERLINK("https://twitter.com/Mhnz4","@Mhnz4")</f>
        <v>@Mhnz4</v>
      </c>
      <c r="C1051" s="6" t="s">
        <v>14019</v>
      </c>
      <c r="D1051" s="5" t="s">
        <v>14018</v>
      </c>
      <c r="E1051" s="9" t="str">
        <f>HYPERLINK("https://twitter.com/Mhnz4/status/1036996179157024770","1036996179157024770")</f>
        <v>1036996179157024770</v>
      </c>
      <c r="F1051" s="4"/>
      <c r="G1051" s="4"/>
      <c r="H1051" s="4"/>
      <c r="I1051" s="10" t="str">
        <f>HYPERLINK("http://twitter.com/download/android","Twitter for Android")</f>
        <v>Twitter for Android</v>
      </c>
      <c r="J1051" s="2">
        <v>159</v>
      </c>
      <c r="K1051" s="2">
        <v>52</v>
      </c>
      <c r="L1051" s="2">
        <v>0</v>
      </c>
      <c r="M1051" s="2"/>
      <c r="N1051" s="8">
        <v>43102.437731481477</v>
      </c>
      <c r="O1051" s="4" t="s">
        <v>34</v>
      </c>
      <c r="P1051" s="3" t="s">
        <v>14017</v>
      </c>
      <c r="Q1051" s="4"/>
      <c r="R1051" s="4"/>
      <c r="S1051" s="9" t="str">
        <f>HYPERLINK("https://pbs.twimg.com/profile_images/1021106139856072704/UPElFxBX.jpg","View")</f>
        <v>View</v>
      </c>
    </row>
    <row r="1052" spans="1:19" ht="30">
      <c r="A1052" s="8">
        <v>43347.823113425926</v>
      </c>
      <c r="B1052" s="11" t="str">
        <f>HYPERLINK("https://twitter.com/Amin_Akrami","@Amin_Akrami")</f>
        <v>@Amin_Akrami</v>
      </c>
      <c r="C1052" s="6" t="s">
        <v>13887</v>
      </c>
      <c r="D1052" s="5" t="s">
        <v>14016</v>
      </c>
      <c r="E1052" s="9" t="str">
        <f>HYPERLINK("https://twitter.com/Amin_Akrami/status/1036996124639469569","1036996124639469569")</f>
        <v>1036996124639469569</v>
      </c>
      <c r="F1052" s="4"/>
      <c r="G1052" s="10" t="s">
        <v>14015</v>
      </c>
      <c r="H1052" s="4"/>
      <c r="I1052" s="10" t="str">
        <f>HYPERLINK("http://twitter.com/download/android","Twitter for Android")</f>
        <v>Twitter for Android</v>
      </c>
      <c r="J1052" s="2">
        <v>73</v>
      </c>
      <c r="K1052" s="2">
        <v>11</v>
      </c>
      <c r="L1052" s="2">
        <v>1</v>
      </c>
      <c r="M1052" s="2"/>
      <c r="N1052" s="8">
        <v>42945.210798611108</v>
      </c>
      <c r="O1052" s="4"/>
      <c r="P1052" s="3" t="s">
        <v>13885</v>
      </c>
      <c r="Q1052" s="4"/>
      <c r="R1052" s="4"/>
      <c r="S1052" s="9" t="str">
        <f>HYPERLINK("https://pbs.twimg.com/profile_images/891098287620673536/EtplxyPk.jpg","View")</f>
        <v>View</v>
      </c>
    </row>
    <row r="1053" spans="1:19" ht="30">
      <c r="A1053" s="8">
        <v>43347.822870370372</v>
      </c>
      <c r="B1053" s="11" t="str">
        <f>HYPERLINK("https://twitter.com/Mostafaa_Azizi","@Mostafaa_Azizi")</f>
        <v>@Mostafaa_Azizi</v>
      </c>
      <c r="C1053" s="6" t="s">
        <v>14014</v>
      </c>
      <c r="D1053" s="5" t="s">
        <v>14013</v>
      </c>
      <c r="E1053" s="9" t="str">
        <f>HYPERLINK("https://twitter.com/Mostafaa_Azizi/status/1036996036399587329","1036996036399587329")</f>
        <v>1036996036399587329</v>
      </c>
      <c r="F1053" s="4"/>
      <c r="G1053" s="4"/>
      <c r="H1053" s="4"/>
      <c r="I1053" s="10" t="str">
        <f>HYPERLINK("http://twitter.com","Twitter Web Client")</f>
        <v>Twitter Web Client</v>
      </c>
      <c r="J1053" s="2">
        <v>2691</v>
      </c>
      <c r="K1053" s="2">
        <v>733</v>
      </c>
      <c r="L1053" s="2">
        <v>15</v>
      </c>
      <c r="M1053" s="2"/>
      <c r="N1053" s="8">
        <v>42676.67086805556</v>
      </c>
      <c r="O1053" s="4" t="s">
        <v>7139</v>
      </c>
      <c r="P1053" s="3" t="s">
        <v>14012</v>
      </c>
      <c r="Q1053" s="10" t="s">
        <v>14011</v>
      </c>
      <c r="R1053" s="4"/>
      <c r="S1053" s="9" t="str">
        <f>HYPERLINK("https://pbs.twimg.com/profile_images/801906698373959680/iLn0drY8.jpg","View")</f>
        <v>View</v>
      </c>
    </row>
    <row r="1054" spans="1:19" ht="40">
      <c r="A1054" s="8">
        <v>43347.822187500002</v>
      </c>
      <c r="B1054" s="11" t="str">
        <f>HYPERLINK("https://twitter.com/Babakkhoram4","@Babakkhoram4")</f>
        <v>@Babakkhoram4</v>
      </c>
      <c r="C1054" s="6" t="s">
        <v>14010</v>
      </c>
      <c r="D1054" s="5" t="s">
        <v>14009</v>
      </c>
      <c r="E1054" s="9" t="str">
        <f>HYPERLINK("https://twitter.com/Babakkhoram4/status/1036995791364141058","1036995791364141058")</f>
        <v>1036995791364141058</v>
      </c>
      <c r="F1054" s="10" t="s">
        <v>14008</v>
      </c>
      <c r="G1054" s="10" t="s">
        <v>13143</v>
      </c>
      <c r="H1054" s="4"/>
      <c r="I1054" s="10" t="str">
        <f>HYPERLINK("http://twitter.com/download/android","Twitter for Android")</f>
        <v>Twitter for Android</v>
      </c>
      <c r="J1054" s="2">
        <v>232</v>
      </c>
      <c r="K1054" s="2">
        <v>72</v>
      </c>
      <c r="L1054" s="2">
        <v>0</v>
      </c>
      <c r="M1054" s="2"/>
      <c r="N1054" s="8">
        <v>43268.306921296295</v>
      </c>
      <c r="O1054" s="4" t="s">
        <v>14007</v>
      </c>
      <c r="P1054" s="3" t="s">
        <v>14006</v>
      </c>
      <c r="Q1054" s="4"/>
      <c r="R1054" s="4"/>
      <c r="S1054" s="9" t="str">
        <f>HYPERLINK("https://pbs.twimg.com/profile_images/1011257338295148546/Om-ywt0t.jpg","View")</f>
        <v>View</v>
      </c>
    </row>
    <row r="1055" spans="1:19" ht="50">
      <c r="A1055" s="8">
        <v>43347.822060185186</v>
      </c>
      <c r="B1055" s="11" t="str">
        <f>HYPERLINK("https://twitter.com/ElaheEs","@ElaheEs")</f>
        <v>@ElaheEs</v>
      </c>
      <c r="C1055" s="6" t="s">
        <v>8623</v>
      </c>
      <c r="D1055" s="5" t="s">
        <v>14005</v>
      </c>
      <c r="E1055" s="9" t="str">
        <f>HYPERLINK("https://twitter.com/ElaheEs/status/1036995744123822080","1036995744123822080")</f>
        <v>1036995744123822080</v>
      </c>
      <c r="F1055" s="10" t="s">
        <v>12528</v>
      </c>
      <c r="G1055" s="4"/>
      <c r="H1055" s="4"/>
      <c r="I1055" s="10" t="str">
        <f>HYPERLINK("http://twitter.com/download/iphone","Twitter for iPhone")</f>
        <v>Twitter for iPhone</v>
      </c>
      <c r="J1055" s="2">
        <v>85</v>
      </c>
      <c r="K1055" s="2">
        <v>158</v>
      </c>
      <c r="L1055" s="2">
        <v>0</v>
      </c>
      <c r="M1055" s="2"/>
      <c r="N1055" s="8">
        <v>40731.59211805556</v>
      </c>
      <c r="O1055" s="4"/>
      <c r="P1055" s="3" t="s">
        <v>8620</v>
      </c>
      <c r="Q1055" s="4"/>
      <c r="R1055" s="4"/>
      <c r="S1055" s="9" t="str">
        <f>HYPERLINK("https://pbs.twimg.com/profile_images/1030710816671232000/xQQDdh5h.jpg","View")</f>
        <v>View</v>
      </c>
    </row>
    <row r="1056" spans="1:19" ht="40">
      <c r="A1056" s="8">
        <v>43347.821886574078</v>
      </c>
      <c r="B1056" s="11" t="str">
        <f>HYPERLINK("https://twitter.com/bardiya2000","@bardiya2000")</f>
        <v>@bardiya2000</v>
      </c>
      <c r="C1056" s="6" t="s">
        <v>6602</v>
      </c>
      <c r="D1056" s="5" t="s">
        <v>14004</v>
      </c>
      <c r="E1056" s="9" t="str">
        <f>HYPERLINK("https://twitter.com/bardiya2000/status/1036995680110301184","1036995680110301184")</f>
        <v>1036995680110301184</v>
      </c>
      <c r="F1056" s="4"/>
      <c r="G1056" s="4"/>
      <c r="H1056" s="4"/>
      <c r="I1056" s="10" t="str">
        <f>HYPERLINK("http://twitter.com","Twitter Web Client")</f>
        <v>Twitter Web Client</v>
      </c>
      <c r="J1056" s="2">
        <v>11323</v>
      </c>
      <c r="K1056" s="2">
        <v>12252</v>
      </c>
      <c r="L1056" s="2">
        <v>4</v>
      </c>
      <c r="M1056" s="2"/>
      <c r="N1056" s="8">
        <v>43130.489201388889</v>
      </c>
      <c r="O1056" s="4" t="s">
        <v>104</v>
      </c>
      <c r="P1056" s="3" t="s">
        <v>6600</v>
      </c>
      <c r="Q1056" s="4"/>
      <c r="R1056" s="4"/>
      <c r="S1056" s="9" t="str">
        <f>HYPERLINK("https://pbs.twimg.com/profile_images/959171152081014784/1feOJkR-.jpg","View")</f>
        <v>View</v>
      </c>
    </row>
    <row r="1057" spans="1:19" ht="40">
      <c r="A1057" s="8">
        <v>43347.820810185185</v>
      </c>
      <c r="B1057" s="11" t="str">
        <f>HYPERLINK("https://twitter.com/izadi_javad","@izadi_javad")</f>
        <v>@izadi_javad</v>
      </c>
      <c r="C1057" s="6" t="s">
        <v>10853</v>
      </c>
      <c r="D1057" s="5" t="s">
        <v>14003</v>
      </c>
      <c r="E1057" s="9" t="str">
        <f>HYPERLINK("https://twitter.com/izadi_javad/status/1036995290862112769","1036995290862112769")</f>
        <v>1036995290862112769</v>
      </c>
      <c r="F1057" s="4"/>
      <c r="G1057" s="10" t="s">
        <v>14002</v>
      </c>
      <c r="H1057" s="4"/>
      <c r="I1057" s="10" t="str">
        <f>HYPERLINK("http://twitter.com/download/iphone","Twitter for iPhone")</f>
        <v>Twitter for iPhone</v>
      </c>
      <c r="J1057" s="2">
        <v>129</v>
      </c>
      <c r="K1057" s="2">
        <v>241</v>
      </c>
      <c r="L1057" s="2">
        <v>2</v>
      </c>
      <c r="M1057" s="2"/>
      <c r="N1057" s="8">
        <v>40956.108252314814</v>
      </c>
      <c r="O1057" s="4" t="s">
        <v>324</v>
      </c>
      <c r="P1057" s="3" t="s">
        <v>10851</v>
      </c>
      <c r="Q1057" s="10" t="s">
        <v>10850</v>
      </c>
      <c r="R1057" s="4"/>
      <c r="S1057" s="9" t="str">
        <f>HYPERLINK("https://pbs.twimg.com/profile_images/378800000581977066/46c1ede5afc2646132cb4fb5f0ee85d1.jpeg","View")</f>
        <v>View</v>
      </c>
    </row>
    <row r="1058" spans="1:19" ht="40">
      <c r="A1058" s="8">
        <v>43347.820752314816</v>
      </c>
      <c r="B1058" s="11" t="str">
        <f>HYPERLINK("https://twitter.com/RezaNikoomagha2","@RezaNikoomagha2")</f>
        <v>@RezaNikoomagha2</v>
      </c>
      <c r="C1058" s="6" t="s">
        <v>8534</v>
      </c>
      <c r="D1058" s="5" t="s">
        <v>14001</v>
      </c>
      <c r="E1058" s="9" t="str">
        <f>HYPERLINK("https://twitter.com/RezaNikoomagha2/status/1036995269190213633","1036995269190213633")</f>
        <v>1036995269190213633</v>
      </c>
      <c r="F1058" s="4"/>
      <c r="G1058" s="4"/>
      <c r="H1058" s="4"/>
      <c r="I1058" s="10" t="str">
        <f>HYPERLINK("http://twitter.com/download/iphone","Twitter for iPhone")</f>
        <v>Twitter for iPhone</v>
      </c>
      <c r="J1058" s="2">
        <v>621</v>
      </c>
      <c r="K1058" s="2">
        <v>290</v>
      </c>
      <c r="L1058" s="2">
        <v>2</v>
      </c>
      <c r="M1058" s="2"/>
      <c r="N1058" s="8">
        <v>43289.739583333328</v>
      </c>
      <c r="O1058" s="4" t="s">
        <v>8531</v>
      </c>
      <c r="P1058" s="3" t="s">
        <v>8530</v>
      </c>
      <c r="Q1058" s="4"/>
      <c r="R1058" s="4"/>
      <c r="S1058" s="9" t="str">
        <f>HYPERLINK("https://pbs.twimg.com/profile_images/1015948379313049600/P09zkAjE.jpg","View")</f>
        <v>View</v>
      </c>
    </row>
    <row r="1059" spans="1:19" ht="80">
      <c r="A1059" s="8">
        <v>43347.817939814813</v>
      </c>
      <c r="B1059" s="11" t="str">
        <f>HYPERLINK("https://twitter.com/Khanbagi","@Khanbagi")</f>
        <v>@Khanbagi</v>
      </c>
      <c r="C1059" s="6" t="s">
        <v>8081</v>
      </c>
      <c r="D1059" s="5" t="s">
        <v>14000</v>
      </c>
      <c r="E1059" s="9" t="str">
        <f>HYPERLINK("https://twitter.com/Khanbagi/status/1036994249340997633","1036994249340997633")</f>
        <v>1036994249340997633</v>
      </c>
      <c r="F1059" s="10" t="s">
        <v>13999</v>
      </c>
      <c r="G1059" s="10" t="s">
        <v>13998</v>
      </c>
      <c r="H1059" s="4"/>
      <c r="I1059" s="10" t="str">
        <f>HYPERLINK("http://twitter.com","Twitter Web Client")</f>
        <v>Twitter Web Client</v>
      </c>
      <c r="J1059" s="2">
        <v>1909</v>
      </c>
      <c r="K1059" s="2">
        <v>1376</v>
      </c>
      <c r="L1059" s="2">
        <v>4</v>
      </c>
      <c r="M1059" s="2"/>
      <c r="N1059" s="8">
        <v>41055.697222222225</v>
      </c>
      <c r="O1059" s="4"/>
      <c r="P1059" s="3" t="s">
        <v>8079</v>
      </c>
      <c r="Q1059" s="4"/>
      <c r="R1059" s="4"/>
      <c r="S1059" s="9" t="str">
        <f>HYPERLINK("https://pbs.twimg.com/profile_images/1034719613131665413/6EcStBj1.jpg","View")</f>
        <v>View</v>
      </c>
    </row>
    <row r="1060" spans="1:19" ht="20">
      <c r="A1060" s="8">
        <v>43347.817754629628</v>
      </c>
      <c r="B1060" s="11" t="str">
        <f>HYPERLINK("https://twitter.com/Overflow394","@Overflow394")</f>
        <v>@Overflow394</v>
      </c>
      <c r="C1060" s="6" t="s">
        <v>5401</v>
      </c>
      <c r="D1060" s="5" t="s">
        <v>13997</v>
      </c>
      <c r="E1060" s="9" t="str">
        <f>HYPERLINK("https://twitter.com/Overflow394/status/1036994184782204928","1036994184782204928")</f>
        <v>1036994184782204928</v>
      </c>
      <c r="F1060" s="4"/>
      <c r="G1060" s="4"/>
      <c r="H1060" s="4"/>
      <c r="I1060" s="10" t="str">
        <f>HYPERLINK("http://twitter.com/download/android","Twitter for Android")</f>
        <v>Twitter for Android</v>
      </c>
      <c r="J1060" s="2">
        <v>65</v>
      </c>
      <c r="K1060" s="2">
        <v>124</v>
      </c>
      <c r="L1060" s="2">
        <v>0</v>
      </c>
      <c r="M1060" s="2"/>
      <c r="N1060" s="8">
        <v>42894.917766203704</v>
      </c>
      <c r="O1060" s="4" t="s">
        <v>34</v>
      </c>
      <c r="P1060" s="3" t="s">
        <v>13996</v>
      </c>
      <c r="Q1060" s="4"/>
      <c r="R1060" s="4"/>
      <c r="S1060" s="9" t="str">
        <f>HYPERLINK("https://pbs.twimg.com/profile_images/1023512081818181633/8ZqVy5Bi.jpg","View")</f>
        <v>View</v>
      </c>
    </row>
    <row r="1061" spans="1:19" ht="30">
      <c r="A1061" s="8">
        <v>43347.816261574073</v>
      </c>
      <c r="B1061" s="11" t="str">
        <f>HYPERLINK("https://twitter.com/yekbarandaz","@yekbarandaz")</f>
        <v>@yekbarandaz</v>
      </c>
      <c r="C1061" s="6" t="s">
        <v>13995</v>
      </c>
      <c r="D1061" s="5" t="s">
        <v>13994</v>
      </c>
      <c r="E1061" s="9" t="str">
        <f>HYPERLINK("https://twitter.com/yekbarandaz/status/1036993643733823488","1036993643733823488")</f>
        <v>1036993643733823488</v>
      </c>
      <c r="F1061" s="4"/>
      <c r="G1061" s="4"/>
      <c r="H1061" s="4"/>
      <c r="I1061" s="10" t="str">
        <f>HYPERLINK("http://twitter.com/download/android","Twitter for Android")</f>
        <v>Twitter for Android</v>
      </c>
      <c r="J1061" s="2">
        <v>1146</v>
      </c>
      <c r="K1061" s="2">
        <v>3868</v>
      </c>
      <c r="L1061" s="2">
        <v>0</v>
      </c>
      <c r="M1061" s="2"/>
      <c r="N1061" s="8">
        <v>43257.676875000005</v>
      </c>
      <c r="O1061" s="4"/>
      <c r="P1061" s="3" t="s">
        <v>13993</v>
      </c>
      <c r="Q1061" s="4"/>
      <c r="R1061" s="4"/>
      <c r="S1061" s="9" t="str">
        <f>HYPERLINK("https://pbs.twimg.com/profile_images/1008268528825315329/9jhjjrrV.jpg","View")</f>
        <v>View</v>
      </c>
    </row>
    <row r="1062" spans="1:19" ht="30">
      <c r="A1062" s="8">
        <v>43347.816111111111</v>
      </c>
      <c r="B1062" s="11" t="str">
        <f>HYPERLINK("https://twitter.com/LSetiz","@LSetiz")</f>
        <v>@LSetiz</v>
      </c>
      <c r="C1062" s="6" t="s">
        <v>1151</v>
      </c>
      <c r="D1062" s="5" t="s">
        <v>13992</v>
      </c>
      <c r="E1062" s="9" t="str">
        <f>HYPERLINK("https://twitter.com/LSetiz/status/1036993586196361216","1036993586196361216")</f>
        <v>1036993586196361216</v>
      </c>
      <c r="F1062" s="4"/>
      <c r="G1062" s="4"/>
      <c r="H1062" s="4"/>
      <c r="I1062" s="10" t="str">
        <f>HYPERLINK("http://twitter.com","Twitter Web Client")</f>
        <v>Twitter Web Client</v>
      </c>
      <c r="J1062" s="2">
        <v>374</v>
      </c>
      <c r="K1062" s="2">
        <v>476</v>
      </c>
      <c r="L1062" s="2">
        <v>0</v>
      </c>
      <c r="M1062" s="2"/>
      <c r="N1062" s="8">
        <v>43322.864803240736</v>
      </c>
      <c r="O1062" s="4"/>
      <c r="P1062" s="3" t="s">
        <v>1149</v>
      </c>
      <c r="Q1062" s="4"/>
      <c r="R1062" s="4"/>
      <c r="S1062" s="9" t="str">
        <f>HYPERLINK("https://pbs.twimg.com/profile_images/1028211361074085888/yHmcStVU.jpg","View")</f>
        <v>View</v>
      </c>
    </row>
    <row r="1063" spans="1:19" ht="20">
      <c r="A1063" s="8">
        <v>43347.816064814819</v>
      </c>
      <c r="B1063" s="11" t="str">
        <f>HYPERLINK("https://twitter.com/Amirrrajabi","@Amirrrajabi")</f>
        <v>@Amirrrajabi</v>
      </c>
      <c r="C1063" s="6" t="s">
        <v>6810</v>
      </c>
      <c r="D1063" s="5" t="s">
        <v>13991</v>
      </c>
      <c r="E1063" s="9" t="str">
        <f>HYPERLINK("https://twitter.com/Amirrrajabi/status/1036993571872755713","1036993571872755713")</f>
        <v>1036993571872755713</v>
      </c>
      <c r="F1063" s="4"/>
      <c r="G1063" s="4"/>
      <c r="H1063" s="4"/>
      <c r="I1063" s="10" t="str">
        <f>HYPERLINK("http://twitter.com/download/android","Twitter for Android")</f>
        <v>Twitter for Android</v>
      </c>
      <c r="J1063" s="2">
        <v>621</v>
      </c>
      <c r="K1063" s="2">
        <v>663</v>
      </c>
      <c r="L1063" s="2">
        <v>0</v>
      </c>
      <c r="M1063" s="2"/>
      <c r="N1063" s="8">
        <v>42373.500520833331</v>
      </c>
      <c r="O1063" s="4" t="s">
        <v>6807</v>
      </c>
      <c r="P1063" s="3" t="s">
        <v>13990</v>
      </c>
      <c r="Q1063" s="10" t="s">
        <v>6805</v>
      </c>
      <c r="R1063" s="4"/>
      <c r="S1063" s="9" t="str">
        <f>HYPERLINK("https://pbs.twimg.com/profile_images/1013061733680893953/x-J6y4Ue.jpg","View")</f>
        <v>View</v>
      </c>
    </row>
    <row r="1064" spans="1:19" ht="20">
      <c r="A1064" s="8">
        <v>43347.814432870371</v>
      </c>
      <c r="B1064" s="11" t="str">
        <f>HYPERLINK("https://twitter.com/sh_s_n","@sh_s_n")</f>
        <v>@sh_s_n</v>
      </c>
      <c r="C1064" s="6" t="s">
        <v>13989</v>
      </c>
      <c r="D1064" s="5" t="s">
        <v>13988</v>
      </c>
      <c r="E1064" s="9" t="str">
        <f>HYPERLINK("https://twitter.com/sh_s_n/status/1036992982019399681","1036992982019399681")</f>
        <v>1036992982019399681</v>
      </c>
      <c r="F1064" s="4"/>
      <c r="G1064" s="4"/>
      <c r="H1064" s="4"/>
      <c r="I1064" s="10" t="str">
        <f>HYPERLINK("http://twitter.com/download/android","Twitter for Android")</f>
        <v>Twitter for Android</v>
      </c>
      <c r="J1064" s="2">
        <v>88</v>
      </c>
      <c r="K1064" s="2">
        <v>74</v>
      </c>
      <c r="L1064" s="2">
        <v>0</v>
      </c>
      <c r="M1064" s="2"/>
      <c r="N1064" s="8">
        <v>39984.67260416667</v>
      </c>
      <c r="O1064" s="4" t="s">
        <v>34</v>
      </c>
      <c r="P1064" s="3"/>
      <c r="Q1064" s="4"/>
      <c r="R1064" s="4"/>
      <c r="S1064" s="9" t="str">
        <f>HYPERLINK("https://pbs.twimg.com/profile_images/1029302689367248897/Vf7E6Vse.jpg","View")</f>
        <v>View</v>
      </c>
    </row>
    <row r="1065" spans="1:19" ht="20">
      <c r="A1065" s="8">
        <v>43347.812916666662</v>
      </c>
      <c r="B1065" s="11" t="str">
        <f>HYPERLINK("https://twitter.com/levionak","@levionak")</f>
        <v>@levionak</v>
      </c>
      <c r="C1065" s="6" t="s">
        <v>13987</v>
      </c>
      <c r="D1065" s="5" t="s">
        <v>13986</v>
      </c>
      <c r="E1065" s="9" t="str">
        <f>HYPERLINK("https://twitter.com/levionak/status/1036992432368508929","1036992432368508929")</f>
        <v>1036992432368508929</v>
      </c>
      <c r="F1065" s="4"/>
      <c r="G1065" s="10" t="s">
        <v>13985</v>
      </c>
      <c r="H1065" s="4"/>
      <c r="I1065" s="10" t="str">
        <f>HYPERLINK("http://twitter.com/download/iphone","Twitter for iPhone")</f>
        <v>Twitter for iPhone</v>
      </c>
      <c r="J1065" s="2">
        <v>399</v>
      </c>
      <c r="K1065" s="2">
        <v>228</v>
      </c>
      <c r="L1065" s="2">
        <v>2</v>
      </c>
      <c r="M1065" s="2"/>
      <c r="N1065" s="8">
        <v>41601.676354166666</v>
      </c>
      <c r="O1065" s="4" t="s">
        <v>5026</v>
      </c>
      <c r="P1065" s="3" t="s">
        <v>13984</v>
      </c>
      <c r="Q1065" s="4"/>
      <c r="R1065" s="4"/>
      <c r="S1065" s="9" t="str">
        <f>HYPERLINK("https://pbs.twimg.com/profile_images/1028270482645282816/BsmRa2Hl.jpg","View")</f>
        <v>View</v>
      </c>
    </row>
    <row r="1066" spans="1:19" ht="20">
      <c r="A1066" s="8">
        <v>43347.812407407408</v>
      </c>
      <c r="B1066" s="11" t="str">
        <f>HYPERLINK("https://twitter.com/sinarad159","@sinarad159")</f>
        <v>@sinarad159</v>
      </c>
      <c r="C1066" s="6" t="s">
        <v>13983</v>
      </c>
      <c r="D1066" s="5" t="s">
        <v>13982</v>
      </c>
      <c r="E1066" s="9" t="str">
        <f>HYPERLINK("https://twitter.com/sinarad159/status/1036992248100126720","1036992248100126720")</f>
        <v>1036992248100126720</v>
      </c>
      <c r="F1066" s="4"/>
      <c r="G1066" s="4"/>
      <c r="H1066" s="4"/>
      <c r="I1066" s="10" t="str">
        <f>HYPERLINK("http://twitter.com","Twitter Web Client")</f>
        <v>Twitter Web Client</v>
      </c>
      <c r="J1066" s="2">
        <v>16</v>
      </c>
      <c r="K1066" s="2">
        <v>56</v>
      </c>
      <c r="L1066" s="2">
        <v>0</v>
      </c>
      <c r="M1066" s="2"/>
      <c r="N1066" s="8">
        <v>42639.898229166662</v>
      </c>
      <c r="O1066" s="4"/>
      <c r="P1066" s="3"/>
      <c r="Q1066" s="4"/>
      <c r="R1066" s="4"/>
      <c r="S1066" s="9" t="str">
        <f>HYPERLINK("https://pbs.twimg.com/profile_images/780469163278082049/uMQnTQ1M.jpg","View")</f>
        <v>View</v>
      </c>
    </row>
    <row r="1067" spans="1:19" ht="40">
      <c r="A1067" s="8">
        <v>43347.810833333337</v>
      </c>
      <c r="B1067" s="11" t="str">
        <f>HYPERLINK("https://twitter.com/mohammad1908","@mohammad1908")</f>
        <v>@mohammad1908</v>
      </c>
      <c r="C1067" s="6" t="s">
        <v>2549</v>
      </c>
      <c r="D1067" s="5" t="s">
        <v>13981</v>
      </c>
      <c r="E1067" s="9" t="str">
        <f>HYPERLINK("https://twitter.com/mohammad1908/status/1036991674235277312","1036991674235277312")</f>
        <v>1036991674235277312</v>
      </c>
      <c r="F1067" s="4"/>
      <c r="G1067" s="4"/>
      <c r="H1067" s="4"/>
      <c r="I1067" s="10" t="str">
        <f>HYPERLINK("http://twitter.com","Twitter Web Client")</f>
        <v>Twitter Web Client</v>
      </c>
      <c r="J1067" s="2">
        <v>95</v>
      </c>
      <c r="K1067" s="2">
        <v>146</v>
      </c>
      <c r="L1067" s="2">
        <v>2</v>
      </c>
      <c r="M1067" s="2"/>
      <c r="N1067" s="8">
        <v>40998.572083333333</v>
      </c>
      <c r="O1067" s="4" t="s">
        <v>34</v>
      </c>
      <c r="P1067" s="3" t="s">
        <v>11004</v>
      </c>
      <c r="Q1067" s="4"/>
      <c r="R1067" s="4"/>
      <c r="S1067" s="9" t="str">
        <f>HYPERLINK("https://pbs.twimg.com/profile_images/698054305706852353/zsvD1zJV.jpg","View")</f>
        <v>View</v>
      </c>
    </row>
    <row r="1068" spans="1:19" ht="20">
      <c r="A1068" s="8">
        <v>43347.810034722221</v>
      </c>
      <c r="B1068" s="11" t="str">
        <f>HYPERLINK("https://twitter.com/alimoosavi786","@alimoosavi786")</f>
        <v>@alimoosavi786</v>
      </c>
      <c r="C1068" s="6" t="s">
        <v>13980</v>
      </c>
      <c r="D1068" s="5" t="s">
        <v>13979</v>
      </c>
      <c r="E1068" s="9" t="str">
        <f>HYPERLINK("https://twitter.com/alimoosavi786/status/1036991384572579840","1036991384572579840")</f>
        <v>1036991384572579840</v>
      </c>
      <c r="F1068" s="4"/>
      <c r="G1068" s="4"/>
      <c r="H1068" s="4"/>
      <c r="I1068" s="10" t="str">
        <f>HYPERLINK("http://twitter.com","Twitter Web Client")</f>
        <v>Twitter Web Client</v>
      </c>
      <c r="J1068" s="2">
        <v>8205</v>
      </c>
      <c r="K1068" s="2">
        <v>6876</v>
      </c>
      <c r="L1068" s="2">
        <v>34</v>
      </c>
      <c r="M1068" s="2"/>
      <c r="N1068" s="8">
        <v>42020.207407407404</v>
      </c>
      <c r="O1068" s="4" t="s">
        <v>13978</v>
      </c>
      <c r="P1068" s="3" t="s">
        <v>13977</v>
      </c>
      <c r="Q1068" s="10" t="s">
        <v>13976</v>
      </c>
      <c r="R1068" s="4"/>
      <c r="S1068" s="9" t="str">
        <f>HYPERLINK("https://pbs.twimg.com/profile_images/940367746801590280/dIf-L1FZ.jpg","View")</f>
        <v>View</v>
      </c>
    </row>
    <row r="1069" spans="1:19" ht="40">
      <c r="A1069" s="8">
        <v>43347.809479166666</v>
      </c>
      <c r="B1069" s="11" t="str">
        <f>HYPERLINK("https://twitter.com/TasnimPolitics","@TasnimPolitics")</f>
        <v>@TasnimPolitics</v>
      </c>
      <c r="C1069" s="6" t="s">
        <v>5899</v>
      </c>
      <c r="D1069" s="5" t="s">
        <v>13975</v>
      </c>
      <c r="E1069" s="9" t="str">
        <f>HYPERLINK("https://twitter.com/TasnimPolitics/status/1036991186035200000","1036991186035200000")</f>
        <v>1036991186035200000</v>
      </c>
      <c r="F1069" s="4"/>
      <c r="G1069" s="10" t="s">
        <v>13974</v>
      </c>
      <c r="H1069" s="4"/>
      <c r="I1069" s="10" t="str">
        <f>HYPERLINK("http://twitter.com/download/android","Twitter for Android")</f>
        <v>Twitter for Android</v>
      </c>
      <c r="J1069" s="2">
        <v>1953</v>
      </c>
      <c r="K1069" s="2">
        <v>2606</v>
      </c>
      <c r="L1069" s="2">
        <v>8</v>
      </c>
      <c r="M1069" s="2"/>
      <c r="N1069" s="8">
        <v>42873.233842592592</v>
      </c>
      <c r="O1069" s="4"/>
      <c r="P1069" s="3" t="s">
        <v>5897</v>
      </c>
      <c r="Q1069" s="10" t="s">
        <v>5896</v>
      </c>
      <c r="R1069" s="4"/>
      <c r="S1069" s="9" t="str">
        <f>HYPERLINK("https://pbs.twimg.com/profile_images/1024628781770854400/T9_cBfpi.jpg","View")</f>
        <v>View</v>
      </c>
    </row>
    <row r="1070" spans="1:19" ht="30">
      <c r="A1070" s="8">
        <v>43347.809247685189</v>
      </c>
      <c r="B1070" s="11" t="str">
        <f>HYPERLINK("https://twitter.com/So0k_So0k","@So0k_So0k")</f>
        <v>@So0k_So0k</v>
      </c>
      <c r="C1070" s="6" t="s">
        <v>7552</v>
      </c>
      <c r="D1070" s="5" t="s">
        <v>13973</v>
      </c>
      <c r="E1070" s="9" t="str">
        <f>HYPERLINK("https://twitter.com/So0k_So0k/status/1036991101113180166","1036991101113180166")</f>
        <v>1036991101113180166</v>
      </c>
      <c r="F1070" s="4"/>
      <c r="G1070" s="4"/>
      <c r="H1070" s="4"/>
      <c r="I1070" s="10" t="str">
        <f>HYPERLINK("http://twitter.com/download/iphone","Twitter for iPhone")</f>
        <v>Twitter for iPhone</v>
      </c>
      <c r="J1070" s="2">
        <v>252</v>
      </c>
      <c r="K1070" s="2">
        <v>121</v>
      </c>
      <c r="L1070" s="2">
        <v>2</v>
      </c>
      <c r="M1070" s="2"/>
      <c r="N1070" s="8">
        <v>39969.528923611113</v>
      </c>
      <c r="O1070" s="4" t="s">
        <v>34</v>
      </c>
      <c r="P1070" s="3" t="s">
        <v>7549</v>
      </c>
      <c r="Q1070" s="4"/>
      <c r="R1070" s="4"/>
      <c r="S1070" s="9" t="str">
        <f>HYPERLINK("https://pbs.twimg.com/profile_images/1031198966061453312/uCHlwVZ5.jpg","View")</f>
        <v>View</v>
      </c>
    </row>
    <row r="1071" spans="1:19" ht="40">
      <c r="A1071" s="8">
        <v>43347.809027777781</v>
      </c>
      <c r="B1071" s="11" t="str">
        <f>HYPERLINK("https://twitter.com/hamshahrinews","@hamshahrinews")</f>
        <v>@hamshahrinews</v>
      </c>
      <c r="C1071" s="6" t="s">
        <v>2149</v>
      </c>
      <c r="D1071" s="5" t="s">
        <v>13972</v>
      </c>
      <c r="E1071" s="9" t="str">
        <f>HYPERLINK("https://twitter.com/hamshahrinews/status/1036991020716548097","1036991020716548097")</f>
        <v>1036991020716548097</v>
      </c>
      <c r="F1071" s="10" t="s">
        <v>13971</v>
      </c>
      <c r="G1071" s="4"/>
      <c r="H1071" s="4"/>
      <c r="I1071" s="10" t="str">
        <f>HYPERLINK("https://about.twitter.com/products/tweetdeck","TweetDeck")</f>
        <v>TweetDeck</v>
      </c>
      <c r="J1071" s="2">
        <v>1900</v>
      </c>
      <c r="K1071" s="2">
        <v>13</v>
      </c>
      <c r="L1071" s="2">
        <v>39</v>
      </c>
      <c r="M1071" s="2"/>
      <c r="N1071" s="8">
        <v>42984.575752314813</v>
      </c>
      <c r="O1071" s="4" t="s">
        <v>133</v>
      </c>
      <c r="P1071" s="3" t="s">
        <v>2146</v>
      </c>
      <c r="Q1071" s="10" t="s">
        <v>2145</v>
      </c>
      <c r="R1071" s="4"/>
      <c r="S1071" s="9" t="str">
        <f>HYPERLINK("https://pbs.twimg.com/profile_images/918008480631533568/-awyAU90.jpg","View")</f>
        <v>View</v>
      </c>
    </row>
    <row r="1072" spans="1:19" ht="80">
      <c r="A1072" s="8">
        <v>43347.808252314819</v>
      </c>
      <c r="B1072" s="11" t="str">
        <f>HYPERLINK("https://twitter.com/BBCArdalan","@BBCArdalan")</f>
        <v>@BBCArdalan</v>
      </c>
      <c r="C1072" s="6" t="s">
        <v>13970</v>
      </c>
      <c r="D1072" s="5" t="s">
        <v>13969</v>
      </c>
      <c r="E1072" s="9" t="str">
        <f>HYPERLINK("https://twitter.com/BBCArdalan/status/1036990738523987969","1036990738523987969")</f>
        <v>1036990738523987969</v>
      </c>
      <c r="F1072" s="10" t="s">
        <v>13297</v>
      </c>
      <c r="G1072" s="10" t="s">
        <v>13296</v>
      </c>
      <c r="H1072" s="4"/>
      <c r="I1072" s="10" t="str">
        <f>HYPERLINK("http://twitter.com","Twitter Web Client")</f>
        <v>Twitter Web Client</v>
      </c>
      <c r="J1072" s="2">
        <v>12122</v>
      </c>
      <c r="K1072" s="2">
        <v>557</v>
      </c>
      <c r="L1072" s="2">
        <v>85</v>
      </c>
      <c r="M1072" s="2"/>
      <c r="N1072" s="8">
        <v>41460.809884259259</v>
      </c>
      <c r="O1072" s="4" t="s">
        <v>460</v>
      </c>
      <c r="P1072" s="3" t="s">
        <v>13968</v>
      </c>
      <c r="Q1072" s="10" t="s">
        <v>13967</v>
      </c>
      <c r="R1072" s="4"/>
      <c r="S1072" s="9" t="str">
        <f>HYPERLINK("https://pbs.twimg.com/profile_images/378800000092565982/ec33a47f7e68ff88b9a2bb58cfa60cde.jpeg","View")</f>
        <v>View</v>
      </c>
    </row>
    <row r="1073" spans="1:19" ht="30">
      <c r="A1073" s="8">
        <v>43347.807916666672</v>
      </c>
      <c r="B1073" s="11" t="str">
        <f>HYPERLINK("https://twitter.com/Amirr3365","@Amirr3365")</f>
        <v>@Amirr3365</v>
      </c>
      <c r="C1073" s="6" t="s">
        <v>1603</v>
      </c>
      <c r="D1073" s="5" t="s">
        <v>13966</v>
      </c>
      <c r="E1073" s="9" t="str">
        <f>HYPERLINK("https://twitter.com/Amirr3365/status/1036990619170816000","1036990619170816000")</f>
        <v>1036990619170816000</v>
      </c>
      <c r="F1073" s="4"/>
      <c r="G1073" s="4"/>
      <c r="H1073" s="4"/>
      <c r="I1073" s="10" t="str">
        <f>HYPERLINK("http://twitter.com/download/iphone","Twitter for iPhone")</f>
        <v>Twitter for iPhone</v>
      </c>
      <c r="J1073" s="2">
        <v>8</v>
      </c>
      <c r="K1073" s="2">
        <v>16</v>
      </c>
      <c r="L1073" s="2">
        <v>0</v>
      </c>
      <c r="M1073" s="2"/>
      <c r="N1073" s="8">
        <v>42800.674745370372</v>
      </c>
      <c r="O1073" s="4" t="s">
        <v>1601</v>
      </c>
      <c r="P1073" s="3" t="s">
        <v>1600</v>
      </c>
      <c r="Q1073" s="4"/>
      <c r="R1073" s="4"/>
      <c r="S1073" s="9" t="str">
        <f>HYPERLINK("https://pbs.twimg.com/profile_images/982926527103930369/pIaU583m.jpg","View")</f>
        <v>View</v>
      </c>
    </row>
    <row r="1074" spans="1:19" ht="20">
      <c r="A1074" s="8">
        <v>43347.804895833338</v>
      </c>
      <c r="B1074" s="11" t="str">
        <f>HYPERLINK("https://twitter.com/ScriptBab","@ScriptBab")</f>
        <v>@ScriptBab</v>
      </c>
      <c r="C1074" s="6" t="s">
        <v>3044</v>
      </c>
      <c r="D1074" s="5" t="s">
        <v>13965</v>
      </c>
      <c r="E1074" s="9" t="str">
        <f>HYPERLINK("https://twitter.com/ScriptBab/status/1036989524478504961","1036989524478504961")</f>
        <v>1036989524478504961</v>
      </c>
      <c r="F1074" s="4"/>
      <c r="G1074" s="4"/>
      <c r="H1074" s="4"/>
      <c r="I1074" s="10" t="str">
        <f>HYPERLINK("http://twitter.com/download/android","Twitter for Android")</f>
        <v>Twitter for Android</v>
      </c>
      <c r="J1074" s="2">
        <v>4019</v>
      </c>
      <c r="K1074" s="2">
        <v>3708</v>
      </c>
      <c r="L1074" s="2">
        <v>8</v>
      </c>
      <c r="M1074" s="2"/>
      <c r="N1074" s="8">
        <v>40732.73096064815</v>
      </c>
      <c r="O1074" s="4"/>
      <c r="P1074" s="3" t="s">
        <v>3042</v>
      </c>
      <c r="Q1074" s="4"/>
      <c r="R1074" s="4"/>
      <c r="S1074" s="9" t="str">
        <f>HYPERLINK("https://pbs.twimg.com/profile_images/1029594626854985728/VuJgJ670.jpg","View")</f>
        <v>View</v>
      </c>
    </row>
    <row r="1075" spans="1:19" ht="40">
      <c r="A1075" s="8">
        <v>43347.80431712963</v>
      </c>
      <c r="B1075" s="11" t="str">
        <f>HYPERLINK("https://twitter.com/jahaneghtesad","@jahaneghtesad")</f>
        <v>@jahaneghtesad</v>
      </c>
      <c r="C1075" s="6" t="s">
        <v>3825</v>
      </c>
      <c r="D1075" s="5" t="s">
        <v>13964</v>
      </c>
      <c r="E1075" s="9" t="str">
        <f>HYPERLINK("https://twitter.com/jahaneghtesad/status/1036989312229883904","1036989312229883904")</f>
        <v>1036989312229883904</v>
      </c>
      <c r="F1075" s="10" t="s">
        <v>13963</v>
      </c>
      <c r="G1075" s="4"/>
      <c r="H1075" s="4"/>
      <c r="I1075" s="10" t="str">
        <f>HYPERLINK("http://www.facebook.com/twitter","Facebook")</f>
        <v>Facebook</v>
      </c>
      <c r="J1075" s="2">
        <v>4886</v>
      </c>
      <c r="K1075" s="2">
        <v>787</v>
      </c>
      <c r="L1075" s="2">
        <v>28</v>
      </c>
      <c r="M1075" s="2"/>
      <c r="N1075" s="8">
        <v>41545.644293981481</v>
      </c>
      <c r="O1075" s="4" t="s">
        <v>3822</v>
      </c>
      <c r="P1075" s="3" t="s">
        <v>3821</v>
      </c>
      <c r="Q1075" s="10" t="s">
        <v>3820</v>
      </c>
      <c r="R1075" s="4"/>
      <c r="S1075" s="9" t="str">
        <f>HYPERLINK("https://pbs.twimg.com/profile_images/811481297583570944/o_qyc9Hu.jpg","View")</f>
        <v>View</v>
      </c>
    </row>
    <row r="1076" spans="1:19" ht="70">
      <c r="A1076" s="8">
        <v>43347.80405092593</v>
      </c>
      <c r="B1076" s="11" t="str">
        <f>HYPERLINK("https://twitter.com/NewDenzel","@NewDenzel")</f>
        <v>@NewDenzel</v>
      </c>
      <c r="C1076" s="6" t="s">
        <v>13962</v>
      </c>
      <c r="D1076" s="5" t="s">
        <v>13961</v>
      </c>
      <c r="E1076" s="9" t="str">
        <f>HYPERLINK("https://twitter.com/NewDenzel/status/1036989219711995904","1036989219711995904")</f>
        <v>1036989219711995904</v>
      </c>
      <c r="F1076" s="10" t="s">
        <v>13960</v>
      </c>
      <c r="G1076" s="4"/>
      <c r="H1076" s="4"/>
      <c r="I1076" s="10" t="str">
        <f>HYPERLINK("http://twitter.com/download/iphone","Twitter for iPhone")</f>
        <v>Twitter for iPhone</v>
      </c>
      <c r="J1076" s="2">
        <v>109</v>
      </c>
      <c r="K1076" s="2">
        <v>164</v>
      </c>
      <c r="L1076" s="2">
        <v>0</v>
      </c>
      <c r="M1076" s="2"/>
      <c r="N1076" s="8">
        <v>43112.038020833337</v>
      </c>
      <c r="O1076" s="4" t="s">
        <v>894</v>
      </c>
      <c r="P1076" s="3"/>
      <c r="Q1076" s="4"/>
      <c r="R1076" s="4"/>
      <c r="S1076" s="9" t="str">
        <f>HYPERLINK("https://pbs.twimg.com/profile_images/1028556460110819328/dffj41lE.jpg","View")</f>
        <v>View</v>
      </c>
    </row>
    <row r="1077" spans="1:19" ht="30">
      <c r="A1077" s="8">
        <v>43347.803784722222</v>
      </c>
      <c r="B1077" s="11" t="str">
        <f>HYPERLINK("https://twitter.com/solo2071","@solo2071")</f>
        <v>@solo2071</v>
      </c>
      <c r="C1077" s="6" t="s">
        <v>13959</v>
      </c>
      <c r="D1077" s="5" t="s">
        <v>13958</v>
      </c>
      <c r="E1077" s="9" t="str">
        <f>HYPERLINK("https://twitter.com/solo2071/status/1036989120344670208","1036989120344670208")</f>
        <v>1036989120344670208</v>
      </c>
      <c r="F1077" s="4"/>
      <c r="G1077" s="4"/>
      <c r="H1077" s="4"/>
      <c r="I1077" s="10" t="str">
        <f>HYPERLINK("http://twitter.com/download/android","Twitter for Android")</f>
        <v>Twitter for Android</v>
      </c>
      <c r="J1077" s="2">
        <v>16</v>
      </c>
      <c r="K1077" s="2">
        <v>32</v>
      </c>
      <c r="L1077" s="2">
        <v>0</v>
      </c>
      <c r="M1077" s="2"/>
      <c r="N1077" s="8">
        <v>40600.385115740741</v>
      </c>
      <c r="O1077" s="4" t="s">
        <v>3589</v>
      </c>
      <c r="P1077" s="3"/>
      <c r="Q1077" s="4"/>
      <c r="R1077" s="4"/>
      <c r="S1077" s="9" t="str">
        <f>HYPERLINK("https://pbs.twimg.com/profile_images/717384835912761344/6-qXM4c4.jpg","View")</f>
        <v>View</v>
      </c>
    </row>
    <row r="1078" spans="1:19" ht="30">
      <c r="A1078" s="8">
        <v>43347.803564814814</v>
      </c>
      <c r="B1078" s="11" t="str">
        <f>HYPERLINK("https://twitter.com/GolRookh","@GolRookh")</f>
        <v>@GolRookh</v>
      </c>
      <c r="C1078" s="6" t="s">
        <v>13957</v>
      </c>
      <c r="D1078" s="5" t="s">
        <v>13956</v>
      </c>
      <c r="E1078" s="9" t="str">
        <f>HYPERLINK("https://twitter.com/GolRookh/status/1036989041361776641","1036989041361776641")</f>
        <v>1036989041361776641</v>
      </c>
      <c r="F1078" s="4"/>
      <c r="G1078" s="4"/>
      <c r="H1078" s="4"/>
      <c r="I1078" s="10" t="str">
        <f>HYPERLINK("http://twitter.com/download/iphone","Twitter for iPhone")</f>
        <v>Twitter for iPhone</v>
      </c>
      <c r="J1078" s="2">
        <v>8</v>
      </c>
      <c r="K1078" s="2">
        <v>73</v>
      </c>
      <c r="L1078" s="2">
        <v>0</v>
      </c>
      <c r="M1078" s="2"/>
      <c r="N1078" s="8">
        <v>43047.762835648144</v>
      </c>
      <c r="O1078" s="4" t="s">
        <v>13955</v>
      </c>
      <c r="P1078" s="3"/>
      <c r="Q1078" s="4"/>
      <c r="R1078" s="4"/>
      <c r="S1078" s="9" t="str">
        <f>HYPERLINK("https://pbs.twimg.com/profile_images/945686245237252098/f6uSfc1r.jpg","View")</f>
        <v>View</v>
      </c>
    </row>
    <row r="1079" spans="1:19" ht="40">
      <c r="A1079" s="8">
        <v>43347.802465277782</v>
      </c>
      <c r="B1079" s="11" t="str">
        <f>HYPERLINK("https://twitter.com/P_McKale","@P_McKale")</f>
        <v>@P_McKale</v>
      </c>
      <c r="C1079" s="6" t="s">
        <v>2883</v>
      </c>
      <c r="D1079" s="5" t="s">
        <v>13954</v>
      </c>
      <c r="E1079" s="9" t="str">
        <f>HYPERLINK("https://twitter.com/P_McKale/status/1036988644236689408","1036988644236689408")</f>
        <v>1036988644236689408</v>
      </c>
      <c r="F1079" s="4"/>
      <c r="G1079" s="4"/>
      <c r="H1079" s="4"/>
      <c r="I1079" s="10" t="str">
        <f>HYPERLINK("http://twitter.com","Twitter Web Client")</f>
        <v>Twitter Web Client</v>
      </c>
      <c r="J1079" s="2">
        <v>26</v>
      </c>
      <c r="K1079" s="2">
        <v>19</v>
      </c>
      <c r="L1079" s="2">
        <v>0</v>
      </c>
      <c r="M1079" s="2"/>
      <c r="N1079" s="8">
        <v>41780.072696759264</v>
      </c>
      <c r="O1079" s="4"/>
      <c r="P1079" s="3"/>
      <c r="Q1079" s="4"/>
      <c r="R1079" s="4"/>
      <c r="S1079" s="9" t="str">
        <f>HYPERLINK("https://pbs.twimg.com/profile_images/956811724623155200/3YDKy13f.jpg","View")</f>
        <v>View</v>
      </c>
    </row>
    <row r="1080" spans="1:19" ht="20">
      <c r="A1080" s="8">
        <v>43347.801261574074</v>
      </c>
      <c r="B1080" s="11" t="str">
        <f>HYPERLINK("https://twitter.com/MarAliiim","@MarAliiim")</f>
        <v>@MarAliiim</v>
      </c>
      <c r="C1080" s="6" t="s">
        <v>13953</v>
      </c>
      <c r="D1080" s="5" t="s">
        <v>13952</v>
      </c>
      <c r="E1080" s="9" t="str">
        <f>HYPERLINK("https://twitter.com/MarAliiim/status/1036988208939249665","1036988208939249665")</f>
        <v>1036988208939249665</v>
      </c>
      <c r="F1080" s="4"/>
      <c r="G1080" s="4"/>
      <c r="H1080" s="4"/>
      <c r="I1080" s="10" t="str">
        <f>HYPERLINK("http://twitter.com/download/iphone","Twitter for iPhone")</f>
        <v>Twitter for iPhone</v>
      </c>
      <c r="J1080" s="2">
        <v>1392</v>
      </c>
      <c r="K1080" s="2">
        <v>333</v>
      </c>
      <c r="L1080" s="2">
        <v>12</v>
      </c>
      <c r="M1080" s="2"/>
      <c r="N1080" s="8">
        <v>41139.463263888887</v>
      </c>
      <c r="O1080" s="4" t="s">
        <v>13951</v>
      </c>
      <c r="P1080" s="3" t="s">
        <v>13950</v>
      </c>
      <c r="Q1080" s="4"/>
      <c r="R1080" s="4"/>
      <c r="S1080" s="9" t="str">
        <f>HYPERLINK("https://pbs.twimg.com/profile_images/1013136648803151877/ZFGXncoV.jpg","View")</f>
        <v>View</v>
      </c>
    </row>
    <row r="1081" spans="1:19" ht="40">
      <c r="A1081" s="8">
        <v>43347.801238425927</v>
      </c>
      <c r="B1081" s="11" t="str">
        <f>HYPERLINK("https://twitter.com/HosseinEM1","@HosseinEM1")</f>
        <v>@HosseinEM1</v>
      </c>
      <c r="C1081" s="6" t="s">
        <v>13949</v>
      </c>
      <c r="D1081" s="5" t="s">
        <v>13948</v>
      </c>
      <c r="E1081" s="9" t="str">
        <f>HYPERLINK("https://twitter.com/HosseinEM1/status/1036988198801625088","1036988198801625088")</f>
        <v>1036988198801625088</v>
      </c>
      <c r="F1081" s="4"/>
      <c r="G1081" s="4"/>
      <c r="H1081" s="4"/>
      <c r="I1081" s="10" t="str">
        <f>HYPERLINK("http://twitter.com/download/android","Twitter for Android")</f>
        <v>Twitter for Android</v>
      </c>
      <c r="J1081" s="2">
        <v>66</v>
      </c>
      <c r="K1081" s="2">
        <v>179</v>
      </c>
      <c r="L1081" s="2">
        <v>0</v>
      </c>
      <c r="M1081" s="2"/>
      <c r="N1081" s="8">
        <v>43272.548796296294</v>
      </c>
      <c r="O1081" s="4" t="s">
        <v>324</v>
      </c>
      <c r="P1081" s="3" t="s">
        <v>13947</v>
      </c>
      <c r="Q1081" s="4"/>
      <c r="R1081" s="4"/>
      <c r="S1081" s="9" t="str">
        <f>HYPERLINK("https://pbs.twimg.com/profile_images/1031264504200548352/WW_-hqob.jpg","View")</f>
        <v>View</v>
      </c>
    </row>
    <row r="1082" spans="1:19" ht="30">
      <c r="A1082" s="8">
        <v>43347.800405092596</v>
      </c>
      <c r="B1082" s="11" t="str">
        <f>HYPERLINK("https://twitter.com/zoljenan","@zoljenan")</f>
        <v>@zoljenan</v>
      </c>
      <c r="C1082" s="6" t="s">
        <v>1133</v>
      </c>
      <c r="D1082" s="5" t="s">
        <v>13946</v>
      </c>
      <c r="E1082" s="9" t="str">
        <f>HYPERLINK("https://twitter.com/zoljenan/status/1036987896878772224","1036987896878772224")</f>
        <v>1036987896878772224</v>
      </c>
      <c r="F1082" s="4"/>
      <c r="G1082" s="4"/>
      <c r="H1082" s="4"/>
      <c r="I1082" s="10" t="str">
        <f>HYPERLINK("http://twitter.com","Twitter Web Client")</f>
        <v>Twitter Web Client</v>
      </c>
      <c r="J1082" s="2">
        <v>1128</v>
      </c>
      <c r="K1082" s="2">
        <v>1981</v>
      </c>
      <c r="L1082" s="2">
        <v>1</v>
      </c>
      <c r="M1082" s="2"/>
      <c r="N1082" s="8">
        <v>42967.879629629635</v>
      </c>
      <c r="O1082" s="4" t="s">
        <v>34</v>
      </c>
      <c r="P1082" s="3" t="s">
        <v>1131</v>
      </c>
      <c r="Q1082" s="10" t="s">
        <v>1130</v>
      </c>
      <c r="R1082" s="4"/>
      <c r="S1082" s="9" t="str">
        <f>HYPERLINK("https://pbs.twimg.com/profile_images/998224455548612608/hWM4fqeu.jpg","View")</f>
        <v>View</v>
      </c>
    </row>
    <row r="1083" spans="1:19" ht="40">
      <c r="A1083" s="8">
        <v>43347.799756944441</v>
      </c>
      <c r="B1083" s="11" t="str">
        <f>HYPERLINK("https://twitter.com/mohsenrezaei_","@mohsenrezaei_")</f>
        <v>@mohsenrezaei_</v>
      </c>
      <c r="C1083" s="6" t="s">
        <v>12521</v>
      </c>
      <c r="D1083" s="5" t="s">
        <v>13945</v>
      </c>
      <c r="E1083" s="9" t="str">
        <f>HYPERLINK("https://twitter.com/mohsenrezaei_/status/1036987663025360898","1036987663025360898")</f>
        <v>1036987663025360898</v>
      </c>
      <c r="F1083" s="4"/>
      <c r="G1083" s="4"/>
      <c r="H1083" s="4"/>
      <c r="I1083" s="10" t="str">
        <f>HYPERLINK("http://twitter.com/download/android","Twitter for Android")</f>
        <v>Twitter for Android</v>
      </c>
      <c r="J1083" s="2">
        <v>327</v>
      </c>
      <c r="K1083" s="2">
        <v>231</v>
      </c>
      <c r="L1083" s="2">
        <v>1</v>
      </c>
      <c r="M1083" s="2"/>
      <c r="N1083" s="8">
        <v>43179.03188657407</v>
      </c>
      <c r="O1083" s="4" t="s">
        <v>12519</v>
      </c>
      <c r="P1083" s="3" t="s">
        <v>12518</v>
      </c>
      <c r="Q1083" s="4"/>
      <c r="R1083" s="4"/>
      <c r="S1083" s="9" t="str">
        <f>HYPERLINK("https://pbs.twimg.com/profile_images/1013568545135976448/JqDmR_tC.jpg","View")</f>
        <v>View</v>
      </c>
    </row>
    <row r="1084" spans="1:19" ht="40">
      <c r="A1084" s="8">
        <v>43347.798020833332</v>
      </c>
      <c r="B1084" s="11" t="str">
        <f>HYPERLINK("https://twitter.com/4QHfH2SawLVx1hQ","@4QHfH2SawLVx1hQ")</f>
        <v>@4QHfH2SawLVx1hQ</v>
      </c>
      <c r="C1084" s="6" t="s">
        <v>13944</v>
      </c>
      <c r="D1084" s="5" t="s">
        <v>13943</v>
      </c>
      <c r="E1084" s="9" t="str">
        <f>HYPERLINK("https://twitter.com/4QHfH2SawLVx1hQ/status/1036987033846259718","1036987033846259718")</f>
        <v>1036987033846259718</v>
      </c>
      <c r="F1084" s="4"/>
      <c r="G1084" s="4"/>
      <c r="H1084" s="4"/>
      <c r="I1084" s="10" t="str">
        <f>HYPERLINK("http://twitter.com/download/android","Twitter for Android")</f>
        <v>Twitter for Android</v>
      </c>
      <c r="J1084" s="2">
        <v>2829</v>
      </c>
      <c r="K1084" s="2">
        <v>2867</v>
      </c>
      <c r="L1084" s="2">
        <v>1</v>
      </c>
      <c r="M1084" s="2"/>
      <c r="N1084" s="8">
        <v>43257.966817129629</v>
      </c>
      <c r="O1084" s="4" t="s">
        <v>13942</v>
      </c>
      <c r="P1084" s="3" t="s">
        <v>13941</v>
      </c>
      <c r="Q1084" s="4"/>
      <c r="R1084" s="4"/>
      <c r="S1084" s="9" t="str">
        <f>HYPERLINK("https://pbs.twimg.com/profile_images/1032625807125041152/zudlWum7.jpg","View")</f>
        <v>View</v>
      </c>
    </row>
    <row r="1085" spans="1:19" ht="40">
      <c r="A1085" s="8">
        <v>43347.797835648147</v>
      </c>
      <c r="B1085" s="11" t="str">
        <f>HYPERLINK("https://twitter.com/hamed_h313","@hamed_h313")</f>
        <v>@hamed_h313</v>
      </c>
      <c r="C1085" s="6" t="s">
        <v>13940</v>
      </c>
      <c r="D1085" s="5" t="s">
        <v>13939</v>
      </c>
      <c r="E1085" s="9" t="str">
        <f>HYPERLINK("https://twitter.com/hamed_h313/status/1036986964258500610","1036986964258500610")</f>
        <v>1036986964258500610</v>
      </c>
      <c r="F1085" s="4"/>
      <c r="G1085" s="10" t="s">
        <v>13938</v>
      </c>
      <c r="H1085" s="4"/>
      <c r="I1085" s="10" t="str">
        <f>HYPERLINK("http://twitter.com/download/android","Twitter for Android")</f>
        <v>Twitter for Android</v>
      </c>
      <c r="J1085" s="2">
        <v>1766</v>
      </c>
      <c r="K1085" s="2">
        <v>496</v>
      </c>
      <c r="L1085" s="2">
        <v>7</v>
      </c>
      <c r="M1085" s="2"/>
      <c r="N1085" s="8">
        <v>42756.229791666672</v>
      </c>
      <c r="O1085" s="4" t="s">
        <v>17</v>
      </c>
      <c r="P1085" s="3" t="s">
        <v>13937</v>
      </c>
      <c r="Q1085" s="10" t="s">
        <v>13936</v>
      </c>
      <c r="R1085" s="4"/>
      <c r="S1085" s="9" t="str">
        <f>HYPERLINK("https://pbs.twimg.com/profile_images/1015683160816996354/GcjUen5V.jpg","View")</f>
        <v>View</v>
      </c>
    </row>
    <row r="1086" spans="1:19" ht="40">
      <c r="A1086" s="8">
        <v>43347.796539351853</v>
      </c>
      <c r="B1086" s="11" t="str">
        <f>HYPERLINK("https://twitter.com/6agwDbTkyO9CByu","@6agwDbTkyO9CByu")</f>
        <v>@6agwDbTkyO9CByu</v>
      </c>
      <c r="C1086" s="6" t="s">
        <v>13935</v>
      </c>
      <c r="D1086" s="5" t="s">
        <v>13934</v>
      </c>
      <c r="E1086" s="9" t="str">
        <f>HYPERLINK("https://twitter.com/6agwDbTkyO9CByu/status/1036986493770838016","1036986493770838016")</f>
        <v>1036986493770838016</v>
      </c>
      <c r="F1086" s="4"/>
      <c r="G1086" s="4"/>
      <c r="H1086" s="4"/>
      <c r="I1086" s="10" t="str">
        <f>HYPERLINK("http://twitter.com/download/android","Twitter for Android")</f>
        <v>Twitter for Android</v>
      </c>
      <c r="J1086" s="2">
        <v>95</v>
      </c>
      <c r="K1086" s="2">
        <v>460</v>
      </c>
      <c r="L1086" s="2">
        <v>0</v>
      </c>
      <c r="M1086" s="2"/>
      <c r="N1086" s="8">
        <v>43337.785185185188</v>
      </c>
      <c r="O1086" s="4"/>
      <c r="P1086" s="3" t="s">
        <v>13933</v>
      </c>
      <c r="Q1086" s="4"/>
      <c r="R1086" s="4"/>
      <c r="S1086" s="9" t="str">
        <f>HYPERLINK("https://pbs.twimg.com/profile_images/1034081494078312448/E1WQ0_xz.jpg","View")</f>
        <v>View</v>
      </c>
    </row>
    <row r="1087" spans="1:19" ht="30">
      <c r="A1087" s="8">
        <v>43347.796307870369</v>
      </c>
      <c r="B1087" s="11" t="str">
        <f>HYPERLINK("https://twitter.com/Marun_1","@Marun_1")</f>
        <v>@Marun_1</v>
      </c>
      <c r="C1087" s="6" t="s">
        <v>12926</v>
      </c>
      <c r="D1087" s="5" t="s">
        <v>13932</v>
      </c>
      <c r="E1087" s="9" t="str">
        <f>HYPERLINK("https://twitter.com/Marun_1/status/1036986413403791360","1036986413403791360")</f>
        <v>1036986413403791360</v>
      </c>
      <c r="F1087" s="4"/>
      <c r="G1087" s="4"/>
      <c r="H1087" s="4"/>
      <c r="I1087" s="10" t="str">
        <f>HYPERLINK("http://twitter.com/download/android","Twitter for Android")</f>
        <v>Twitter for Android</v>
      </c>
      <c r="J1087" s="2">
        <v>136</v>
      </c>
      <c r="K1087" s="2">
        <v>182</v>
      </c>
      <c r="L1087" s="2">
        <v>2</v>
      </c>
      <c r="M1087" s="2"/>
      <c r="N1087" s="8">
        <v>39957.826157407406</v>
      </c>
      <c r="O1087" s="4"/>
      <c r="P1087" s="3"/>
      <c r="Q1087" s="4"/>
      <c r="R1087" s="4"/>
      <c r="S1087" s="9" t="str">
        <f>HYPERLINK("https://pbs.twimg.com/profile_images/925427552893767680/2eph-mIb.jpg","View")</f>
        <v>View</v>
      </c>
    </row>
    <row r="1088" spans="1:19" ht="40">
      <c r="A1088" s="8">
        <v>43347.79215277778</v>
      </c>
      <c r="B1088" s="11" t="str">
        <f>HYPERLINK("https://twitter.com/news365_online","@news365_online")</f>
        <v>@news365_online</v>
      </c>
      <c r="C1088" s="6" t="s">
        <v>2325</v>
      </c>
      <c r="D1088" s="5" t="s">
        <v>13931</v>
      </c>
      <c r="E1088" s="9" t="str">
        <f>HYPERLINK("https://twitter.com/news365_online/status/1036984906780434435","1036984906780434435")</f>
        <v>1036984906780434435</v>
      </c>
      <c r="F1088" s="10" t="s">
        <v>13930</v>
      </c>
      <c r="G1088" s="10" t="s">
        <v>13929</v>
      </c>
      <c r="H1088" s="4"/>
      <c r="I1088" s="10" t="str">
        <f>HYPERLINK("http://twitter.com/download/android","Twitter for Android")</f>
        <v>Twitter for Android</v>
      </c>
      <c r="J1088" s="2">
        <v>808</v>
      </c>
      <c r="K1088" s="2">
        <v>333</v>
      </c>
      <c r="L1088" s="2">
        <v>7</v>
      </c>
      <c r="M1088" s="2"/>
      <c r="N1088" s="8">
        <v>42809.003078703703</v>
      </c>
      <c r="O1088" s="4" t="s">
        <v>34</v>
      </c>
      <c r="P1088" s="3" t="s">
        <v>2322</v>
      </c>
      <c r="Q1088" s="10" t="s">
        <v>2321</v>
      </c>
      <c r="R1088" s="4"/>
      <c r="S1088" s="9" t="str">
        <f>HYPERLINK("https://pbs.twimg.com/profile_images/923199727667220480/A0Mv4a_i.jpg","View")</f>
        <v>View</v>
      </c>
    </row>
    <row r="1089" spans="1:19" ht="20">
      <c r="A1089" s="8">
        <v>43347.791354166664</v>
      </c>
      <c r="B1089" s="11" t="str">
        <f>HYPERLINK("https://twitter.com/Robinshabani","@Robinshabani")</f>
        <v>@Robinshabani</v>
      </c>
      <c r="C1089" s="6" t="s">
        <v>13928</v>
      </c>
      <c r="D1089" s="5" t="s">
        <v>13927</v>
      </c>
      <c r="E1089" s="9" t="str">
        <f>HYPERLINK("https://twitter.com/Robinshabani/status/1036984614999535616","1036984614999535616")</f>
        <v>1036984614999535616</v>
      </c>
      <c r="F1089" s="4"/>
      <c r="G1089" s="4"/>
      <c r="H1089" s="4"/>
      <c r="I1089" s="10" t="str">
        <f>HYPERLINK("http://twitter.com/download/android","Twitter for Android")</f>
        <v>Twitter for Android</v>
      </c>
      <c r="J1089" s="2">
        <v>34</v>
      </c>
      <c r="K1089" s="2">
        <v>96</v>
      </c>
      <c r="L1089" s="2">
        <v>0</v>
      </c>
      <c r="M1089" s="2"/>
      <c r="N1089" s="8">
        <v>43275.614722222221</v>
      </c>
      <c r="O1089" s="4"/>
      <c r="P1089" s="3" t="s">
        <v>13926</v>
      </c>
      <c r="Q1089" s="4"/>
      <c r="R1089" s="4"/>
      <c r="S1089" s="9" t="str">
        <f>HYPERLINK("https://pbs.twimg.com/profile_images/1010831611066281986/bXaMk_zv.jpg","View")</f>
        <v>View</v>
      </c>
    </row>
    <row r="1090" spans="1:19" ht="30">
      <c r="A1090" s="8">
        <v>43347.791249999995</v>
      </c>
      <c r="B1090" s="11" t="str">
        <f>HYPERLINK("https://twitter.com/vaghg7","@vaghg7")</f>
        <v>@vaghg7</v>
      </c>
      <c r="C1090" s="6" t="s">
        <v>2821</v>
      </c>
      <c r="D1090" s="5" t="s">
        <v>13925</v>
      </c>
      <c r="E1090" s="9" t="str">
        <f>HYPERLINK("https://twitter.com/vaghg7/status/1036984580538912769","1036984580538912769")</f>
        <v>1036984580538912769</v>
      </c>
      <c r="F1090" s="4"/>
      <c r="G1090" s="4"/>
      <c r="H1090" s="4"/>
      <c r="I1090" s="10" t="str">
        <f>HYPERLINK("http://twitter.com/download/android","Twitter for Android")</f>
        <v>Twitter for Android</v>
      </c>
      <c r="J1090" s="2">
        <v>521</v>
      </c>
      <c r="K1090" s="2">
        <v>1103</v>
      </c>
      <c r="L1090" s="2">
        <v>1</v>
      </c>
      <c r="M1090" s="2"/>
      <c r="N1090" s="8">
        <v>42908.410486111112</v>
      </c>
      <c r="O1090" s="4"/>
      <c r="P1090" s="3" t="s">
        <v>2819</v>
      </c>
      <c r="Q1090" s="4"/>
      <c r="R1090" s="4"/>
      <c r="S1090" s="9" t="str">
        <f>HYPERLINK("https://pbs.twimg.com/profile_images/877759799047278593/b6KnbVkx.jpg","View")</f>
        <v>View</v>
      </c>
    </row>
    <row r="1091" spans="1:19" ht="40">
      <c r="A1091" s="8">
        <v>43347.790671296301</v>
      </c>
      <c r="B1091" s="11" t="str">
        <f>HYPERLINK("https://twitter.com/atshan97","@atshan97")</f>
        <v>@atshan97</v>
      </c>
      <c r="C1091" s="6" t="s">
        <v>10829</v>
      </c>
      <c r="D1091" s="5" t="s">
        <v>13924</v>
      </c>
      <c r="E1091" s="9" t="str">
        <f>HYPERLINK("https://twitter.com/atshan97/status/1036984370479988746","1036984370479988746")</f>
        <v>1036984370479988746</v>
      </c>
      <c r="F1091" s="4"/>
      <c r="G1091" s="10" t="s">
        <v>13923</v>
      </c>
      <c r="H1091" s="4"/>
      <c r="I1091" s="10" t="str">
        <f>HYPERLINK("http://twitter.com/download/android","Twitter for Android")</f>
        <v>Twitter for Android</v>
      </c>
      <c r="J1091" s="2">
        <v>71</v>
      </c>
      <c r="K1091" s="2">
        <v>53</v>
      </c>
      <c r="L1091" s="2">
        <v>0</v>
      </c>
      <c r="M1091" s="2"/>
      <c r="N1091" s="8">
        <v>43146.583449074074</v>
      </c>
      <c r="O1091" s="4"/>
      <c r="P1091" s="3" t="s">
        <v>10827</v>
      </c>
      <c r="Q1091" s="4"/>
      <c r="R1091" s="4"/>
      <c r="S1091" s="9" t="str">
        <f>HYPERLINK("https://pbs.twimg.com/profile_images/964086007980179456/BgKXoD-x.jpg","View")</f>
        <v>View</v>
      </c>
    </row>
    <row r="1092" spans="1:19" ht="40">
      <c r="A1092" s="8">
        <v>43347.79011574074</v>
      </c>
      <c r="B1092" s="11" t="str">
        <f>HYPERLINK("https://twitter.com/Mohsen19056872","@Mohsen19056872")</f>
        <v>@Mohsen19056872</v>
      </c>
      <c r="C1092" s="6" t="s">
        <v>1823</v>
      </c>
      <c r="D1092" s="5" t="s">
        <v>13922</v>
      </c>
      <c r="E1092" s="9" t="str">
        <f>HYPERLINK("https://twitter.com/Mohsen19056872/status/1036984167114924033","1036984167114924033")</f>
        <v>1036984167114924033</v>
      </c>
      <c r="F1092" s="4"/>
      <c r="G1092" s="4"/>
      <c r="H1092" s="4"/>
      <c r="I1092" s="10" t="str">
        <f>HYPERLINK("http://twitter.com/download/android","Twitter for Android")</f>
        <v>Twitter for Android</v>
      </c>
      <c r="J1092" s="2">
        <v>3</v>
      </c>
      <c r="K1092" s="2">
        <v>14</v>
      </c>
      <c r="L1092" s="2">
        <v>0</v>
      </c>
      <c r="M1092" s="2"/>
      <c r="N1092" s="8">
        <v>43100.703680555554</v>
      </c>
      <c r="O1092" s="4" t="s">
        <v>17</v>
      </c>
      <c r="P1092" s="3"/>
      <c r="Q1092" s="4"/>
      <c r="R1092" s="4"/>
      <c r="S1092" s="9" t="str">
        <f>HYPERLINK("https://pbs.twimg.com/profile_images/950043339918856192/fmE5YJco.jpg","View")</f>
        <v>View</v>
      </c>
    </row>
    <row r="1093" spans="1:19" ht="30">
      <c r="A1093" s="8">
        <v>43347.789722222224</v>
      </c>
      <c r="B1093" s="11" t="str">
        <f>HYPERLINK("https://twitter.com/seyyedjavad92","@seyyedjavad92")</f>
        <v>@seyyedjavad92</v>
      </c>
      <c r="C1093" s="6" t="s">
        <v>2108</v>
      </c>
      <c r="D1093" s="5" t="s">
        <v>13921</v>
      </c>
      <c r="E1093" s="9" t="str">
        <f>HYPERLINK("https://twitter.com/seyyedjavad92/status/1036984025796276225","1036984025796276225")</f>
        <v>1036984025796276225</v>
      </c>
      <c r="F1093" s="4"/>
      <c r="G1093" s="10" t="s">
        <v>13920</v>
      </c>
      <c r="H1093" s="4"/>
      <c r="I1093" s="10" t="str">
        <f>HYPERLINK("http://twitter.com/download/android","Twitter for Android")</f>
        <v>Twitter for Android</v>
      </c>
      <c r="J1093" s="2">
        <v>130</v>
      </c>
      <c r="K1093" s="2">
        <v>123</v>
      </c>
      <c r="L1093" s="2">
        <v>1</v>
      </c>
      <c r="M1093" s="2"/>
      <c r="N1093" s="8">
        <v>41612.475891203707</v>
      </c>
      <c r="O1093" s="4"/>
      <c r="P1093" s="3" t="s">
        <v>2106</v>
      </c>
      <c r="Q1093" s="4"/>
      <c r="R1093" s="4"/>
      <c r="S1093" s="9" t="str">
        <f>HYPERLINK("https://pbs.twimg.com/profile_images/1004423608138194945/NlJmGAov.jpg","View")</f>
        <v>View</v>
      </c>
    </row>
    <row r="1094" spans="1:19" ht="30">
      <c r="A1094" s="8">
        <v>43347.789618055554</v>
      </c>
      <c r="B1094" s="11" t="str">
        <f>HYPERLINK("https://twitter.com/mojtaba1366622","@mojtaba1366622")</f>
        <v>@mojtaba1366622</v>
      </c>
      <c r="C1094" s="6" t="s">
        <v>13919</v>
      </c>
      <c r="D1094" s="5" t="s">
        <v>13918</v>
      </c>
      <c r="E1094" s="9" t="str">
        <f>HYPERLINK("https://twitter.com/mojtaba1366622/status/1036983988169134081","1036983988169134081")</f>
        <v>1036983988169134081</v>
      </c>
      <c r="F1094" s="4"/>
      <c r="G1094" s="4"/>
      <c r="H1094" s="4"/>
      <c r="I1094" s="10" t="str">
        <f>HYPERLINK("http://twitter.com/download/android","Twitter for Android")</f>
        <v>Twitter for Android</v>
      </c>
      <c r="J1094" s="2">
        <v>578</v>
      </c>
      <c r="K1094" s="2">
        <v>157</v>
      </c>
      <c r="L1094" s="2">
        <v>1</v>
      </c>
      <c r="M1094" s="2"/>
      <c r="N1094" s="8">
        <v>42178.976041666669</v>
      </c>
      <c r="O1094" s="4" t="s">
        <v>13917</v>
      </c>
      <c r="P1094" s="3" t="s">
        <v>13916</v>
      </c>
      <c r="Q1094" s="4"/>
      <c r="R1094" s="4"/>
      <c r="S1094" s="9" t="str">
        <f>HYPERLINK("https://pbs.twimg.com/profile_images/1000857883079266304/qTaVQfyq.jpg","View")</f>
        <v>View</v>
      </c>
    </row>
    <row r="1095" spans="1:19" ht="60">
      <c r="A1095" s="8">
        <v>43347.786770833336</v>
      </c>
      <c r="B1095" s="11" t="str">
        <f>HYPERLINK("https://twitter.com/makazemnazari","@makazemnazari")</f>
        <v>@makazemnazari</v>
      </c>
      <c r="C1095" s="6" t="s">
        <v>13915</v>
      </c>
      <c r="D1095" s="5" t="s">
        <v>13914</v>
      </c>
      <c r="E1095" s="9" t="str">
        <f>HYPERLINK("https://twitter.com/makazemnazari/status/1036982955569242112","1036982955569242112")</f>
        <v>1036982955569242112</v>
      </c>
      <c r="F1095" s="4" t="s">
        <v>13913</v>
      </c>
      <c r="G1095" s="4"/>
      <c r="H1095" s="4"/>
      <c r="I1095" s="10" t="str">
        <f>HYPERLINK("http://twitter.com/download/iphone","Twitter for iPhone")</f>
        <v>Twitter for iPhone</v>
      </c>
      <c r="J1095" s="2">
        <v>93</v>
      </c>
      <c r="K1095" s="2">
        <v>166</v>
      </c>
      <c r="L1095" s="2">
        <v>2</v>
      </c>
      <c r="M1095" s="2"/>
      <c r="N1095" s="8">
        <v>42512.493946759263</v>
      </c>
      <c r="O1095" s="4" t="s">
        <v>104</v>
      </c>
      <c r="P1095" s="3" t="s">
        <v>13912</v>
      </c>
      <c r="Q1095" s="10" t="s">
        <v>13911</v>
      </c>
      <c r="R1095" s="4"/>
      <c r="S1095" s="9" t="str">
        <f>HYPERLINK("https://pbs.twimg.com/profile_images/803632279985786880/p_SLGj1o.jpg","View")</f>
        <v>View</v>
      </c>
    </row>
    <row r="1096" spans="1:19" ht="80">
      <c r="A1096" s="8">
        <v>43347.785775462966</v>
      </c>
      <c r="B1096" s="11" t="str">
        <f>HYPERLINK("https://twitter.com/alichahe","@alichahe")</f>
        <v>@alichahe</v>
      </c>
      <c r="C1096" s="6" t="s">
        <v>13910</v>
      </c>
      <c r="D1096" s="5" t="s">
        <v>13909</v>
      </c>
      <c r="E1096" s="9" t="str">
        <f>HYPERLINK("https://twitter.com/alichahe/status/1036982593105870848","1036982593105870848")</f>
        <v>1036982593105870848</v>
      </c>
      <c r="F1096" s="10" t="s">
        <v>13908</v>
      </c>
      <c r="G1096" s="10" t="s">
        <v>13907</v>
      </c>
      <c r="H1096" s="4"/>
      <c r="I1096" s="10" t="str">
        <f>HYPERLINK("http://twitter.com/download/android","Twitter for Android")</f>
        <v>Twitter for Android</v>
      </c>
      <c r="J1096" s="2">
        <v>3217</v>
      </c>
      <c r="K1096" s="2">
        <v>3299</v>
      </c>
      <c r="L1096" s="2">
        <v>6</v>
      </c>
      <c r="M1096" s="2"/>
      <c r="N1096" s="8">
        <v>43020.555162037039</v>
      </c>
      <c r="O1096" s="4" t="s">
        <v>34</v>
      </c>
      <c r="P1096" s="3" t="s">
        <v>13906</v>
      </c>
      <c r="Q1096" s="4"/>
      <c r="R1096" s="4"/>
      <c r="S1096" s="9" t="str">
        <f>HYPERLINK("https://pbs.twimg.com/profile_images/1036485640727261185/bKcLo1-i.jpg","View")</f>
        <v>View</v>
      </c>
    </row>
    <row r="1097" spans="1:19" ht="40">
      <c r="A1097" s="8">
        <v>43347.783692129626</v>
      </c>
      <c r="B1097" s="11" t="str">
        <f>HYPERLINK("https://twitter.com/ManotoNews","@ManotoNews")</f>
        <v>@ManotoNews</v>
      </c>
      <c r="C1097" s="6" t="s">
        <v>1174</v>
      </c>
      <c r="D1097" s="5" t="s">
        <v>13905</v>
      </c>
      <c r="E1097" s="9" t="str">
        <f>HYPERLINK("https://twitter.com/ManotoNews/status/1036981841117503489","1036981841117503489")</f>
        <v>1036981841117503489</v>
      </c>
      <c r="F1097" s="4"/>
      <c r="G1097" s="4"/>
      <c r="H1097" s="4"/>
      <c r="I1097" s="10" t="str">
        <f>HYPERLINK("http://www.socialflow.com","SocialFlow")</f>
        <v>SocialFlow</v>
      </c>
      <c r="J1097" s="2">
        <v>448173</v>
      </c>
      <c r="K1097" s="2">
        <v>16</v>
      </c>
      <c r="L1097" s="2">
        <v>620</v>
      </c>
      <c r="M1097" s="2" t="s">
        <v>80</v>
      </c>
      <c r="N1097" s="8">
        <v>40859.711631944447</v>
      </c>
      <c r="O1097" s="4" t="s">
        <v>460</v>
      </c>
      <c r="P1097" s="3" t="s">
        <v>1171</v>
      </c>
      <c r="Q1097" s="10" t="s">
        <v>1170</v>
      </c>
      <c r="R1097" s="4"/>
      <c r="S1097" s="9" t="str">
        <f>HYPERLINK("https://pbs.twimg.com/profile_images/976899507744051201/07FIeivp.jpg","View")</f>
        <v>View</v>
      </c>
    </row>
    <row r="1098" spans="1:19" ht="70">
      <c r="A1098" s="8">
        <v>43347.782453703709</v>
      </c>
      <c r="B1098" s="11" t="str">
        <f>HYPERLINK("https://twitter.com/toomadj","@toomadj")</f>
        <v>@toomadj</v>
      </c>
      <c r="C1098" s="6" t="s">
        <v>6069</v>
      </c>
      <c r="D1098" s="5" t="s">
        <v>13904</v>
      </c>
      <c r="E1098" s="9" t="str">
        <f>HYPERLINK("https://twitter.com/toomadj/status/1036981391957913600","1036981391957913600")</f>
        <v>1036981391957913600</v>
      </c>
      <c r="F1098" s="4" t="s">
        <v>13898</v>
      </c>
      <c r="G1098" s="4"/>
      <c r="H1098" s="4"/>
      <c r="I1098" s="10" t="str">
        <f>HYPERLINK("http://twitter.com/download/android","Twitter for Android")</f>
        <v>Twitter for Android</v>
      </c>
      <c r="J1098" s="2">
        <v>2013</v>
      </c>
      <c r="K1098" s="2">
        <v>1139</v>
      </c>
      <c r="L1098" s="2">
        <v>15</v>
      </c>
      <c r="M1098" s="2"/>
      <c r="N1098" s="8">
        <v>39884.637615740743</v>
      </c>
      <c r="O1098" s="4"/>
      <c r="P1098" s="3" t="s">
        <v>6067</v>
      </c>
      <c r="Q1098" s="4"/>
      <c r="R1098" s="4"/>
      <c r="S1098" s="9" t="str">
        <f>HYPERLINK("https://pbs.twimg.com/profile_images/824277971456376832/I941WXSV.jpg","View")</f>
        <v>View</v>
      </c>
    </row>
    <row r="1099" spans="1:19" ht="20">
      <c r="A1099" s="8">
        <v>43347.781967592593</v>
      </c>
      <c r="B1099" s="11" t="str">
        <f>HYPERLINK("https://twitter.com/Meghdad_ba67","@Meghdad_ba67")</f>
        <v>@Meghdad_ba67</v>
      </c>
      <c r="C1099" s="6" t="s">
        <v>11186</v>
      </c>
      <c r="D1099" s="5" t="s">
        <v>13903</v>
      </c>
      <c r="E1099" s="9" t="str">
        <f>HYPERLINK("https://twitter.com/Meghdad_ba67/status/1036981214119374853","1036981214119374853")</f>
        <v>1036981214119374853</v>
      </c>
      <c r="F1099" s="4"/>
      <c r="G1099" s="4"/>
      <c r="H1099" s="4"/>
      <c r="I1099" s="10" t="str">
        <f>HYPERLINK("http://twitter.com/download/android","Twitter for Android")</f>
        <v>Twitter for Android</v>
      </c>
      <c r="J1099" s="2">
        <v>96</v>
      </c>
      <c r="K1099" s="2">
        <v>44</v>
      </c>
      <c r="L1099" s="2">
        <v>0</v>
      </c>
      <c r="M1099" s="2"/>
      <c r="N1099" s="8">
        <v>43046.50204861111</v>
      </c>
      <c r="O1099" s="4"/>
      <c r="P1099" s="3" t="s">
        <v>11184</v>
      </c>
      <c r="Q1099" s="4"/>
      <c r="R1099" s="4"/>
      <c r="S1099" s="9" t="str">
        <f>HYPERLINK("https://pbs.twimg.com/profile_images/995028607943741440/ivH9sFxg.jpg","View")</f>
        <v>View</v>
      </c>
    </row>
    <row r="1100" spans="1:19" ht="40">
      <c r="A1100" s="8">
        <v>43347.781828703708</v>
      </c>
      <c r="B1100" s="11" t="str">
        <f>HYPERLINK("https://twitter.com/m_gf93","@m_gf93")</f>
        <v>@m_gf93</v>
      </c>
      <c r="C1100" s="6" t="s">
        <v>6680</v>
      </c>
      <c r="D1100" s="5" t="s">
        <v>13902</v>
      </c>
      <c r="E1100" s="9" t="str">
        <f>HYPERLINK("https://twitter.com/m_gf93/status/1036981164244955142","1036981164244955142")</f>
        <v>1036981164244955142</v>
      </c>
      <c r="F1100" s="4"/>
      <c r="G1100" s="10" t="s">
        <v>13901</v>
      </c>
      <c r="H1100" s="4"/>
      <c r="I1100" s="10" t="str">
        <f>HYPERLINK("http://twitter.com/download/iphone","Twitter for iPhone")</f>
        <v>Twitter for iPhone</v>
      </c>
      <c r="J1100" s="2">
        <v>412</v>
      </c>
      <c r="K1100" s="2">
        <v>73</v>
      </c>
      <c r="L1100" s="2">
        <v>2</v>
      </c>
      <c r="M1100" s="2"/>
      <c r="N1100" s="8">
        <v>42846.798310185186</v>
      </c>
      <c r="O1100" s="4" t="s">
        <v>133</v>
      </c>
      <c r="P1100" s="3" t="s">
        <v>6677</v>
      </c>
      <c r="Q1100" s="4"/>
      <c r="R1100" s="4"/>
      <c r="S1100" s="9" t="str">
        <f>HYPERLINK("https://pbs.twimg.com/profile_images/1003437304604741633/t_gpti3B.jpg","View")</f>
        <v>View</v>
      </c>
    </row>
    <row r="1101" spans="1:19" ht="30">
      <c r="A1101" s="8">
        <v>43347.780115740738</v>
      </c>
      <c r="B1101" s="11" t="str">
        <f>HYPERLINK("https://twitter.com/vaghg7","@vaghg7")</f>
        <v>@vaghg7</v>
      </c>
      <c r="C1101" s="6" t="s">
        <v>2821</v>
      </c>
      <c r="D1101" s="5" t="s">
        <v>13900</v>
      </c>
      <c r="E1101" s="9" t="str">
        <f>HYPERLINK("https://twitter.com/vaghg7/status/1036980543793975296","1036980543793975296")</f>
        <v>1036980543793975296</v>
      </c>
      <c r="F1101" s="4"/>
      <c r="G1101" s="4"/>
      <c r="H1101" s="4"/>
      <c r="I1101" s="10" t="str">
        <f>HYPERLINK("http://twitter.com/download/android","Twitter for Android")</f>
        <v>Twitter for Android</v>
      </c>
      <c r="J1101" s="2">
        <v>521</v>
      </c>
      <c r="K1101" s="2">
        <v>1103</v>
      </c>
      <c r="L1101" s="2">
        <v>1</v>
      </c>
      <c r="M1101" s="2"/>
      <c r="N1101" s="8">
        <v>42908.410486111112</v>
      </c>
      <c r="O1101" s="4"/>
      <c r="P1101" s="3" t="s">
        <v>2819</v>
      </c>
      <c r="Q1101" s="4"/>
      <c r="R1101" s="4"/>
      <c r="S1101" s="9" t="str">
        <f>HYPERLINK("https://pbs.twimg.com/profile_images/877759799047278593/b6KnbVkx.jpg","View")</f>
        <v>View</v>
      </c>
    </row>
    <row r="1102" spans="1:19" ht="80">
      <c r="A1102" s="8">
        <v>43347.779745370368</v>
      </c>
      <c r="B1102" s="11" t="str">
        <f>HYPERLINK("https://twitter.com/Nightingale_SA","@Nightingale_SA")</f>
        <v>@Nightingale_SA</v>
      </c>
      <c r="C1102" s="6" t="s">
        <v>889</v>
      </c>
      <c r="D1102" s="5" t="s">
        <v>13899</v>
      </c>
      <c r="E1102" s="9" t="str">
        <f>HYPERLINK("https://twitter.com/Nightingale_SA/status/1036980408259424257","1036980408259424257")</f>
        <v>1036980408259424257</v>
      </c>
      <c r="F1102" s="4" t="s">
        <v>13898</v>
      </c>
      <c r="G1102" s="4"/>
      <c r="H1102" s="4"/>
      <c r="I1102" s="10" t="str">
        <f>HYPERLINK("http://twitter.com","Twitter Web Client")</f>
        <v>Twitter Web Client</v>
      </c>
      <c r="J1102" s="2">
        <v>181</v>
      </c>
      <c r="K1102" s="2">
        <v>690</v>
      </c>
      <c r="L1102" s="2">
        <v>1</v>
      </c>
      <c r="M1102" s="2"/>
      <c r="N1102" s="8">
        <v>43193.657326388886</v>
      </c>
      <c r="O1102" s="4"/>
      <c r="P1102" s="3" t="s">
        <v>886</v>
      </c>
      <c r="Q1102" s="4"/>
      <c r="R1102" s="4"/>
      <c r="S1102" s="9" t="str">
        <f>HYPERLINK("https://pbs.twimg.com/profile_images/981131756601569280/OkTGUrYl.jpg","View")</f>
        <v>View</v>
      </c>
    </row>
    <row r="1103" spans="1:19" ht="40">
      <c r="A1103" s="8">
        <v>43347.779085648144</v>
      </c>
      <c r="B1103" s="11" t="str">
        <f>HYPERLINK("https://twitter.com/AmouzadehReza","@AmouzadehReza")</f>
        <v>@AmouzadehReza</v>
      </c>
      <c r="C1103" s="6" t="s">
        <v>13843</v>
      </c>
      <c r="D1103" s="5" t="s">
        <v>13897</v>
      </c>
      <c r="E1103" s="9" t="str">
        <f>HYPERLINK("https://twitter.com/AmouzadehReza/status/1036980172568899584","1036980172568899584")</f>
        <v>1036980172568899584</v>
      </c>
      <c r="F1103" s="4"/>
      <c r="G1103" s="4"/>
      <c r="H1103" s="4"/>
      <c r="I1103" s="10" t="str">
        <f>HYPERLINK("http://twitter.com/download/android","Twitter for Android")</f>
        <v>Twitter for Android</v>
      </c>
      <c r="J1103" s="2">
        <v>4565</v>
      </c>
      <c r="K1103" s="2">
        <v>4940</v>
      </c>
      <c r="L1103" s="2">
        <v>8</v>
      </c>
      <c r="M1103" s="2"/>
      <c r="N1103" s="8">
        <v>42105.220219907409</v>
      </c>
      <c r="O1103" s="4" t="s">
        <v>7139</v>
      </c>
      <c r="P1103" s="3"/>
      <c r="Q1103" s="4"/>
      <c r="R1103" s="4"/>
      <c r="S1103" s="9" t="str">
        <f>HYPERLINK("https://pbs.twimg.com/profile_images/1034131448792580096/gbKvniTb.jpg","View")</f>
        <v>View</v>
      </c>
    </row>
    <row r="1104" spans="1:19" ht="30">
      <c r="A1104" s="8">
        <v>43347.778298611112</v>
      </c>
      <c r="B1104" s="11" t="str">
        <f>HYPERLINK("https://twitter.com/daei_khan","@daei_khan")</f>
        <v>@daei_khan</v>
      </c>
      <c r="C1104" s="6" t="s">
        <v>3174</v>
      </c>
      <c r="D1104" s="5" t="s">
        <v>13896</v>
      </c>
      <c r="E1104" s="9" t="str">
        <f>HYPERLINK("https://twitter.com/daei_khan/status/1036979885544222720","1036979885544222720")</f>
        <v>1036979885544222720</v>
      </c>
      <c r="F1104" s="4"/>
      <c r="G1104" s="4"/>
      <c r="H1104" s="4"/>
      <c r="I1104" s="10" t="str">
        <f>HYPERLINK("http://twitter.com/download/iphone","Twitter for iPhone")</f>
        <v>Twitter for iPhone</v>
      </c>
      <c r="J1104" s="2">
        <v>22</v>
      </c>
      <c r="K1104" s="2">
        <v>39</v>
      </c>
      <c r="L1104" s="2">
        <v>0</v>
      </c>
      <c r="M1104" s="2"/>
      <c r="N1104" s="8">
        <v>43112.496134259258</v>
      </c>
      <c r="O1104" s="4"/>
      <c r="P1104" s="3"/>
      <c r="Q1104" s="4"/>
      <c r="R1104" s="4"/>
      <c r="S1104" s="9" t="str">
        <f>HYPERLINK("https://pbs.twimg.com/profile_images/988714919255330816/6oD0VONf.jpg","View")</f>
        <v>View</v>
      </c>
    </row>
    <row r="1105" spans="1:19" ht="20">
      <c r="A1105" s="8">
        <v>43347.777372685188</v>
      </c>
      <c r="B1105" s="11" t="str">
        <f>HYPERLINK("https://twitter.com/Meghdad_ba67","@Meghdad_ba67")</f>
        <v>@Meghdad_ba67</v>
      </c>
      <c r="C1105" s="6" t="s">
        <v>11186</v>
      </c>
      <c r="D1105" s="5" t="s">
        <v>13895</v>
      </c>
      <c r="E1105" s="9" t="str">
        <f>HYPERLINK("https://twitter.com/Meghdad_ba67/status/1036979551119831040","1036979551119831040")</f>
        <v>1036979551119831040</v>
      </c>
      <c r="F1105" s="4"/>
      <c r="G1105" s="4"/>
      <c r="H1105" s="4"/>
      <c r="I1105" s="10" t="str">
        <f>HYPERLINK("http://twitter.com/download/android","Twitter for Android")</f>
        <v>Twitter for Android</v>
      </c>
      <c r="J1105" s="2">
        <v>96</v>
      </c>
      <c r="K1105" s="2">
        <v>44</v>
      </c>
      <c r="L1105" s="2">
        <v>0</v>
      </c>
      <c r="M1105" s="2"/>
      <c r="N1105" s="8">
        <v>43046.50204861111</v>
      </c>
      <c r="O1105" s="4"/>
      <c r="P1105" s="3" t="s">
        <v>11184</v>
      </c>
      <c r="Q1105" s="4"/>
      <c r="R1105" s="4"/>
      <c r="S1105" s="9" t="str">
        <f>HYPERLINK("https://pbs.twimg.com/profile_images/995028607943741440/ivH9sFxg.jpg","View")</f>
        <v>View</v>
      </c>
    </row>
    <row r="1106" spans="1:19" ht="12.5">
      <c r="A1106" s="8">
        <v>43347.777291666665</v>
      </c>
      <c r="B1106" s="11" t="str">
        <f>HYPERLINK("https://twitter.com/StAlireza","@StAlireza")</f>
        <v>@StAlireza</v>
      </c>
      <c r="C1106" s="6" t="s">
        <v>12388</v>
      </c>
      <c r="D1106" s="5" t="s">
        <v>13894</v>
      </c>
      <c r="E1106" s="9" t="str">
        <f>HYPERLINK("https://twitter.com/StAlireza/status/1036979520325267456","1036979520325267456")</f>
        <v>1036979520325267456</v>
      </c>
      <c r="F1106" s="4"/>
      <c r="G1106" s="10" t="s">
        <v>13893</v>
      </c>
      <c r="H1106" s="4"/>
      <c r="I1106" s="10" t="str">
        <f>HYPERLINK("http://twitter.com/download/iphone","Twitter for iPhone")</f>
        <v>Twitter for iPhone</v>
      </c>
      <c r="J1106" s="2">
        <v>306</v>
      </c>
      <c r="K1106" s="2">
        <v>399</v>
      </c>
      <c r="L1106" s="2">
        <v>2</v>
      </c>
      <c r="M1106" s="2"/>
      <c r="N1106" s="8">
        <v>41977.048206018517</v>
      </c>
      <c r="O1106" s="4" t="s">
        <v>12385</v>
      </c>
      <c r="P1106" s="3"/>
      <c r="Q1106" s="4"/>
      <c r="R1106" s="4"/>
      <c r="S1106" s="9" t="str">
        <f>HYPERLINK("https://pbs.twimg.com/profile_images/1012281461637091328/BptJRxzO.jpg","View")</f>
        <v>View</v>
      </c>
    </row>
    <row r="1107" spans="1:19" ht="40">
      <c r="A1107" s="8">
        <v>43347.776967592596</v>
      </c>
      <c r="B1107" s="11" t="str">
        <f>HYPERLINK("https://twitter.com/Gfaghfouri","@Gfaghfouri")</f>
        <v>@Gfaghfouri</v>
      </c>
      <c r="C1107" s="6" t="s">
        <v>13892</v>
      </c>
      <c r="D1107" s="5" t="s">
        <v>13891</v>
      </c>
      <c r="E1107" s="9" t="str">
        <f>HYPERLINK("https://twitter.com/Gfaghfouri/status/1036979401563361280","1036979401563361280")</f>
        <v>1036979401563361280</v>
      </c>
      <c r="F1107" s="10" t="s">
        <v>13687</v>
      </c>
      <c r="G1107" s="4"/>
      <c r="H1107" s="4"/>
      <c r="I1107" s="10" t="str">
        <f>HYPERLINK("http://twitter.com","Twitter Web Client")</f>
        <v>Twitter Web Client</v>
      </c>
      <c r="J1107" s="2">
        <v>26676</v>
      </c>
      <c r="K1107" s="2">
        <v>1307</v>
      </c>
      <c r="L1107" s="2">
        <v>126</v>
      </c>
      <c r="M1107" s="2" t="s">
        <v>80</v>
      </c>
      <c r="N1107" s="8">
        <v>41451.526423611111</v>
      </c>
      <c r="O1107" s="4" t="s">
        <v>13890</v>
      </c>
      <c r="P1107" s="3" t="s">
        <v>13889</v>
      </c>
      <c r="Q1107" s="10" t="s">
        <v>13888</v>
      </c>
      <c r="R1107" s="4"/>
      <c r="S1107" s="9" t="str">
        <f>HYPERLINK("https://pbs.twimg.com/profile_images/995309977135927298/xzvABJ7g.jpg","View")</f>
        <v>View</v>
      </c>
    </row>
    <row r="1108" spans="1:19" ht="40">
      <c r="A1108" s="8">
        <v>43347.776203703703</v>
      </c>
      <c r="B1108" s="11" t="str">
        <f>HYPERLINK("https://twitter.com/Amin_Akrami","@Amin_Akrami")</f>
        <v>@Amin_Akrami</v>
      </c>
      <c r="C1108" s="6" t="s">
        <v>13887</v>
      </c>
      <c r="D1108" s="5" t="s">
        <v>13886</v>
      </c>
      <c r="E1108" s="9" t="str">
        <f>HYPERLINK("https://twitter.com/Amin_Akrami/status/1036979126169739265","1036979126169739265")</f>
        <v>1036979126169739265</v>
      </c>
      <c r="F1108" s="4"/>
      <c r="G1108" s="4"/>
      <c r="H1108" s="4"/>
      <c r="I1108" s="10" t="str">
        <f>HYPERLINK("http://twitter.com/download/android","Twitter for Android")</f>
        <v>Twitter for Android</v>
      </c>
      <c r="J1108" s="2">
        <v>72</v>
      </c>
      <c r="K1108" s="2">
        <v>11</v>
      </c>
      <c r="L1108" s="2">
        <v>1</v>
      </c>
      <c r="M1108" s="2"/>
      <c r="N1108" s="8">
        <v>42945.210798611108</v>
      </c>
      <c r="O1108" s="4"/>
      <c r="P1108" s="3" t="s">
        <v>13885</v>
      </c>
      <c r="Q1108" s="4"/>
      <c r="R1108" s="4"/>
      <c r="S1108" s="9" t="str">
        <f>HYPERLINK("https://pbs.twimg.com/profile_images/891098287620673536/EtplxyPk.jpg","View")</f>
        <v>View</v>
      </c>
    </row>
    <row r="1109" spans="1:19" ht="40">
      <c r="A1109" s="8">
        <v>43347.775833333333</v>
      </c>
      <c r="B1109" s="11" t="str">
        <f>HYPERLINK("https://twitter.com/jahangiri70","@jahangiri70")</f>
        <v>@jahangiri70</v>
      </c>
      <c r="C1109" s="6" t="s">
        <v>11698</v>
      </c>
      <c r="D1109" s="5" t="s">
        <v>13884</v>
      </c>
      <c r="E1109" s="9" t="str">
        <f>HYPERLINK("https://twitter.com/jahangiri70/status/1036978991373197312","1036978991373197312")</f>
        <v>1036978991373197312</v>
      </c>
      <c r="F1109" s="4"/>
      <c r="G1109" s="4"/>
      <c r="H1109" s="4"/>
      <c r="I1109" s="10" t="str">
        <f>HYPERLINK("http://twitter.com/download/android","Twitter for Android")</f>
        <v>Twitter for Android</v>
      </c>
      <c r="J1109" s="2">
        <v>206</v>
      </c>
      <c r="K1109" s="2">
        <v>23</v>
      </c>
      <c r="L1109" s="2">
        <v>0</v>
      </c>
      <c r="M1109" s="2"/>
      <c r="N1109" s="8">
        <v>42807.02449074074</v>
      </c>
      <c r="O1109" s="4" t="s">
        <v>682</v>
      </c>
      <c r="P1109" s="3" t="s">
        <v>11696</v>
      </c>
      <c r="Q1109" s="4"/>
      <c r="R1109" s="4"/>
      <c r="S1109" s="9" t="str">
        <f>HYPERLINK("https://pbs.twimg.com/profile_images/848089486177259520/ba7iA0y_.jpg","View")</f>
        <v>View</v>
      </c>
    </row>
    <row r="1110" spans="1:19" ht="30">
      <c r="A1110" s="8">
        <v>43347.774849537032</v>
      </c>
      <c r="B1110" s="11" t="str">
        <f>HYPERLINK("https://twitter.com/icana_ir","@icana_ir")</f>
        <v>@icana_ir</v>
      </c>
      <c r="C1110" s="6" t="s">
        <v>12798</v>
      </c>
      <c r="D1110" s="5" t="s">
        <v>13883</v>
      </c>
      <c r="E1110" s="9" t="str">
        <f>HYPERLINK("https://twitter.com/icana_ir/status/1036978634148536320","1036978634148536320")</f>
        <v>1036978634148536320</v>
      </c>
      <c r="F1110" s="10" t="s">
        <v>13882</v>
      </c>
      <c r="G1110" s="4"/>
      <c r="H1110" s="4"/>
      <c r="I1110" s="10" t="str">
        <f>HYPERLINK("http://twitter.com","Twitter Web Client")</f>
        <v>Twitter Web Client</v>
      </c>
      <c r="J1110" s="2">
        <v>2544</v>
      </c>
      <c r="K1110" s="2">
        <v>3</v>
      </c>
      <c r="L1110" s="2">
        <v>29</v>
      </c>
      <c r="M1110" s="2"/>
      <c r="N1110" s="8">
        <v>41937.766423611109</v>
      </c>
      <c r="O1110" s="4" t="s">
        <v>12794</v>
      </c>
      <c r="P1110" s="3" t="s">
        <v>12793</v>
      </c>
      <c r="Q1110" s="10" t="s">
        <v>12792</v>
      </c>
      <c r="R1110" s="4"/>
      <c r="S1110" s="9" t="str">
        <f>HYPERLINK("https://pbs.twimg.com/profile_images/1010418709343690752/zldgS7SC.jpg","View")</f>
        <v>View</v>
      </c>
    </row>
    <row r="1111" spans="1:19" ht="12.5">
      <c r="A1111" s="8">
        <v>43347.773993055554</v>
      </c>
      <c r="B1111" s="11" t="str">
        <f>HYPERLINK("https://twitter.com/masoud_farz","@masoud_farz")</f>
        <v>@masoud_farz</v>
      </c>
      <c r="C1111" s="6" t="s">
        <v>1923</v>
      </c>
      <c r="D1111" s="5" t="s">
        <v>13881</v>
      </c>
      <c r="E1111" s="9" t="str">
        <f>HYPERLINK("https://twitter.com/masoud_farz/status/1036978324734664705","1036978324734664705")</f>
        <v>1036978324734664705</v>
      </c>
      <c r="F1111" s="4"/>
      <c r="G1111" s="4"/>
      <c r="H1111" s="4"/>
      <c r="I1111" s="10" t="str">
        <f>HYPERLINK("http://twitter.com","Twitter Web Client")</f>
        <v>Twitter Web Client</v>
      </c>
      <c r="J1111" s="2">
        <v>134</v>
      </c>
      <c r="K1111" s="2">
        <v>69</v>
      </c>
      <c r="L1111" s="2">
        <v>0</v>
      </c>
      <c r="M1111" s="2"/>
      <c r="N1111" s="8">
        <v>42724.509282407409</v>
      </c>
      <c r="O1111" s="4" t="s">
        <v>1920</v>
      </c>
      <c r="P1111" s="3" t="s">
        <v>1919</v>
      </c>
      <c r="Q1111" s="4"/>
      <c r="R1111" s="4"/>
      <c r="S1111" s="9" t="str">
        <f>HYPERLINK("https://pbs.twimg.com/profile_images/1003230847015636993/1og0J6mM.jpg","View")</f>
        <v>View</v>
      </c>
    </row>
    <row r="1112" spans="1:19" ht="40">
      <c r="A1112" s="8">
        <v>43347.773935185185</v>
      </c>
      <c r="B1112" s="11" t="str">
        <f>HYPERLINK("https://twitter.com/AmouzadehReza","@AmouzadehReza")</f>
        <v>@AmouzadehReza</v>
      </c>
      <c r="C1112" s="6" t="s">
        <v>13843</v>
      </c>
      <c r="D1112" s="5" t="s">
        <v>13880</v>
      </c>
      <c r="E1112" s="9" t="str">
        <f>HYPERLINK("https://twitter.com/AmouzadehReza/status/1036978305700909056","1036978305700909056")</f>
        <v>1036978305700909056</v>
      </c>
      <c r="F1112" s="4"/>
      <c r="G1112" s="4"/>
      <c r="H1112" s="4"/>
      <c r="I1112" s="10" t="str">
        <f>HYPERLINK("http://twitter.com/download/android","Twitter for Android")</f>
        <v>Twitter for Android</v>
      </c>
      <c r="J1112" s="2">
        <v>4565</v>
      </c>
      <c r="K1112" s="2">
        <v>4940</v>
      </c>
      <c r="L1112" s="2">
        <v>8</v>
      </c>
      <c r="M1112" s="2"/>
      <c r="N1112" s="8">
        <v>42105.220219907409</v>
      </c>
      <c r="O1112" s="4" t="s">
        <v>7139</v>
      </c>
      <c r="P1112" s="3"/>
      <c r="Q1112" s="4"/>
      <c r="R1112" s="4"/>
      <c r="S1112" s="9" t="str">
        <f>HYPERLINK("https://pbs.twimg.com/profile_images/1034131448792580096/gbKvniTb.jpg","View")</f>
        <v>View</v>
      </c>
    </row>
    <row r="1113" spans="1:19" ht="30">
      <c r="A1113" s="8">
        <v>43347.773912037039</v>
      </c>
      <c r="B1113" s="11" t="str">
        <f>HYPERLINK("https://twitter.com/shahab_oddin","@shahab_oddin")</f>
        <v>@shahab_oddin</v>
      </c>
      <c r="C1113" s="6" t="s">
        <v>13879</v>
      </c>
      <c r="D1113" s="5" t="s">
        <v>13878</v>
      </c>
      <c r="E1113" s="9" t="str">
        <f>HYPERLINK("https://twitter.com/shahab_oddin/status/1036978296548810752","1036978296548810752")</f>
        <v>1036978296548810752</v>
      </c>
      <c r="F1113" s="4"/>
      <c r="G1113" s="4"/>
      <c r="H1113" s="4"/>
      <c r="I1113" s="10" t="str">
        <f>HYPERLINK("http://twitter.com","Twitter Web Client")</f>
        <v>Twitter Web Client</v>
      </c>
      <c r="J1113" s="2">
        <v>435</v>
      </c>
      <c r="K1113" s="2">
        <v>603</v>
      </c>
      <c r="L1113" s="2">
        <v>1</v>
      </c>
      <c r="M1113" s="2"/>
      <c r="N1113" s="8">
        <v>42748.741701388892</v>
      </c>
      <c r="O1113" s="4" t="s">
        <v>104</v>
      </c>
      <c r="P1113" s="3" t="s">
        <v>13877</v>
      </c>
      <c r="Q1113" s="4"/>
      <c r="R1113" s="4"/>
      <c r="S1113" s="9" t="str">
        <f>HYPERLINK("https://pbs.twimg.com/profile_images/933812737427173377/YnPFljv4.jpg","View")</f>
        <v>View</v>
      </c>
    </row>
    <row r="1114" spans="1:19" ht="30">
      <c r="A1114" s="8">
        <v>43347.772905092592</v>
      </c>
      <c r="B1114" s="11" t="str">
        <f>HYPERLINK("https://twitter.com/ata_afs","@ata_afs")</f>
        <v>@ata_afs</v>
      </c>
      <c r="C1114" s="6" t="s">
        <v>1217</v>
      </c>
      <c r="D1114" s="5" t="s">
        <v>13876</v>
      </c>
      <c r="E1114" s="9" t="str">
        <f>HYPERLINK("https://twitter.com/ata_afs/status/1036977929824043009","1036977929824043009")</f>
        <v>1036977929824043009</v>
      </c>
      <c r="F1114" s="4"/>
      <c r="G1114" s="4"/>
      <c r="H1114" s="4"/>
      <c r="I1114" s="10" t="str">
        <f>HYPERLINK("http://twitter.com/download/iphone","Twitter for iPhone")</f>
        <v>Twitter for iPhone</v>
      </c>
      <c r="J1114" s="2">
        <v>380</v>
      </c>
      <c r="K1114" s="2">
        <v>697</v>
      </c>
      <c r="L1114" s="2">
        <v>0</v>
      </c>
      <c r="M1114" s="2"/>
      <c r="N1114" s="8">
        <v>41833.536099537036</v>
      </c>
      <c r="O1114" s="4" t="s">
        <v>34</v>
      </c>
      <c r="P1114" s="3" t="s">
        <v>1213</v>
      </c>
      <c r="Q1114" s="4"/>
      <c r="R1114" s="4"/>
      <c r="S1114" s="9" t="str">
        <f>HYPERLINK("https://pbs.twimg.com/profile_images/958374868008960000/IRXSv5-C.jpg","View")</f>
        <v>View</v>
      </c>
    </row>
    <row r="1115" spans="1:19" ht="20">
      <c r="A1115" s="8">
        <v>43347.77270833333</v>
      </c>
      <c r="B1115" s="11" t="str">
        <f>HYPERLINK("https://twitter.com/Hasan_alinezhad","@Hasan_alinezhad")</f>
        <v>@Hasan_alinezhad</v>
      </c>
      <c r="C1115" s="6" t="s">
        <v>8708</v>
      </c>
      <c r="D1115" s="5" t="s">
        <v>13875</v>
      </c>
      <c r="E1115" s="9" t="str">
        <f>HYPERLINK("https://twitter.com/Hasan_alinezhad/status/1036977860748234752","1036977860748234752")</f>
        <v>1036977860748234752</v>
      </c>
      <c r="F1115" s="4"/>
      <c r="G1115" s="4"/>
      <c r="H1115" s="4"/>
      <c r="I1115" s="10" t="str">
        <f>HYPERLINK("http://twitter.com/download/iphone","Twitter for iPhone")</f>
        <v>Twitter for iPhone</v>
      </c>
      <c r="J1115" s="2">
        <v>372</v>
      </c>
      <c r="K1115" s="2">
        <v>415</v>
      </c>
      <c r="L1115" s="2">
        <v>1</v>
      </c>
      <c r="M1115" s="2"/>
      <c r="N1115" s="8">
        <v>42976.155740740738</v>
      </c>
      <c r="O1115" s="4"/>
      <c r="P1115" s="3" t="s">
        <v>8706</v>
      </c>
      <c r="Q1115" s="10" t="s">
        <v>8705</v>
      </c>
      <c r="R1115" s="4"/>
      <c r="S1115" s="9" t="str">
        <f>HYPERLINK("https://pbs.twimg.com/profile_images/939771596780208130/sZcxXcpo.jpg","View")</f>
        <v>View</v>
      </c>
    </row>
    <row r="1116" spans="1:19" ht="30">
      <c r="A1116" s="8">
        <v>43347.772662037038</v>
      </c>
      <c r="B1116" s="11" t="str">
        <f>HYPERLINK("https://twitter.com/omidefarda89","@omidefarda89")</f>
        <v>@omidefarda89</v>
      </c>
      <c r="C1116" s="6" t="s">
        <v>13874</v>
      </c>
      <c r="D1116" s="5" t="s">
        <v>13873</v>
      </c>
      <c r="E1116" s="9" t="str">
        <f>HYPERLINK("https://twitter.com/omidefarda89/status/1036977843119562757","1036977843119562757")</f>
        <v>1036977843119562757</v>
      </c>
      <c r="F1116" s="4"/>
      <c r="G1116" s="4"/>
      <c r="H1116" s="4"/>
      <c r="I1116" s="10" t="str">
        <f>HYPERLINK("http://twitter.com","Twitter Web Client")</f>
        <v>Twitter Web Client</v>
      </c>
      <c r="J1116" s="2">
        <v>176</v>
      </c>
      <c r="K1116" s="2">
        <v>1088</v>
      </c>
      <c r="L1116" s="2">
        <v>1</v>
      </c>
      <c r="M1116" s="2"/>
      <c r="N1116" s="8">
        <v>40588.421018518522</v>
      </c>
      <c r="O1116" s="4" t="s">
        <v>5185</v>
      </c>
      <c r="P1116" s="3" t="s">
        <v>13872</v>
      </c>
      <c r="Q1116" s="4"/>
      <c r="R1116" s="4"/>
      <c r="S1116" s="9" t="str">
        <f>HYPERLINK("https://pbs.twimg.com/profile_images/861151253547675650/HuTxlBQg.jpg","View")</f>
        <v>View</v>
      </c>
    </row>
    <row r="1117" spans="1:19" ht="30">
      <c r="A1117" s="8">
        <v>43347.771226851852</v>
      </c>
      <c r="B1117" s="11" t="str">
        <f>HYPERLINK("https://twitter.com/RezaMesghaly","@RezaMesghaly")</f>
        <v>@RezaMesghaly</v>
      </c>
      <c r="C1117" s="6" t="s">
        <v>13871</v>
      </c>
      <c r="D1117" s="5" t="s">
        <v>13870</v>
      </c>
      <c r="E1117" s="9" t="str">
        <f>HYPERLINK("https://twitter.com/RezaMesghaly/status/1036977323285929984","1036977323285929984")</f>
        <v>1036977323285929984</v>
      </c>
      <c r="F1117" s="4"/>
      <c r="G1117" s="4"/>
      <c r="H1117" s="4"/>
      <c r="I1117" s="10" t="str">
        <f>HYPERLINK("http://twitter.com/download/android","Twitter for Android")</f>
        <v>Twitter for Android</v>
      </c>
      <c r="J1117" s="2">
        <v>803</v>
      </c>
      <c r="K1117" s="2">
        <v>736</v>
      </c>
      <c r="L1117" s="2">
        <v>1</v>
      </c>
      <c r="M1117" s="2"/>
      <c r="N1117" s="8">
        <v>42461.597083333334</v>
      </c>
      <c r="O1117" s="4"/>
      <c r="P1117" s="3" t="s">
        <v>13869</v>
      </c>
      <c r="Q1117" s="4"/>
      <c r="R1117" s="4"/>
      <c r="S1117" s="9" t="str">
        <f>HYPERLINK("https://pbs.twimg.com/profile_images/990266843079303169/oUt8XVmA.jpg","View")</f>
        <v>View</v>
      </c>
    </row>
    <row r="1118" spans="1:19" ht="30">
      <c r="A1118" s="8">
        <v>43347.771006944444</v>
      </c>
      <c r="B1118" s="11" t="str">
        <f>HYPERLINK("https://twitter.com/m_reza_yosefi","@m_reza_yosefi")</f>
        <v>@m_reza_yosefi</v>
      </c>
      <c r="C1118" s="6" t="s">
        <v>13868</v>
      </c>
      <c r="D1118" s="5" t="s">
        <v>13867</v>
      </c>
      <c r="E1118" s="9" t="str">
        <f>HYPERLINK("https://twitter.com/m_reza_yosefi/status/1036977242046390272","1036977242046390272")</f>
        <v>1036977242046390272</v>
      </c>
      <c r="F1118" s="4"/>
      <c r="G1118" s="10" t="s">
        <v>13866</v>
      </c>
      <c r="H1118" s="4"/>
      <c r="I1118" s="10" t="str">
        <f>HYPERLINK("http://twitter.com/download/android","Twitter for Android")</f>
        <v>Twitter for Android</v>
      </c>
      <c r="J1118" s="2">
        <v>969</v>
      </c>
      <c r="K1118" s="2">
        <v>1730</v>
      </c>
      <c r="L1118" s="2">
        <v>2</v>
      </c>
      <c r="M1118" s="2"/>
      <c r="N1118" s="8">
        <v>43299.298402777778</v>
      </c>
      <c r="O1118" s="4" t="s">
        <v>13865</v>
      </c>
      <c r="P1118" s="3" t="s">
        <v>13864</v>
      </c>
      <c r="Q1118" s="4"/>
      <c r="R1118" s="4"/>
      <c r="S1118" s="9" t="str">
        <f>HYPERLINK("https://pbs.twimg.com/profile_images/1020566233098465280/f1j8IZgQ.jpg","View")</f>
        <v>View</v>
      </c>
    </row>
    <row r="1119" spans="1:19" ht="30">
      <c r="A1119" s="8">
        <v>43347.770949074074</v>
      </c>
      <c r="B1119" s="11" t="str">
        <f>HYPERLINK("https://twitter.com/hamshahrinews","@hamshahrinews")</f>
        <v>@hamshahrinews</v>
      </c>
      <c r="C1119" s="6" t="s">
        <v>2149</v>
      </c>
      <c r="D1119" s="5" t="s">
        <v>13863</v>
      </c>
      <c r="E1119" s="9" t="str">
        <f>HYPERLINK("https://twitter.com/hamshahrinews/status/1036977223188836352","1036977223188836352")</f>
        <v>1036977223188836352</v>
      </c>
      <c r="F1119" s="4"/>
      <c r="G1119" s="4"/>
      <c r="H1119" s="4"/>
      <c r="I1119" s="10" t="str">
        <f>HYPERLINK("http://twitter.com","Twitter Web Client")</f>
        <v>Twitter Web Client</v>
      </c>
      <c r="J1119" s="2">
        <v>1900</v>
      </c>
      <c r="K1119" s="2">
        <v>13</v>
      </c>
      <c r="L1119" s="2">
        <v>39</v>
      </c>
      <c r="M1119" s="2"/>
      <c r="N1119" s="8">
        <v>42984.575752314813</v>
      </c>
      <c r="O1119" s="4" t="s">
        <v>133</v>
      </c>
      <c r="P1119" s="3" t="s">
        <v>2146</v>
      </c>
      <c r="Q1119" s="10" t="s">
        <v>2145</v>
      </c>
      <c r="R1119" s="4"/>
      <c r="S1119" s="9" t="str">
        <f>HYPERLINK("https://pbs.twimg.com/profile_images/918008480631533568/-awyAU90.jpg","View")</f>
        <v>View</v>
      </c>
    </row>
    <row r="1120" spans="1:19" ht="40">
      <c r="A1120" s="8">
        <v>43347.770451388889</v>
      </c>
      <c r="B1120" s="11" t="str">
        <f>HYPERLINK("https://twitter.com/amir90562680","@amir90562680")</f>
        <v>@amir90562680</v>
      </c>
      <c r="C1120" s="6" t="s">
        <v>7984</v>
      </c>
      <c r="D1120" s="5" t="s">
        <v>13862</v>
      </c>
      <c r="E1120" s="9" t="str">
        <f>HYPERLINK("https://twitter.com/amir90562680/status/1036977043571974146","1036977043571974146")</f>
        <v>1036977043571974146</v>
      </c>
      <c r="F1120" s="4"/>
      <c r="G1120" s="4"/>
      <c r="H1120" s="4"/>
      <c r="I1120" s="10" t="str">
        <f>HYPERLINK("http://twitter.com/download/android","Twitter for Android")</f>
        <v>Twitter for Android</v>
      </c>
      <c r="J1120" s="2">
        <v>74</v>
      </c>
      <c r="K1120" s="2">
        <v>69</v>
      </c>
      <c r="L1120" s="2">
        <v>0</v>
      </c>
      <c r="M1120" s="2"/>
      <c r="N1120" s="8">
        <v>43316.721273148149</v>
      </c>
      <c r="O1120" s="4" t="s">
        <v>25</v>
      </c>
      <c r="P1120" s="3" t="s">
        <v>13861</v>
      </c>
      <c r="Q1120" s="4"/>
      <c r="R1120" s="4"/>
      <c r="S1120" s="9" t="str">
        <f>HYPERLINK("https://pbs.twimg.com/profile_images/1034837505193988096/ic5-C0-U.jpg","View")</f>
        <v>View</v>
      </c>
    </row>
    <row r="1121" spans="1:19" ht="40">
      <c r="A1121" s="8">
        <v>43347.769560185188</v>
      </c>
      <c r="B1121" s="11" t="str">
        <f>HYPERLINK("https://twitter.com/4rknevis","@4rknevis")</f>
        <v>@4rknevis</v>
      </c>
      <c r="C1121" s="6" t="s">
        <v>261</v>
      </c>
      <c r="D1121" s="5" t="s">
        <v>13860</v>
      </c>
      <c r="E1121" s="9" t="str">
        <f>HYPERLINK("https://twitter.com/4rknevis/status/1036976719469662208","1036976719469662208")</f>
        <v>1036976719469662208</v>
      </c>
      <c r="F1121" s="4"/>
      <c r="G1121" s="4"/>
      <c r="H1121" s="4"/>
      <c r="I1121" s="10" t="str">
        <f>HYPERLINK("http://twitter.com","Twitter Web Client")</f>
        <v>Twitter Web Client</v>
      </c>
      <c r="J1121" s="2">
        <v>72</v>
      </c>
      <c r="K1121" s="2">
        <v>78</v>
      </c>
      <c r="L1121" s="2">
        <v>0</v>
      </c>
      <c r="M1121" s="2"/>
      <c r="N1121" s="8">
        <v>41465.589490740742</v>
      </c>
      <c r="O1121" s="4"/>
      <c r="P1121" s="3" t="s">
        <v>259</v>
      </c>
      <c r="Q1121" s="4"/>
      <c r="R1121" s="4"/>
      <c r="S1121" s="9" t="str">
        <f>HYPERLINK("https://pbs.twimg.com/profile_images/1029250754098458625/2ku0PZgW.jpg","View")</f>
        <v>View</v>
      </c>
    </row>
    <row r="1122" spans="1:19" ht="12.5">
      <c r="A1122" s="8">
        <v>43347.768923611111</v>
      </c>
      <c r="B1122" s="11" t="str">
        <f>HYPERLINK("https://twitter.com/mo_barazandeh","@mo_barazandeh")</f>
        <v>@mo_barazandeh</v>
      </c>
      <c r="C1122" s="6" t="s">
        <v>13859</v>
      </c>
      <c r="D1122" s="5" t="s">
        <v>13858</v>
      </c>
      <c r="E1122" s="9" t="str">
        <f>HYPERLINK("https://twitter.com/mo_barazandeh/status/1036976486434172928","1036976486434172928")</f>
        <v>1036976486434172928</v>
      </c>
      <c r="F1122" s="4"/>
      <c r="G1122" s="10" t="s">
        <v>13857</v>
      </c>
      <c r="H1122" s="4"/>
      <c r="I1122" s="10" t="str">
        <f>HYPERLINK("http://twitter.com/download/android","Twitter for Android")</f>
        <v>Twitter for Android</v>
      </c>
      <c r="J1122" s="2">
        <v>23</v>
      </c>
      <c r="K1122" s="2">
        <v>107</v>
      </c>
      <c r="L1122" s="2">
        <v>0</v>
      </c>
      <c r="M1122" s="2"/>
      <c r="N1122" s="8">
        <v>42839.880648148144</v>
      </c>
      <c r="O1122" s="4"/>
      <c r="P1122" s="3"/>
      <c r="Q1122" s="4"/>
      <c r="R1122" s="4"/>
      <c r="S1122" s="9" t="str">
        <f>HYPERLINK("https://pbs.twimg.com/profile_images/948055861649428480/LnXTsCWW.jpg","View")</f>
        <v>View</v>
      </c>
    </row>
    <row r="1123" spans="1:19" ht="80">
      <c r="A1123" s="8">
        <v>43347.768599537041</v>
      </c>
      <c r="B1123" s="11" t="str">
        <f>HYPERLINK("https://twitter.com/Nightingale_SA","@Nightingale_SA")</f>
        <v>@Nightingale_SA</v>
      </c>
      <c r="C1123" s="6" t="s">
        <v>889</v>
      </c>
      <c r="D1123" s="5" t="s">
        <v>13856</v>
      </c>
      <c r="E1123" s="9" t="str">
        <f>HYPERLINK("https://twitter.com/Nightingale_SA/status/1036976371111809024","1036976371111809024")</f>
        <v>1036976371111809024</v>
      </c>
      <c r="F1123" s="10" t="s">
        <v>13297</v>
      </c>
      <c r="G1123" s="10" t="s">
        <v>13296</v>
      </c>
      <c r="H1123" s="4"/>
      <c r="I1123" s="10" t="str">
        <f>HYPERLINK("http://twitter.com","Twitter Web Client")</f>
        <v>Twitter Web Client</v>
      </c>
      <c r="J1123" s="2">
        <v>181</v>
      </c>
      <c r="K1123" s="2">
        <v>690</v>
      </c>
      <c r="L1123" s="2">
        <v>1</v>
      </c>
      <c r="M1123" s="2"/>
      <c r="N1123" s="8">
        <v>43193.657326388886</v>
      </c>
      <c r="O1123" s="4"/>
      <c r="P1123" s="3" t="s">
        <v>886</v>
      </c>
      <c r="Q1123" s="4"/>
      <c r="R1123" s="4"/>
      <c r="S1123" s="9" t="str">
        <f>HYPERLINK("https://pbs.twimg.com/profile_images/981131756601569280/OkTGUrYl.jpg","View")</f>
        <v>View</v>
      </c>
    </row>
    <row r="1124" spans="1:19" ht="30">
      <c r="A1124" s="8">
        <v>43347.767291666663</v>
      </c>
      <c r="B1124" s="11" t="str">
        <f>HYPERLINK("https://twitter.com/fighter_2025","@fighter_2025")</f>
        <v>@fighter_2025</v>
      </c>
      <c r="C1124" s="6" t="s">
        <v>13855</v>
      </c>
      <c r="D1124" s="5" t="s">
        <v>13854</v>
      </c>
      <c r="E1124" s="9" t="str">
        <f>HYPERLINK("https://twitter.com/fighter_2025/status/1036975897969082368","1036975897969082368")</f>
        <v>1036975897969082368</v>
      </c>
      <c r="F1124" s="4"/>
      <c r="G1124" s="4"/>
      <c r="H1124" s="4"/>
      <c r="I1124" s="10" t="str">
        <f>HYPERLINK("http://twitter.com/download/android","Twitter for Android")</f>
        <v>Twitter for Android</v>
      </c>
      <c r="J1124" s="2">
        <v>49</v>
      </c>
      <c r="K1124" s="2">
        <v>32</v>
      </c>
      <c r="L1124" s="2">
        <v>0</v>
      </c>
      <c r="M1124" s="2"/>
      <c r="N1124" s="8">
        <v>43263.924641203703</v>
      </c>
      <c r="O1124" s="4"/>
      <c r="P1124" s="3" t="s">
        <v>13853</v>
      </c>
      <c r="Q1124" s="4"/>
      <c r="R1124" s="4"/>
      <c r="S1124" s="9" t="str">
        <f>HYPERLINK("https://pbs.twimg.com/profile_images/1006628048303742976/zNZlohEp.jpg","View")</f>
        <v>View</v>
      </c>
    </row>
    <row r="1125" spans="1:19" ht="80">
      <c r="A1125" s="8">
        <v>43347.767094907409</v>
      </c>
      <c r="B1125" s="11" t="str">
        <f>HYPERLINK("https://twitter.com/asmaerfanifar","@asmaerfanifar")</f>
        <v>@asmaerfanifar</v>
      </c>
      <c r="C1125" s="6" t="s">
        <v>1038</v>
      </c>
      <c r="D1125" s="5" t="s">
        <v>13852</v>
      </c>
      <c r="E1125" s="9" t="str">
        <f>HYPERLINK("https://twitter.com/asmaerfanifar/status/1036975824312983552","1036975824312983552")</f>
        <v>1036975824312983552</v>
      </c>
      <c r="F1125" s="10" t="s">
        <v>13297</v>
      </c>
      <c r="G1125" s="10" t="s">
        <v>13296</v>
      </c>
      <c r="H1125" s="4"/>
      <c r="I1125" s="10" t="str">
        <f>HYPERLINK("http://twitter.com/download/android","Twitter for Android")</f>
        <v>Twitter for Android</v>
      </c>
      <c r="J1125" s="2">
        <v>169</v>
      </c>
      <c r="K1125" s="2">
        <v>470</v>
      </c>
      <c r="L1125" s="2">
        <v>0</v>
      </c>
      <c r="M1125" s="2"/>
      <c r="N1125" s="8">
        <v>41087.681261574078</v>
      </c>
      <c r="O1125" s="4" t="s">
        <v>34</v>
      </c>
      <c r="P1125" s="3" t="s">
        <v>1035</v>
      </c>
      <c r="Q1125" s="10" t="s">
        <v>1034</v>
      </c>
      <c r="R1125" s="4"/>
      <c r="S1125" s="9" t="str">
        <f>HYPERLINK("https://pbs.twimg.com/profile_images/1036006824468721664/LiL8AIJv.jpg","View")</f>
        <v>View</v>
      </c>
    </row>
    <row r="1126" spans="1:19" ht="30">
      <c r="A1126" s="8">
        <v>43347.766747685186</v>
      </c>
      <c r="B1126" s="11" t="str">
        <f>HYPERLINK("https://twitter.com/amirsayah1","@amirsayah1")</f>
        <v>@amirsayah1</v>
      </c>
      <c r="C1126" s="6" t="s">
        <v>332</v>
      </c>
      <c r="D1126" s="5" t="s">
        <v>13851</v>
      </c>
      <c r="E1126" s="9" t="str">
        <f>HYPERLINK("https://twitter.com/amirsayah1/status/1036975698051825666","1036975698051825666")</f>
        <v>1036975698051825666</v>
      </c>
      <c r="F1126" s="4"/>
      <c r="G1126" s="10" t="s">
        <v>13850</v>
      </c>
      <c r="H1126" s="4"/>
      <c r="I1126" s="10" t="str">
        <f>HYPERLINK("http://twitter.com/download/android","Twitter for Android")</f>
        <v>Twitter for Android</v>
      </c>
      <c r="J1126" s="2">
        <v>1924</v>
      </c>
      <c r="K1126" s="2">
        <v>130</v>
      </c>
      <c r="L1126" s="2">
        <v>16</v>
      </c>
      <c r="M1126" s="2"/>
      <c r="N1126" s="8">
        <v>43297.851585648154</v>
      </c>
      <c r="O1126" s="4"/>
      <c r="P1126" s="3" t="s">
        <v>330</v>
      </c>
      <c r="Q1126" s="4"/>
      <c r="R1126" s="4"/>
      <c r="S1126" s="9" t="str">
        <f>HYPERLINK("https://pbs.twimg.com/profile_images/1031588127075434496/8SFrshob.jpg","View")</f>
        <v>View</v>
      </c>
    </row>
    <row r="1127" spans="1:19" ht="30">
      <c r="A1127" s="8">
        <v>43347.766539351855</v>
      </c>
      <c r="B1127" s="11" t="str">
        <f>HYPERLINK("https://twitter.com/MAMOOTTI","@MAMOOTTI")</f>
        <v>@MAMOOTTI</v>
      </c>
      <c r="C1127" s="6" t="s">
        <v>12031</v>
      </c>
      <c r="D1127" s="5" t="s">
        <v>13849</v>
      </c>
      <c r="E1127" s="9" t="str">
        <f>HYPERLINK("https://twitter.com/MAMOOTTI/status/1036975625108639744","1036975625108639744")</f>
        <v>1036975625108639744</v>
      </c>
      <c r="F1127" s="4"/>
      <c r="G1127" s="4"/>
      <c r="H1127" s="4"/>
      <c r="I1127" s="10" t="str">
        <f>HYPERLINK("http://twitter.com","Twitter Web Client")</f>
        <v>Twitter Web Client</v>
      </c>
      <c r="J1127" s="2">
        <v>4</v>
      </c>
      <c r="K1127" s="2">
        <v>14</v>
      </c>
      <c r="L1127" s="2">
        <v>0</v>
      </c>
      <c r="M1127" s="2"/>
      <c r="N1127" s="8">
        <v>43346.61509259259</v>
      </c>
      <c r="O1127" s="4"/>
      <c r="P1127" s="3"/>
      <c r="Q1127" s="4"/>
      <c r="R1127" s="4"/>
      <c r="S1127" s="2" t="s">
        <v>155</v>
      </c>
    </row>
    <row r="1128" spans="1:19" ht="20">
      <c r="A1128" s="8">
        <v>43347.7658912037</v>
      </c>
      <c r="B1128" s="11" t="str">
        <f>HYPERLINK("https://twitter.com/meysammansoori","@meysammansoori")</f>
        <v>@meysammansoori</v>
      </c>
      <c r="C1128" s="6" t="s">
        <v>10607</v>
      </c>
      <c r="D1128" s="5" t="s">
        <v>13848</v>
      </c>
      <c r="E1128" s="9" t="str">
        <f>HYPERLINK("https://twitter.com/meysammansoori/status/1036975390273806341","1036975390273806341")</f>
        <v>1036975390273806341</v>
      </c>
      <c r="F1128" s="4"/>
      <c r="G1128" s="4"/>
      <c r="H1128" s="4"/>
      <c r="I1128" s="10" t="str">
        <f>HYPERLINK("https://mobile.twitter.com","Twitter Lite")</f>
        <v>Twitter Lite</v>
      </c>
      <c r="J1128" s="2">
        <v>138</v>
      </c>
      <c r="K1128" s="2">
        <v>372</v>
      </c>
      <c r="L1128" s="2">
        <v>0</v>
      </c>
      <c r="M1128" s="2"/>
      <c r="N1128" s="8">
        <v>43112.582314814819</v>
      </c>
      <c r="O1128" s="4" t="s">
        <v>17</v>
      </c>
      <c r="P1128" s="3" t="s">
        <v>10605</v>
      </c>
      <c r="Q1128" s="4"/>
      <c r="R1128" s="4"/>
      <c r="S1128" s="9" t="str">
        <f>HYPERLINK("https://pbs.twimg.com/profile_images/951764284362571776/VqGtkmMI.jpg","View")</f>
        <v>View</v>
      </c>
    </row>
    <row r="1129" spans="1:19" ht="30">
      <c r="A1129" s="8">
        <v>43347.765740740739</v>
      </c>
      <c r="B1129" s="11" t="str">
        <f>HYPERLINK("https://twitter.com/hajspil","@hajspil")</f>
        <v>@hajspil</v>
      </c>
      <c r="C1129" s="6" t="s">
        <v>5266</v>
      </c>
      <c r="D1129" s="5" t="s">
        <v>13847</v>
      </c>
      <c r="E1129" s="9" t="str">
        <f>HYPERLINK("https://twitter.com/hajspil/status/1036975334506283008","1036975334506283008")</f>
        <v>1036975334506283008</v>
      </c>
      <c r="F1129" s="4"/>
      <c r="G1129" s="4"/>
      <c r="H1129" s="4"/>
      <c r="I1129" s="10" t="str">
        <f>HYPERLINK("http://twitter.com/download/android","Twitter for Android")</f>
        <v>Twitter for Android</v>
      </c>
      <c r="J1129" s="2">
        <v>1304</v>
      </c>
      <c r="K1129" s="2">
        <v>893</v>
      </c>
      <c r="L1129" s="2">
        <v>3</v>
      </c>
      <c r="M1129" s="2"/>
      <c r="N1129" s="8">
        <v>42880.547835648147</v>
      </c>
      <c r="O1129" s="4"/>
      <c r="P1129" s="3" t="s">
        <v>13832</v>
      </c>
      <c r="Q1129" s="4"/>
      <c r="R1129" s="4"/>
      <c r="S1129" s="9" t="str">
        <f>HYPERLINK("https://pbs.twimg.com/profile_images/1000822681841922048/ioURhYH-.jpg","View")</f>
        <v>View</v>
      </c>
    </row>
    <row r="1130" spans="1:19" ht="40">
      <c r="A1130" s="8">
        <v>43347.76525462963</v>
      </c>
      <c r="B1130" s="11" t="str">
        <f>HYPERLINK("https://twitter.com/Mr_Engineer21","@Mr_Engineer21")</f>
        <v>@Mr_Engineer21</v>
      </c>
      <c r="C1130" s="6" t="s">
        <v>13846</v>
      </c>
      <c r="D1130" s="5" t="s">
        <v>13845</v>
      </c>
      <c r="E1130" s="9" t="str">
        <f>HYPERLINK("https://twitter.com/Mr_Engineer21/status/1036975159758991367","1036975159758991367")</f>
        <v>1036975159758991367</v>
      </c>
      <c r="F1130" s="4"/>
      <c r="G1130" s="4"/>
      <c r="H1130" s="4"/>
      <c r="I1130" s="10" t="str">
        <f>HYPERLINK("http://twitter.com/download/android","Twitter for Android")</f>
        <v>Twitter for Android</v>
      </c>
      <c r="J1130" s="2">
        <v>93</v>
      </c>
      <c r="K1130" s="2">
        <v>215</v>
      </c>
      <c r="L1130" s="2">
        <v>0</v>
      </c>
      <c r="M1130" s="2"/>
      <c r="N1130" s="8">
        <v>43228.944050925929</v>
      </c>
      <c r="O1130" s="4" t="s">
        <v>34</v>
      </c>
      <c r="P1130" s="3" t="s">
        <v>13844</v>
      </c>
      <c r="Q1130" s="4"/>
      <c r="R1130" s="4"/>
      <c r="S1130" s="9" t="str">
        <f>HYPERLINK("https://pbs.twimg.com/profile_images/1030840368122798081/z5-GvXLJ.jpg","View")</f>
        <v>View</v>
      </c>
    </row>
    <row r="1131" spans="1:19" ht="40">
      <c r="A1131" s="8">
        <v>43347.764247685191</v>
      </c>
      <c r="B1131" s="11" t="str">
        <f>HYPERLINK("https://twitter.com/AmouzadehReza","@AmouzadehReza")</f>
        <v>@AmouzadehReza</v>
      </c>
      <c r="C1131" s="6" t="s">
        <v>13843</v>
      </c>
      <c r="D1131" s="5" t="s">
        <v>13842</v>
      </c>
      <c r="E1131" s="9" t="str">
        <f>HYPERLINK("https://twitter.com/AmouzadehReza/status/1036974791868198912","1036974791868198912")</f>
        <v>1036974791868198912</v>
      </c>
      <c r="F1131" s="4"/>
      <c r="G1131" s="4"/>
      <c r="H1131" s="4"/>
      <c r="I1131" s="10" t="str">
        <f>HYPERLINK("http://twitter.com/download/android","Twitter for Android")</f>
        <v>Twitter for Android</v>
      </c>
      <c r="J1131" s="2">
        <v>4565</v>
      </c>
      <c r="K1131" s="2">
        <v>4940</v>
      </c>
      <c r="L1131" s="2">
        <v>8</v>
      </c>
      <c r="M1131" s="2"/>
      <c r="N1131" s="8">
        <v>42105.220219907409</v>
      </c>
      <c r="O1131" s="4" t="s">
        <v>7139</v>
      </c>
      <c r="P1131" s="3"/>
      <c r="Q1131" s="4"/>
      <c r="R1131" s="4"/>
      <c r="S1131" s="9" t="str">
        <f>HYPERLINK("https://pbs.twimg.com/profile_images/1034131448792580096/gbKvniTb.jpg","View")</f>
        <v>View</v>
      </c>
    </row>
    <row r="1132" spans="1:19" ht="30">
      <c r="A1132" s="8">
        <v>43347.763229166667</v>
      </c>
      <c r="B1132" s="11" t="str">
        <f>HYPERLINK("https://twitter.com/majestydiplomat","@majestydiplomat")</f>
        <v>@majestydiplomat</v>
      </c>
      <c r="C1132" s="6" t="s">
        <v>13841</v>
      </c>
      <c r="D1132" s="5" t="s">
        <v>13840</v>
      </c>
      <c r="E1132" s="9" t="str">
        <f>HYPERLINK("https://twitter.com/majestydiplomat/status/1036974423004401669","1036974423004401669")</f>
        <v>1036974423004401669</v>
      </c>
      <c r="F1132" s="4"/>
      <c r="G1132" s="4"/>
      <c r="H1132" s="4"/>
      <c r="I1132" s="10" t="str">
        <f>HYPERLINK("http://twitter.com/download/android","Twitter for Android")</f>
        <v>Twitter for Android</v>
      </c>
      <c r="J1132" s="2">
        <v>171</v>
      </c>
      <c r="K1132" s="2">
        <v>64</v>
      </c>
      <c r="L1132" s="2">
        <v>1</v>
      </c>
      <c r="M1132" s="2"/>
      <c r="N1132" s="8">
        <v>43046.957280092596</v>
      </c>
      <c r="O1132" s="4" t="s">
        <v>34</v>
      </c>
      <c r="P1132" s="3"/>
      <c r="Q1132" s="4"/>
      <c r="R1132" s="4"/>
      <c r="S1132" s="9" t="str">
        <f>HYPERLINK("https://pbs.twimg.com/profile_images/928154068580749312/BGX1NB-7.jpg","View")</f>
        <v>View</v>
      </c>
    </row>
    <row r="1133" spans="1:19" ht="60">
      <c r="A1133" s="8">
        <v>43347.762696759259</v>
      </c>
      <c r="B1133" s="11" t="str">
        <f>HYPERLINK("https://twitter.com/omid_pu","@omid_pu")</f>
        <v>@omid_pu</v>
      </c>
      <c r="C1133" s="6" t="s">
        <v>13839</v>
      </c>
      <c r="D1133" s="5" t="s">
        <v>13838</v>
      </c>
      <c r="E1133" s="9" t="str">
        <f>HYPERLINK("https://twitter.com/omid_pu/status/1036974231928668161","1036974231928668161")</f>
        <v>1036974231928668161</v>
      </c>
      <c r="F1133" s="10" t="s">
        <v>13297</v>
      </c>
      <c r="G1133" s="10" t="s">
        <v>13296</v>
      </c>
      <c r="H1133" s="4"/>
      <c r="I1133" s="10" t="str">
        <f>HYPERLINK("https://mobile.twitter.com","Twitter Lite")</f>
        <v>Twitter Lite</v>
      </c>
      <c r="J1133" s="2">
        <v>112</v>
      </c>
      <c r="K1133" s="2">
        <v>1141</v>
      </c>
      <c r="L1133" s="2">
        <v>0</v>
      </c>
      <c r="M1133" s="2"/>
      <c r="N1133" s="8">
        <v>42181.645046296297</v>
      </c>
      <c r="O1133" s="4"/>
      <c r="P1133" s="3" t="s">
        <v>13837</v>
      </c>
      <c r="Q1133" s="4"/>
      <c r="R1133" s="4"/>
      <c r="S1133" s="9" t="str">
        <f>HYPERLINK("https://pbs.twimg.com/profile_images/1027870340410535936/jDWUJ_fG.jpg","View")</f>
        <v>View</v>
      </c>
    </row>
    <row r="1134" spans="1:19" ht="40">
      <c r="A1134" s="8">
        <v>43347.761620370366</v>
      </c>
      <c r="B1134" s="11" t="str">
        <f>HYPERLINK("https://twitter.com/EhsanBodaghi","@EhsanBodaghi")</f>
        <v>@EhsanBodaghi</v>
      </c>
      <c r="C1134" s="6" t="s">
        <v>13836</v>
      </c>
      <c r="D1134" s="5" t="s">
        <v>13835</v>
      </c>
      <c r="E1134" s="9" t="str">
        <f>HYPERLINK("https://twitter.com/EhsanBodaghi/status/1036973843104051201","1036973843104051201")</f>
        <v>1036973843104051201</v>
      </c>
      <c r="F1134" s="4"/>
      <c r="G1134" s="4"/>
      <c r="H1134" s="4"/>
      <c r="I1134" s="10" t="str">
        <f>HYPERLINK("http://twitter.com","Twitter Web Client")</f>
        <v>Twitter Web Client</v>
      </c>
      <c r="J1134" s="2">
        <v>19415</v>
      </c>
      <c r="K1134" s="2">
        <v>1216</v>
      </c>
      <c r="L1134" s="2">
        <v>109</v>
      </c>
      <c r="M1134" s="2"/>
      <c r="N1134" s="8">
        <v>42734.574479166666</v>
      </c>
      <c r="O1134" s="4" t="s">
        <v>104</v>
      </c>
      <c r="P1134" s="3" t="s">
        <v>13834</v>
      </c>
      <c r="Q1134" s="4"/>
      <c r="R1134" s="4"/>
      <c r="S1134" s="9" t="str">
        <f>HYPERLINK("https://pbs.twimg.com/profile_images/814778602302619649/CdnWKNiO.jpg","View")</f>
        <v>View</v>
      </c>
    </row>
    <row r="1135" spans="1:19" ht="30">
      <c r="A1135" s="8">
        <v>43347.761284722219</v>
      </c>
      <c r="B1135" s="11" t="str">
        <f>HYPERLINK("https://twitter.com/hajspil","@hajspil")</f>
        <v>@hajspil</v>
      </c>
      <c r="C1135" s="6" t="s">
        <v>5266</v>
      </c>
      <c r="D1135" s="5" t="s">
        <v>13833</v>
      </c>
      <c r="E1135" s="9" t="str">
        <f>HYPERLINK("https://twitter.com/hajspil/status/1036973721741877248","1036973721741877248")</f>
        <v>1036973721741877248</v>
      </c>
      <c r="F1135" s="4"/>
      <c r="G1135" s="4"/>
      <c r="H1135" s="4"/>
      <c r="I1135" s="10" t="str">
        <f>HYPERLINK("http://twitter.com/download/android","Twitter for Android")</f>
        <v>Twitter for Android</v>
      </c>
      <c r="J1135" s="2">
        <v>1301</v>
      </c>
      <c r="K1135" s="2">
        <v>893</v>
      </c>
      <c r="L1135" s="2">
        <v>3</v>
      </c>
      <c r="M1135" s="2"/>
      <c r="N1135" s="8">
        <v>42880.547835648147</v>
      </c>
      <c r="O1135" s="4"/>
      <c r="P1135" s="3" t="s">
        <v>13832</v>
      </c>
      <c r="Q1135" s="4"/>
      <c r="R1135" s="4"/>
      <c r="S1135" s="9" t="str">
        <f>HYPERLINK("https://pbs.twimg.com/profile_images/1000822681841922048/ioURhYH-.jpg","View")</f>
        <v>View</v>
      </c>
    </row>
    <row r="1136" spans="1:19" ht="40">
      <c r="A1136" s="8">
        <v>43347.760972222226</v>
      </c>
      <c r="B1136" s="11" t="str">
        <f>HYPERLINK("https://twitter.com/hoseinzinloo","@hoseinzinloo")</f>
        <v>@hoseinzinloo</v>
      </c>
      <c r="C1136" s="6" t="s">
        <v>3058</v>
      </c>
      <c r="D1136" s="5" t="s">
        <v>13831</v>
      </c>
      <c r="E1136" s="9" t="str">
        <f>HYPERLINK("https://twitter.com/hoseinzinloo/status/1036973607694622720","1036973607694622720")</f>
        <v>1036973607694622720</v>
      </c>
      <c r="F1136" s="4"/>
      <c r="G1136" s="4"/>
      <c r="H1136" s="4"/>
      <c r="I1136" s="10" t="str">
        <f>HYPERLINK("http://twitter.com","Twitter Web Client")</f>
        <v>Twitter Web Client</v>
      </c>
      <c r="J1136" s="2">
        <v>343</v>
      </c>
      <c r="K1136" s="2">
        <v>797</v>
      </c>
      <c r="L1136" s="2">
        <v>1</v>
      </c>
      <c r="M1136" s="2"/>
      <c r="N1136" s="8">
        <v>41605.439710648148</v>
      </c>
      <c r="O1136" s="4" t="s">
        <v>1415</v>
      </c>
      <c r="P1136" s="3" t="s">
        <v>3056</v>
      </c>
      <c r="Q1136" s="10" t="s">
        <v>3055</v>
      </c>
      <c r="R1136" s="4"/>
      <c r="S1136" s="9" t="str">
        <f>HYPERLINK("https://pbs.twimg.com/profile_images/981152228831580160/xKsxzrZw.jpg","View")</f>
        <v>View</v>
      </c>
    </row>
    <row r="1137" spans="1:19" ht="40">
      <c r="A1137" s="8">
        <v>43347.760891203703</v>
      </c>
      <c r="B1137" s="11" t="str">
        <f>HYPERLINK("https://twitter.com/khormal0","@khormal0")</f>
        <v>@khormal0</v>
      </c>
      <c r="C1137" s="6" t="s">
        <v>13830</v>
      </c>
      <c r="D1137" s="5" t="s">
        <v>13829</v>
      </c>
      <c r="E1137" s="9" t="str">
        <f>HYPERLINK("https://twitter.com/khormal0/status/1036973576262496257","1036973576262496257")</f>
        <v>1036973576262496257</v>
      </c>
      <c r="F1137" s="4"/>
      <c r="G1137" s="4"/>
      <c r="H1137" s="4"/>
      <c r="I1137" s="10" t="str">
        <f>HYPERLINK("http://twitter.com/download/iphone","Twitter for iPhone")</f>
        <v>Twitter for iPhone</v>
      </c>
      <c r="J1137" s="2">
        <v>1277</v>
      </c>
      <c r="K1137" s="2">
        <v>1892</v>
      </c>
      <c r="L1137" s="2">
        <v>1</v>
      </c>
      <c r="M1137" s="2"/>
      <c r="N1137" s="8">
        <v>40513.47991898148</v>
      </c>
      <c r="O1137" s="4" t="s">
        <v>13828</v>
      </c>
      <c r="P1137" s="3" t="s">
        <v>13827</v>
      </c>
      <c r="Q1137" s="4"/>
      <c r="R1137" s="4"/>
      <c r="S1137" s="9" t="str">
        <f>HYPERLINK("https://pbs.twimg.com/profile_images/1028526880700461057/WvckCsCy.jpg","View")</f>
        <v>View</v>
      </c>
    </row>
    <row r="1138" spans="1:19" ht="12.5">
      <c r="A1138" s="8">
        <v>43347.759872685187</v>
      </c>
      <c r="B1138" s="11" t="str">
        <f>HYPERLINK("https://twitter.com/saeed_msl","@saeed_msl")</f>
        <v>@saeed_msl</v>
      </c>
      <c r="C1138" s="6" t="s">
        <v>13826</v>
      </c>
      <c r="D1138" s="5" t="s">
        <v>13825</v>
      </c>
      <c r="E1138" s="9" t="str">
        <f>HYPERLINK("https://twitter.com/saeed_msl/status/1036973208610787328","1036973208610787328")</f>
        <v>1036973208610787328</v>
      </c>
      <c r="F1138" s="4"/>
      <c r="G1138" s="4"/>
      <c r="H1138" s="4"/>
      <c r="I1138" s="10" t="str">
        <f>HYPERLINK("http://twitter.com/download/iphone","Twitter for iPhone")</f>
        <v>Twitter for iPhone</v>
      </c>
      <c r="J1138" s="2">
        <v>21</v>
      </c>
      <c r="K1138" s="2">
        <v>71</v>
      </c>
      <c r="L1138" s="2">
        <v>0</v>
      </c>
      <c r="M1138" s="2"/>
      <c r="N1138" s="8">
        <v>42775.714895833335</v>
      </c>
      <c r="O1138" s="4" t="s">
        <v>13824</v>
      </c>
      <c r="P1138" s="3" t="s">
        <v>13823</v>
      </c>
      <c r="Q1138" s="4"/>
      <c r="R1138" s="4"/>
      <c r="S1138" s="9" t="str">
        <f>HYPERLINK("https://pbs.twimg.com/profile_images/1026090645948125184/SneHY3uH.jpg","View")</f>
        <v>View</v>
      </c>
    </row>
    <row r="1139" spans="1:19" ht="20">
      <c r="A1139" s="8">
        <v>43347.758275462962</v>
      </c>
      <c r="B1139" s="11" t="str">
        <f>HYPERLINK("https://twitter.com/MohammadVahidii","@MohammadVahidii")</f>
        <v>@MohammadVahidii</v>
      </c>
      <c r="C1139" s="6" t="s">
        <v>13822</v>
      </c>
      <c r="D1139" s="5" t="s">
        <v>13821</v>
      </c>
      <c r="E1139" s="9" t="str">
        <f>HYPERLINK("https://twitter.com/MohammadVahidii/status/1036972629301780481","1036972629301780481")</f>
        <v>1036972629301780481</v>
      </c>
      <c r="F1139" s="4"/>
      <c r="G1139" s="4"/>
      <c r="H1139" s="4"/>
      <c r="I1139" s="10" t="str">
        <f>HYPERLINK("http://twitter.com/download/android","Twitter for Android")</f>
        <v>Twitter for Android</v>
      </c>
      <c r="J1139" s="2">
        <v>1097</v>
      </c>
      <c r="K1139" s="2">
        <v>152</v>
      </c>
      <c r="L1139" s="2">
        <v>5</v>
      </c>
      <c r="M1139" s="2"/>
      <c r="N1139" s="8">
        <v>43221.03524305555</v>
      </c>
      <c r="O1139" s="4" t="s">
        <v>34</v>
      </c>
      <c r="P1139" s="3" t="s">
        <v>13820</v>
      </c>
      <c r="Q1139" s="10" t="s">
        <v>13819</v>
      </c>
      <c r="R1139" s="4"/>
      <c r="S1139" s="9" t="str">
        <f>HYPERLINK("https://pbs.twimg.com/profile_images/991054260019212288/iJQPpRhr.jpg","View")</f>
        <v>View</v>
      </c>
    </row>
    <row r="1140" spans="1:19" ht="20">
      <c r="A1140" s="8">
        <v>43347.758009259254</v>
      </c>
      <c r="B1140" s="11" t="str">
        <f>HYPERLINK("https://twitter.com/Hasan_alinezhad","@Hasan_alinezhad")</f>
        <v>@Hasan_alinezhad</v>
      </c>
      <c r="C1140" s="6" t="s">
        <v>8708</v>
      </c>
      <c r="D1140" s="5" t="s">
        <v>13818</v>
      </c>
      <c r="E1140" s="9" t="str">
        <f>HYPERLINK("https://twitter.com/Hasan_alinezhad/status/1036972532996431873","1036972532996431873")</f>
        <v>1036972532996431873</v>
      </c>
      <c r="F1140" s="4"/>
      <c r="G1140" s="4"/>
      <c r="H1140" s="4"/>
      <c r="I1140" s="10" t="str">
        <f>HYPERLINK("http://twitter.com/download/iphone","Twitter for iPhone")</f>
        <v>Twitter for iPhone</v>
      </c>
      <c r="J1140" s="2">
        <v>372</v>
      </c>
      <c r="K1140" s="2">
        <v>417</v>
      </c>
      <c r="L1140" s="2">
        <v>1</v>
      </c>
      <c r="M1140" s="2"/>
      <c r="N1140" s="8">
        <v>42976.155740740738</v>
      </c>
      <c r="O1140" s="4"/>
      <c r="P1140" s="3" t="s">
        <v>8706</v>
      </c>
      <c r="Q1140" s="10" t="s">
        <v>8705</v>
      </c>
      <c r="R1140" s="4"/>
      <c r="S1140" s="9" t="str">
        <f>HYPERLINK("https://pbs.twimg.com/profile_images/939771596780208130/sZcxXcpo.jpg","View")</f>
        <v>View</v>
      </c>
    </row>
    <row r="1141" spans="1:19" ht="30">
      <c r="A1141" s="8">
        <v>43347.756898148145</v>
      </c>
      <c r="B1141" s="11" t="str">
        <f>HYPERLINK("https://twitter.com/biman64","@biman64")</f>
        <v>@biman64</v>
      </c>
      <c r="C1141" s="6" t="s">
        <v>10428</v>
      </c>
      <c r="D1141" s="5" t="s">
        <v>13817</v>
      </c>
      <c r="E1141" s="9" t="str">
        <f>HYPERLINK("https://twitter.com/biman64/status/1036972132130082816","1036972132130082816")</f>
        <v>1036972132130082816</v>
      </c>
      <c r="F1141" s="4"/>
      <c r="G1141" s="10" t="s">
        <v>13816</v>
      </c>
      <c r="H1141" s="4"/>
      <c r="I1141" s="10" t="str">
        <f>HYPERLINK("http://twitter.com","Twitter Web Client")</f>
        <v>Twitter Web Client</v>
      </c>
      <c r="J1141" s="2">
        <v>5641</v>
      </c>
      <c r="K1141" s="2">
        <v>1212</v>
      </c>
      <c r="L1141" s="2">
        <v>62</v>
      </c>
      <c r="M1141" s="2" t="s">
        <v>80</v>
      </c>
      <c r="N1141" s="8">
        <v>40571.805196759262</v>
      </c>
      <c r="O1141" s="4" t="s">
        <v>10426</v>
      </c>
      <c r="P1141" s="3" t="s">
        <v>10425</v>
      </c>
      <c r="Q1141" s="10" t="s">
        <v>598</v>
      </c>
      <c r="R1141" s="4"/>
      <c r="S1141" s="9" t="str">
        <f>HYPERLINK("https://pbs.twimg.com/profile_images/949901220650532864/6dpkqb2k.jpg","View")</f>
        <v>View</v>
      </c>
    </row>
    <row r="1142" spans="1:19" ht="20">
      <c r="A1142" s="8">
        <v>43347.756678240738</v>
      </c>
      <c r="B1142" s="11" t="str">
        <f>HYPERLINK("https://twitter.com/badboy47901","@badboy47901")</f>
        <v>@badboy47901</v>
      </c>
      <c r="C1142" s="6" t="s">
        <v>13815</v>
      </c>
      <c r="D1142" s="5" t="s">
        <v>13814</v>
      </c>
      <c r="E1142" s="9" t="str">
        <f>HYPERLINK("https://twitter.com/badboy47901/status/1036972052530585601","1036972052530585601")</f>
        <v>1036972052530585601</v>
      </c>
      <c r="F1142" s="4"/>
      <c r="G1142" s="4"/>
      <c r="H1142" s="4"/>
      <c r="I1142" s="10" t="str">
        <f>HYPERLINK("http://twitter.com/download/iphone","Twitter for iPhone")</f>
        <v>Twitter for iPhone</v>
      </c>
      <c r="J1142" s="2">
        <v>3333</v>
      </c>
      <c r="K1142" s="2">
        <v>4079</v>
      </c>
      <c r="L1142" s="2">
        <v>1</v>
      </c>
      <c r="M1142" s="2"/>
      <c r="N1142" s="8">
        <v>43042.34002314815</v>
      </c>
      <c r="O1142" s="4"/>
      <c r="P1142" s="3" t="s">
        <v>13813</v>
      </c>
      <c r="Q1142" s="4"/>
      <c r="R1142" s="4"/>
      <c r="S1142" s="9" t="str">
        <f>HYPERLINK("https://pbs.twimg.com/profile_images/1036922749497815040/Aso3uyqd.jpg","View")</f>
        <v>View</v>
      </c>
    </row>
    <row r="1143" spans="1:19" ht="30">
      <c r="A1143" s="8">
        <v>43347.755995370375</v>
      </c>
      <c r="B1143" s="11" t="str">
        <f>HYPERLINK("https://twitter.com/Snbig_","@Snbig_")</f>
        <v>@Snbig_</v>
      </c>
      <c r="C1143" s="6" t="s">
        <v>404</v>
      </c>
      <c r="D1143" s="5" t="s">
        <v>13812</v>
      </c>
      <c r="E1143" s="9" t="str">
        <f>HYPERLINK("https://twitter.com/Snbig_/status/1036971801463717889","1036971801463717889")</f>
        <v>1036971801463717889</v>
      </c>
      <c r="F1143" s="4"/>
      <c r="G1143" s="4"/>
      <c r="H1143" s="4"/>
      <c r="I1143" s="10" t="str">
        <f>HYPERLINK("http://twitter.com","Twitter Web Client")</f>
        <v>Twitter Web Client</v>
      </c>
      <c r="J1143" s="2">
        <v>438</v>
      </c>
      <c r="K1143" s="2">
        <v>669</v>
      </c>
      <c r="L1143" s="2">
        <v>0</v>
      </c>
      <c r="M1143" s="2"/>
      <c r="N1143" s="8">
        <v>41841.560416666667</v>
      </c>
      <c r="O1143" s="4" t="s">
        <v>34</v>
      </c>
      <c r="P1143" s="3" t="s">
        <v>402</v>
      </c>
      <c r="Q1143" s="4"/>
      <c r="R1143" s="4"/>
      <c r="S1143" s="9" t="str">
        <f>HYPERLINK("https://pbs.twimg.com/profile_images/1009850790054416384/wxmTANKk.jpg","View")</f>
        <v>View</v>
      </c>
    </row>
    <row r="1144" spans="1:19" ht="40">
      <c r="A1144" s="8">
        <v>43347.755104166667</v>
      </c>
      <c r="B1144" s="11" t="str">
        <f>HYPERLINK("https://twitter.com/fd_ba45","@fd_ba45")</f>
        <v>@fd_ba45</v>
      </c>
      <c r="C1144" s="6" t="s">
        <v>13811</v>
      </c>
      <c r="D1144" s="5" t="s">
        <v>13810</v>
      </c>
      <c r="E1144" s="9" t="str">
        <f>HYPERLINK("https://twitter.com/fd_ba45/status/1036971478619697155","1036971478619697155")</f>
        <v>1036971478619697155</v>
      </c>
      <c r="F1144" s="4"/>
      <c r="G1144" s="4"/>
      <c r="H1144" s="4"/>
      <c r="I1144" s="10" t="str">
        <f>HYPERLINK("https://mobile.twitter.com","Twitter Lite")</f>
        <v>Twitter Lite</v>
      </c>
      <c r="J1144" s="2">
        <v>119</v>
      </c>
      <c r="K1144" s="2">
        <v>76</v>
      </c>
      <c r="L1144" s="2">
        <v>0</v>
      </c>
      <c r="M1144" s="2"/>
      <c r="N1144" s="8">
        <v>42872.943333333329</v>
      </c>
      <c r="O1144" s="4" t="s">
        <v>13809</v>
      </c>
      <c r="P1144" s="3" t="s">
        <v>13808</v>
      </c>
      <c r="Q1144" s="10" t="s">
        <v>13807</v>
      </c>
      <c r="R1144" s="4"/>
      <c r="S1144" s="9" t="str">
        <f>HYPERLINK("https://pbs.twimg.com/profile_images/865045485337366528/BWQbyAgx.jpg","View")</f>
        <v>View</v>
      </c>
    </row>
    <row r="1145" spans="1:19" ht="40">
      <c r="A1145" s="8">
        <v>43347.75476851852</v>
      </c>
      <c r="B1145" s="11" t="str">
        <f>HYPERLINK("https://twitter.com/Tasnimnews_Fa","@Tasnimnews_Fa")</f>
        <v>@Tasnimnews_Fa</v>
      </c>
      <c r="C1145" s="6" t="s">
        <v>603</v>
      </c>
      <c r="D1145" s="5" t="s">
        <v>13806</v>
      </c>
      <c r="E1145" s="9" t="str">
        <f>HYPERLINK("https://twitter.com/Tasnimnews_Fa/status/1036971359405072384","1036971359405072384")</f>
        <v>1036971359405072384</v>
      </c>
      <c r="F1145" s="10" t="s">
        <v>13805</v>
      </c>
      <c r="G1145" s="10" t="s">
        <v>13804</v>
      </c>
      <c r="H1145" s="4"/>
      <c r="I1145" s="10" t="str">
        <f>HYPERLINK("http://twitter.com","Twitter Web Client")</f>
        <v>Twitter Web Client</v>
      </c>
      <c r="J1145" s="2">
        <v>109765</v>
      </c>
      <c r="K1145" s="2">
        <v>20</v>
      </c>
      <c r="L1145" s="2">
        <v>378</v>
      </c>
      <c r="M1145" s="2" t="s">
        <v>80</v>
      </c>
      <c r="N1145" s="8">
        <v>41868.671585648146</v>
      </c>
      <c r="O1145" s="4" t="s">
        <v>133</v>
      </c>
      <c r="P1145" s="3" t="s">
        <v>599</v>
      </c>
      <c r="Q1145" s="10" t="s">
        <v>598</v>
      </c>
      <c r="R1145" s="4"/>
      <c r="S1145" s="9" t="str">
        <f>HYPERLINK("https://pbs.twimg.com/profile_images/942003149430239232/hvLw_1_E.jpg","View")</f>
        <v>View</v>
      </c>
    </row>
    <row r="1146" spans="1:19" ht="20">
      <c r="A1146" s="8">
        <v>43347.754189814819</v>
      </c>
      <c r="B1146" s="11" t="str">
        <f>HYPERLINK("https://twitter.com/satj3363","@satj3363")</f>
        <v>@satj3363</v>
      </c>
      <c r="C1146" s="6" t="s">
        <v>10403</v>
      </c>
      <c r="D1146" s="5" t="s">
        <v>13803</v>
      </c>
      <c r="E1146" s="9" t="str">
        <f>HYPERLINK("https://twitter.com/satj3363/status/1036971148343472128","1036971148343472128")</f>
        <v>1036971148343472128</v>
      </c>
      <c r="F1146" s="4"/>
      <c r="G1146" s="4"/>
      <c r="H1146" s="4"/>
      <c r="I1146" s="10" t="str">
        <f>HYPERLINK("http://twitter.com/download/iphone","Twitter for iPhone")</f>
        <v>Twitter for iPhone</v>
      </c>
      <c r="J1146" s="2">
        <v>297</v>
      </c>
      <c r="K1146" s="2">
        <v>940</v>
      </c>
      <c r="L1146" s="2">
        <v>0</v>
      </c>
      <c r="M1146" s="2"/>
      <c r="N1146" s="8">
        <v>40179.946967592594</v>
      </c>
      <c r="O1146" s="4"/>
      <c r="P1146" s="3" t="s">
        <v>10401</v>
      </c>
      <c r="Q1146" s="4"/>
      <c r="R1146" s="4"/>
      <c r="S1146" s="9" t="str">
        <f>HYPERLINK("https://pbs.twimg.com/profile_images/819252089029328899/BbkT6evP.jpg","View")</f>
        <v>View</v>
      </c>
    </row>
    <row r="1147" spans="1:19" ht="40">
      <c r="A1147" s="8">
        <v>43347.752534722225</v>
      </c>
      <c r="B1147" s="11" t="str">
        <f>HYPERLINK("https://twitter.com/alirezaziz","@alirezaziz")</f>
        <v>@alirezaziz</v>
      </c>
      <c r="C1147" s="6" t="s">
        <v>13583</v>
      </c>
      <c r="D1147" s="5" t="s">
        <v>13802</v>
      </c>
      <c r="E1147" s="9" t="str">
        <f>HYPERLINK("https://twitter.com/alirezaziz/status/1036970550520946689","1036970550520946689")</f>
        <v>1036970550520946689</v>
      </c>
      <c r="F1147" s="4"/>
      <c r="G1147" s="4"/>
      <c r="H1147" s="4"/>
      <c r="I1147" s="10" t="str">
        <f>HYPERLINK("http://twitter.com","Twitter Web Client")</f>
        <v>Twitter Web Client</v>
      </c>
      <c r="J1147" s="2">
        <v>114</v>
      </c>
      <c r="K1147" s="2">
        <v>103</v>
      </c>
      <c r="L1147" s="2">
        <v>0</v>
      </c>
      <c r="M1147" s="2"/>
      <c r="N1147" s="8">
        <v>43317.810555555552</v>
      </c>
      <c r="O1147" s="4" t="s">
        <v>34</v>
      </c>
      <c r="P1147" s="3" t="s">
        <v>13581</v>
      </c>
      <c r="Q1147" s="4"/>
      <c r="R1147" s="4"/>
      <c r="S1147" s="9" t="str">
        <f>HYPERLINK("https://pbs.twimg.com/profile_images/1034912194226528256/uUbB0yqV.jpg","View")</f>
        <v>View</v>
      </c>
    </row>
    <row r="1148" spans="1:19" ht="20">
      <c r="A1148" s="8">
        <v>43347.752511574072</v>
      </c>
      <c r="B1148" s="11" t="str">
        <f>HYPERLINK("https://twitter.com/Ehsangh93","@Ehsangh93")</f>
        <v>@Ehsangh93</v>
      </c>
      <c r="C1148" s="6" t="s">
        <v>4498</v>
      </c>
      <c r="D1148" s="5" t="s">
        <v>13801</v>
      </c>
      <c r="E1148" s="9" t="str">
        <f>HYPERLINK("https://twitter.com/Ehsangh93/status/1036970542182686720","1036970542182686720")</f>
        <v>1036970542182686720</v>
      </c>
      <c r="F1148" s="4"/>
      <c r="G1148" s="4"/>
      <c r="H1148" s="4"/>
      <c r="I1148" s="10" t="str">
        <f>HYPERLINK("http://twitter.com/download/iphone","Twitter for iPhone")</f>
        <v>Twitter for iPhone</v>
      </c>
      <c r="J1148" s="2">
        <v>32</v>
      </c>
      <c r="K1148" s="2">
        <v>64</v>
      </c>
      <c r="L1148" s="2">
        <v>0</v>
      </c>
      <c r="M1148" s="2"/>
      <c r="N1148" s="8">
        <v>42248.050034722226</v>
      </c>
      <c r="O1148" s="4"/>
      <c r="P1148" s="3"/>
      <c r="Q1148" s="4"/>
      <c r="R1148" s="4"/>
      <c r="S1148" s="9" t="str">
        <f>HYPERLINK("https://pbs.twimg.com/profile_images/1010797356554620934/hPBJLtmU.jpg","View")</f>
        <v>View</v>
      </c>
    </row>
    <row r="1149" spans="1:19" ht="40">
      <c r="A1149" s="8">
        <v>43347.752152777779</v>
      </c>
      <c r="B1149" s="11" t="str">
        <f>HYPERLINK("https://twitter.com/mojtahed10","@mojtahed10")</f>
        <v>@mojtahed10</v>
      </c>
      <c r="C1149" s="6" t="s">
        <v>10523</v>
      </c>
      <c r="D1149" s="5" t="s">
        <v>13800</v>
      </c>
      <c r="E1149" s="9" t="str">
        <f>HYPERLINK("https://twitter.com/mojtahed10/status/1036970409432887299","1036970409432887299")</f>
        <v>1036970409432887299</v>
      </c>
      <c r="F1149" s="4"/>
      <c r="G1149" s="10" t="s">
        <v>13799</v>
      </c>
      <c r="H1149" s="4"/>
      <c r="I1149" s="10" t="str">
        <f>HYPERLINK("http://twitter.com/download/android","Twitter for Android")</f>
        <v>Twitter for Android</v>
      </c>
      <c r="J1149" s="2">
        <v>0</v>
      </c>
      <c r="K1149" s="2">
        <v>0</v>
      </c>
      <c r="L1149" s="2">
        <v>0</v>
      </c>
      <c r="M1149" s="2"/>
      <c r="N1149" s="8">
        <v>43342.6637962963</v>
      </c>
      <c r="O1149" s="4"/>
      <c r="P1149" s="3"/>
      <c r="Q1149" s="4"/>
      <c r="R1149" s="4"/>
      <c r="S1149" s="9" t="str">
        <f>HYPERLINK("https://pbs.twimg.com/profile_images/1035128468768350208/xNuKhDfp.jpg","View")</f>
        <v>View</v>
      </c>
    </row>
    <row r="1150" spans="1:19" ht="12.5">
      <c r="A1150" s="8">
        <v>43347.751886574071</v>
      </c>
      <c r="B1150" s="11" t="str">
        <f>HYPERLINK("https://twitter.com/royanouri1990","@royanouri1990")</f>
        <v>@royanouri1990</v>
      </c>
      <c r="C1150" s="6" t="s">
        <v>13798</v>
      </c>
      <c r="D1150" s="5" t="s">
        <v>13797</v>
      </c>
      <c r="E1150" s="9" t="str">
        <f>HYPERLINK("https://twitter.com/royanouri1990/status/1036970312603070465","1036970312603070465")</f>
        <v>1036970312603070465</v>
      </c>
      <c r="F1150" s="4"/>
      <c r="G1150" s="4"/>
      <c r="H1150" s="4"/>
      <c r="I1150" s="10" t="str">
        <f>HYPERLINK("http://twitter.com/download/iphone","Twitter for iPhone")</f>
        <v>Twitter for iPhone</v>
      </c>
      <c r="J1150" s="2">
        <v>1109</v>
      </c>
      <c r="K1150" s="2">
        <v>171</v>
      </c>
      <c r="L1150" s="2">
        <v>9</v>
      </c>
      <c r="M1150" s="2"/>
      <c r="N1150" s="8">
        <v>41283.635428240741</v>
      </c>
      <c r="O1150" s="4" t="s">
        <v>13796</v>
      </c>
      <c r="P1150" s="3" t="s">
        <v>13795</v>
      </c>
      <c r="Q1150" s="4"/>
      <c r="R1150" s="4"/>
      <c r="S1150" s="9" t="str">
        <f>HYPERLINK("https://pbs.twimg.com/profile_images/1031204699092017153/Rxr3fgzY.jpg","View")</f>
        <v>View</v>
      </c>
    </row>
    <row r="1151" spans="1:19" ht="40">
      <c r="A1151" s="8">
        <v>43347.75167824074</v>
      </c>
      <c r="B1151" s="11" t="str">
        <f>HYPERLINK("https://twitter.com/ardavan_sijani","@ardavan_sijani")</f>
        <v>@ardavan_sijani</v>
      </c>
      <c r="C1151" s="6" t="s">
        <v>2371</v>
      </c>
      <c r="D1151" s="5" t="s">
        <v>13794</v>
      </c>
      <c r="E1151" s="9" t="str">
        <f>HYPERLINK("https://twitter.com/ardavan_sijani/status/1036970239269982208","1036970239269982208")</f>
        <v>1036970239269982208</v>
      </c>
      <c r="F1151" s="4"/>
      <c r="G1151" s="10" t="s">
        <v>13793</v>
      </c>
      <c r="H1151" s="4"/>
      <c r="I1151" s="10" t="str">
        <f>HYPERLINK("http://twitter.com/download/android","Twitter for Android")</f>
        <v>Twitter for Android</v>
      </c>
      <c r="J1151" s="2">
        <v>732</v>
      </c>
      <c r="K1151" s="2">
        <v>1373</v>
      </c>
      <c r="L1151" s="2">
        <v>3</v>
      </c>
      <c r="M1151" s="2"/>
      <c r="N1151" s="8">
        <v>42496.528865740736</v>
      </c>
      <c r="O1151" s="4" t="s">
        <v>2368</v>
      </c>
      <c r="P1151" s="3" t="s">
        <v>2367</v>
      </c>
      <c r="Q1151" s="10" t="s">
        <v>2366</v>
      </c>
      <c r="R1151" s="4"/>
      <c r="S1151" s="9" t="str">
        <f>HYPERLINK("https://pbs.twimg.com/profile_images/871020529758720000/deDU-kB0.jpg","View")</f>
        <v>View</v>
      </c>
    </row>
    <row r="1152" spans="1:19" ht="40">
      <c r="A1152" s="8">
        <v>43347.751099537039</v>
      </c>
      <c r="B1152" s="11" t="str">
        <f>HYPERLINK("https://twitter.com/kafka1300","@kafka1300")</f>
        <v>@kafka1300</v>
      </c>
      <c r="C1152" s="6" t="s">
        <v>2378</v>
      </c>
      <c r="D1152" s="5" t="s">
        <v>13792</v>
      </c>
      <c r="E1152" s="9" t="str">
        <f>HYPERLINK("https://twitter.com/kafka1300/status/1036970028472696833","1036970028472696833")</f>
        <v>1036970028472696833</v>
      </c>
      <c r="F1152" s="4"/>
      <c r="G1152" s="4"/>
      <c r="H1152" s="4"/>
      <c r="I1152" s="10" t="str">
        <f>HYPERLINK("http://twitter.com/download/android","Twitter for Android")</f>
        <v>Twitter for Android</v>
      </c>
      <c r="J1152" s="2">
        <v>813</v>
      </c>
      <c r="K1152" s="2">
        <v>1051</v>
      </c>
      <c r="L1152" s="2">
        <v>8</v>
      </c>
      <c r="M1152" s="2"/>
      <c r="N1152" s="8">
        <v>42452.001099537039</v>
      </c>
      <c r="O1152" s="4" t="s">
        <v>17</v>
      </c>
      <c r="P1152" s="3" t="s">
        <v>2376</v>
      </c>
      <c r="Q1152" s="4"/>
      <c r="R1152" s="4"/>
      <c r="S1152" s="9" t="str">
        <f>HYPERLINK("https://pbs.twimg.com/profile_images/713058953693933571/WDLIoeiD.jpg","View")</f>
        <v>View</v>
      </c>
    </row>
    <row r="1153" spans="1:19" ht="30">
      <c r="A1153" s="8">
        <v>43347.750115740739</v>
      </c>
      <c r="B1153" s="11" t="str">
        <f>HYPERLINK("https://twitter.com/Tasnimnews_Fa","@Tasnimnews_Fa")</f>
        <v>@Tasnimnews_Fa</v>
      </c>
      <c r="C1153" s="6" t="s">
        <v>603</v>
      </c>
      <c r="D1153" s="5" t="s">
        <v>13791</v>
      </c>
      <c r="E1153" s="9" t="str">
        <f>HYPERLINK("https://twitter.com/Tasnimnews_Fa/status/1036969671772315650","1036969671772315650")</f>
        <v>1036969671772315650</v>
      </c>
      <c r="F1153" s="4"/>
      <c r="G1153" s="10" t="s">
        <v>13790</v>
      </c>
      <c r="H1153" s="4"/>
      <c r="I1153" s="10" t="str">
        <f>HYPERLINK("http://twitter.com","Twitter Web Client")</f>
        <v>Twitter Web Client</v>
      </c>
      <c r="J1153" s="2">
        <v>109765</v>
      </c>
      <c r="K1153" s="2">
        <v>20</v>
      </c>
      <c r="L1153" s="2">
        <v>378</v>
      </c>
      <c r="M1153" s="2" t="s">
        <v>80</v>
      </c>
      <c r="N1153" s="8">
        <v>41868.671585648146</v>
      </c>
      <c r="O1153" s="4" t="s">
        <v>133</v>
      </c>
      <c r="P1153" s="3" t="s">
        <v>599</v>
      </c>
      <c r="Q1153" s="10" t="s">
        <v>598</v>
      </c>
      <c r="R1153" s="4"/>
      <c r="S1153" s="9" t="str">
        <f>HYPERLINK("https://pbs.twimg.com/profile_images/942003149430239232/hvLw_1_E.jpg","View")</f>
        <v>View</v>
      </c>
    </row>
    <row r="1154" spans="1:19" ht="60">
      <c r="A1154" s="8">
        <v>43347.748888888891</v>
      </c>
      <c r="B1154" s="11" t="str">
        <f>HYPERLINK("https://twitter.com/Charkhzarrin","@Charkhzarrin")</f>
        <v>@Charkhzarrin</v>
      </c>
      <c r="C1154" s="6" t="s">
        <v>12430</v>
      </c>
      <c r="D1154" s="5" t="s">
        <v>13789</v>
      </c>
      <c r="E1154" s="9" t="str">
        <f>HYPERLINK("https://twitter.com/Charkhzarrin/status/1036969228438364165","1036969228438364165")</f>
        <v>1036969228438364165</v>
      </c>
      <c r="F1154" s="10" t="s">
        <v>13788</v>
      </c>
      <c r="G1154" s="4"/>
      <c r="H1154" s="4"/>
      <c r="I1154" s="10" t="str">
        <f>HYPERLINK("http://twitter.com","Twitter Web Client")</f>
        <v>Twitter Web Client</v>
      </c>
      <c r="J1154" s="2">
        <v>197</v>
      </c>
      <c r="K1154" s="2">
        <v>103</v>
      </c>
      <c r="L1154" s="2">
        <v>1</v>
      </c>
      <c r="M1154" s="2"/>
      <c r="N1154" s="8">
        <v>40302.304826388892</v>
      </c>
      <c r="O1154" s="4" t="s">
        <v>133</v>
      </c>
      <c r="P1154" s="3" t="s">
        <v>12428</v>
      </c>
      <c r="Q1154" s="10" t="s">
        <v>12427</v>
      </c>
      <c r="R1154" s="4"/>
      <c r="S1154" s="9" t="str">
        <f>HYPERLINK("https://pbs.twimg.com/profile_images/1031424935074254849/3bMdwZzA.jpg","View")</f>
        <v>View</v>
      </c>
    </row>
    <row r="1155" spans="1:19" ht="20">
      <c r="A1155" s="8">
        <v>43347.748587962968</v>
      </c>
      <c r="B1155" s="11" t="str">
        <f>HYPERLINK("https://twitter.com/icinema_ir","@icinema_ir")</f>
        <v>@icinema_ir</v>
      </c>
      <c r="C1155" s="6" t="s">
        <v>13787</v>
      </c>
      <c r="D1155" s="5" t="s">
        <v>13786</v>
      </c>
      <c r="E1155" s="9" t="str">
        <f>HYPERLINK("https://twitter.com/icinema_ir/status/1036969118887555072","1036969118887555072")</f>
        <v>1036969118887555072</v>
      </c>
      <c r="F1155" s="10" t="s">
        <v>13785</v>
      </c>
      <c r="G1155" s="4"/>
      <c r="H1155" s="4"/>
      <c r="I1155" s="10" t="str">
        <f>HYPERLINK("http://twitter.com/download/android","Twitter for Android")</f>
        <v>Twitter for Android</v>
      </c>
      <c r="J1155" s="2">
        <v>2029</v>
      </c>
      <c r="K1155" s="2">
        <v>100</v>
      </c>
      <c r="L1155" s="2">
        <v>40</v>
      </c>
      <c r="M1155" s="2"/>
      <c r="N1155" s="8">
        <v>41329.699664351851</v>
      </c>
      <c r="O1155" s="4"/>
      <c r="P1155" s="3" t="s">
        <v>13784</v>
      </c>
      <c r="Q1155" s="10" t="s">
        <v>13783</v>
      </c>
      <c r="R1155" s="4"/>
      <c r="S1155" s="9" t="str">
        <f>HYPERLINK("https://pbs.twimg.com/profile_images/687243416950865920/GRBeoWxT.jpg","View")</f>
        <v>View</v>
      </c>
    </row>
    <row r="1156" spans="1:19" ht="30">
      <c r="A1156" s="8">
        <v>43347.74763888889</v>
      </c>
      <c r="B1156" s="11" t="str">
        <f>HYPERLINK("https://twitter.com/rezasadrii","@rezasadrii")</f>
        <v>@rezasadrii</v>
      </c>
      <c r="C1156" s="6" t="s">
        <v>13681</v>
      </c>
      <c r="D1156" s="5" t="s">
        <v>13782</v>
      </c>
      <c r="E1156" s="9" t="str">
        <f>HYPERLINK("https://twitter.com/rezasadrii/status/1036968774593855489","1036968774593855489")</f>
        <v>1036968774593855489</v>
      </c>
      <c r="F1156" s="4"/>
      <c r="G1156" s="4"/>
      <c r="H1156" s="4"/>
      <c r="I1156" s="10" t="str">
        <f>HYPERLINK("https://mobile.twitter.com","Twitter Lite")</f>
        <v>Twitter Lite</v>
      </c>
      <c r="J1156" s="2">
        <v>45</v>
      </c>
      <c r="K1156" s="2">
        <v>49</v>
      </c>
      <c r="L1156" s="2">
        <v>0</v>
      </c>
      <c r="M1156" s="2"/>
      <c r="N1156" s="8">
        <v>41635.05631944444</v>
      </c>
      <c r="O1156" s="4" t="s">
        <v>1426</v>
      </c>
      <c r="P1156" s="3" t="s">
        <v>13679</v>
      </c>
      <c r="Q1156" s="4"/>
      <c r="R1156" s="4"/>
      <c r="S1156" s="9" t="str">
        <f>HYPERLINK("https://pbs.twimg.com/profile_images/1024696185850941441/KuFFWeaH.jpg","View")</f>
        <v>View</v>
      </c>
    </row>
    <row r="1157" spans="1:19" ht="12.5">
      <c r="A1157" s="8">
        <v>43347.746157407411</v>
      </c>
      <c r="B1157" s="11" t="str">
        <f>HYPERLINK("https://twitter.com/Ichxavi","@Ichxavi")</f>
        <v>@Ichxavi</v>
      </c>
      <c r="C1157" s="6" t="s">
        <v>13781</v>
      </c>
      <c r="D1157" s="5" t="s">
        <v>13780</v>
      </c>
      <c r="E1157" s="9" t="str">
        <f>HYPERLINK("https://twitter.com/Ichxavi/status/1036968238947680256","1036968238947680256")</f>
        <v>1036968238947680256</v>
      </c>
      <c r="F1157" s="4"/>
      <c r="G1157" s="4"/>
      <c r="H1157" s="4"/>
      <c r="I1157" s="10" t="str">
        <f>HYPERLINK("http://twitter.com","Twitter Web Client")</f>
        <v>Twitter Web Client</v>
      </c>
      <c r="J1157" s="2">
        <v>907</v>
      </c>
      <c r="K1157" s="2">
        <v>133</v>
      </c>
      <c r="L1157" s="2">
        <v>11</v>
      </c>
      <c r="M1157" s="2"/>
      <c r="N1157" s="8">
        <v>42829.201805555553</v>
      </c>
      <c r="O1157" s="4" t="s">
        <v>1770</v>
      </c>
      <c r="P1157" s="3" t="s">
        <v>13779</v>
      </c>
      <c r="Q1157" s="4"/>
      <c r="R1157" s="4"/>
      <c r="S1157" s="9" t="str">
        <f>HYPERLINK("https://pbs.twimg.com/profile_images/998285032736223232/zeoKo2br.jpg","View")</f>
        <v>View</v>
      </c>
    </row>
    <row r="1158" spans="1:19" ht="40">
      <c r="A1158" s="8">
        <v>43347.744212962964</v>
      </c>
      <c r="B1158" s="11" t="str">
        <f>HYPERLINK("https://twitter.com/keivansoleimany","@keivansoleimany")</f>
        <v>@keivansoleimany</v>
      </c>
      <c r="C1158" s="6" t="s">
        <v>9259</v>
      </c>
      <c r="D1158" s="5" t="s">
        <v>13778</v>
      </c>
      <c r="E1158" s="9" t="str">
        <f>HYPERLINK("https://twitter.com/keivansoleimany/status/1036967533230936065","1036967533230936065")</f>
        <v>1036967533230936065</v>
      </c>
      <c r="F1158" s="4"/>
      <c r="G1158" s="10" t="s">
        <v>13777</v>
      </c>
      <c r="H1158" s="4"/>
      <c r="I1158" s="10" t="str">
        <f>HYPERLINK("http://twitter.com/download/android","Twitter for Android")</f>
        <v>Twitter for Android</v>
      </c>
      <c r="J1158" s="2">
        <v>194</v>
      </c>
      <c r="K1158" s="2">
        <v>237</v>
      </c>
      <c r="L1158" s="2">
        <v>2</v>
      </c>
      <c r="M1158" s="2"/>
      <c r="N1158" s="8">
        <v>42752.966134259259</v>
      </c>
      <c r="O1158" s="4"/>
      <c r="P1158" s="3" t="s">
        <v>9256</v>
      </c>
      <c r="Q1158" s="10" t="s">
        <v>9255</v>
      </c>
      <c r="R1158" s="4"/>
      <c r="S1158" s="9" t="str">
        <f>HYPERLINK("https://pbs.twimg.com/profile_images/1025370266774331394/Sdc3OlL8.jpg","View")</f>
        <v>View</v>
      </c>
    </row>
    <row r="1159" spans="1:19" ht="40">
      <c r="A1159" s="8">
        <v>43347.743275462963</v>
      </c>
      <c r="B1159" s="11" t="str">
        <f>HYPERLINK("https://twitter.com/Didehbaan1","@Didehbaan1")</f>
        <v>@Didehbaan1</v>
      </c>
      <c r="C1159" s="6" t="s">
        <v>10498</v>
      </c>
      <c r="D1159" s="5" t="s">
        <v>13776</v>
      </c>
      <c r="E1159" s="9" t="str">
        <f>HYPERLINK("https://twitter.com/Didehbaan1/status/1036967192015908864","1036967192015908864")</f>
        <v>1036967192015908864</v>
      </c>
      <c r="F1159" s="4"/>
      <c r="G1159" s="4"/>
      <c r="H1159" s="4"/>
      <c r="I1159" s="10" t="str">
        <f>HYPERLINK("http://twitter.com","Twitter Web Client")</f>
        <v>Twitter Web Client</v>
      </c>
      <c r="J1159" s="2">
        <v>180</v>
      </c>
      <c r="K1159" s="2">
        <v>283</v>
      </c>
      <c r="L1159" s="2">
        <v>1</v>
      </c>
      <c r="M1159" s="2"/>
      <c r="N1159" s="8">
        <v>43270.618460648147</v>
      </c>
      <c r="O1159" s="4"/>
      <c r="P1159" s="3" t="s">
        <v>10496</v>
      </c>
      <c r="Q1159" s="4"/>
      <c r="R1159" s="4"/>
      <c r="S1159" s="9" t="str">
        <f>HYPERLINK("https://pbs.twimg.com/profile_images/1009021454514606080/iThmi9MD.jpg","View")</f>
        <v>View</v>
      </c>
    </row>
    <row r="1160" spans="1:19" ht="60">
      <c r="A1160" s="8">
        <v>43347.742812500001</v>
      </c>
      <c r="B1160" s="11" t="str">
        <f>HYPERLINK("https://twitter.com/aminpm110","@aminpm110")</f>
        <v>@aminpm110</v>
      </c>
      <c r="C1160" s="6" t="s">
        <v>4263</v>
      </c>
      <c r="D1160" s="5" t="s">
        <v>13775</v>
      </c>
      <c r="E1160" s="9" t="str">
        <f>HYPERLINK("https://twitter.com/aminpm110/status/1036967027125055488","1036967027125055488")</f>
        <v>1036967027125055488</v>
      </c>
      <c r="F1160" s="10" t="s">
        <v>13774</v>
      </c>
      <c r="G1160" s="10" t="s">
        <v>13296</v>
      </c>
      <c r="H1160" s="4"/>
      <c r="I1160" s="10" t="str">
        <f>HYPERLINK("http://twitter.com/download/iphone","Twitter for iPhone")</f>
        <v>Twitter for iPhone</v>
      </c>
      <c r="J1160" s="2">
        <v>6</v>
      </c>
      <c r="K1160" s="2">
        <v>36</v>
      </c>
      <c r="L1160" s="2">
        <v>0</v>
      </c>
      <c r="M1160" s="2"/>
      <c r="N1160" s="8">
        <v>42875.515115740738</v>
      </c>
      <c r="O1160" s="4"/>
      <c r="P1160" s="3" t="s">
        <v>4260</v>
      </c>
      <c r="Q1160" s="4"/>
      <c r="R1160" s="4"/>
      <c r="S1160" s="9" t="str">
        <f>HYPERLINK("https://pbs.twimg.com/profile_images/1013748082830401536/F5lMN1rJ.jpg","View")</f>
        <v>View</v>
      </c>
    </row>
    <row r="1161" spans="1:19" ht="20">
      <c r="A1161" s="8">
        <v>43347.7424537037</v>
      </c>
      <c r="B1161" s="11" t="str">
        <f>HYPERLINK("https://twitter.com/yektashahmoradi","@yektashahmoradi")</f>
        <v>@yektashahmoradi</v>
      </c>
      <c r="C1161" s="6" t="s">
        <v>13773</v>
      </c>
      <c r="D1161" s="5" t="s">
        <v>13772</v>
      </c>
      <c r="E1161" s="9" t="str">
        <f>HYPERLINK("https://twitter.com/yektashahmoradi/status/1036966894832640001","1036966894832640001")</f>
        <v>1036966894832640001</v>
      </c>
      <c r="F1161" s="4"/>
      <c r="G1161" s="4"/>
      <c r="H1161" s="4"/>
      <c r="I1161" s="10" t="str">
        <f>HYPERLINK("http://twitter.com/download/iphone","Twitter for iPhone")</f>
        <v>Twitter for iPhone</v>
      </c>
      <c r="J1161" s="2">
        <v>4</v>
      </c>
      <c r="K1161" s="2">
        <v>40</v>
      </c>
      <c r="L1161" s="2">
        <v>0</v>
      </c>
      <c r="M1161" s="2"/>
      <c r="N1161" s="8">
        <v>40710.572997685187</v>
      </c>
      <c r="O1161" s="4"/>
      <c r="P1161" s="3" t="s">
        <v>13771</v>
      </c>
      <c r="Q1161" s="10" t="s">
        <v>13770</v>
      </c>
      <c r="R1161" s="4"/>
      <c r="S1161" s="9" t="str">
        <f>HYPERLINK("https://pbs.twimg.com/profile_images/1036967574137982977/JpOQa22I.jpg","View")</f>
        <v>View</v>
      </c>
    </row>
    <row r="1162" spans="1:19" ht="20">
      <c r="A1162" s="8">
        <v>43347.74181712963</v>
      </c>
      <c r="B1162" s="11" t="str">
        <f>HYPERLINK("https://twitter.com/Mostarqsm","@Mostarqsm")</f>
        <v>@Mostarqsm</v>
      </c>
      <c r="C1162" s="6" t="s">
        <v>13769</v>
      </c>
      <c r="D1162" s="5" t="s">
        <v>13768</v>
      </c>
      <c r="E1162" s="9" t="str">
        <f>HYPERLINK("https://twitter.com/Mostarqsm/status/1036966665483968513","1036966665483968513")</f>
        <v>1036966665483968513</v>
      </c>
      <c r="F1162" s="4"/>
      <c r="G1162" s="10" t="s">
        <v>13767</v>
      </c>
      <c r="H1162" s="4"/>
      <c r="I1162" s="10" t="str">
        <f>HYPERLINK("http://twitter.com/download/android","Twitter for Android")</f>
        <v>Twitter for Android</v>
      </c>
      <c r="J1162" s="2">
        <v>10</v>
      </c>
      <c r="K1162" s="2">
        <v>11</v>
      </c>
      <c r="L1162" s="2">
        <v>1</v>
      </c>
      <c r="M1162" s="2"/>
      <c r="N1162" s="8">
        <v>42754.926307870366</v>
      </c>
      <c r="O1162" s="4"/>
      <c r="P1162" s="3" t="s">
        <v>13766</v>
      </c>
      <c r="Q1162" s="4"/>
      <c r="R1162" s="4"/>
      <c r="S1162" s="9" t="str">
        <f>HYPERLINK("https://pbs.twimg.com/profile_images/1036962031323238401/wGkogmeG.jpg","View")</f>
        <v>View</v>
      </c>
    </row>
    <row r="1163" spans="1:19" ht="40">
      <c r="A1163" s="8">
        <v>43347.741585648153</v>
      </c>
      <c r="B1163" s="11" t="str">
        <f>HYPERLINK("https://twitter.com/hoseinzinloo","@hoseinzinloo")</f>
        <v>@hoseinzinloo</v>
      </c>
      <c r="C1163" s="6" t="s">
        <v>3058</v>
      </c>
      <c r="D1163" s="5" t="s">
        <v>13765</v>
      </c>
      <c r="E1163" s="9" t="str">
        <f>HYPERLINK("https://twitter.com/hoseinzinloo/status/1036966582789054469","1036966582789054469")</f>
        <v>1036966582789054469</v>
      </c>
      <c r="F1163" s="4"/>
      <c r="G1163" s="4"/>
      <c r="H1163" s="4"/>
      <c r="I1163" s="10" t="str">
        <f>HYPERLINK("http://twitter.com","Twitter Web Client")</f>
        <v>Twitter Web Client</v>
      </c>
      <c r="J1163" s="2">
        <v>343</v>
      </c>
      <c r="K1163" s="2">
        <v>797</v>
      </c>
      <c r="L1163" s="2">
        <v>1</v>
      </c>
      <c r="M1163" s="2"/>
      <c r="N1163" s="8">
        <v>41605.439710648148</v>
      </c>
      <c r="O1163" s="4" t="s">
        <v>1415</v>
      </c>
      <c r="P1163" s="3" t="s">
        <v>3056</v>
      </c>
      <c r="Q1163" s="10" t="s">
        <v>3055</v>
      </c>
      <c r="R1163" s="4"/>
      <c r="S1163" s="9" t="str">
        <f>HYPERLINK("https://pbs.twimg.com/profile_images/981152228831580160/xKsxzrZw.jpg","View")</f>
        <v>View</v>
      </c>
    </row>
    <row r="1164" spans="1:19" ht="40">
      <c r="A1164" s="8">
        <v>43347.739108796297</v>
      </c>
      <c r="B1164" s="11" t="str">
        <f>HYPERLINK("https://twitter.com/hadisaame","@hadisaame")</f>
        <v>@hadisaame</v>
      </c>
      <c r="C1164" s="6" t="s">
        <v>6242</v>
      </c>
      <c r="D1164" s="5" t="s">
        <v>13764</v>
      </c>
      <c r="E1164" s="9" t="str">
        <f>HYPERLINK("https://twitter.com/hadisaame/status/1036965684142637057","1036965684142637057")</f>
        <v>1036965684142637057</v>
      </c>
      <c r="F1164" s="4"/>
      <c r="G1164" s="10" t="s">
        <v>13763</v>
      </c>
      <c r="H1164" s="4"/>
      <c r="I1164" s="10" t="str">
        <f>HYPERLINK("http://twitter.com","Twitter Web Client")</f>
        <v>Twitter Web Client</v>
      </c>
      <c r="J1164" s="2">
        <v>657</v>
      </c>
      <c r="K1164" s="2">
        <v>367</v>
      </c>
      <c r="L1164" s="2">
        <v>9</v>
      </c>
      <c r="M1164" s="2"/>
      <c r="N1164" s="8">
        <v>42875.730694444443</v>
      </c>
      <c r="O1164" s="4"/>
      <c r="P1164" s="3" t="s">
        <v>6239</v>
      </c>
      <c r="Q1164" s="4"/>
      <c r="R1164" s="4"/>
      <c r="S1164" s="9" t="str">
        <f>HYPERLINK("https://pbs.twimg.com/profile_images/865940033144066049/7XjArPNt.jpg","View")</f>
        <v>View</v>
      </c>
    </row>
    <row r="1165" spans="1:19" ht="40">
      <c r="A1165" s="8">
        <v>43347.736388888894</v>
      </c>
      <c r="B1165" s="11" t="str">
        <f>HYPERLINK("https://twitter.com/yekisof","@yekisof")</f>
        <v>@yekisof</v>
      </c>
      <c r="C1165" s="6" t="s">
        <v>13762</v>
      </c>
      <c r="D1165" s="5" t="s">
        <v>13761</v>
      </c>
      <c r="E1165" s="9" t="str">
        <f>HYPERLINK("https://twitter.com/yekisof/status/1036964696375668737","1036964696375668737")</f>
        <v>1036964696375668737</v>
      </c>
      <c r="F1165" s="4"/>
      <c r="G1165" s="4"/>
      <c r="H1165" s="4"/>
      <c r="I1165" s="10" t="str">
        <f>HYPERLINK("http://twitter.com/download/android","Twitter for Android")</f>
        <v>Twitter for Android</v>
      </c>
      <c r="J1165" s="2">
        <v>348</v>
      </c>
      <c r="K1165" s="2">
        <v>376</v>
      </c>
      <c r="L1165" s="2">
        <v>0</v>
      </c>
      <c r="M1165" s="2"/>
      <c r="N1165" s="8">
        <v>41895.104398148149</v>
      </c>
      <c r="O1165" s="4" t="s">
        <v>1363</v>
      </c>
      <c r="P1165" s="3" t="s">
        <v>13760</v>
      </c>
      <c r="Q1165" s="4"/>
      <c r="R1165" s="4"/>
      <c r="S1165" s="9" t="str">
        <f>HYPERLINK("https://pbs.twimg.com/profile_images/1016589607213977600/aBVe7yyr.jpg","View")</f>
        <v>View</v>
      </c>
    </row>
    <row r="1166" spans="1:19" ht="30">
      <c r="A1166" s="8">
        <v>43347.735335648147</v>
      </c>
      <c r="B1166" s="11" t="str">
        <f>HYPERLINK("https://twitter.com/afshin87858985","@afshin87858985")</f>
        <v>@afshin87858985</v>
      </c>
      <c r="C1166" s="6" t="s">
        <v>8688</v>
      </c>
      <c r="D1166" s="5" t="s">
        <v>13759</v>
      </c>
      <c r="E1166" s="9" t="str">
        <f>HYPERLINK("https://twitter.com/afshin87858985/status/1036964317185200133","1036964317185200133")</f>
        <v>1036964317185200133</v>
      </c>
      <c r="F1166" s="4"/>
      <c r="G1166" s="4"/>
      <c r="H1166" s="4"/>
      <c r="I1166" s="10" t="str">
        <f>HYPERLINK("http://twitter.com","Twitter Web Client")</f>
        <v>Twitter Web Client</v>
      </c>
      <c r="J1166" s="2">
        <v>1030</v>
      </c>
      <c r="K1166" s="2">
        <v>1095</v>
      </c>
      <c r="L1166" s="2">
        <v>2</v>
      </c>
      <c r="M1166" s="2"/>
      <c r="N1166" s="8">
        <v>41280.638240740736</v>
      </c>
      <c r="O1166" s="4"/>
      <c r="P1166" s="3"/>
      <c r="Q1166" s="4"/>
      <c r="R1166" s="4"/>
      <c r="S1166" s="9" t="str">
        <f>HYPERLINK("https://pbs.twimg.com/profile_images/919737014169333760/Ooy7kHI3.jpg","View")</f>
        <v>View</v>
      </c>
    </row>
    <row r="1167" spans="1:19" ht="50">
      <c r="A1167" s="8">
        <v>43347.735231481478</v>
      </c>
      <c r="B1167" s="11" t="str">
        <f>HYPERLINK("https://twitter.com/AbolfazlNorani","@AbolfazlNorani")</f>
        <v>@AbolfazlNorani</v>
      </c>
      <c r="C1167" s="6" t="s">
        <v>7868</v>
      </c>
      <c r="D1167" s="5" t="s">
        <v>13758</v>
      </c>
      <c r="E1167" s="9" t="str">
        <f>HYPERLINK("https://twitter.com/AbolfazlNorani/status/1036964278140579840","1036964278140579840")</f>
        <v>1036964278140579840</v>
      </c>
      <c r="F1167" s="10" t="s">
        <v>13757</v>
      </c>
      <c r="G1167" s="10" t="s">
        <v>13756</v>
      </c>
      <c r="H1167" s="4"/>
      <c r="I1167" s="10" t="str">
        <f>HYPERLINK("http://twitter.com/download/android","Twitter for Android")</f>
        <v>Twitter for Android</v>
      </c>
      <c r="J1167" s="2">
        <v>2688</v>
      </c>
      <c r="K1167" s="2">
        <v>2826</v>
      </c>
      <c r="L1167" s="2">
        <v>3</v>
      </c>
      <c r="M1167" s="2"/>
      <c r="N1167" s="8">
        <v>43026.637858796297</v>
      </c>
      <c r="O1167" s="4" t="s">
        <v>25</v>
      </c>
      <c r="P1167" s="3" t="s">
        <v>7865</v>
      </c>
      <c r="Q1167" s="4"/>
      <c r="R1167" s="4"/>
      <c r="S1167" s="9" t="str">
        <f>HYPERLINK("https://pbs.twimg.com/profile_images/1002500864052023296/pJV9Q-5L.jpg","View")</f>
        <v>View</v>
      </c>
    </row>
    <row r="1168" spans="1:19" ht="12.5">
      <c r="A1168" s="8">
        <v>43347.734988425931</v>
      </c>
      <c r="B1168" s="11" t="str">
        <f>HYPERLINK("https://twitter.com/m_bageri","@m_bageri")</f>
        <v>@m_bageri</v>
      </c>
      <c r="C1168" s="6" t="s">
        <v>13709</v>
      </c>
      <c r="D1168" s="5" t="s">
        <v>13708</v>
      </c>
      <c r="E1168" s="9" t="str">
        <f>HYPERLINK("https://twitter.com/m_bageri/status/1036964192216076293","1036964192216076293")</f>
        <v>1036964192216076293</v>
      </c>
      <c r="F1168" s="4"/>
      <c r="G1168" s="10" t="s">
        <v>13755</v>
      </c>
      <c r="H1168" s="4"/>
      <c r="I1168" s="10" t="str">
        <f>HYPERLINK("http://twitter.com/download/android","Twitter for Android")</f>
        <v>Twitter for Android</v>
      </c>
      <c r="J1168" s="2">
        <v>1092</v>
      </c>
      <c r="K1168" s="2">
        <v>1058</v>
      </c>
      <c r="L1168" s="2">
        <v>1</v>
      </c>
      <c r="M1168" s="2"/>
      <c r="N1168" s="8">
        <v>43186.584513888884</v>
      </c>
      <c r="O1168" s="4" t="s">
        <v>13706</v>
      </c>
      <c r="P1168" s="3" t="s">
        <v>13705</v>
      </c>
      <c r="Q1168" s="4"/>
      <c r="R1168" s="4"/>
      <c r="S1168" s="9" t="str">
        <f>HYPERLINK("https://pbs.twimg.com/profile_images/1022948271281631233/OjBxF_5_.jpg","View")</f>
        <v>View</v>
      </c>
    </row>
    <row r="1169" spans="1:19" ht="40">
      <c r="A1169" s="8">
        <v>43347.734490740739</v>
      </c>
      <c r="B1169" s="11" t="str">
        <f>HYPERLINK("https://twitter.com/ali_pourhashemi","@ali_pourhashemi")</f>
        <v>@ali_pourhashemi</v>
      </c>
      <c r="C1169" s="6" t="s">
        <v>8600</v>
      </c>
      <c r="D1169" s="5" t="s">
        <v>13754</v>
      </c>
      <c r="E1169" s="9" t="str">
        <f>HYPERLINK("https://twitter.com/ali_pourhashemi/status/1036964010049118208","1036964010049118208")</f>
        <v>1036964010049118208</v>
      </c>
      <c r="F1169" s="4"/>
      <c r="G1169" s="10" t="s">
        <v>13753</v>
      </c>
      <c r="H1169" s="4"/>
      <c r="I1169" s="10" t="str">
        <f>HYPERLINK("http://twitter.com/download/android","Twitter for Android")</f>
        <v>Twitter for Android</v>
      </c>
      <c r="J1169" s="2">
        <v>177</v>
      </c>
      <c r="K1169" s="2">
        <v>396</v>
      </c>
      <c r="L1169" s="2">
        <v>0</v>
      </c>
      <c r="M1169" s="2"/>
      <c r="N1169" s="8">
        <v>41942.834502314814</v>
      </c>
      <c r="O1169" s="4"/>
      <c r="P1169" s="3" t="s">
        <v>8597</v>
      </c>
      <c r="Q1169" s="10" t="s">
        <v>8596</v>
      </c>
      <c r="R1169" s="4"/>
      <c r="S1169" s="9" t="str">
        <f>HYPERLINK("https://pbs.twimg.com/profile_images/911651465772531713/sYOJt6IZ.jpg","View")</f>
        <v>View</v>
      </c>
    </row>
    <row r="1170" spans="1:19" ht="40">
      <c r="A1170" s="8">
        <v>43347.732800925922</v>
      </c>
      <c r="B1170" s="11" t="str">
        <f>HYPERLINK("https://twitter.com/diplomat_I_R_I","@diplomat_I_R_I")</f>
        <v>@diplomat_I_R_I</v>
      </c>
      <c r="C1170" s="6" t="s">
        <v>9765</v>
      </c>
      <c r="D1170" s="5" t="s">
        <v>13752</v>
      </c>
      <c r="E1170" s="9" t="str">
        <f>HYPERLINK("https://twitter.com/diplomat_I_R_I/status/1036963398171414529","1036963398171414529")</f>
        <v>1036963398171414529</v>
      </c>
      <c r="F1170" s="10" t="s">
        <v>13751</v>
      </c>
      <c r="G1170" s="4"/>
      <c r="H1170" s="4"/>
      <c r="I1170" s="10" t="str">
        <f>HYPERLINK("http://twitter.com/download/android","Twitter for Android")</f>
        <v>Twitter for Android</v>
      </c>
      <c r="J1170" s="2">
        <v>556</v>
      </c>
      <c r="K1170" s="2">
        <v>930</v>
      </c>
      <c r="L1170" s="2">
        <v>1</v>
      </c>
      <c r="M1170" s="2"/>
      <c r="N1170" s="8">
        <v>43122.803425925929</v>
      </c>
      <c r="O1170" s="4" t="s">
        <v>17</v>
      </c>
      <c r="P1170" s="3" t="s">
        <v>9762</v>
      </c>
      <c r="Q1170" s="4"/>
      <c r="R1170" s="4"/>
      <c r="S1170" s="9" t="str">
        <f>HYPERLINK("https://pbs.twimg.com/profile_images/1035342751573975045/f9Re2Sut.jpg","View")</f>
        <v>View</v>
      </c>
    </row>
    <row r="1171" spans="1:19" ht="30">
      <c r="A1171" s="8">
        <v>43347.732430555552</v>
      </c>
      <c r="B1171" s="11" t="str">
        <f>HYPERLINK("https://twitter.com/akhtar_ir","@akhtar_ir")</f>
        <v>@akhtar_ir</v>
      </c>
      <c r="C1171" s="6" t="s">
        <v>6898</v>
      </c>
      <c r="D1171" s="5" t="s">
        <v>13750</v>
      </c>
      <c r="E1171" s="9" t="str">
        <f>HYPERLINK("https://twitter.com/akhtar_ir/status/1036963263647379459","1036963263647379459")</f>
        <v>1036963263647379459</v>
      </c>
      <c r="F1171" s="4"/>
      <c r="G1171" s="10" t="s">
        <v>13749</v>
      </c>
      <c r="H1171" s="4"/>
      <c r="I1171" s="10" t="str">
        <f>HYPERLINK("http://twitter.com","Twitter Web Client")</f>
        <v>Twitter Web Client</v>
      </c>
      <c r="J1171" s="2">
        <v>98</v>
      </c>
      <c r="K1171" s="2">
        <v>232</v>
      </c>
      <c r="L1171" s="2">
        <v>4</v>
      </c>
      <c r="M1171" s="2"/>
      <c r="N1171" s="8">
        <v>42877.127256944441</v>
      </c>
      <c r="O1171" s="4" t="s">
        <v>34</v>
      </c>
      <c r="P1171" s="3" t="s">
        <v>6895</v>
      </c>
      <c r="Q1171" s="4"/>
      <c r="R1171" s="4"/>
      <c r="S1171" s="9" t="str">
        <f>HYPERLINK("https://pbs.twimg.com/profile_images/960181519401791488/vMNIGVv_.jpg","View")</f>
        <v>View</v>
      </c>
    </row>
    <row r="1172" spans="1:19" ht="30">
      <c r="A1172" s="8">
        <v>43347.730868055558</v>
      </c>
      <c r="B1172" s="11" t="str">
        <f>HYPERLINK("https://twitter.com/hezbolah87","@hezbolah87")</f>
        <v>@hezbolah87</v>
      </c>
      <c r="C1172" s="6" t="s">
        <v>13748</v>
      </c>
      <c r="D1172" s="5" t="s">
        <v>13747</v>
      </c>
      <c r="E1172" s="9" t="str">
        <f>HYPERLINK("https://twitter.com/hezbolah87/status/1036962696091107335","1036962696091107335")</f>
        <v>1036962696091107335</v>
      </c>
      <c r="F1172" s="4"/>
      <c r="G1172" s="10" t="s">
        <v>13746</v>
      </c>
      <c r="H1172" s="4"/>
      <c r="I1172" s="10" t="str">
        <f>HYPERLINK("http://twitter.com/download/android","Twitter for Android")</f>
        <v>Twitter for Android</v>
      </c>
      <c r="J1172" s="2">
        <v>420</v>
      </c>
      <c r="K1172" s="2">
        <v>443</v>
      </c>
      <c r="L1172" s="2">
        <v>1</v>
      </c>
      <c r="M1172" s="2"/>
      <c r="N1172" s="8">
        <v>43073.491145833337</v>
      </c>
      <c r="O1172" s="4"/>
      <c r="P1172" s="3"/>
      <c r="Q1172" s="4"/>
      <c r="R1172" s="4"/>
      <c r="S1172" s="9" t="str">
        <f>HYPERLINK("https://pbs.twimg.com/profile_images/998250842993053697/epv5x3ZM.jpg","View")</f>
        <v>View</v>
      </c>
    </row>
    <row r="1173" spans="1:19" ht="40">
      <c r="A1173" s="8">
        <v>43347.729699074072</v>
      </c>
      <c r="B1173" s="11" t="str">
        <f>HYPERLINK("https://twitter.com/KianpourAlireza","@KianpourAlireza")</f>
        <v>@KianpourAlireza</v>
      </c>
      <c r="C1173" s="6" t="s">
        <v>7343</v>
      </c>
      <c r="D1173" s="5" t="s">
        <v>13745</v>
      </c>
      <c r="E1173" s="9" t="str">
        <f>HYPERLINK("https://twitter.com/KianpourAlireza/status/1036962275612090370","1036962275612090370")</f>
        <v>1036962275612090370</v>
      </c>
      <c r="F1173" s="4"/>
      <c r="G1173" s="10" t="s">
        <v>13744</v>
      </c>
      <c r="H1173" s="4"/>
      <c r="I1173" s="10" t="str">
        <f>HYPERLINK("http://twitter.com","Twitter Web Client")</f>
        <v>Twitter Web Client</v>
      </c>
      <c r="J1173" s="2">
        <v>8843</v>
      </c>
      <c r="K1173" s="2">
        <v>1184</v>
      </c>
      <c r="L1173" s="2">
        <v>45</v>
      </c>
      <c r="M1173" s="2"/>
      <c r="N1173" s="8">
        <v>42200.033715277779</v>
      </c>
      <c r="O1173" s="4" t="s">
        <v>133</v>
      </c>
      <c r="P1173" s="3" t="s">
        <v>7339</v>
      </c>
      <c r="Q1173" s="10" t="s">
        <v>7338</v>
      </c>
      <c r="R1173" s="4"/>
      <c r="S1173" s="9" t="str">
        <f>HYPERLINK("https://pbs.twimg.com/profile_images/921850258757431296/8DcEogQz.jpg","View")</f>
        <v>View</v>
      </c>
    </row>
    <row r="1174" spans="1:19" ht="30">
      <c r="A1174" s="8">
        <v>43347.728252314817</v>
      </c>
      <c r="B1174" s="11" t="str">
        <f>HYPERLINK("https://twitter.com/hoseinzinloo","@hoseinzinloo")</f>
        <v>@hoseinzinloo</v>
      </c>
      <c r="C1174" s="6" t="s">
        <v>3058</v>
      </c>
      <c r="D1174" s="5" t="s">
        <v>13743</v>
      </c>
      <c r="E1174" s="9" t="str">
        <f>HYPERLINK("https://twitter.com/hoseinzinloo/status/1036961747410857984","1036961747410857984")</f>
        <v>1036961747410857984</v>
      </c>
      <c r="F1174" s="4"/>
      <c r="G1174" s="4"/>
      <c r="H1174" s="4"/>
      <c r="I1174" s="10" t="str">
        <f>HYPERLINK("http://twitter.com","Twitter Web Client")</f>
        <v>Twitter Web Client</v>
      </c>
      <c r="J1174" s="2">
        <v>343</v>
      </c>
      <c r="K1174" s="2">
        <v>797</v>
      </c>
      <c r="L1174" s="2">
        <v>1</v>
      </c>
      <c r="M1174" s="2"/>
      <c r="N1174" s="8">
        <v>41605.439710648148</v>
      </c>
      <c r="O1174" s="4" t="s">
        <v>1415</v>
      </c>
      <c r="P1174" s="3" t="s">
        <v>3056</v>
      </c>
      <c r="Q1174" s="10" t="s">
        <v>3055</v>
      </c>
      <c r="R1174" s="4"/>
      <c r="S1174" s="9" t="str">
        <f>HYPERLINK("https://pbs.twimg.com/profile_images/981152228831580160/xKsxzrZw.jpg","View")</f>
        <v>View</v>
      </c>
    </row>
    <row r="1175" spans="1:19" ht="20">
      <c r="A1175" s="8">
        <v>43347.726793981477</v>
      </c>
      <c r="B1175" s="11" t="str">
        <f>HYPERLINK("https://twitter.com/sparklarus","@sparklarus")</f>
        <v>@sparklarus</v>
      </c>
      <c r="C1175" s="6" t="s">
        <v>13742</v>
      </c>
      <c r="D1175" s="5" t="s">
        <v>13741</v>
      </c>
      <c r="E1175" s="9" t="str">
        <f>HYPERLINK("https://twitter.com/sparklarus/status/1036961219146465280","1036961219146465280")</f>
        <v>1036961219146465280</v>
      </c>
      <c r="F1175" s="4"/>
      <c r="G1175" s="4"/>
      <c r="H1175" s="4"/>
      <c r="I1175" s="10" t="str">
        <f>HYPERLINK("http://twitter.com","Twitter Web Client")</f>
        <v>Twitter Web Client</v>
      </c>
      <c r="J1175" s="2">
        <v>241</v>
      </c>
      <c r="K1175" s="2">
        <v>800</v>
      </c>
      <c r="L1175" s="2">
        <v>0</v>
      </c>
      <c r="M1175" s="2"/>
      <c r="N1175" s="8">
        <v>43332.756550925929</v>
      </c>
      <c r="O1175" s="4" t="s">
        <v>1415</v>
      </c>
      <c r="P1175" s="3" t="s">
        <v>13740</v>
      </c>
      <c r="Q1175" s="4"/>
      <c r="R1175" s="4"/>
      <c r="S1175" s="9" t="str">
        <f>HYPERLINK("https://pbs.twimg.com/profile_images/1031537808614154240/qCRvURTy.jpg","View")</f>
        <v>View</v>
      </c>
    </row>
    <row r="1176" spans="1:19" ht="40">
      <c r="A1176" s="8">
        <v>43347.724733796298</v>
      </c>
      <c r="B1176" s="11" t="str">
        <f>HYPERLINK("https://twitter.com/fazanavard1359","@fazanavard1359")</f>
        <v>@fazanavard1359</v>
      </c>
      <c r="C1176" s="6" t="s">
        <v>13739</v>
      </c>
      <c r="D1176" s="5" t="s">
        <v>13738</v>
      </c>
      <c r="E1176" s="9" t="str">
        <f>HYPERLINK("https://twitter.com/fazanavard1359/status/1036960472598306816","1036960472598306816")</f>
        <v>1036960472598306816</v>
      </c>
      <c r="F1176" s="4"/>
      <c r="G1176" s="4"/>
      <c r="H1176" s="4"/>
      <c r="I1176" s="10" t="str">
        <f>HYPERLINK("http://twitter.com/download/android","Twitter for Android")</f>
        <v>Twitter for Android</v>
      </c>
      <c r="J1176" s="2">
        <v>2076</v>
      </c>
      <c r="K1176" s="2">
        <v>1249</v>
      </c>
      <c r="L1176" s="2">
        <v>6</v>
      </c>
      <c r="M1176" s="2"/>
      <c r="N1176" s="8">
        <v>43231.561956018515</v>
      </c>
      <c r="O1176" s="4" t="s">
        <v>13737</v>
      </c>
      <c r="P1176" s="3" t="s">
        <v>13736</v>
      </c>
      <c r="Q1176" s="10" t="s">
        <v>13735</v>
      </c>
      <c r="R1176" s="4"/>
      <c r="S1176" s="9" t="str">
        <f>HYPERLINK("https://pbs.twimg.com/profile_images/1009903481015160833/rMGOZA_u.png","View")</f>
        <v>View</v>
      </c>
    </row>
    <row r="1177" spans="1:19" ht="20">
      <c r="A1177" s="8">
        <v>43347.724317129629</v>
      </c>
      <c r="B1177" s="11" t="str">
        <f>HYPERLINK("https://twitter.com/AlirezaSafaria1","@AlirezaSafaria1")</f>
        <v>@AlirezaSafaria1</v>
      </c>
      <c r="C1177" s="6" t="s">
        <v>13734</v>
      </c>
      <c r="D1177" s="5" t="s">
        <v>13733</v>
      </c>
      <c r="E1177" s="9" t="str">
        <f>HYPERLINK("https://twitter.com/AlirezaSafaria1/status/1036960324107333632","1036960324107333632")</f>
        <v>1036960324107333632</v>
      </c>
      <c r="F1177" s="4"/>
      <c r="G1177" s="4"/>
      <c r="H1177" s="4"/>
      <c r="I1177" s="10" t="str">
        <f>HYPERLINK("http://twitter.com/download/android","Twitter for Android")</f>
        <v>Twitter for Android</v>
      </c>
      <c r="J1177" s="2">
        <v>454</v>
      </c>
      <c r="K1177" s="2">
        <v>1106</v>
      </c>
      <c r="L1177" s="2">
        <v>0</v>
      </c>
      <c r="M1177" s="2"/>
      <c r="N1177" s="8">
        <v>43219.420277777783</v>
      </c>
      <c r="O1177" s="4"/>
      <c r="P1177" s="3" t="s">
        <v>13732</v>
      </c>
      <c r="Q1177" s="4"/>
      <c r="R1177" s="4"/>
      <c r="S1177" s="9" t="str">
        <f>HYPERLINK("https://pbs.twimg.com/profile_images/999955621096099840/LuWpE9et.jpg","View")</f>
        <v>View</v>
      </c>
    </row>
    <row r="1178" spans="1:19" ht="40">
      <c r="A1178" s="8">
        <v>43347.723993055552</v>
      </c>
      <c r="B1178" s="11" t="str">
        <f>HYPERLINK("https://twitter.com/Baharin_777","@Baharin_777")</f>
        <v>@Baharin_777</v>
      </c>
      <c r="C1178" s="6" t="s">
        <v>8550</v>
      </c>
      <c r="D1178" s="5" t="s">
        <v>13731</v>
      </c>
      <c r="E1178" s="9" t="str">
        <f>HYPERLINK("https://twitter.com/Baharin_777/status/1036960207547641857","1036960207547641857")</f>
        <v>1036960207547641857</v>
      </c>
      <c r="F1178" s="4"/>
      <c r="G1178" s="4"/>
      <c r="H1178" s="4"/>
      <c r="I1178" s="10" t="str">
        <f>HYPERLINK("http://twitter.com/download/android","Twitter for Android")</f>
        <v>Twitter for Android</v>
      </c>
      <c r="J1178" s="2">
        <v>7916</v>
      </c>
      <c r="K1178" s="2">
        <v>6825</v>
      </c>
      <c r="L1178" s="2">
        <v>13</v>
      </c>
      <c r="M1178" s="2"/>
      <c r="N1178" s="8">
        <v>43247.579861111109</v>
      </c>
      <c r="O1178" s="4" t="s">
        <v>8548</v>
      </c>
      <c r="P1178" s="3" t="s">
        <v>8547</v>
      </c>
      <c r="Q1178" s="10" t="s">
        <v>8546</v>
      </c>
      <c r="R1178" s="4"/>
      <c r="S1178" s="9" t="str">
        <f>HYPERLINK("https://pbs.twimg.com/profile_images/1002137080812589058/qTytyHlU.jpg","View")</f>
        <v>View</v>
      </c>
    </row>
    <row r="1179" spans="1:19" ht="40">
      <c r="A1179" s="8">
        <v>43347.723194444443</v>
      </c>
      <c r="B1179" s="11" t="str">
        <f>HYPERLINK("https://twitter.com/heydri93","@heydri93")</f>
        <v>@heydri93</v>
      </c>
      <c r="C1179" s="6" t="s">
        <v>3542</v>
      </c>
      <c r="D1179" s="5" t="s">
        <v>13730</v>
      </c>
      <c r="E1179" s="9" t="str">
        <f>HYPERLINK("https://twitter.com/heydri93/status/1036959916702019584","1036959916702019584")</f>
        <v>1036959916702019584</v>
      </c>
      <c r="F1179" s="4"/>
      <c r="G1179" s="4"/>
      <c r="H1179" s="4"/>
      <c r="I1179" s="10" t="str">
        <f>HYPERLINK("http://twitter.com/download/android","Twitter for Android")</f>
        <v>Twitter for Android</v>
      </c>
      <c r="J1179" s="2">
        <v>74</v>
      </c>
      <c r="K1179" s="2">
        <v>16</v>
      </c>
      <c r="L1179" s="2">
        <v>0</v>
      </c>
      <c r="M1179" s="2"/>
      <c r="N1179" s="8">
        <v>43264.730462962965</v>
      </c>
      <c r="O1179" s="4" t="s">
        <v>17</v>
      </c>
      <c r="P1179" s="3"/>
      <c r="Q1179" s="4"/>
      <c r="R1179" s="4"/>
      <c r="S1179" s="9" t="str">
        <f>HYPERLINK("https://pbs.twimg.com/profile_images/1006887066255482880/vb69vP-v.jpg","View")</f>
        <v>View</v>
      </c>
    </row>
    <row r="1180" spans="1:19" ht="40">
      <c r="A1180" s="8">
        <v>43347.720694444448</v>
      </c>
      <c r="B1180" s="11" t="str">
        <f>HYPERLINK("https://twitter.com/ezatirani","@ezatirani")</f>
        <v>@ezatirani</v>
      </c>
      <c r="C1180" s="6" t="s">
        <v>13729</v>
      </c>
      <c r="D1180" s="5" t="s">
        <v>13728</v>
      </c>
      <c r="E1180" s="9" t="str">
        <f>HYPERLINK("https://twitter.com/ezatirani/status/1036959011936116736","1036959011936116736")</f>
        <v>1036959011936116736</v>
      </c>
      <c r="F1180" s="10" t="s">
        <v>13727</v>
      </c>
      <c r="G1180" s="10" t="s">
        <v>13726</v>
      </c>
      <c r="H1180" s="4"/>
      <c r="I1180" s="10" t="str">
        <f>HYPERLINK("http://twitter.com/download/android","Twitter for Android")</f>
        <v>Twitter for Android</v>
      </c>
      <c r="J1180" s="2">
        <v>512</v>
      </c>
      <c r="K1180" s="2">
        <v>669</v>
      </c>
      <c r="L1180" s="2">
        <v>9</v>
      </c>
      <c r="M1180" s="2"/>
      <c r="N1180" s="8">
        <v>41714.728807870371</v>
      </c>
      <c r="O1180" s="4"/>
      <c r="P1180" s="3" t="s">
        <v>13725</v>
      </c>
      <c r="Q1180" s="4"/>
      <c r="R1180" s="4"/>
      <c r="S1180" s="9" t="str">
        <f>HYPERLINK("https://pbs.twimg.com/profile_images/775087519264284672/nsuF3T8u.jpg","View")</f>
        <v>View</v>
      </c>
    </row>
    <row r="1181" spans="1:19" ht="30">
      <c r="A1181" s="8">
        <v>43347.720590277779</v>
      </c>
      <c r="B1181" s="11" t="str">
        <f>HYPERLINK("https://twitter.com/journalistirani","@journalistirani")</f>
        <v>@journalistirani</v>
      </c>
      <c r="C1181" s="6" t="s">
        <v>4243</v>
      </c>
      <c r="D1181" s="5" t="s">
        <v>13724</v>
      </c>
      <c r="E1181" s="9" t="str">
        <f>HYPERLINK("https://twitter.com/journalistirani/status/1036958974057357312","1036958974057357312")</f>
        <v>1036958974057357312</v>
      </c>
      <c r="F1181" s="4"/>
      <c r="G1181" s="4"/>
      <c r="H1181" s="4"/>
      <c r="I1181" s="10" t="str">
        <f>HYPERLINK("http://twitter.com/download/android","Twitter for Android")</f>
        <v>Twitter for Android</v>
      </c>
      <c r="J1181" s="2">
        <v>228</v>
      </c>
      <c r="K1181" s="2">
        <v>126</v>
      </c>
      <c r="L1181" s="2">
        <v>0</v>
      </c>
      <c r="M1181" s="2"/>
      <c r="N1181" s="8">
        <v>42889.23883101852</v>
      </c>
      <c r="O1181" s="4" t="s">
        <v>104</v>
      </c>
      <c r="P1181" s="3" t="s">
        <v>4241</v>
      </c>
      <c r="Q1181" s="4"/>
      <c r="R1181" s="4"/>
      <c r="S1181" s="9" t="str">
        <f>HYPERLINK("https://pbs.twimg.com/profile_images/1030794328602537984/rOEUD0pb.jpg","View")</f>
        <v>View</v>
      </c>
    </row>
    <row r="1182" spans="1:19" ht="30">
      <c r="A1182" s="8">
        <v>43347.719606481478</v>
      </c>
      <c r="B1182" s="11" t="str">
        <f>HYPERLINK("https://twitter.com/HoomanMashayek1","@HoomanMashayek1")</f>
        <v>@HoomanMashayek1</v>
      </c>
      <c r="C1182" s="6" t="s">
        <v>13723</v>
      </c>
      <c r="D1182" s="5" t="s">
        <v>13722</v>
      </c>
      <c r="E1182" s="9" t="str">
        <f>HYPERLINK("https://twitter.com/HoomanMashayek1/status/1036958617562427392","1036958617562427392")</f>
        <v>1036958617562427392</v>
      </c>
      <c r="F1182" s="4"/>
      <c r="G1182" s="4"/>
      <c r="H1182" s="4"/>
      <c r="I1182" s="10" t="str">
        <f>HYPERLINK("http://twitter.com/download/iphone","Twitter for iPhone")</f>
        <v>Twitter for iPhone</v>
      </c>
      <c r="J1182" s="2">
        <v>26</v>
      </c>
      <c r="K1182" s="2">
        <v>54</v>
      </c>
      <c r="L1182" s="2">
        <v>0</v>
      </c>
      <c r="M1182" s="2"/>
      <c r="N1182" s="8">
        <v>43275.55091435185</v>
      </c>
      <c r="O1182" s="4" t="s">
        <v>133</v>
      </c>
      <c r="P1182" s="3" t="s">
        <v>13721</v>
      </c>
      <c r="Q1182" s="4"/>
      <c r="R1182" s="4"/>
      <c r="S1182" s="9" t="str">
        <f>HYPERLINK("https://pbs.twimg.com/profile_images/1027475422429278208/wWOmvWnM.jpg","View")</f>
        <v>View</v>
      </c>
    </row>
    <row r="1183" spans="1:19" ht="30">
      <c r="A1183" s="8">
        <v>43347.719490740739</v>
      </c>
      <c r="B1183" s="11" t="str">
        <f>HYPERLINK("https://twitter.com/Red_Foxii","@Red_Foxii")</f>
        <v>@Red_Foxii</v>
      </c>
      <c r="C1183" s="6" t="s">
        <v>13720</v>
      </c>
      <c r="D1183" s="5" t="s">
        <v>13719</v>
      </c>
      <c r="E1183" s="9" t="str">
        <f>HYPERLINK("https://twitter.com/Red_Foxii/status/1036958573975273472","1036958573975273472")</f>
        <v>1036958573975273472</v>
      </c>
      <c r="F1183" s="4"/>
      <c r="G1183" s="10" t="s">
        <v>13718</v>
      </c>
      <c r="H1183" s="4"/>
      <c r="I1183" s="10" t="str">
        <f>HYPERLINK("http://twitter.com/download/android","Twitter for Android")</f>
        <v>Twitter for Android</v>
      </c>
      <c r="J1183" s="2">
        <v>152</v>
      </c>
      <c r="K1183" s="2">
        <v>317</v>
      </c>
      <c r="L1183" s="2">
        <v>3</v>
      </c>
      <c r="M1183" s="2"/>
      <c r="N1183" s="8">
        <v>41113.715567129628</v>
      </c>
      <c r="O1183" s="4" t="s">
        <v>13717</v>
      </c>
      <c r="P1183" s="3" t="s">
        <v>13716</v>
      </c>
      <c r="Q1183" s="4"/>
      <c r="R1183" s="4"/>
      <c r="S1183" s="9" t="str">
        <f>HYPERLINK("https://pbs.twimg.com/profile_images/866981440373878784/IOdmPIU_.jpg","View")</f>
        <v>View</v>
      </c>
    </row>
    <row r="1184" spans="1:19" ht="30">
      <c r="A1184" s="8">
        <v>43347.719305555554</v>
      </c>
      <c r="B1184" s="11" t="str">
        <f>HYPERLINK("https://twitter.com/MehdiHeydarian","@MehdiHeydarian")</f>
        <v>@MehdiHeydarian</v>
      </c>
      <c r="C1184" s="6" t="s">
        <v>13715</v>
      </c>
      <c r="D1184" s="5" t="s">
        <v>13714</v>
      </c>
      <c r="E1184" s="9" t="str">
        <f>HYPERLINK("https://twitter.com/MehdiHeydarian/status/1036958508779008001","1036958508779008001")</f>
        <v>1036958508779008001</v>
      </c>
      <c r="F1184" s="4"/>
      <c r="G1184" s="4"/>
      <c r="H1184" s="4"/>
      <c r="I1184" s="10" t="str">
        <f>HYPERLINK("https://about.twitter.com/products/tweetdeck","TweetDeck")</f>
        <v>TweetDeck</v>
      </c>
      <c r="J1184" s="2">
        <v>6034</v>
      </c>
      <c r="K1184" s="2">
        <v>3570</v>
      </c>
      <c r="L1184" s="2">
        <v>48</v>
      </c>
      <c r="M1184" s="2"/>
      <c r="N1184" s="8">
        <v>39972.669178240743</v>
      </c>
      <c r="O1184" s="4" t="s">
        <v>324</v>
      </c>
      <c r="P1184" s="3" t="s">
        <v>13713</v>
      </c>
      <c r="Q1184" s="10" t="s">
        <v>13712</v>
      </c>
      <c r="R1184" s="4"/>
      <c r="S1184" s="9" t="str">
        <f>HYPERLINK("https://pbs.twimg.com/profile_images/1035597129882980352/bJHltQR0.jpg","View")</f>
        <v>View</v>
      </c>
    </row>
    <row r="1185" spans="1:19" ht="30">
      <c r="A1185" s="8">
        <v>43347.717905092592</v>
      </c>
      <c r="B1185" s="11" t="str">
        <f>HYPERLINK("https://twitter.com/Mojtaba67395537","@Mojtaba67395537")</f>
        <v>@Mojtaba67395537</v>
      </c>
      <c r="C1185" s="6" t="s">
        <v>13711</v>
      </c>
      <c r="D1185" s="5" t="s">
        <v>13710</v>
      </c>
      <c r="E1185" s="9" t="str">
        <f>HYPERLINK("https://twitter.com/Mojtaba67395537/status/1036957999867342848","1036957999867342848")</f>
        <v>1036957999867342848</v>
      </c>
      <c r="F1185" s="4"/>
      <c r="G1185" s="4"/>
      <c r="H1185" s="4"/>
      <c r="I1185" s="10" t="str">
        <f>HYPERLINK("http://twitter.com/download/android","Twitter for Android")</f>
        <v>Twitter for Android</v>
      </c>
      <c r="J1185" s="2">
        <v>35</v>
      </c>
      <c r="K1185" s="2">
        <v>61</v>
      </c>
      <c r="L1185" s="2">
        <v>0</v>
      </c>
      <c r="M1185" s="2"/>
      <c r="N1185" s="8">
        <v>43307.928622685184</v>
      </c>
      <c r="O1185" s="4" t="s">
        <v>5493</v>
      </c>
      <c r="P1185" s="3"/>
      <c r="Q1185" s="4"/>
      <c r="R1185" s="4"/>
      <c r="S1185" s="9" t="str">
        <f>HYPERLINK("https://pbs.twimg.com/profile_images/1033353371162476548/tqUqRl6V.jpg","View")</f>
        <v>View</v>
      </c>
    </row>
    <row r="1186" spans="1:19" ht="12.5">
      <c r="A1186" s="8">
        <v>43347.71774305556</v>
      </c>
      <c r="B1186" s="11" t="str">
        <f>HYPERLINK("https://twitter.com/m_bageri","@m_bageri")</f>
        <v>@m_bageri</v>
      </c>
      <c r="C1186" s="6" t="s">
        <v>13709</v>
      </c>
      <c r="D1186" s="5" t="s">
        <v>13708</v>
      </c>
      <c r="E1186" s="9" t="str">
        <f>HYPERLINK("https://twitter.com/m_bageri/status/1036957939339284481","1036957939339284481")</f>
        <v>1036957939339284481</v>
      </c>
      <c r="F1186" s="4"/>
      <c r="G1186" s="10" t="s">
        <v>13707</v>
      </c>
      <c r="H1186" s="4"/>
      <c r="I1186" s="10" t="str">
        <f>HYPERLINK("http://twitter.com/download/android","Twitter for Android")</f>
        <v>Twitter for Android</v>
      </c>
      <c r="J1186" s="2">
        <v>1088</v>
      </c>
      <c r="K1186" s="2">
        <v>1057</v>
      </c>
      <c r="L1186" s="2">
        <v>1</v>
      </c>
      <c r="M1186" s="2"/>
      <c r="N1186" s="8">
        <v>43186.584513888884</v>
      </c>
      <c r="O1186" s="4" t="s">
        <v>13706</v>
      </c>
      <c r="P1186" s="3" t="s">
        <v>13705</v>
      </c>
      <c r="Q1186" s="4"/>
      <c r="R1186" s="4"/>
      <c r="S1186" s="9" t="str">
        <f>HYPERLINK("https://pbs.twimg.com/profile_images/1022948271281631233/OjBxF_5_.jpg","View")</f>
        <v>View</v>
      </c>
    </row>
    <row r="1187" spans="1:19" ht="20">
      <c r="A1187" s="8">
        <v>43347.716840277775</v>
      </c>
      <c r="B1187" s="11" t="str">
        <f>HYPERLINK("https://twitter.com/SadjadSobhani","@SadjadSobhani")</f>
        <v>@SadjadSobhani</v>
      </c>
      <c r="C1187" s="6" t="s">
        <v>13704</v>
      </c>
      <c r="D1187" s="5" t="s">
        <v>13703</v>
      </c>
      <c r="E1187" s="9" t="str">
        <f>HYPERLINK("https://twitter.com/SadjadSobhani/status/1036957612518998016","1036957612518998016")</f>
        <v>1036957612518998016</v>
      </c>
      <c r="F1187" s="4"/>
      <c r="G1187" s="4"/>
      <c r="H1187" s="4"/>
      <c r="I1187" s="10" t="str">
        <f>HYPERLINK("http://twitter.com/download/android","Twitter for Android")</f>
        <v>Twitter for Android</v>
      </c>
      <c r="J1187" s="2">
        <v>2</v>
      </c>
      <c r="K1187" s="2">
        <v>20</v>
      </c>
      <c r="L1187" s="2">
        <v>0</v>
      </c>
      <c r="M1187" s="2"/>
      <c r="N1187" s="8">
        <v>43262.827581018515</v>
      </c>
      <c r="O1187" s="4"/>
      <c r="P1187" s="3"/>
      <c r="Q1187" s="4"/>
      <c r="R1187" s="4"/>
      <c r="S1187" s="9" t="str">
        <f>HYPERLINK("https://pbs.twimg.com/profile_images/1008774197844348928/cOz20QYq.jpg","View")</f>
        <v>View</v>
      </c>
    </row>
    <row r="1188" spans="1:19" ht="40">
      <c r="A1188" s="8">
        <v>43347.716296296298</v>
      </c>
      <c r="B1188" s="11" t="str">
        <f>HYPERLINK("https://twitter.com/lotfalinejhad","@lotfalinejhad")</f>
        <v>@lotfalinejhad</v>
      </c>
      <c r="C1188" s="6" t="s">
        <v>13702</v>
      </c>
      <c r="D1188" s="5" t="s">
        <v>13701</v>
      </c>
      <c r="E1188" s="9" t="str">
        <f>HYPERLINK("https://twitter.com/lotfalinejhad/status/1036957416234135552","1036957416234135552")</f>
        <v>1036957416234135552</v>
      </c>
      <c r="F1188" s="4"/>
      <c r="G1188" s="10" t="s">
        <v>13700</v>
      </c>
      <c r="H1188" s="4"/>
      <c r="I1188" s="10" t="str">
        <f>HYPERLINK("http://twitter.com/download/android","Twitter for Android")</f>
        <v>Twitter for Android</v>
      </c>
      <c r="J1188" s="2">
        <v>492</v>
      </c>
      <c r="K1188" s="2">
        <v>735</v>
      </c>
      <c r="L1188" s="2">
        <v>0</v>
      </c>
      <c r="M1188" s="2"/>
      <c r="N1188" s="8">
        <v>43101.869363425925</v>
      </c>
      <c r="O1188" s="4" t="s">
        <v>13699</v>
      </c>
      <c r="P1188" s="3" t="s">
        <v>13698</v>
      </c>
      <c r="Q1188" s="4"/>
      <c r="R1188" s="4"/>
      <c r="S1188" s="9" t="str">
        <f>HYPERLINK("https://pbs.twimg.com/profile_images/1036771421073100802/zEJL1nqI.jpg","View")</f>
        <v>View</v>
      </c>
    </row>
    <row r="1189" spans="1:19" ht="12.5">
      <c r="A1189" s="8">
        <v>43347.716226851851</v>
      </c>
      <c r="B1189" s="11" t="str">
        <f>HYPERLINK("https://twitter.com/kiamehr136272","@kiamehr136272")</f>
        <v>@kiamehr136272</v>
      </c>
      <c r="C1189" s="6" t="s">
        <v>13697</v>
      </c>
      <c r="D1189" s="5" t="s">
        <v>13696</v>
      </c>
      <c r="E1189" s="9" t="str">
        <f>HYPERLINK("https://twitter.com/kiamehr136272/status/1036957390120407041","1036957390120407041")</f>
        <v>1036957390120407041</v>
      </c>
      <c r="F1189" s="4"/>
      <c r="G1189" s="4"/>
      <c r="H1189" s="4"/>
      <c r="I1189" s="10" t="str">
        <f>HYPERLINK("http://twitter.com/download/iphone","Twitter for iPhone")</f>
        <v>Twitter for iPhone</v>
      </c>
      <c r="J1189" s="2">
        <v>7</v>
      </c>
      <c r="K1189" s="2">
        <v>119</v>
      </c>
      <c r="L1189" s="2">
        <v>0</v>
      </c>
      <c r="M1189" s="2"/>
      <c r="N1189" s="8">
        <v>43329.596956018519</v>
      </c>
      <c r="O1189" s="4"/>
      <c r="P1189" s="3" t="s">
        <v>13695</v>
      </c>
      <c r="Q1189" s="4"/>
      <c r="R1189" s="4"/>
      <c r="S1189" s="9" t="str">
        <f>HYPERLINK("https://pbs.twimg.com/profile_images/1030392391440715776/6GG1wX3l.jpg","View")</f>
        <v>View</v>
      </c>
    </row>
    <row r="1190" spans="1:19" ht="20">
      <c r="A1190" s="8">
        <v>43347.716099537036</v>
      </c>
      <c r="B1190" s="11" t="str">
        <f>HYPERLINK("https://twitter.com/SHAH_REZA_1400","@SHAH_REZA_1400")</f>
        <v>@SHAH_REZA_1400</v>
      </c>
      <c r="C1190" s="6" t="s">
        <v>1331</v>
      </c>
      <c r="D1190" s="5" t="s">
        <v>13694</v>
      </c>
      <c r="E1190" s="9" t="str">
        <f>HYPERLINK("https://twitter.com/SHAH_REZA_1400/status/1036957343668424710","1036957343668424710")</f>
        <v>1036957343668424710</v>
      </c>
      <c r="F1190" s="4"/>
      <c r="G1190" s="10" t="s">
        <v>13693</v>
      </c>
      <c r="H1190" s="4"/>
      <c r="I1190" s="10" t="str">
        <f>HYPERLINK("http://twitter.com/download/android","Twitter for Android")</f>
        <v>Twitter for Android</v>
      </c>
      <c r="J1190" s="2">
        <v>437</v>
      </c>
      <c r="K1190" s="2">
        <v>520</v>
      </c>
      <c r="L1190" s="2">
        <v>4</v>
      </c>
      <c r="M1190" s="2"/>
      <c r="N1190" s="8">
        <v>42737.967407407406</v>
      </c>
      <c r="O1190" s="4"/>
      <c r="P1190" s="3"/>
      <c r="Q1190" s="4"/>
      <c r="R1190" s="4"/>
      <c r="S1190" s="9" t="str">
        <f>HYPERLINK("https://pbs.twimg.com/profile_images/957591042294939649/4sj4PShb.jpg","View")</f>
        <v>View</v>
      </c>
    </row>
    <row r="1191" spans="1:19" ht="30">
      <c r="A1191" s="8">
        <v>43347.715162037042</v>
      </c>
      <c r="B1191" s="11" t="str">
        <f>HYPERLINK("https://twitter.com/icana_ir","@icana_ir")</f>
        <v>@icana_ir</v>
      </c>
      <c r="C1191" s="6" t="s">
        <v>12798</v>
      </c>
      <c r="D1191" s="5" t="s">
        <v>13692</v>
      </c>
      <c r="E1191" s="9" t="str">
        <f>HYPERLINK("https://twitter.com/icana_ir/status/1036957003422334976","1036957003422334976")</f>
        <v>1036957003422334976</v>
      </c>
      <c r="F1191" s="10" t="s">
        <v>13691</v>
      </c>
      <c r="G1191" s="10" t="s">
        <v>13690</v>
      </c>
      <c r="H1191" s="4"/>
      <c r="I1191" s="10" t="str">
        <f>HYPERLINK("http://twitter.com","Twitter Web Client")</f>
        <v>Twitter Web Client</v>
      </c>
      <c r="J1191" s="2">
        <v>2542</v>
      </c>
      <c r="K1191" s="2">
        <v>3</v>
      </c>
      <c r="L1191" s="2">
        <v>29</v>
      </c>
      <c r="M1191" s="2"/>
      <c r="N1191" s="8">
        <v>41937.766423611109</v>
      </c>
      <c r="O1191" s="4" t="s">
        <v>12794</v>
      </c>
      <c r="P1191" s="3" t="s">
        <v>12793</v>
      </c>
      <c r="Q1191" s="10" t="s">
        <v>12792</v>
      </c>
      <c r="R1191" s="4"/>
      <c r="S1191" s="9" t="str">
        <f>HYPERLINK("https://pbs.twimg.com/profile_images/1010418709343690752/zldgS7SC.jpg","View")</f>
        <v>View</v>
      </c>
    </row>
    <row r="1192" spans="1:19" ht="20">
      <c r="A1192" s="8">
        <v>43347.713946759264</v>
      </c>
      <c r="B1192" s="11" t="str">
        <f>HYPERLINK("https://twitter.com/alialtin92","@alialtin92")</f>
        <v>@alialtin92</v>
      </c>
      <c r="C1192" s="6" t="s">
        <v>13689</v>
      </c>
      <c r="D1192" s="5" t="s">
        <v>13688</v>
      </c>
      <c r="E1192" s="9" t="str">
        <f>HYPERLINK("https://twitter.com/alialtin92/status/1036956566392635393","1036956566392635393")</f>
        <v>1036956566392635393</v>
      </c>
      <c r="F1192" s="10" t="s">
        <v>13687</v>
      </c>
      <c r="G1192" s="4"/>
      <c r="H1192" s="4"/>
      <c r="I1192" s="10" t="str">
        <f>HYPERLINK("http://twitter.com","Twitter Web Client")</f>
        <v>Twitter Web Client</v>
      </c>
      <c r="J1192" s="2">
        <v>465</v>
      </c>
      <c r="K1192" s="2">
        <v>1002</v>
      </c>
      <c r="L1192" s="2">
        <v>0</v>
      </c>
      <c r="M1192" s="2"/>
      <c r="N1192" s="8">
        <v>41004.934699074074</v>
      </c>
      <c r="O1192" s="4" t="s">
        <v>34</v>
      </c>
      <c r="P1192" s="3" t="s">
        <v>13686</v>
      </c>
      <c r="Q1192" s="10" t="s">
        <v>13685</v>
      </c>
      <c r="R1192" s="4"/>
      <c r="S1192" s="9" t="str">
        <f>HYPERLINK("https://pbs.twimg.com/profile_images/989125486403112961/4FZ2ZRLB.jpg","View")</f>
        <v>View</v>
      </c>
    </row>
    <row r="1193" spans="1:19" ht="30">
      <c r="A1193" s="8">
        <v>43347.713912037041</v>
      </c>
      <c r="B1193" s="11" t="str">
        <f>HYPERLINK("https://twitter.com/SalomeSeyednia","@SalomeSeyednia")</f>
        <v>@SalomeSeyednia</v>
      </c>
      <c r="C1193" s="6" t="s">
        <v>9698</v>
      </c>
      <c r="D1193" s="5" t="s">
        <v>13684</v>
      </c>
      <c r="E1193" s="9" t="str">
        <f>HYPERLINK("https://twitter.com/SalomeSeyednia/status/1036956551532163073","1036956551532163073")</f>
        <v>1036956551532163073</v>
      </c>
      <c r="F1193" s="4"/>
      <c r="G1193" s="10" t="s">
        <v>13683</v>
      </c>
      <c r="H1193" s="4"/>
      <c r="I1193" s="10" t="str">
        <f>HYPERLINK("http://twitter.com/download/iphone","Twitter for iPhone")</f>
        <v>Twitter for iPhone</v>
      </c>
      <c r="J1193" s="2">
        <v>26607</v>
      </c>
      <c r="K1193" s="2">
        <v>162</v>
      </c>
      <c r="L1193" s="2">
        <v>78</v>
      </c>
      <c r="M1193" s="2" t="s">
        <v>80</v>
      </c>
      <c r="N1193" s="8">
        <v>40302.161805555559</v>
      </c>
      <c r="O1193" s="4" t="s">
        <v>460</v>
      </c>
      <c r="P1193" s="3" t="s">
        <v>9695</v>
      </c>
      <c r="Q1193" s="4"/>
      <c r="R1193" s="4"/>
      <c r="S1193" s="9" t="str">
        <f>HYPERLINK("https://pbs.twimg.com/profile_images/944267318141562886/P5gzaKRG.jpg","View")</f>
        <v>View</v>
      </c>
    </row>
    <row r="1194" spans="1:19" ht="30">
      <c r="A1194" s="8">
        <v>43347.713634259257</v>
      </c>
      <c r="B1194" s="11" t="str">
        <f>HYPERLINK("https://twitter.com/montaghedane","@montaghedane")</f>
        <v>@montaghedane</v>
      </c>
      <c r="C1194" s="6" t="s">
        <v>11779</v>
      </c>
      <c r="D1194" s="5" t="s">
        <v>13682</v>
      </c>
      <c r="E1194" s="9" t="str">
        <f>HYPERLINK("https://twitter.com/montaghedane/status/1036956453700075522","1036956453700075522")</f>
        <v>1036956453700075522</v>
      </c>
      <c r="F1194" s="4"/>
      <c r="G1194" s="4"/>
      <c r="H1194" s="4"/>
      <c r="I1194" s="10" t="str">
        <f>HYPERLINK("http://twitter.com/download/android","Twitter for Android")</f>
        <v>Twitter for Android</v>
      </c>
      <c r="J1194" s="2">
        <v>58</v>
      </c>
      <c r="K1194" s="2">
        <v>58</v>
      </c>
      <c r="L1194" s="2">
        <v>0</v>
      </c>
      <c r="M1194" s="2"/>
      <c r="N1194" s="8">
        <v>42745.962118055555</v>
      </c>
      <c r="O1194" s="4" t="s">
        <v>25</v>
      </c>
      <c r="P1194" s="3" t="s">
        <v>11777</v>
      </c>
      <c r="Q1194" s="4"/>
      <c r="R1194" s="4"/>
      <c r="S1194" s="9" t="str">
        <f>HYPERLINK("https://pbs.twimg.com/profile_images/976581931772076032/xh0wm21r.jpg","View")</f>
        <v>View</v>
      </c>
    </row>
    <row r="1195" spans="1:19" ht="30">
      <c r="A1195" s="8">
        <v>43347.712500000001</v>
      </c>
      <c r="B1195" s="11" t="str">
        <f>HYPERLINK("https://twitter.com/rezasadrii","@rezasadrii")</f>
        <v>@rezasadrii</v>
      </c>
      <c r="C1195" s="6" t="s">
        <v>13681</v>
      </c>
      <c r="D1195" s="5" t="s">
        <v>13680</v>
      </c>
      <c r="E1195" s="9" t="str">
        <f>HYPERLINK("https://twitter.com/rezasadrii/status/1036956040833761280","1036956040833761280")</f>
        <v>1036956040833761280</v>
      </c>
      <c r="F1195" s="4"/>
      <c r="G1195" s="4"/>
      <c r="H1195" s="4"/>
      <c r="I1195" s="10" t="str">
        <f>HYPERLINK("https://mobile.twitter.com","Twitter Lite")</f>
        <v>Twitter Lite</v>
      </c>
      <c r="J1195" s="2">
        <v>45</v>
      </c>
      <c r="K1195" s="2">
        <v>49</v>
      </c>
      <c r="L1195" s="2">
        <v>0</v>
      </c>
      <c r="M1195" s="2"/>
      <c r="N1195" s="8">
        <v>41635.05631944444</v>
      </c>
      <c r="O1195" s="4" t="s">
        <v>1426</v>
      </c>
      <c r="P1195" s="3" t="s">
        <v>13679</v>
      </c>
      <c r="Q1195" s="4"/>
      <c r="R1195" s="4"/>
      <c r="S1195" s="9" t="str">
        <f>HYPERLINK("https://pbs.twimg.com/profile_images/1024696185850941441/KuFFWeaH.jpg","View")</f>
        <v>View</v>
      </c>
    </row>
    <row r="1196" spans="1:19" ht="30">
      <c r="A1196" s="8">
        <v>43347.71230324074</v>
      </c>
      <c r="B1196" s="11" t="str">
        <f>HYPERLINK("https://twitter.com/erkinchi","@erkinchi")</f>
        <v>@erkinchi</v>
      </c>
      <c r="C1196" s="6" t="s">
        <v>1652</v>
      </c>
      <c r="D1196" s="5" t="s">
        <v>13678</v>
      </c>
      <c r="E1196" s="9" t="str">
        <f>HYPERLINK("https://twitter.com/erkinchi/status/1036955971241877504","1036955971241877504")</f>
        <v>1036955971241877504</v>
      </c>
      <c r="F1196" s="4"/>
      <c r="G1196" s="4"/>
      <c r="H1196" s="4"/>
      <c r="I1196" s="10" t="str">
        <f>HYPERLINK("http://twitter.com","Twitter Web Client")</f>
        <v>Twitter Web Client</v>
      </c>
      <c r="J1196" s="2">
        <v>803</v>
      </c>
      <c r="K1196" s="2">
        <v>266</v>
      </c>
      <c r="L1196" s="2">
        <v>3</v>
      </c>
      <c r="M1196" s="2"/>
      <c r="N1196" s="8">
        <v>41561.322083333333</v>
      </c>
      <c r="O1196" s="4"/>
      <c r="P1196" s="3" t="s">
        <v>1650</v>
      </c>
      <c r="Q1196" s="4"/>
      <c r="R1196" s="4"/>
      <c r="S1196" s="9" t="str">
        <f>HYPERLINK("https://pbs.twimg.com/profile_images/1009004222308810753/pi0MyTxl.jpg","View")</f>
        <v>View</v>
      </c>
    </row>
    <row r="1197" spans="1:19" ht="20">
      <c r="A1197" s="8">
        <v>43347.71229166667</v>
      </c>
      <c r="B1197" s="11" t="str">
        <f>HYPERLINK("https://twitter.com/nekofar","@nekofar")</f>
        <v>@nekofar</v>
      </c>
      <c r="C1197" s="6" t="s">
        <v>9441</v>
      </c>
      <c r="D1197" s="5" t="s">
        <v>13677</v>
      </c>
      <c r="E1197" s="9" t="str">
        <f>HYPERLINK("https://twitter.com/nekofar/status/1036955965923504130","1036955965923504130")</f>
        <v>1036955965923504130</v>
      </c>
      <c r="F1197" s="4"/>
      <c r="G1197" s="4"/>
      <c r="H1197" s="4"/>
      <c r="I1197" s="10" t="str">
        <f>HYPERLINK("http://twitter.com/download/iphone","Twitter for iPhone")</f>
        <v>Twitter for iPhone</v>
      </c>
      <c r="J1197" s="2">
        <v>11078</v>
      </c>
      <c r="K1197" s="2">
        <v>2706</v>
      </c>
      <c r="L1197" s="2">
        <v>79</v>
      </c>
      <c r="M1197" s="2"/>
      <c r="N1197" s="8">
        <v>39977.532256944447</v>
      </c>
      <c r="O1197" s="4"/>
      <c r="P1197" s="3" t="s">
        <v>9439</v>
      </c>
      <c r="Q1197" s="10" t="s">
        <v>9438</v>
      </c>
      <c r="R1197" s="4"/>
      <c r="S1197" s="9" t="str">
        <f>HYPERLINK("https://pbs.twimg.com/profile_images/985586428808744961/sgBE9p4R.jpg","View")</f>
        <v>View</v>
      </c>
    </row>
    <row r="1198" spans="1:19" ht="30">
      <c r="A1198" s="8">
        <v>43347.712118055555</v>
      </c>
      <c r="B1198" s="11" t="str">
        <f>HYPERLINK("https://twitter.com/avare3333","@avare3333")</f>
        <v>@avare3333</v>
      </c>
      <c r="C1198" s="6" t="s">
        <v>4775</v>
      </c>
      <c r="D1198" s="5" t="s">
        <v>13676</v>
      </c>
      <c r="E1198" s="9" t="str">
        <f>HYPERLINK("https://twitter.com/avare3333/status/1036955904036556800","1036955904036556800")</f>
        <v>1036955904036556800</v>
      </c>
      <c r="F1198" s="4"/>
      <c r="G1198" s="4"/>
      <c r="H1198" s="4"/>
      <c r="I1198" s="10" t="str">
        <f>HYPERLINK("http://twitter.com/download/android","Twitter for Android")</f>
        <v>Twitter for Android</v>
      </c>
      <c r="J1198" s="2">
        <v>35</v>
      </c>
      <c r="K1198" s="2">
        <v>48</v>
      </c>
      <c r="L1198" s="2">
        <v>0</v>
      </c>
      <c r="M1198" s="2"/>
      <c r="N1198" s="8">
        <v>42766.981724537036</v>
      </c>
      <c r="O1198" s="4" t="s">
        <v>4773</v>
      </c>
      <c r="P1198" s="3" t="s">
        <v>4772</v>
      </c>
      <c r="Q1198" s="4"/>
      <c r="R1198" s="4"/>
      <c r="S1198" s="9" t="str">
        <f>HYPERLINK("https://pbs.twimg.com/profile_images/862537510118977536/762Un5dv.jpg","View")</f>
        <v>View</v>
      </c>
    </row>
    <row r="1199" spans="1:19" ht="20">
      <c r="A1199" s="8">
        <v>43347.711597222224</v>
      </c>
      <c r="B1199" s="11" t="str">
        <f>HYPERLINK("https://twitter.com/f_fartout","@f_fartout")</f>
        <v>@f_fartout</v>
      </c>
      <c r="C1199" s="6" t="s">
        <v>2202</v>
      </c>
      <c r="D1199" s="5" t="s">
        <v>13675</v>
      </c>
      <c r="E1199" s="9" t="str">
        <f>HYPERLINK("https://twitter.com/f_fartout/status/1036955715309658113","1036955715309658113")</f>
        <v>1036955715309658113</v>
      </c>
      <c r="F1199" s="4"/>
      <c r="G1199" s="4"/>
      <c r="H1199" s="4"/>
      <c r="I1199" s="10" t="str">
        <f>HYPERLINK("http://twitter.com/download/android","Twitter for Android")</f>
        <v>Twitter for Android</v>
      </c>
      <c r="J1199" s="2">
        <v>26</v>
      </c>
      <c r="K1199" s="2">
        <v>21</v>
      </c>
      <c r="L1199" s="2">
        <v>0</v>
      </c>
      <c r="M1199" s="2"/>
      <c r="N1199" s="8">
        <v>43225.836377314816</v>
      </c>
      <c r="O1199" s="4"/>
      <c r="P1199" s="3" t="s">
        <v>2200</v>
      </c>
      <c r="Q1199" s="4"/>
      <c r="R1199" s="4"/>
      <c r="S1199" s="9" t="str">
        <f>HYPERLINK("https://pbs.twimg.com/profile_images/1028686619338002432/dHQhnoLu.jpg","View")</f>
        <v>View</v>
      </c>
    </row>
    <row r="1200" spans="1:19" ht="30">
      <c r="A1200" s="8">
        <v>43347.709432870368</v>
      </c>
      <c r="B1200" s="11" t="str">
        <f>HYPERLINK("https://twitter.com/hajhamid69","@hajhamid69")</f>
        <v>@hajhamid69</v>
      </c>
      <c r="C1200" s="6" t="s">
        <v>13674</v>
      </c>
      <c r="D1200" s="5" t="s">
        <v>13673</v>
      </c>
      <c r="E1200" s="9" t="str">
        <f>HYPERLINK("https://twitter.com/hajhamid69/status/1036954930182070272","1036954930182070272")</f>
        <v>1036954930182070272</v>
      </c>
      <c r="F1200" s="4"/>
      <c r="G1200" s="10" t="s">
        <v>13672</v>
      </c>
      <c r="H1200" s="4"/>
      <c r="I1200" s="10" t="str">
        <f>HYPERLINK("http://twitter.com","Twitter Web Client")</f>
        <v>Twitter Web Client</v>
      </c>
      <c r="J1200" s="2">
        <v>120</v>
      </c>
      <c r="K1200" s="2">
        <v>182</v>
      </c>
      <c r="L1200" s="2">
        <v>1</v>
      </c>
      <c r="M1200" s="2"/>
      <c r="N1200" s="8">
        <v>43123.490891203706</v>
      </c>
      <c r="O1200" s="4"/>
      <c r="P1200" s="3"/>
      <c r="Q1200" s="4"/>
      <c r="R1200" s="4"/>
      <c r="S1200" s="9" t="str">
        <f>HYPERLINK("https://pbs.twimg.com/profile_images/967319387173769216/prjwujq1.jpg","View")</f>
        <v>View</v>
      </c>
    </row>
    <row r="1201" spans="1:19" ht="20">
      <c r="A1201" s="8">
        <v>43347.708495370374</v>
      </c>
      <c r="B1201" s="11" t="str">
        <f>HYPERLINK("https://twitter.com/masoud_farz","@masoud_farz")</f>
        <v>@masoud_farz</v>
      </c>
      <c r="C1201" s="6" t="s">
        <v>1923</v>
      </c>
      <c r="D1201" s="5" t="s">
        <v>13671</v>
      </c>
      <c r="E1201" s="9" t="str">
        <f>HYPERLINK("https://twitter.com/masoud_farz/status/1036954590422478850","1036954590422478850")</f>
        <v>1036954590422478850</v>
      </c>
      <c r="F1201" s="4"/>
      <c r="G1201" s="4"/>
      <c r="H1201" s="4"/>
      <c r="I1201" s="10" t="str">
        <f>HYPERLINK("http://twitter.com","Twitter Web Client")</f>
        <v>Twitter Web Client</v>
      </c>
      <c r="J1201" s="2">
        <v>134</v>
      </c>
      <c r="K1201" s="2">
        <v>69</v>
      </c>
      <c r="L1201" s="2">
        <v>0</v>
      </c>
      <c r="M1201" s="2"/>
      <c r="N1201" s="8">
        <v>42724.509282407409</v>
      </c>
      <c r="O1201" s="4" t="s">
        <v>1920</v>
      </c>
      <c r="P1201" s="3" t="s">
        <v>1919</v>
      </c>
      <c r="Q1201" s="4"/>
      <c r="R1201" s="4"/>
      <c r="S1201" s="9" t="str">
        <f>HYPERLINK("https://pbs.twimg.com/profile_images/1003230847015636993/1og0J6mM.jpg","View")</f>
        <v>View</v>
      </c>
    </row>
    <row r="1202" spans="1:19" ht="40">
      <c r="A1202" s="8">
        <v>43347.708194444444</v>
      </c>
      <c r="B1202" s="11" t="str">
        <f>HYPERLINK("https://twitter.com/truthmines","@truthmines")</f>
        <v>@truthmines</v>
      </c>
      <c r="C1202" s="6" t="s">
        <v>3704</v>
      </c>
      <c r="D1202" s="5" t="s">
        <v>13670</v>
      </c>
      <c r="E1202" s="9" t="str">
        <f>HYPERLINK("https://twitter.com/truthmines/status/1036954482075000833","1036954482075000833")</f>
        <v>1036954482075000833</v>
      </c>
      <c r="F1202" s="4"/>
      <c r="G1202" s="4"/>
      <c r="H1202" s="4"/>
      <c r="I1202" s="10" t="str">
        <f>HYPERLINK("http://twitter.com/download/iphone","Twitter for iPhone")</f>
        <v>Twitter for iPhone</v>
      </c>
      <c r="J1202" s="2">
        <v>565</v>
      </c>
      <c r="K1202" s="2">
        <v>1065</v>
      </c>
      <c r="L1202" s="2">
        <v>0</v>
      </c>
      <c r="M1202" s="2"/>
      <c r="N1202" s="8">
        <v>41546.11996527778</v>
      </c>
      <c r="O1202" s="4"/>
      <c r="P1202" s="3" t="s">
        <v>3702</v>
      </c>
      <c r="Q1202" s="4"/>
      <c r="R1202" s="4"/>
      <c r="S1202" s="9" t="str">
        <f>HYPERLINK("https://pbs.twimg.com/profile_images/1029865689866072067/w1FI8TZi.jpg","View")</f>
        <v>View</v>
      </c>
    </row>
    <row r="1203" spans="1:19" ht="40">
      <c r="A1203" s="8">
        <v>43347.707789351851</v>
      </c>
      <c r="B1203" s="11" t="str">
        <f>HYPERLINK("https://twitter.com/_chouk_","@_chouk_")</f>
        <v>@_chouk_</v>
      </c>
      <c r="C1203" s="6" t="s">
        <v>13669</v>
      </c>
      <c r="D1203" s="5" t="s">
        <v>13668</v>
      </c>
      <c r="E1203" s="9" t="str">
        <f>HYPERLINK("https://twitter.com/_chouk_/status/1036954333475155969","1036954333475155969")</f>
        <v>1036954333475155969</v>
      </c>
      <c r="F1203" s="10" t="s">
        <v>13667</v>
      </c>
      <c r="G1203" s="10" t="s">
        <v>13666</v>
      </c>
      <c r="H1203" s="4"/>
      <c r="I1203" s="10" t="str">
        <f>HYPERLINK("http://twitter.com/download/android","Twitter for Android")</f>
        <v>Twitter for Android</v>
      </c>
      <c r="J1203" s="2">
        <v>383</v>
      </c>
      <c r="K1203" s="2">
        <v>393</v>
      </c>
      <c r="L1203" s="2">
        <v>2</v>
      </c>
      <c r="M1203" s="2"/>
      <c r="N1203" s="8">
        <v>42082.163969907408</v>
      </c>
      <c r="O1203" s="4" t="s">
        <v>13665</v>
      </c>
      <c r="P1203" s="3" t="s">
        <v>13664</v>
      </c>
      <c r="Q1203" s="4"/>
      <c r="R1203" s="4"/>
      <c r="S1203" s="9" t="str">
        <f>HYPERLINK("https://pbs.twimg.com/profile_images/964894065711075328/IMtMqT6E.jpg","View")</f>
        <v>View</v>
      </c>
    </row>
    <row r="1204" spans="1:19" ht="40">
      <c r="A1204" s="8">
        <v>43347.707569444443</v>
      </c>
      <c r="B1204" s="11" t="str">
        <f>HYPERLINK("https://twitter.com/Alefhamim","@Alefhamim")</f>
        <v>@Alefhamim</v>
      </c>
      <c r="C1204" s="6" t="s">
        <v>7842</v>
      </c>
      <c r="D1204" s="5" t="s">
        <v>13663</v>
      </c>
      <c r="E1204" s="9" t="str">
        <f>HYPERLINK("https://twitter.com/Alefhamim/status/1036954255515680768","1036954255515680768")</f>
        <v>1036954255515680768</v>
      </c>
      <c r="F1204" s="4"/>
      <c r="G1204" s="4"/>
      <c r="H1204" s="4"/>
      <c r="I1204" s="10" t="str">
        <f>HYPERLINK("http://twitter.com/download/android","Twitter for Android")</f>
        <v>Twitter for Android</v>
      </c>
      <c r="J1204" s="2">
        <v>77</v>
      </c>
      <c r="K1204" s="2">
        <v>99</v>
      </c>
      <c r="L1204" s="2">
        <v>1</v>
      </c>
      <c r="M1204" s="2"/>
      <c r="N1204" s="8">
        <v>42846.111909722225</v>
      </c>
      <c r="O1204" s="4" t="s">
        <v>34</v>
      </c>
      <c r="P1204" s="3" t="s">
        <v>7840</v>
      </c>
      <c r="Q1204" s="10" t="s">
        <v>7839</v>
      </c>
      <c r="R1204" s="4"/>
      <c r="S1204" s="9" t="str">
        <f>HYPERLINK("https://pbs.twimg.com/profile_images/1012807620066009095/lz9CeIAo.jpg","View")</f>
        <v>View</v>
      </c>
    </row>
    <row r="1205" spans="1:19" ht="20">
      <c r="A1205" s="8">
        <v>43347.707326388889</v>
      </c>
      <c r="B1205" s="11" t="str">
        <f>HYPERLINK("https://twitter.com/mim_eyn96","@mim_eyn96")</f>
        <v>@mim_eyn96</v>
      </c>
      <c r="C1205" s="6" t="s">
        <v>13662</v>
      </c>
      <c r="D1205" s="5" t="s">
        <v>13661</v>
      </c>
      <c r="E1205" s="9" t="str">
        <f>HYPERLINK("https://twitter.com/mim_eyn96/status/1036954167552528384","1036954167552528384")</f>
        <v>1036954167552528384</v>
      </c>
      <c r="F1205" s="4"/>
      <c r="G1205" s="10" t="s">
        <v>13660</v>
      </c>
      <c r="H1205" s="4"/>
      <c r="I1205" s="10" t="str">
        <f>HYPERLINK("http://twitter.com/download/android","Twitter for Android")</f>
        <v>Twitter for Android</v>
      </c>
      <c r="J1205" s="2">
        <v>782</v>
      </c>
      <c r="K1205" s="2">
        <v>1531</v>
      </c>
      <c r="L1205" s="2">
        <v>1</v>
      </c>
      <c r="M1205" s="2"/>
      <c r="N1205" s="8">
        <v>42920.668090277773</v>
      </c>
      <c r="O1205" s="4" t="s">
        <v>13659</v>
      </c>
      <c r="P1205" s="3" t="s">
        <v>13658</v>
      </c>
      <c r="Q1205" s="4"/>
      <c r="R1205" s="4"/>
      <c r="S1205" s="9" t="str">
        <f>HYPERLINK("https://pbs.twimg.com/profile_images/992422175129948161/iwGgjY6M.jpg","View")</f>
        <v>View</v>
      </c>
    </row>
    <row r="1206" spans="1:19" ht="12.5">
      <c r="A1206" s="8">
        <v>43347.706932870366</v>
      </c>
      <c r="B1206" s="11" t="str">
        <f>HYPERLINK("https://twitter.com/Silverboy","@Silverboy")</f>
        <v>@Silverboy</v>
      </c>
      <c r="C1206" s="6" t="s">
        <v>802</v>
      </c>
      <c r="D1206" s="5" t="s">
        <v>13657</v>
      </c>
      <c r="E1206" s="9" t="str">
        <f>HYPERLINK("https://twitter.com/Silverboy/status/1036954024849940481","1036954024849940481")</f>
        <v>1036954024849940481</v>
      </c>
      <c r="F1206" s="4"/>
      <c r="G1206" s="4"/>
      <c r="H1206" s="4"/>
      <c r="I1206" s="10" t="str">
        <f>HYPERLINK("http://twitter.com/download/android","Twitter for Android")</f>
        <v>Twitter for Android</v>
      </c>
      <c r="J1206" s="2">
        <v>24</v>
      </c>
      <c r="K1206" s="2">
        <v>52</v>
      </c>
      <c r="L1206" s="2">
        <v>0</v>
      </c>
      <c r="M1206" s="2"/>
      <c r="N1206" s="8">
        <v>39749.516006944446</v>
      </c>
      <c r="O1206" s="4"/>
      <c r="P1206" s="3" t="s">
        <v>800</v>
      </c>
      <c r="Q1206" s="4"/>
      <c r="R1206" s="4"/>
      <c r="S1206" s="9" t="str">
        <f>HYPERLINK("https://pbs.twimg.com/profile_images/587716386417278976/LylbXwNr.jpg","View")</f>
        <v>View</v>
      </c>
    </row>
    <row r="1207" spans="1:19" ht="20">
      <c r="A1207" s="8">
        <v>43347.706712962958</v>
      </c>
      <c r="B1207" s="11" t="str">
        <f>HYPERLINK("https://twitter.com/ScriptBab","@ScriptBab")</f>
        <v>@ScriptBab</v>
      </c>
      <c r="C1207" s="6" t="s">
        <v>3044</v>
      </c>
      <c r="D1207" s="5" t="s">
        <v>13656</v>
      </c>
      <c r="E1207" s="9" t="str">
        <f>HYPERLINK("https://twitter.com/ScriptBab/status/1036953942742249473","1036953942742249473")</f>
        <v>1036953942742249473</v>
      </c>
      <c r="F1207" s="4"/>
      <c r="G1207" s="4"/>
      <c r="H1207" s="4"/>
      <c r="I1207" s="10" t="str">
        <f>HYPERLINK("http://twitter.com/download/android","Twitter for Android")</f>
        <v>Twitter for Android</v>
      </c>
      <c r="J1207" s="2">
        <v>4015</v>
      </c>
      <c r="K1207" s="2">
        <v>3705</v>
      </c>
      <c r="L1207" s="2">
        <v>8</v>
      </c>
      <c r="M1207" s="2"/>
      <c r="N1207" s="8">
        <v>40732.73096064815</v>
      </c>
      <c r="O1207" s="4"/>
      <c r="P1207" s="3" t="s">
        <v>3042</v>
      </c>
      <c r="Q1207" s="4"/>
      <c r="R1207" s="4"/>
      <c r="S1207" s="9" t="str">
        <f>HYPERLINK("https://pbs.twimg.com/profile_images/1029594626854985728/VuJgJ670.jpg","View")</f>
        <v>View</v>
      </c>
    </row>
    <row r="1208" spans="1:19" ht="12.5">
      <c r="A1208" s="8">
        <v>43347.705462962964</v>
      </c>
      <c r="B1208" s="11" t="str">
        <f>HYPERLINK("https://twitter.com/dejavu_g69","@dejavu_g69")</f>
        <v>@dejavu_g69</v>
      </c>
      <c r="C1208" s="6" t="s">
        <v>13655</v>
      </c>
      <c r="D1208" s="5" t="s">
        <v>13654</v>
      </c>
      <c r="E1208" s="9" t="str">
        <f>HYPERLINK("https://twitter.com/dejavu_g69/status/1036953491544133632","1036953491544133632")</f>
        <v>1036953491544133632</v>
      </c>
      <c r="F1208" s="4"/>
      <c r="G1208" s="4"/>
      <c r="H1208" s="4"/>
      <c r="I1208" s="10" t="str">
        <f>HYPERLINK("http://twitter.com/download/android","Twitter for Android")</f>
        <v>Twitter for Android</v>
      </c>
      <c r="J1208" s="2">
        <v>115</v>
      </c>
      <c r="K1208" s="2">
        <v>275</v>
      </c>
      <c r="L1208" s="2">
        <v>1</v>
      </c>
      <c r="M1208" s="2"/>
      <c r="N1208" s="8">
        <v>42303.636886574073</v>
      </c>
      <c r="O1208" s="4" t="s">
        <v>133</v>
      </c>
      <c r="P1208" s="3"/>
      <c r="Q1208" s="4"/>
      <c r="R1208" s="4"/>
      <c r="S1208" s="9" t="str">
        <f>HYPERLINK("https://pbs.twimg.com/profile_images/985029109997821952/0J8BD3gM.jpg","View")</f>
        <v>View</v>
      </c>
    </row>
    <row r="1209" spans="1:19" ht="20">
      <c r="A1209" s="8">
        <v>43347.705034722225</v>
      </c>
      <c r="B1209" s="11" t="str">
        <f>HYPERLINK("https://twitter.com/B13c4mTjUaFTAnn","@B13c4mTjUaFTAnn")</f>
        <v>@B13c4mTjUaFTAnn</v>
      </c>
      <c r="C1209" s="6" t="s">
        <v>13653</v>
      </c>
      <c r="D1209" s="5" t="s">
        <v>13652</v>
      </c>
      <c r="E1209" s="9" t="str">
        <f>HYPERLINK("https://twitter.com/B13c4mTjUaFTAnn/status/1036953334366826496","1036953334366826496")</f>
        <v>1036953334366826496</v>
      </c>
      <c r="F1209" s="4"/>
      <c r="G1209" s="4"/>
      <c r="H1209" s="4"/>
      <c r="I1209" s="10" t="str">
        <f>HYPERLINK("http://twitter.com/download/android","Twitter for Android")</f>
        <v>Twitter for Android</v>
      </c>
      <c r="J1209" s="2">
        <v>28</v>
      </c>
      <c r="K1209" s="2">
        <v>80</v>
      </c>
      <c r="L1209" s="2">
        <v>0</v>
      </c>
      <c r="M1209" s="2"/>
      <c r="N1209" s="8">
        <v>43342.369618055556</v>
      </c>
      <c r="O1209" s="4" t="s">
        <v>17</v>
      </c>
      <c r="P1209" s="3" t="s">
        <v>13651</v>
      </c>
      <c r="Q1209" s="4"/>
      <c r="R1209" s="4"/>
      <c r="S1209" s="9" t="str">
        <f>HYPERLINK("https://pbs.twimg.com/profile_images/1035063184447733760/qrpa-m-2.jpg","View")</f>
        <v>View</v>
      </c>
    </row>
    <row r="1210" spans="1:19" ht="12.5">
      <c r="A1210" s="8">
        <v>43347.70413194444</v>
      </c>
      <c r="B1210" s="11" t="str">
        <f>HYPERLINK("https://twitter.com/A_m_e_a_r","@A_m_e_a_r")</f>
        <v>@A_m_e_a_r</v>
      </c>
      <c r="C1210" s="6" t="s">
        <v>13650</v>
      </c>
      <c r="D1210" s="5" t="s">
        <v>13649</v>
      </c>
      <c r="E1210" s="9" t="str">
        <f>HYPERLINK("https://twitter.com/A_m_e_a_r/status/1036953007001350144","1036953007001350144")</f>
        <v>1036953007001350144</v>
      </c>
      <c r="F1210" s="4"/>
      <c r="G1210" s="4"/>
      <c r="H1210" s="4"/>
      <c r="I1210" s="10" t="str">
        <f>HYPERLINK("http://twitter.com/download/android","Twitter for Android")</f>
        <v>Twitter for Android</v>
      </c>
      <c r="J1210" s="2">
        <v>632</v>
      </c>
      <c r="K1210" s="2">
        <v>887</v>
      </c>
      <c r="L1210" s="2">
        <v>0</v>
      </c>
      <c r="M1210" s="2"/>
      <c r="N1210" s="8">
        <v>42574.022523148145</v>
      </c>
      <c r="O1210" s="4" t="s">
        <v>324</v>
      </c>
      <c r="P1210" s="3" t="s">
        <v>13648</v>
      </c>
      <c r="Q1210" s="4"/>
      <c r="R1210" s="4"/>
      <c r="S1210" s="9" t="str">
        <f>HYPERLINK("https://pbs.twimg.com/profile_images/1032396424036544514/a9-HErVO.jpg","View")</f>
        <v>View</v>
      </c>
    </row>
    <row r="1211" spans="1:19" ht="30">
      <c r="A1211" s="8">
        <v>43347.701979166668</v>
      </c>
      <c r="B1211" s="11" t="str">
        <f>HYPERLINK("https://twitter.com/vaniia80","@vaniia80")</f>
        <v>@vaniia80</v>
      </c>
      <c r="C1211" s="6" t="s">
        <v>13647</v>
      </c>
      <c r="D1211" s="5" t="s">
        <v>13646</v>
      </c>
      <c r="E1211" s="9" t="str">
        <f>HYPERLINK("https://twitter.com/vaniia80/status/1036952228286930944","1036952228286930944")</f>
        <v>1036952228286930944</v>
      </c>
      <c r="F1211" s="4"/>
      <c r="G1211" s="4"/>
      <c r="H1211" s="4"/>
      <c r="I1211" s="10" t="str">
        <f>HYPERLINK("http://twitter.com/download/android","Twitter for Android")</f>
        <v>Twitter for Android</v>
      </c>
      <c r="J1211" s="2">
        <v>12661</v>
      </c>
      <c r="K1211" s="2">
        <v>6397</v>
      </c>
      <c r="L1211" s="2">
        <v>25</v>
      </c>
      <c r="M1211" s="2"/>
      <c r="N1211" s="8">
        <v>42151.362858796296</v>
      </c>
      <c r="O1211" s="4"/>
      <c r="P1211" s="3" t="s">
        <v>13645</v>
      </c>
      <c r="Q1211" s="4"/>
      <c r="R1211" s="4"/>
      <c r="S1211" s="9" t="str">
        <f>HYPERLINK("https://pbs.twimg.com/profile_images/1034667325713203201/hynMlQmF.jpg","View")</f>
        <v>View</v>
      </c>
    </row>
    <row r="1212" spans="1:19" ht="20">
      <c r="A1212" s="8">
        <v>43347.701944444445</v>
      </c>
      <c r="B1212" s="11" t="str">
        <f>HYPERLINK("https://twitter.com/yaalii_110","@yaalii_110")</f>
        <v>@yaalii_110</v>
      </c>
      <c r="C1212" s="6" t="s">
        <v>1224</v>
      </c>
      <c r="D1212" s="5" t="s">
        <v>13644</v>
      </c>
      <c r="E1212" s="9" t="str">
        <f>HYPERLINK("https://twitter.com/yaalii_110/status/1036952216224116736","1036952216224116736")</f>
        <v>1036952216224116736</v>
      </c>
      <c r="F1212" s="4"/>
      <c r="G1212" s="10" t="s">
        <v>13643</v>
      </c>
      <c r="H1212" s="4"/>
      <c r="I1212" s="10" t="str">
        <f>HYPERLINK("http://twitter.com/download/android","Twitter for Android")</f>
        <v>Twitter for Android</v>
      </c>
      <c r="J1212" s="2">
        <v>345</v>
      </c>
      <c r="K1212" s="2">
        <v>238</v>
      </c>
      <c r="L1212" s="2">
        <v>2</v>
      </c>
      <c r="M1212" s="2"/>
      <c r="N1212" s="8">
        <v>43246.990578703699</v>
      </c>
      <c r="O1212" s="4"/>
      <c r="P1212" s="3" t="s">
        <v>1222</v>
      </c>
      <c r="Q1212" s="4"/>
      <c r="R1212" s="4"/>
      <c r="S1212" s="9" t="str">
        <f>HYPERLINK("https://pbs.twimg.com/profile_images/1000459175330279425/q_IXc2Kn.jpg","View")</f>
        <v>View</v>
      </c>
    </row>
    <row r="1213" spans="1:19" ht="30">
      <c r="A1213" s="8">
        <v>43347.701064814813</v>
      </c>
      <c r="B1213" s="11" t="str">
        <f>HYPERLINK("https://twitter.com/Rohoolah_Zam","@Rohoolah_Zam")</f>
        <v>@Rohoolah_Zam</v>
      </c>
      <c r="C1213" s="6" t="s">
        <v>1145</v>
      </c>
      <c r="D1213" s="5" t="s">
        <v>13642</v>
      </c>
      <c r="E1213" s="9" t="str">
        <f>HYPERLINK("https://twitter.com/Rohoolah_Zam/status/1036951895032651776","1036951895032651776")</f>
        <v>1036951895032651776</v>
      </c>
      <c r="F1213" s="4"/>
      <c r="G1213" s="10" t="s">
        <v>13641</v>
      </c>
      <c r="H1213" s="4"/>
      <c r="I1213" s="10" t="str">
        <f>HYPERLINK("http://twitter.com/download/android","Twitter for Android")</f>
        <v>Twitter for Android</v>
      </c>
      <c r="J1213" s="2">
        <v>50</v>
      </c>
      <c r="K1213" s="2">
        <v>34</v>
      </c>
      <c r="L1213" s="2">
        <v>0</v>
      </c>
      <c r="M1213" s="2"/>
      <c r="N1213" s="8">
        <v>43332.135138888887</v>
      </c>
      <c r="O1213" s="4" t="s">
        <v>1143</v>
      </c>
      <c r="P1213" s="3" t="s">
        <v>1142</v>
      </c>
      <c r="Q1213" s="10" t="s">
        <v>1141</v>
      </c>
      <c r="R1213" s="4"/>
      <c r="S1213" s="9" t="str">
        <f>HYPERLINK("https://pbs.twimg.com/profile_images/1031672579759726595/6qlzY6gT.jpg","View")</f>
        <v>View</v>
      </c>
    </row>
    <row r="1214" spans="1:19" ht="30">
      <c r="A1214" s="8">
        <v>43347.700555555552</v>
      </c>
      <c r="B1214" s="11" t="str">
        <f>HYPERLINK("https://twitter.com/mrzeinodini","@mrzeinodini")</f>
        <v>@mrzeinodini</v>
      </c>
      <c r="C1214" s="6" t="s">
        <v>13640</v>
      </c>
      <c r="D1214" s="5" t="s">
        <v>13639</v>
      </c>
      <c r="E1214" s="9" t="str">
        <f>HYPERLINK("https://twitter.com/mrzeinodini/status/1036951711255019520","1036951711255019520")</f>
        <v>1036951711255019520</v>
      </c>
      <c r="F1214" s="4"/>
      <c r="G1214" s="10" t="s">
        <v>13638</v>
      </c>
      <c r="H1214" s="4"/>
      <c r="I1214" s="10" t="str">
        <f>HYPERLINK("https://mobile.twitter.com","Twitter Lite")</f>
        <v>Twitter Lite</v>
      </c>
      <c r="J1214" s="2">
        <v>18</v>
      </c>
      <c r="K1214" s="2">
        <v>23</v>
      </c>
      <c r="L1214" s="2">
        <v>0</v>
      </c>
      <c r="M1214" s="2"/>
      <c r="N1214" s="8">
        <v>43333.852210648147</v>
      </c>
      <c r="O1214" s="4"/>
      <c r="P1214" s="3"/>
      <c r="Q1214" s="4"/>
      <c r="R1214" s="4"/>
      <c r="S1214" s="9" t="str">
        <f>HYPERLINK("https://pbs.twimg.com/profile_images/1031935930570092550/o9ofrlGL.jpg","View")</f>
        <v>View</v>
      </c>
    </row>
    <row r="1215" spans="1:19" ht="70">
      <c r="A1215" s="8">
        <v>43347.700150462959</v>
      </c>
      <c r="B1215" s="11" t="str">
        <f>HYPERLINK("https://twitter.com/PeymanJonoubi","@PeymanJonoubi")</f>
        <v>@PeymanJonoubi</v>
      </c>
      <c r="C1215" s="6" t="s">
        <v>13637</v>
      </c>
      <c r="D1215" s="5" t="s">
        <v>13636</v>
      </c>
      <c r="E1215" s="9" t="str">
        <f>HYPERLINK("https://twitter.com/PeymanJonoubi/status/1036951565305831424","1036951565305831424")</f>
        <v>1036951565305831424</v>
      </c>
      <c r="F1215" s="10" t="s">
        <v>13297</v>
      </c>
      <c r="G1215" s="10" t="s">
        <v>13296</v>
      </c>
      <c r="H1215" s="4"/>
      <c r="I1215" s="10" t="str">
        <f>HYPERLINK("http://twitter.com","Twitter Web Client")</f>
        <v>Twitter Web Client</v>
      </c>
      <c r="J1215" s="2">
        <v>680</v>
      </c>
      <c r="K1215" s="2">
        <v>44</v>
      </c>
      <c r="L1215" s="2">
        <v>1</v>
      </c>
      <c r="M1215" s="2"/>
      <c r="N1215" s="8">
        <v>41682.608923611115</v>
      </c>
      <c r="O1215" s="4" t="s">
        <v>34</v>
      </c>
      <c r="P1215" s="3" t="s">
        <v>13635</v>
      </c>
      <c r="Q1215" s="4"/>
      <c r="R1215" s="4"/>
      <c r="S1215" s="9" t="str">
        <f>HYPERLINK("https://pbs.twimg.com/profile_images/1010618073932582912/aNgCEr3K.jpg","View")</f>
        <v>View</v>
      </c>
    </row>
    <row r="1216" spans="1:19" ht="40">
      <c r="A1216" s="8">
        <v>43347.693171296298</v>
      </c>
      <c r="B1216" s="11" t="str">
        <f>HYPERLINK("https://twitter.com/DR_FRANKESHTEIN","@DR_FRANKESHTEIN")</f>
        <v>@DR_FRANKESHTEIN</v>
      </c>
      <c r="C1216" s="6" t="s">
        <v>13634</v>
      </c>
      <c r="D1216" s="5" t="s">
        <v>13633</v>
      </c>
      <c r="E1216" s="9" t="str">
        <f>HYPERLINK("https://twitter.com/DR_FRANKESHTEIN/status/1036949035163299840","1036949035163299840")</f>
        <v>1036949035163299840</v>
      </c>
      <c r="F1216" s="4"/>
      <c r="G1216" s="10" t="s">
        <v>13632</v>
      </c>
      <c r="H1216" s="4"/>
      <c r="I1216" s="10" t="str">
        <f>HYPERLINK("http://twitter.com/download/android","Twitter for Android")</f>
        <v>Twitter for Android</v>
      </c>
      <c r="J1216" s="2">
        <v>7817</v>
      </c>
      <c r="K1216" s="2">
        <v>53</v>
      </c>
      <c r="L1216" s="2">
        <v>36</v>
      </c>
      <c r="M1216" s="2"/>
      <c r="N1216" s="8">
        <v>42848.767800925925</v>
      </c>
      <c r="O1216" s="4" t="s">
        <v>13631</v>
      </c>
      <c r="P1216" s="3" t="s">
        <v>13630</v>
      </c>
      <c r="Q1216" s="10" t="s">
        <v>13629</v>
      </c>
      <c r="R1216" s="4"/>
      <c r="S1216" s="9" t="str">
        <f>HYPERLINK("https://pbs.twimg.com/profile_images/1014108281768423425/GgaaDYCQ.jpg","View")</f>
        <v>View</v>
      </c>
    </row>
    <row r="1217" spans="1:19" ht="20">
      <c r="A1217" s="8">
        <v>43347.693090277782</v>
      </c>
      <c r="B1217" s="11" t="str">
        <f>HYPERLINK("https://twitter.com/Hossein_GT","@Hossein_GT")</f>
        <v>@Hossein_GT</v>
      </c>
      <c r="C1217" s="6" t="s">
        <v>13628</v>
      </c>
      <c r="D1217" s="5" t="s">
        <v>13627</v>
      </c>
      <c r="E1217" s="9" t="str">
        <f>HYPERLINK("https://twitter.com/Hossein_GT/status/1036949006688153600","1036949006688153600")</f>
        <v>1036949006688153600</v>
      </c>
      <c r="F1217" s="4"/>
      <c r="G1217" s="4"/>
      <c r="H1217" s="4"/>
      <c r="I1217" s="10" t="str">
        <f>HYPERLINK("http://twitter.com/download/android","Twitter for Android")</f>
        <v>Twitter for Android</v>
      </c>
      <c r="J1217" s="2">
        <v>535</v>
      </c>
      <c r="K1217" s="2">
        <v>981</v>
      </c>
      <c r="L1217" s="2">
        <v>1</v>
      </c>
      <c r="M1217" s="2"/>
      <c r="N1217" s="8">
        <v>42872.971446759257</v>
      </c>
      <c r="O1217" s="4" t="s">
        <v>34</v>
      </c>
      <c r="P1217" s="3" t="s">
        <v>13626</v>
      </c>
      <c r="Q1217" s="4"/>
      <c r="R1217" s="4"/>
      <c r="S1217" s="9" t="str">
        <f>HYPERLINK("https://pbs.twimg.com/profile_images/961738896869593090/Uv4rm__S.jpg","View")</f>
        <v>View</v>
      </c>
    </row>
    <row r="1218" spans="1:19" ht="30">
      <c r="A1218" s="8">
        <v>43347.69258101852</v>
      </c>
      <c r="B1218" s="11" t="str">
        <f>HYPERLINK("https://twitter.com/sayebanehtanha","@sayebanehtanha")</f>
        <v>@sayebanehtanha</v>
      </c>
      <c r="C1218" s="6" t="s">
        <v>13625</v>
      </c>
      <c r="D1218" s="5" t="s">
        <v>13624</v>
      </c>
      <c r="E1218" s="9" t="str">
        <f>HYPERLINK("https://twitter.com/sayebanehtanha/status/1036948823812268032","1036948823812268032")</f>
        <v>1036948823812268032</v>
      </c>
      <c r="F1218" s="4"/>
      <c r="G1218" s="4"/>
      <c r="H1218" s="4"/>
      <c r="I1218" s="10" t="str">
        <f>HYPERLINK("http://twitter.com","Twitter Web Client")</f>
        <v>Twitter Web Client</v>
      </c>
      <c r="J1218" s="2">
        <v>810</v>
      </c>
      <c r="K1218" s="2">
        <v>2681</v>
      </c>
      <c r="L1218" s="2">
        <v>0</v>
      </c>
      <c r="M1218" s="2"/>
      <c r="N1218" s="8">
        <v>42791.866111111114</v>
      </c>
      <c r="O1218" s="4"/>
      <c r="P1218" s="3" t="s">
        <v>13623</v>
      </c>
      <c r="Q1218" s="4"/>
      <c r="R1218" s="4"/>
      <c r="S1218" s="9" t="str">
        <f>HYPERLINK("https://pbs.twimg.com/profile_images/1021264964953264133/oBBhcCgM.jpg","View")</f>
        <v>View</v>
      </c>
    </row>
    <row r="1219" spans="1:19" ht="40">
      <c r="A1219" s="8">
        <v>43347.692361111112</v>
      </c>
      <c r="B1219" s="11" t="str">
        <f>HYPERLINK("https://twitter.com/mahtabgholizade","@mahtabgholizade")</f>
        <v>@mahtabgholizade</v>
      </c>
      <c r="C1219" s="6" t="s">
        <v>9662</v>
      </c>
      <c r="D1219" s="5" t="s">
        <v>13622</v>
      </c>
      <c r="E1219" s="9" t="str">
        <f>HYPERLINK("https://twitter.com/mahtabgholizade/status/1036948743134879744","1036948743134879744")</f>
        <v>1036948743134879744</v>
      </c>
      <c r="F1219" s="10" t="s">
        <v>13621</v>
      </c>
      <c r="G1219" s="4"/>
      <c r="H1219" s="4"/>
      <c r="I1219" s="10" t="str">
        <f>HYPERLINK("http://twitter.com/download/iphone","Twitter for iPhone")</f>
        <v>Twitter for iPhone</v>
      </c>
      <c r="J1219" s="2">
        <v>609</v>
      </c>
      <c r="K1219" s="2">
        <v>317</v>
      </c>
      <c r="L1219" s="2">
        <v>7</v>
      </c>
      <c r="M1219" s="2"/>
      <c r="N1219" s="8">
        <v>41249.955034722225</v>
      </c>
      <c r="O1219" s="4" t="s">
        <v>8780</v>
      </c>
      <c r="P1219" s="3" t="s">
        <v>9660</v>
      </c>
      <c r="Q1219" s="10" t="s">
        <v>9659</v>
      </c>
      <c r="R1219" s="4"/>
      <c r="S1219" s="9" t="str">
        <f>HYPERLINK("https://pbs.twimg.com/profile_images/1036649187021127682/_KuohfW8.jpg","View")</f>
        <v>View</v>
      </c>
    </row>
    <row r="1220" spans="1:19" ht="20">
      <c r="A1220" s="8">
        <v>43347.692002314812</v>
      </c>
      <c r="B1220" s="11" t="str">
        <f>HYPERLINK("https://twitter.com/IranianLoneWolf","@IranianLoneWolf")</f>
        <v>@IranianLoneWolf</v>
      </c>
      <c r="C1220" s="6" t="s">
        <v>492</v>
      </c>
      <c r="D1220" s="5" t="s">
        <v>13620</v>
      </c>
      <c r="E1220" s="9" t="str">
        <f>HYPERLINK("https://twitter.com/IranianLoneWolf/status/1036948611391807489","1036948611391807489")</f>
        <v>1036948611391807489</v>
      </c>
      <c r="F1220" s="4"/>
      <c r="G1220" s="4"/>
      <c r="H1220" s="4"/>
      <c r="I1220" s="10" t="str">
        <f>HYPERLINK("http://twitter.com","Twitter Web Client")</f>
        <v>Twitter Web Client</v>
      </c>
      <c r="J1220" s="2">
        <v>979</v>
      </c>
      <c r="K1220" s="2">
        <v>2738</v>
      </c>
      <c r="L1220" s="2">
        <v>2</v>
      </c>
      <c r="M1220" s="2"/>
      <c r="N1220" s="8">
        <v>42078.440706018519</v>
      </c>
      <c r="O1220" s="4" t="s">
        <v>490</v>
      </c>
      <c r="P1220" s="3" t="s">
        <v>489</v>
      </c>
      <c r="Q1220" s="4"/>
      <c r="R1220" s="4"/>
      <c r="S1220" s="9" t="str">
        <f>HYPERLINK("https://pbs.twimg.com/profile_images/1011513817023569920/6SmcXZ_E.jpg","View")</f>
        <v>View</v>
      </c>
    </row>
    <row r="1221" spans="1:19" ht="40">
      <c r="A1221" s="8">
        <v>43347.69159722222</v>
      </c>
      <c r="B1221" s="11" t="str">
        <f>HYPERLINK("https://twitter.com/alaaharzat","@alaaharzat")</f>
        <v>@alaaharzat</v>
      </c>
      <c r="C1221" s="6" t="s">
        <v>13619</v>
      </c>
      <c r="D1221" s="5" t="s">
        <v>13618</v>
      </c>
      <c r="E1221" s="9" t="str">
        <f>HYPERLINK("https://twitter.com/alaaharzat/status/1036948464146345984","1036948464146345984")</f>
        <v>1036948464146345984</v>
      </c>
      <c r="F1221" s="4"/>
      <c r="G1221" s="10" t="s">
        <v>13617</v>
      </c>
      <c r="H1221" s="4"/>
      <c r="I1221" s="10" t="str">
        <f>HYPERLINK("http://twitter.com/download/android","Twitter for Android")</f>
        <v>Twitter for Android</v>
      </c>
      <c r="J1221" s="2">
        <v>78</v>
      </c>
      <c r="K1221" s="2">
        <v>488</v>
      </c>
      <c r="L1221" s="2">
        <v>0</v>
      </c>
      <c r="M1221" s="2"/>
      <c r="N1221" s="8">
        <v>43194.033287037033</v>
      </c>
      <c r="O1221" s="4"/>
      <c r="P1221" s="3"/>
      <c r="Q1221" s="4"/>
      <c r="R1221" s="4"/>
      <c r="S1221" s="9" t="str">
        <f>HYPERLINK("https://pbs.twimg.com/profile_images/1036543348092194818/jfJ9b0QW.jpg","View")</f>
        <v>View</v>
      </c>
    </row>
    <row r="1222" spans="1:19" ht="30">
      <c r="A1222" s="8">
        <v>43347.691203703704</v>
      </c>
      <c r="B1222" s="11" t="str">
        <f>HYPERLINK("https://twitter.com/m4xRdlO5P3lGHMd","@m4xRdlO5P3lGHMd")</f>
        <v>@m4xRdlO5P3lGHMd</v>
      </c>
      <c r="C1222" s="6" t="s">
        <v>7764</v>
      </c>
      <c r="D1222" s="5" t="s">
        <v>13616</v>
      </c>
      <c r="E1222" s="9" t="str">
        <f>HYPERLINK("https://twitter.com/m4xRdlO5P3lGHMd/status/1036948322467098624","1036948322467098624")</f>
        <v>1036948322467098624</v>
      </c>
      <c r="F1222" s="4"/>
      <c r="G1222" s="4"/>
      <c r="H1222" s="4"/>
      <c r="I1222" s="10" t="str">
        <f>HYPERLINK("http://twitter.com/download/android","Twitter for Android")</f>
        <v>Twitter for Android</v>
      </c>
      <c r="J1222" s="2">
        <v>12</v>
      </c>
      <c r="K1222" s="2">
        <v>35</v>
      </c>
      <c r="L1222" s="2">
        <v>0</v>
      </c>
      <c r="M1222" s="2"/>
      <c r="N1222" s="8">
        <v>43003.582245370373</v>
      </c>
      <c r="O1222" s="4"/>
      <c r="P1222" s="3" t="s">
        <v>7762</v>
      </c>
      <c r="Q1222" s="4"/>
      <c r="R1222" s="4"/>
      <c r="S1222" s="9" t="str">
        <f>HYPERLINK("https://pbs.twimg.com/profile_images/953384392516358144/bP8nzLyq.jpg","View")</f>
        <v>View</v>
      </c>
    </row>
    <row r="1223" spans="1:19" ht="30">
      <c r="A1223" s="8">
        <v>43347.690613425926</v>
      </c>
      <c r="B1223" s="11" t="str">
        <f>HYPERLINK("https://twitter.com/Guidance_Free","@Guidance_Free")</f>
        <v>@Guidance_Free</v>
      </c>
      <c r="C1223" s="6" t="s">
        <v>8061</v>
      </c>
      <c r="D1223" s="5" t="s">
        <v>13615</v>
      </c>
      <c r="E1223" s="9" t="str">
        <f>HYPERLINK("https://twitter.com/Guidance_Free/status/1036948110797426690","1036948110797426690")</f>
        <v>1036948110797426690</v>
      </c>
      <c r="F1223" s="4"/>
      <c r="G1223" s="10" t="s">
        <v>13614</v>
      </c>
      <c r="H1223" s="4"/>
      <c r="I1223" s="10" t="str">
        <f>HYPERLINK("http://twitter.com/download/iphone","Twitter for iPhone")</f>
        <v>Twitter for iPhone</v>
      </c>
      <c r="J1223" s="2">
        <v>903</v>
      </c>
      <c r="K1223" s="2">
        <v>439</v>
      </c>
      <c r="L1223" s="2">
        <v>6</v>
      </c>
      <c r="M1223" s="2"/>
      <c r="N1223" s="8">
        <v>41806.012245370366</v>
      </c>
      <c r="O1223" s="4"/>
      <c r="P1223" s="3" t="s">
        <v>8059</v>
      </c>
      <c r="Q1223" s="4"/>
      <c r="R1223" s="4"/>
      <c r="S1223" s="9" t="str">
        <f>HYPERLINK("https://pbs.twimg.com/profile_images/996352688618115073/2KlskZ4w.jpg","View")</f>
        <v>View</v>
      </c>
    </row>
    <row r="1224" spans="1:19" ht="20">
      <c r="A1224" s="8">
        <v>43347.690462962964</v>
      </c>
      <c r="B1224" s="11" t="str">
        <f>HYPERLINK("https://twitter.com/alibarati22","@alibarati22")</f>
        <v>@alibarati22</v>
      </c>
      <c r="C1224" s="6" t="s">
        <v>584</v>
      </c>
      <c r="D1224" s="5" t="s">
        <v>13613</v>
      </c>
      <c r="E1224" s="9" t="str">
        <f>HYPERLINK("https://twitter.com/alibarati22/status/1036948055013187584","1036948055013187584")</f>
        <v>1036948055013187584</v>
      </c>
      <c r="F1224" s="4"/>
      <c r="G1224" s="4"/>
      <c r="H1224" s="4"/>
      <c r="I1224" s="10" t="str">
        <f>HYPERLINK("http://twitter.com/download/android","Twitter for Android")</f>
        <v>Twitter for Android</v>
      </c>
      <c r="J1224" s="2">
        <v>444</v>
      </c>
      <c r="K1224" s="2">
        <v>13</v>
      </c>
      <c r="L1224" s="2">
        <v>1</v>
      </c>
      <c r="M1224" s="2"/>
      <c r="N1224" s="8">
        <v>43066.022013888884</v>
      </c>
      <c r="O1224" s="4"/>
      <c r="P1224" s="3" t="s">
        <v>13612</v>
      </c>
      <c r="Q1224" s="4"/>
      <c r="R1224" s="4"/>
      <c r="S1224" s="9" t="str">
        <f>HYPERLINK("https://pbs.twimg.com/profile_images/1001318154872737792/42fI49nE.jpg","View")</f>
        <v>View</v>
      </c>
    </row>
    <row r="1225" spans="1:19" ht="30">
      <c r="A1225" s="8">
        <v>43347.690011574072</v>
      </c>
      <c r="B1225" s="11" t="str">
        <f>HYPERLINK("https://twitter.com/alishaeri89","@alishaeri89")</f>
        <v>@alishaeri89</v>
      </c>
      <c r="C1225" s="6" t="s">
        <v>1787</v>
      </c>
      <c r="D1225" s="5" t="s">
        <v>13611</v>
      </c>
      <c r="E1225" s="9" t="str">
        <f>HYPERLINK("https://twitter.com/alishaeri89/status/1036947892886536193","1036947892886536193")</f>
        <v>1036947892886536193</v>
      </c>
      <c r="F1225" s="4"/>
      <c r="G1225" s="4"/>
      <c r="H1225" s="4"/>
      <c r="I1225" s="10" t="str">
        <f>HYPERLINK("http://twitter.com/download/android","Twitter for Android")</f>
        <v>Twitter for Android</v>
      </c>
      <c r="J1225" s="2">
        <v>1271</v>
      </c>
      <c r="K1225" s="2">
        <v>1255</v>
      </c>
      <c r="L1225" s="2">
        <v>2</v>
      </c>
      <c r="M1225" s="2"/>
      <c r="N1225" s="8">
        <v>43248.747106481482</v>
      </c>
      <c r="O1225" s="4" t="s">
        <v>17</v>
      </c>
      <c r="P1225" s="3" t="s">
        <v>1784</v>
      </c>
      <c r="Q1225" s="4"/>
      <c r="R1225" s="4"/>
      <c r="S1225" s="9" t="str">
        <f>HYPERLINK("https://pbs.twimg.com/profile_images/1019917938999070720/VqHRCseB.jpg","View")</f>
        <v>View</v>
      </c>
    </row>
    <row r="1226" spans="1:19" ht="40">
      <c r="A1226" s="8">
        <v>43347.689270833333</v>
      </c>
      <c r="B1226" s="11" t="str">
        <f>HYPERLINK("https://twitter.com/rain_1983","@rain_1983")</f>
        <v>@rain_1983</v>
      </c>
      <c r="C1226" s="6" t="s">
        <v>13610</v>
      </c>
      <c r="D1226" s="5" t="s">
        <v>13609</v>
      </c>
      <c r="E1226" s="9" t="str">
        <f>HYPERLINK("https://twitter.com/rain_1983/status/1036947622622371842","1036947622622371842")</f>
        <v>1036947622622371842</v>
      </c>
      <c r="F1226" s="4"/>
      <c r="G1226" s="4"/>
      <c r="H1226" s="4"/>
      <c r="I1226" s="10" t="str">
        <f>HYPERLINK("http://twitter.com/download/iphone","Twitter for iPhone")</f>
        <v>Twitter for iPhone</v>
      </c>
      <c r="J1226" s="2">
        <v>171</v>
      </c>
      <c r="K1226" s="2">
        <v>158</v>
      </c>
      <c r="L1226" s="2">
        <v>0</v>
      </c>
      <c r="M1226" s="2"/>
      <c r="N1226" s="8">
        <v>42910.017442129625</v>
      </c>
      <c r="O1226" s="4"/>
      <c r="P1226" s="3" t="s">
        <v>13608</v>
      </c>
      <c r="Q1226" s="4"/>
      <c r="R1226" s="4"/>
      <c r="S1226" s="9" t="str">
        <f>HYPERLINK("https://pbs.twimg.com/profile_images/1033604203061620736/bDZl3uML.jpg","View")</f>
        <v>View</v>
      </c>
    </row>
    <row r="1227" spans="1:19" ht="40">
      <c r="A1227" s="8">
        <v>43347.688634259262</v>
      </c>
      <c r="B1227" s="11" t="str">
        <f>HYPERLINK("https://twitter.com/Arman_Truth","@Arman_Truth")</f>
        <v>@Arman_Truth</v>
      </c>
      <c r="C1227" s="6" t="s">
        <v>1190</v>
      </c>
      <c r="D1227" s="5" t="s">
        <v>13607</v>
      </c>
      <c r="E1227" s="9" t="str">
        <f>HYPERLINK("https://twitter.com/Arman_Truth/status/1036947390090145792","1036947390090145792")</f>
        <v>1036947390090145792</v>
      </c>
      <c r="F1227" s="4"/>
      <c r="G1227" s="10" t="s">
        <v>13606</v>
      </c>
      <c r="H1227" s="4"/>
      <c r="I1227" s="10" t="str">
        <f>HYPERLINK("http://twitter.com/download/iphone","Twitter for iPhone")</f>
        <v>Twitter for iPhone</v>
      </c>
      <c r="J1227" s="2">
        <v>2668</v>
      </c>
      <c r="K1227" s="2">
        <v>899</v>
      </c>
      <c r="L1227" s="2">
        <v>9</v>
      </c>
      <c r="M1227" s="2"/>
      <c r="N1227" s="8">
        <v>42751.806643518517</v>
      </c>
      <c r="O1227" s="4" t="s">
        <v>1188</v>
      </c>
      <c r="P1227" s="3" t="s">
        <v>1187</v>
      </c>
      <c r="Q1227" s="10" t="s">
        <v>1186</v>
      </c>
      <c r="R1227" s="4"/>
      <c r="S1227" s="9" t="str">
        <f>HYPERLINK("https://pbs.twimg.com/profile_images/1036668034767835138/3fOoAyxU.jpg","View")</f>
        <v>View</v>
      </c>
    </row>
    <row r="1228" spans="1:19" ht="20">
      <c r="A1228" s="8">
        <v>43347.688148148147</v>
      </c>
      <c r="B1228" s="11" t="str">
        <f>HYPERLINK("https://twitter.com/jansakht9","@jansakht9")</f>
        <v>@jansakht9</v>
      </c>
      <c r="C1228" s="6" t="s">
        <v>9251</v>
      </c>
      <c r="D1228" s="5" t="s">
        <v>13605</v>
      </c>
      <c r="E1228" s="9" t="str">
        <f>HYPERLINK("https://twitter.com/jansakht9/status/1036947216798298112","1036947216798298112")</f>
        <v>1036947216798298112</v>
      </c>
      <c r="F1228" s="4"/>
      <c r="G1228" s="4"/>
      <c r="H1228" s="4"/>
      <c r="I1228" s="10" t="str">
        <f>HYPERLINK("https://mobile.twitter.com","Twitter Lite")</f>
        <v>Twitter Lite</v>
      </c>
      <c r="J1228" s="2">
        <v>39</v>
      </c>
      <c r="K1228" s="2">
        <v>157</v>
      </c>
      <c r="L1228" s="2">
        <v>0</v>
      </c>
      <c r="M1228" s="2"/>
      <c r="N1228" s="8">
        <v>43257.262488425928</v>
      </c>
      <c r="O1228" s="4"/>
      <c r="P1228" s="3" t="s">
        <v>9249</v>
      </c>
      <c r="Q1228" s="4"/>
      <c r="R1228" s="4"/>
      <c r="S1228" s="9" t="str">
        <f>HYPERLINK("https://pbs.twimg.com/profile_images/1033645501730549760/kne9Mzqf.jpg","View")</f>
        <v>View</v>
      </c>
    </row>
    <row r="1229" spans="1:19" ht="40">
      <c r="A1229" s="8">
        <v>43347.687569444446</v>
      </c>
      <c r="B1229" s="11" t="str">
        <f>HYPERLINK("https://twitter.com/alinba","@alinba")</f>
        <v>@alinba</v>
      </c>
      <c r="C1229" s="6" t="s">
        <v>2828</v>
      </c>
      <c r="D1229" s="5" t="s">
        <v>13604</v>
      </c>
      <c r="E1229" s="9" t="str">
        <f>HYPERLINK("https://twitter.com/alinba/status/1036947004788809728","1036947004788809728")</f>
        <v>1036947004788809728</v>
      </c>
      <c r="F1229" s="4"/>
      <c r="G1229" s="4"/>
      <c r="H1229" s="4"/>
      <c r="I1229" s="10" t="str">
        <f>HYPERLINK("http://twitter.com/download/iphone","Twitter for iPhone")</f>
        <v>Twitter for iPhone</v>
      </c>
      <c r="J1229" s="2">
        <v>912</v>
      </c>
      <c r="K1229" s="2">
        <v>470</v>
      </c>
      <c r="L1229" s="2">
        <v>8</v>
      </c>
      <c r="M1229" s="2"/>
      <c r="N1229" s="8">
        <v>40333.973321759258</v>
      </c>
      <c r="O1229" s="4" t="s">
        <v>2826</v>
      </c>
      <c r="P1229" s="3" t="s">
        <v>2825</v>
      </c>
      <c r="Q1229" s="4"/>
      <c r="R1229" s="4"/>
      <c r="S1229" s="9" t="str">
        <f>HYPERLINK("https://pbs.twimg.com/profile_images/1035301875988525056/aK56X-6e.jpg","View")</f>
        <v>View</v>
      </c>
    </row>
    <row r="1230" spans="1:19" ht="20">
      <c r="A1230" s="8">
        <v>43347.686944444446</v>
      </c>
      <c r="B1230" s="11" t="str">
        <f>HYPERLINK("https://twitter.com/SiamaK19964110","@SiamaK19964110")</f>
        <v>@SiamaK19964110</v>
      </c>
      <c r="C1230" s="6" t="s">
        <v>13603</v>
      </c>
      <c r="D1230" s="5" t="s">
        <v>13602</v>
      </c>
      <c r="E1230" s="9" t="str">
        <f>HYPERLINK("https://twitter.com/SiamaK19964110/status/1036946781114916864","1036946781114916864")</f>
        <v>1036946781114916864</v>
      </c>
      <c r="F1230" s="4"/>
      <c r="G1230" s="4"/>
      <c r="H1230" s="4"/>
      <c r="I1230" s="10" t="str">
        <f>HYPERLINK("http://twitter.com","Twitter Web Client")</f>
        <v>Twitter Web Client</v>
      </c>
      <c r="J1230" s="2">
        <v>50</v>
      </c>
      <c r="K1230" s="2">
        <v>129</v>
      </c>
      <c r="L1230" s="2">
        <v>0</v>
      </c>
      <c r="M1230" s="2"/>
      <c r="N1230" s="8">
        <v>43342.877245370371</v>
      </c>
      <c r="O1230" s="4" t="s">
        <v>25</v>
      </c>
      <c r="P1230" s="3" t="s">
        <v>13601</v>
      </c>
      <c r="Q1230" s="4"/>
      <c r="R1230" s="4"/>
      <c r="S1230" s="9" t="str">
        <f>HYPERLINK("https://pbs.twimg.com/profile_images/1035205753467023360/9oM80-UR.jpg","View")</f>
        <v>View</v>
      </c>
    </row>
    <row r="1231" spans="1:19" ht="20">
      <c r="A1231" s="8">
        <v>43347.682743055557</v>
      </c>
      <c r="B1231" s="11" t="str">
        <f>HYPERLINK("https://twitter.com/hosbst","@hosbst")</f>
        <v>@hosbst</v>
      </c>
      <c r="C1231" s="6" t="s">
        <v>13600</v>
      </c>
      <c r="D1231" s="5" t="s">
        <v>13599</v>
      </c>
      <c r="E1231" s="9" t="str">
        <f>HYPERLINK("https://twitter.com/hosbst/status/1036945255503933440","1036945255503933440")</f>
        <v>1036945255503933440</v>
      </c>
      <c r="F1231" s="4"/>
      <c r="G1231" s="4"/>
      <c r="H1231" s="4"/>
      <c r="I1231" s="10" t="str">
        <f>HYPERLINK("http://twitter.com/download/android","Twitter for Android")</f>
        <v>Twitter for Android</v>
      </c>
      <c r="J1231" s="2">
        <v>473</v>
      </c>
      <c r="K1231" s="2">
        <v>517</v>
      </c>
      <c r="L1231" s="2">
        <v>0</v>
      </c>
      <c r="M1231" s="2"/>
      <c r="N1231" s="8">
        <v>42733.566435185188</v>
      </c>
      <c r="O1231" s="4" t="s">
        <v>13598</v>
      </c>
      <c r="P1231" s="3" t="s">
        <v>13597</v>
      </c>
      <c r="Q1231" s="4"/>
      <c r="R1231" s="4"/>
      <c r="S1231" s="9" t="str">
        <f>HYPERLINK("https://pbs.twimg.com/profile_images/1027885379431612416/M2TQVCy2.jpg","View")</f>
        <v>View</v>
      </c>
    </row>
    <row r="1232" spans="1:19" ht="40">
      <c r="A1232" s="8">
        <v>43347.682442129633</v>
      </c>
      <c r="B1232" s="11" t="str">
        <f>HYPERLINK("https://twitter.com/Omidam_Hamin","@Omidam_Hamin")</f>
        <v>@Omidam_Hamin</v>
      </c>
      <c r="C1232" s="6" t="s">
        <v>6949</v>
      </c>
      <c r="D1232" s="5" t="s">
        <v>13596</v>
      </c>
      <c r="E1232" s="9" t="str">
        <f>HYPERLINK("https://twitter.com/Omidam_Hamin/status/1036945147014070273","1036945147014070273")</f>
        <v>1036945147014070273</v>
      </c>
      <c r="F1232" s="10" t="s">
        <v>13595</v>
      </c>
      <c r="G1232" s="10" t="s">
        <v>13594</v>
      </c>
      <c r="H1232" s="4"/>
      <c r="I1232" s="10" t="str">
        <f>HYPERLINK("http://twitter.com/download/android","Twitter for Android")</f>
        <v>Twitter for Android</v>
      </c>
      <c r="J1232" s="2">
        <v>1372</v>
      </c>
      <c r="K1232" s="2">
        <v>1551</v>
      </c>
      <c r="L1232" s="2">
        <v>5</v>
      </c>
      <c r="M1232" s="2"/>
      <c r="N1232" s="8">
        <v>43134.987071759257</v>
      </c>
      <c r="O1232" s="4" t="s">
        <v>6946</v>
      </c>
      <c r="P1232" s="3" t="s">
        <v>6945</v>
      </c>
      <c r="Q1232" s="4"/>
      <c r="R1232" s="4"/>
      <c r="S1232" s="9" t="str">
        <f>HYPERLINK("https://pbs.twimg.com/profile_images/959884726608723970/p9MALHAG.jpg","View")</f>
        <v>View</v>
      </c>
    </row>
    <row r="1233" spans="1:19" ht="40">
      <c r="A1233" s="8">
        <v>43347.680266203708</v>
      </c>
      <c r="B1233" s="11" t="str">
        <f>HYPERLINK("https://twitter.com/sh_m_m_l","@sh_m_m_l")</f>
        <v>@sh_m_m_l</v>
      </c>
      <c r="C1233" s="6" t="s">
        <v>13593</v>
      </c>
      <c r="D1233" s="5" t="s">
        <v>13592</v>
      </c>
      <c r="E1233" s="9" t="str">
        <f>HYPERLINK("https://twitter.com/sh_m_m_l/status/1036944360896638976","1036944360896638976")</f>
        <v>1036944360896638976</v>
      </c>
      <c r="F1233" s="4"/>
      <c r="G1233" s="4"/>
      <c r="H1233" s="4"/>
      <c r="I1233" s="10" t="str">
        <f>HYPERLINK("http://twitter.com/download/android","Twitter for Android")</f>
        <v>Twitter for Android</v>
      </c>
      <c r="J1233" s="2">
        <v>8726</v>
      </c>
      <c r="K1233" s="2">
        <v>9303</v>
      </c>
      <c r="L1233" s="2">
        <v>7</v>
      </c>
      <c r="M1233" s="2"/>
      <c r="N1233" s="8">
        <v>43102.477592592593</v>
      </c>
      <c r="O1233" s="4" t="s">
        <v>13591</v>
      </c>
      <c r="P1233" s="3" t="s">
        <v>13590</v>
      </c>
      <c r="Q1233" s="4"/>
      <c r="R1233" s="4"/>
      <c r="S1233" s="9" t="str">
        <f>HYPERLINK("https://pbs.twimg.com/profile_images/1031896661373546501/LsisJjOU.jpg","View")</f>
        <v>View</v>
      </c>
    </row>
    <row r="1234" spans="1:19" ht="20">
      <c r="A1234" s="8">
        <v>43347.679120370369</v>
      </c>
      <c r="B1234" s="11" t="str">
        <f>HYPERLINK("https://twitter.com/mim_azad68","@mim_azad68")</f>
        <v>@mim_azad68</v>
      </c>
      <c r="C1234" s="6" t="s">
        <v>12972</v>
      </c>
      <c r="D1234" s="5" t="s">
        <v>13589</v>
      </c>
      <c r="E1234" s="9" t="str">
        <f>HYPERLINK("https://twitter.com/mim_azad68/status/1036943946017107968","1036943946017107968")</f>
        <v>1036943946017107968</v>
      </c>
      <c r="F1234" s="4"/>
      <c r="G1234" s="4"/>
      <c r="H1234" s="4"/>
      <c r="I1234" s="10" t="str">
        <f>HYPERLINK("http://twitter.com","Twitter Web Client")</f>
        <v>Twitter Web Client</v>
      </c>
      <c r="J1234" s="2">
        <v>3387</v>
      </c>
      <c r="K1234" s="2">
        <v>4479</v>
      </c>
      <c r="L1234" s="2">
        <v>4</v>
      </c>
      <c r="M1234" s="2"/>
      <c r="N1234" s="8">
        <v>42365.335138888884</v>
      </c>
      <c r="O1234" s="4" t="s">
        <v>17</v>
      </c>
      <c r="P1234" s="3" t="s">
        <v>12970</v>
      </c>
      <c r="Q1234" s="10" t="s">
        <v>12969</v>
      </c>
      <c r="R1234" s="4"/>
      <c r="S1234" s="9" t="str">
        <f>HYPERLINK("https://pbs.twimg.com/profile_images/1031842174470639616/4fbJ2mQW.jpg","View")</f>
        <v>View</v>
      </c>
    </row>
    <row r="1235" spans="1:19" ht="20">
      <c r="A1235" s="8">
        <v>43347.676666666666</v>
      </c>
      <c r="B1235" s="11" t="str">
        <f>HYPERLINK("https://twitter.com/Fars_Plus","@Fars_Plus")</f>
        <v>@Fars_Plus</v>
      </c>
      <c r="C1235" s="6" t="s">
        <v>11046</v>
      </c>
      <c r="D1235" s="5" t="s">
        <v>13588</v>
      </c>
      <c r="E1235" s="9" t="str">
        <f>HYPERLINK("https://twitter.com/Fars_Plus/status/1036943055306321921","1036943055306321921")</f>
        <v>1036943055306321921</v>
      </c>
      <c r="F1235" s="4"/>
      <c r="G1235" s="10" t="s">
        <v>13587</v>
      </c>
      <c r="H1235" s="4"/>
      <c r="I1235" s="10" t="str">
        <f>HYPERLINK("http://twitter.com","Twitter Web Client")</f>
        <v>Twitter Web Client</v>
      </c>
      <c r="J1235" s="2">
        <v>9189</v>
      </c>
      <c r="K1235" s="2">
        <v>2489</v>
      </c>
      <c r="L1235" s="2">
        <v>42</v>
      </c>
      <c r="M1235" s="2"/>
      <c r="N1235" s="8">
        <v>42600.154826388884</v>
      </c>
      <c r="O1235" s="4" t="s">
        <v>34</v>
      </c>
      <c r="P1235" s="14" t="s">
        <v>11043</v>
      </c>
      <c r="Q1235" s="10" t="s">
        <v>11042</v>
      </c>
      <c r="R1235" s="4"/>
      <c r="S1235" s="9" t="str">
        <f>HYPERLINK("https://pbs.twimg.com/profile_images/962349920995958784/LdtvhLnc.jpg","View")</f>
        <v>View</v>
      </c>
    </row>
    <row r="1236" spans="1:19" ht="20">
      <c r="A1236" s="8">
        <v>43347.675625000003</v>
      </c>
      <c r="B1236" s="11" t="str">
        <f>HYPERLINK("https://twitter.com/fereshtehsahar1","@fereshtehsahar1")</f>
        <v>@fereshtehsahar1</v>
      </c>
      <c r="C1236" s="6" t="s">
        <v>13586</v>
      </c>
      <c r="D1236" s="5" t="s">
        <v>13585</v>
      </c>
      <c r="E1236" s="9" t="str">
        <f>HYPERLINK("https://twitter.com/fereshtehsahar1/status/1036942676019634176","1036942676019634176")</f>
        <v>1036942676019634176</v>
      </c>
      <c r="F1236" s="4"/>
      <c r="G1236" s="4"/>
      <c r="H1236" s="4"/>
      <c r="I1236" s="10" t="str">
        <f>HYPERLINK("http://twitter.com/download/android","Twitter for Android")</f>
        <v>Twitter for Android</v>
      </c>
      <c r="J1236" s="2">
        <v>23</v>
      </c>
      <c r="K1236" s="2">
        <v>55</v>
      </c>
      <c r="L1236" s="2">
        <v>0</v>
      </c>
      <c r="M1236" s="2"/>
      <c r="N1236" s="8">
        <v>43110.425567129627</v>
      </c>
      <c r="O1236" s="4" t="s">
        <v>4784</v>
      </c>
      <c r="P1236" s="3" t="s">
        <v>13584</v>
      </c>
      <c r="Q1236" s="4"/>
      <c r="R1236" s="4"/>
      <c r="S1236" s="9" t="str">
        <f>HYPERLINK("https://pbs.twimg.com/profile_images/1036888672568782848/upqPkFce.jpg","View")</f>
        <v>View</v>
      </c>
    </row>
    <row r="1237" spans="1:19" ht="70">
      <c r="A1237" s="8">
        <v>43347.675567129627</v>
      </c>
      <c r="B1237" s="11" t="str">
        <f>HYPERLINK("https://twitter.com/alirezaziz","@alirezaziz")</f>
        <v>@alirezaziz</v>
      </c>
      <c r="C1237" s="6" t="s">
        <v>13583</v>
      </c>
      <c r="D1237" s="5" t="s">
        <v>13582</v>
      </c>
      <c r="E1237" s="9" t="str">
        <f>HYPERLINK("https://twitter.com/alirezaziz/status/1036942656344080384","1036942656344080384")</f>
        <v>1036942656344080384</v>
      </c>
      <c r="F1237" s="10" t="s">
        <v>13297</v>
      </c>
      <c r="G1237" s="10" t="s">
        <v>13296</v>
      </c>
      <c r="H1237" s="4"/>
      <c r="I1237" s="10" t="str">
        <f>HYPERLINK("http://twitter.com/download/android","Twitter for Android")</f>
        <v>Twitter for Android</v>
      </c>
      <c r="J1237" s="2">
        <v>113</v>
      </c>
      <c r="K1237" s="2">
        <v>103</v>
      </c>
      <c r="L1237" s="2">
        <v>0</v>
      </c>
      <c r="M1237" s="2"/>
      <c r="N1237" s="8">
        <v>43317.810555555552</v>
      </c>
      <c r="O1237" s="4" t="s">
        <v>34</v>
      </c>
      <c r="P1237" s="3" t="s">
        <v>13581</v>
      </c>
      <c r="Q1237" s="4"/>
      <c r="R1237" s="4"/>
      <c r="S1237" s="9" t="str">
        <f>HYPERLINK("https://pbs.twimg.com/profile_images/1034912194226528256/uUbB0yqV.jpg","View")</f>
        <v>View</v>
      </c>
    </row>
    <row r="1238" spans="1:19" ht="20">
      <c r="A1238" s="8">
        <v>43347.674826388888</v>
      </c>
      <c r="B1238" s="11" t="str">
        <f>HYPERLINK("https://twitter.com/behnamallami","@behnamallami")</f>
        <v>@behnamallami</v>
      </c>
      <c r="C1238" s="6" t="s">
        <v>13580</v>
      </c>
      <c r="D1238" s="5" t="s">
        <v>13579</v>
      </c>
      <c r="E1238" s="9" t="str">
        <f>HYPERLINK("https://twitter.com/behnamallami/status/1036942386574835712","1036942386574835712")</f>
        <v>1036942386574835712</v>
      </c>
      <c r="F1238" s="4"/>
      <c r="G1238" s="4"/>
      <c r="H1238" s="4"/>
      <c r="I1238" s="10" t="str">
        <f>HYPERLINK("http://twitter.com/download/android","Twitter for Android")</f>
        <v>Twitter for Android</v>
      </c>
      <c r="J1238" s="2">
        <v>325</v>
      </c>
      <c r="K1238" s="2">
        <v>94</v>
      </c>
      <c r="L1238" s="2">
        <v>0</v>
      </c>
      <c r="M1238" s="2"/>
      <c r="N1238" s="8">
        <v>40675.59542824074</v>
      </c>
      <c r="O1238" s="4" t="s">
        <v>1415</v>
      </c>
      <c r="P1238" s="3" t="s">
        <v>13578</v>
      </c>
      <c r="Q1238" s="10" t="s">
        <v>13577</v>
      </c>
      <c r="R1238" s="4"/>
      <c r="S1238" s="9" t="str">
        <f>HYPERLINK("https://pbs.twimg.com/profile_images/970750938842624006/NzH2S4cJ.jpg","View")</f>
        <v>View</v>
      </c>
    </row>
    <row r="1239" spans="1:19" ht="20">
      <c r="A1239" s="8">
        <v>43347.673252314809</v>
      </c>
      <c r="B1239" s="11" t="str">
        <f>HYPERLINK("https://twitter.com/mehrdad935","@mehrdad935")</f>
        <v>@mehrdad935</v>
      </c>
      <c r="C1239" s="6" t="s">
        <v>6721</v>
      </c>
      <c r="D1239" s="5" t="s">
        <v>13576</v>
      </c>
      <c r="E1239" s="9" t="str">
        <f>HYPERLINK("https://twitter.com/mehrdad935/status/1036941817118437376","1036941817118437376")</f>
        <v>1036941817118437376</v>
      </c>
      <c r="F1239" s="4"/>
      <c r="G1239" s="4"/>
      <c r="H1239" s="4"/>
      <c r="I1239" s="10" t="str">
        <f>HYPERLINK("http://twitter.com","Twitter Web Client")</f>
        <v>Twitter Web Client</v>
      </c>
      <c r="J1239" s="2">
        <v>15</v>
      </c>
      <c r="K1239" s="2">
        <v>15</v>
      </c>
      <c r="L1239" s="2">
        <v>0</v>
      </c>
      <c r="M1239" s="2"/>
      <c r="N1239" s="8">
        <v>42891.682118055556</v>
      </c>
      <c r="O1239" s="4" t="s">
        <v>17</v>
      </c>
      <c r="P1239" s="3" t="s">
        <v>6719</v>
      </c>
      <c r="Q1239" s="4"/>
      <c r="R1239" s="4"/>
      <c r="S1239" s="9" t="str">
        <f>HYPERLINK("https://pbs.twimg.com/profile_images/972713031825330176/JiZOxrty.jpg","View")</f>
        <v>View</v>
      </c>
    </row>
    <row r="1240" spans="1:19" ht="30">
      <c r="A1240" s="8">
        <v>43347.672094907408</v>
      </c>
      <c r="B1240" s="11" t="str">
        <f>HYPERLINK("https://twitter.com/khojasteh75","@khojasteh75")</f>
        <v>@khojasteh75</v>
      </c>
      <c r="C1240" s="6" t="s">
        <v>129</v>
      </c>
      <c r="D1240" s="5" t="s">
        <v>13575</v>
      </c>
      <c r="E1240" s="9" t="str">
        <f>HYPERLINK("https://twitter.com/khojasteh75/status/1036941397004349441","1036941397004349441")</f>
        <v>1036941397004349441</v>
      </c>
      <c r="F1240" s="4"/>
      <c r="G1240" s="4"/>
      <c r="H1240" s="4"/>
      <c r="I1240" s="10" t="str">
        <f>HYPERLINK("http://twitter.com/download/android","Twitter for Android")</f>
        <v>Twitter for Android</v>
      </c>
      <c r="J1240" s="2">
        <v>10174</v>
      </c>
      <c r="K1240" s="2">
        <v>984</v>
      </c>
      <c r="L1240" s="2">
        <v>37</v>
      </c>
      <c r="M1240" s="2"/>
      <c r="N1240" s="8">
        <v>42637.993807870371</v>
      </c>
      <c r="O1240" s="4" t="s">
        <v>17</v>
      </c>
      <c r="P1240" s="3" t="s">
        <v>127</v>
      </c>
      <c r="Q1240" s="10" t="s">
        <v>126</v>
      </c>
      <c r="R1240" s="4"/>
      <c r="S1240" s="9" t="str">
        <f>HYPERLINK("https://pbs.twimg.com/profile_images/868063173991124993/V2zrgvUv.jpg","View")</f>
        <v>View</v>
      </c>
    </row>
    <row r="1241" spans="1:19" ht="20">
      <c r="A1241" s="8">
        <v>43347.671249999999</v>
      </c>
      <c r="B1241" s="11" t="str">
        <f>HYPERLINK("https://twitter.com/FereshteNadaf","@FereshteNadaf")</f>
        <v>@FereshteNadaf</v>
      </c>
      <c r="C1241" s="6" t="s">
        <v>9642</v>
      </c>
      <c r="D1241" s="5" t="s">
        <v>13574</v>
      </c>
      <c r="E1241" s="9" t="str">
        <f>HYPERLINK("https://twitter.com/FereshteNadaf/status/1036941092791504896","1036941092791504896")</f>
        <v>1036941092791504896</v>
      </c>
      <c r="F1241" s="4"/>
      <c r="G1241" s="4"/>
      <c r="H1241" s="4"/>
      <c r="I1241" s="10" t="str">
        <f>HYPERLINK("http://twitter.com","Twitter Web Client")</f>
        <v>Twitter Web Client</v>
      </c>
      <c r="J1241" s="2">
        <v>333</v>
      </c>
      <c r="K1241" s="2">
        <v>549</v>
      </c>
      <c r="L1241" s="2">
        <v>0</v>
      </c>
      <c r="M1241" s="2"/>
      <c r="N1241" s="8">
        <v>43312.049375000002</v>
      </c>
      <c r="O1241" s="4"/>
      <c r="P1241" s="3" t="s">
        <v>9639</v>
      </c>
      <c r="Q1241" s="4"/>
      <c r="R1241" s="4"/>
      <c r="S1241" s="9" t="str">
        <f>HYPERLINK("https://pbs.twimg.com/profile_images/1024043700958179329/5ciuQovE.jpg","View")</f>
        <v>View</v>
      </c>
    </row>
    <row r="1242" spans="1:19" ht="30">
      <c r="A1242" s="8">
        <v>43347.671018518522</v>
      </c>
      <c r="B1242" s="11" t="str">
        <f>HYPERLINK("https://twitter.com/Masoud77404261","@Masoud77404261")</f>
        <v>@Masoud77404261</v>
      </c>
      <c r="C1242" s="6" t="s">
        <v>230</v>
      </c>
      <c r="D1242" s="5" t="s">
        <v>13573</v>
      </c>
      <c r="E1242" s="9" t="str">
        <f>HYPERLINK("https://twitter.com/Masoud77404261/status/1036941008016211968","1036941008016211968")</f>
        <v>1036941008016211968</v>
      </c>
      <c r="F1242" s="4"/>
      <c r="G1242" s="4"/>
      <c r="H1242" s="4"/>
      <c r="I1242" s="10" t="str">
        <f>HYPERLINK("http://twitter.com/download/android","Twitter for Android")</f>
        <v>Twitter for Android</v>
      </c>
      <c r="J1242" s="2">
        <v>233</v>
      </c>
      <c r="K1242" s="2">
        <v>420</v>
      </c>
      <c r="L1242" s="2">
        <v>0</v>
      </c>
      <c r="M1242" s="2"/>
      <c r="N1242" s="8">
        <v>43333.67386574074</v>
      </c>
      <c r="O1242" s="4" t="s">
        <v>13572</v>
      </c>
      <c r="P1242" s="3" t="s">
        <v>13571</v>
      </c>
      <c r="Q1242" s="4"/>
      <c r="R1242" s="4"/>
      <c r="S1242" s="9" t="str">
        <f>HYPERLINK("https://pbs.twimg.com/profile_images/1031914662063820800/vJE58XI1.jpg","View")</f>
        <v>View</v>
      </c>
    </row>
    <row r="1243" spans="1:19" ht="30">
      <c r="A1243" s="8">
        <v>43347.670682870375</v>
      </c>
      <c r="B1243" s="11" t="str">
        <f>HYPERLINK("https://twitter.com/sajadhoseinzade","@sajadhoseinzade")</f>
        <v>@sajadhoseinzade</v>
      </c>
      <c r="C1243" s="6" t="s">
        <v>13570</v>
      </c>
      <c r="D1243" s="5" t="s">
        <v>13569</v>
      </c>
      <c r="E1243" s="9" t="str">
        <f>HYPERLINK("https://twitter.com/sajadhoseinzade/status/1036940888553996289","1036940888553996289")</f>
        <v>1036940888553996289</v>
      </c>
      <c r="F1243" s="4"/>
      <c r="G1243" s="4"/>
      <c r="H1243" s="4"/>
      <c r="I1243" s="10" t="str">
        <f>HYPERLINK("http://twitter.com/download/android","Twitter for Android")</f>
        <v>Twitter for Android</v>
      </c>
      <c r="J1243" s="2">
        <v>2730</v>
      </c>
      <c r="K1243" s="2">
        <v>2638</v>
      </c>
      <c r="L1243" s="2">
        <v>9</v>
      </c>
      <c r="M1243" s="2"/>
      <c r="N1243" s="8">
        <v>42712.709606481483</v>
      </c>
      <c r="O1243" s="4" t="s">
        <v>12848</v>
      </c>
      <c r="P1243" s="3" t="s">
        <v>13568</v>
      </c>
      <c r="Q1243" s="10" t="s">
        <v>13567</v>
      </c>
      <c r="R1243" s="4"/>
      <c r="S1243" s="9" t="str">
        <f>HYPERLINK("https://pbs.twimg.com/profile_images/986587288317644800/-sLTva6P.jpg","View")</f>
        <v>View</v>
      </c>
    </row>
    <row r="1244" spans="1:19" ht="30">
      <c r="A1244" s="8">
        <v>43347.667141203703</v>
      </c>
      <c r="B1244" s="11" t="str">
        <f>HYPERLINK("https://twitter.com/FereshteNadaf","@FereshteNadaf")</f>
        <v>@FereshteNadaf</v>
      </c>
      <c r="C1244" s="6" t="s">
        <v>9642</v>
      </c>
      <c r="D1244" s="5" t="s">
        <v>13566</v>
      </c>
      <c r="E1244" s="9" t="str">
        <f>HYPERLINK("https://twitter.com/FereshteNadaf/status/1036939602983092224","1036939602983092224")</f>
        <v>1036939602983092224</v>
      </c>
      <c r="F1244" s="4"/>
      <c r="G1244" s="4"/>
      <c r="H1244" s="4"/>
      <c r="I1244" s="10" t="str">
        <f>HYPERLINK("http://twitter.com","Twitter Web Client")</f>
        <v>Twitter Web Client</v>
      </c>
      <c r="J1244" s="2">
        <v>333</v>
      </c>
      <c r="K1244" s="2">
        <v>549</v>
      </c>
      <c r="L1244" s="2">
        <v>0</v>
      </c>
      <c r="M1244" s="2"/>
      <c r="N1244" s="8">
        <v>43312.049375000002</v>
      </c>
      <c r="O1244" s="4"/>
      <c r="P1244" s="3" t="s">
        <v>9639</v>
      </c>
      <c r="Q1244" s="4"/>
      <c r="R1244" s="4"/>
      <c r="S1244" s="9" t="str">
        <f>HYPERLINK("https://pbs.twimg.com/profile_images/1024043700958179329/5ciuQovE.jpg","View")</f>
        <v>View</v>
      </c>
    </row>
    <row r="1245" spans="1:19" ht="30">
      <c r="A1245" s="8">
        <v>43347.665682870371</v>
      </c>
      <c r="B1245" s="11" t="str">
        <f>HYPERLINK("https://twitter.com/ghourobsefid","@ghourobsefid")</f>
        <v>@ghourobsefid</v>
      </c>
      <c r="C1245" s="6" t="s">
        <v>10065</v>
      </c>
      <c r="D1245" s="5" t="s">
        <v>13565</v>
      </c>
      <c r="E1245" s="9" t="str">
        <f>HYPERLINK("https://twitter.com/ghourobsefid/status/1036939076732108800","1036939076732108800")</f>
        <v>1036939076732108800</v>
      </c>
      <c r="F1245" s="4"/>
      <c r="G1245" s="10" t="s">
        <v>13564</v>
      </c>
      <c r="H1245" s="4"/>
      <c r="I1245" s="10" t="str">
        <f>HYPERLINK("http://twitter.com/download/iphone","Twitter for iPhone")</f>
        <v>Twitter for iPhone</v>
      </c>
      <c r="J1245" s="2">
        <v>19</v>
      </c>
      <c r="K1245" s="2">
        <v>41</v>
      </c>
      <c r="L1245" s="2">
        <v>0</v>
      </c>
      <c r="M1245" s="2"/>
      <c r="N1245" s="8">
        <v>43200.732685185183</v>
      </c>
      <c r="O1245" s="4"/>
      <c r="P1245" s="3" t="s">
        <v>10062</v>
      </c>
      <c r="Q1245" s="4"/>
      <c r="R1245" s="4"/>
      <c r="S1245" s="9" t="str">
        <f>HYPERLINK("https://pbs.twimg.com/profile_images/997895887774015488/TyVthehN.jpg","View")</f>
        <v>View</v>
      </c>
    </row>
    <row r="1246" spans="1:19" ht="30">
      <c r="A1246" s="8">
        <v>43347.665462962963</v>
      </c>
      <c r="B1246" s="11" t="str">
        <f>HYPERLINK("https://twitter.com/asad_1317131","@asad_1317131")</f>
        <v>@asad_1317131</v>
      </c>
      <c r="C1246" s="6" t="s">
        <v>10967</v>
      </c>
      <c r="D1246" s="5" t="s">
        <v>13563</v>
      </c>
      <c r="E1246" s="9" t="str">
        <f>HYPERLINK("https://twitter.com/asad_1317131/status/1036938994335076352","1036938994335076352")</f>
        <v>1036938994335076352</v>
      </c>
      <c r="F1246" s="4"/>
      <c r="G1246" s="4"/>
      <c r="H1246" s="4"/>
      <c r="I1246" s="10" t="str">
        <f>HYPERLINK("http://twitter.com","Twitter Web Client")</f>
        <v>Twitter Web Client</v>
      </c>
      <c r="J1246" s="2">
        <v>208</v>
      </c>
      <c r="K1246" s="2">
        <v>301</v>
      </c>
      <c r="L1246" s="2">
        <v>1</v>
      </c>
      <c r="M1246" s="2"/>
      <c r="N1246" s="8">
        <v>42954.458831018521</v>
      </c>
      <c r="O1246" s="4"/>
      <c r="P1246" s="3"/>
      <c r="Q1246" s="4"/>
      <c r="R1246" s="4"/>
      <c r="S1246" s="9" t="str">
        <f>HYPERLINK("https://pbs.twimg.com/profile_images/1018012747034963968/i1eIG-RV.jpg","View")</f>
        <v>View</v>
      </c>
    </row>
    <row r="1247" spans="1:19" ht="40">
      <c r="A1247" s="8">
        <v>43347.664525462962</v>
      </c>
      <c r="B1247" s="11" t="str">
        <f>HYPERLINK("https://twitter.com/OkhtayHosseini","@OkhtayHosseini")</f>
        <v>@OkhtayHosseini</v>
      </c>
      <c r="C1247" s="6" t="s">
        <v>3338</v>
      </c>
      <c r="D1247" s="5" t="s">
        <v>13562</v>
      </c>
      <c r="E1247" s="9" t="str">
        <f>HYPERLINK("https://twitter.com/OkhtayHosseini/status/1036938654306971653","1036938654306971653")</f>
        <v>1036938654306971653</v>
      </c>
      <c r="F1247" s="4"/>
      <c r="G1247" s="4"/>
      <c r="H1247" s="4"/>
      <c r="I1247" s="10" t="str">
        <f>HYPERLINK("https://mobile.twitter.com","Twitter Lite")</f>
        <v>Twitter Lite</v>
      </c>
      <c r="J1247" s="2">
        <v>382</v>
      </c>
      <c r="K1247" s="2">
        <v>358</v>
      </c>
      <c r="L1247" s="2">
        <v>1</v>
      </c>
      <c r="M1247" s="2"/>
      <c r="N1247" s="8">
        <v>40864.101226851853</v>
      </c>
      <c r="O1247" s="4"/>
      <c r="P1247" s="3" t="s">
        <v>3336</v>
      </c>
      <c r="Q1247" s="4"/>
      <c r="R1247" s="4"/>
      <c r="S1247" s="9" t="str">
        <f>HYPERLINK("https://pbs.twimg.com/profile_images/619107514630561792/Qe51h3Wl.jpg","View")</f>
        <v>View</v>
      </c>
    </row>
    <row r="1248" spans="1:19" ht="40">
      <c r="A1248" s="8">
        <v>43347.663206018522</v>
      </c>
      <c r="B1248" s="11" t="str">
        <f>HYPERLINK("https://twitter.com/NewTrust_IR","@NewTrust_IR")</f>
        <v>@NewTrust_IR</v>
      </c>
      <c r="C1248" s="6" t="s">
        <v>13561</v>
      </c>
      <c r="D1248" s="5" t="s">
        <v>13560</v>
      </c>
      <c r="E1248" s="9" t="str">
        <f>HYPERLINK("https://twitter.com/NewTrust_IR/status/1036938178739892224","1036938178739892224")</f>
        <v>1036938178739892224</v>
      </c>
      <c r="F1248" s="4"/>
      <c r="G1248" s="4"/>
      <c r="H1248" s="4"/>
      <c r="I1248" s="10" t="str">
        <f>HYPERLINK("http://twitter.com/download/android","Twitter for Android")</f>
        <v>Twitter for Android</v>
      </c>
      <c r="J1248" s="2">
        <v>77</v>
      </c>
      <c r="K1248" s="2">
        <v>125</v>
      </c>
      <c r="L1248" s="2">
        <v>1</v>
      </c>
      <c r="M1248" s="2"/>
      <c r="N1248" s="8">
        <v>43226.853726851856</v>
      </c>
      <c r="O1248" s="4" t="s">
        <v>13559</v>
      </c>
      <c r="P1248" s="3" t="s">
        <v>13558</v>
      </c>
      <c r="Q1248" s="4"/>
      <c r="R1248" s="4"/>
      <c r="S1248" s="9" t="str">
        <f>HYPERLINK("https://pbs.twimg.com/profile_images/1032345823630086144/9A7W_q02.jpg","View")</f>
        <v>View</v>
      </c>
    </row>
    <row r="1249" spans="1:19" ht="20">
      <c r="A1249" s="8">
        <v>43347.662650462968</v>
      </c>
      <c r="B1249" s="11" t="str">
        <f>HYPERLINK("https://twitter.com/r_irannejad","@r_irannejad")</f>
        <v>@r_irannejad</v>
      </c>
      <c r="C1249" s="6" t="s">
        <v>13557</v>
      </c>
      <c r="D1249" s="5" t="s">
        <v>13556</v>
      </c>
      <c r="E1249" s="9" t="str">
        <f>HYPERLINK("https://twitter.com/r_irannejad/status/1036937976155172868","1036937976155172868")</f>
        <v>1036937976155172868</v>
      </c>
      <c r="F1249" s="4"/>
      <c r="G1249" s="4"/>
      <c r="H1249" s="4"/>
      <c r="I1249" s="10" t="str">
        <f>HYPERLINK("http://twitter.com/download/android","Twitter for Android")</f>
        <v>Twitter for Android</v>
      </c>
      <c r="J1249" s="2">
        <v>39</v>
      </c>
      <c r="K1249" s="2">
        <v>238</v>
      </c>
      <c r="L1249" s="2">
        <v>0</v>
      </c>
      <c r="M1249" s="2"/>
      <c r="N1249" s="8">
        <v>41504.051319444443</v>
      </c>
      <c r="O1249" s="4"/>
      <c r="P1249" s="3" t="s">
        <v>13555</v>
      </c>
      <c r="Q1249" s="4"/>
      <c r="R1249" s="4"/>
      <c r="S1249" s="9" t="str">
        <f>HYPERLINK("https://pbs.twimg.com/profile_images/1036746804673568768/KpceFWID.jpg","View")</f>
        <v>View</v>
      </c>
    </row>
    <row r="1250" spans="1:19" ht="40">
      <c r="A1250" s="8">
        <v>43347.661412037036</v>
      </c>
      <c r="B1250" s="11" t="str">
        <f>HYPERLINK("https://twitter.com/hamidsafaei1","@hamidsafaei1")</f>
        <v>@hamidsafaei1</v>
      </c>
      <c r="C1250" s="6" t="s">
        <v>12611</v>
      </c>
      <c r="D1250" s="5" t="s">
        <v>13554</v>
      </c>
      <c r="E1250" s="9" t="str">
        <f>HYPERLINK("https://twitter.com/hamidsafaei1/status/1036937525749788673","1036937525749788673")</f>
        <v>1036937525749788673</v>
      </c>
      <c r="F1250" s="4"/>
      <c r="G1250" s="4"/>
      <c r="H1250" s="4"/>
      <c r="I1250" s="10" t="str">
        <f>HYPERLINK("http://twitter.com/download/iphone","Twitter for iPhone")</f>
        <v>Twitter for iPhone</v>
      </c>
      <c r="J1250" s="2">
        <v>9</v>
      </c>
      <c r="K1250" s="2">
        <v>27</v>
      </c>
      <c r="L1250" s="2">
        <v>0</v>
      </c>
      <c r="M1250" s="2"/>
      <c r="N1250" s="8">
        <v>43220.870439814811</v>
      </c>
      <c r="O1250" s="4" t="s">
        <v>5808</v>
      </c>
      <c r="P1250" s="3"/>
      <c r="Q1250" s="4"/>
      <c r="R1250" s="4"/>
      <c r="S1250" s="9" t="str">
        <f>HYPERLINK("https://pbs.twimg.com/profile_images/990990546054340608/UURmd_ZU.jpg","View")</f>
        <v>View</v>
      </c>
    </row>
    <row r="1251" spans="1:19" ht="30">
      <c r="A1251" s="8">
        <v>43347.661400462966</v>
      </c>
      <c r="B1251" s="11" t="str">
        <f>HYPERLINK("https://twitter.com/shomarasane","@shomarasane")</f>
        <v>@shomarasane</v>
      </c>
      <c r="C1251" s="6" t="s">
        <v>7294</v>
      </c>
      <c r="D1251" s="5" t="s">
        <v>13553</v>
      </c>
      <c r="E1251" s="9" t="str">
        <f>HYPERLINK("https://twitter.com/shomarasane/status/1036937523740778496","1036937523740778496")</f>
        <v>1036937523740778496</v>
      </c>
      <c r="F1251" s="4"/>
      <c r="G1251" s="10" t="s">
        <v>13552</v>
      </c>
      <c r="H1251" s="4"/>
      <c r="I1251" s="10" t="str">
        <f>HYPERLINK("http://twitter.com/download/android","Twitter for Android")</f>
        <v>Twitter for Android</v>
      </c>
      <c r="J1251" s="2">
        <v>754</v>
      </c>
      <c r="K1251" s="2">
        <v>46</v>
      </c>
      <c r="L1251" s="2">
        <v>11</v>
      </c>
      <c r="M1251" s="2"/>
      <c r="N1251" s="8">
        <v>42903.791817129633</v>
      </c>
      <c r="O1251" s="4"/>
      <c r="P1251" s="3" t="s">
        <v>7291</v>
      </c>
      <c r="Q1251" s="10" t="s">
        <v>7290</v>
      </c>
      <c r="R1251" s="4"/>
      <c r="S1251" s="9" t="str">
        <f>HYPERLINK("https://pbs.twimg.com/profile_images/892701661201911808/sBktvc57.jpg","View")</f>
        <v>View</v>
      </c>
    </row>
    <row r="1252" spans="1:19" ht="20">
      <c r="A1252" s="8">
        <v>43347.660543981481</v>
      </c>
      <c r="B1252" s="11" t="str">
        <f>HYPERLINK("https://twitter.com/mockingbird_158","@mockingbird_158")</f>
        <v>@mockingbird_158</v>
      </c>
      <c r="C1252" s="6" t="s">
        <v>3839</v>
      </c>
      <c r="D1252" s="5" t="s">
        <v>13551</v>
      </c>
      <c r="E1252" s="9" t="str">
        <f>HYPERLINK("https://twitter.com/mockingbird_158/status/1036937210753372162","1036937210753372162")</f>
        <v>1036937210753372162</v>
      </c>
      <c r="F1252" s="4"/>
      <c r="G1252" s="10" t="s">
        <v>13550</v>
      </c>
      <c r="H1252" s="4"/>
      <c r="I1252" s="10" t="str">
        <f>HYPERLINK("http://twitter.com/download/android","Twitter for Android")</f>
        <v>Twitter for Android</v>
      </c>
      <c r="J1252" s="2">
        <v>259</v>
      </c>
      <c r="K1252" s="2">
        <v>304</v>
      </c>
      <c r="L1252" s="2">
        <v>0</v>
      </c>
      <c r="M1252" s="2"/>
      <c r="N1252" s="8">
        <v>40764.094004629631</v>
      </c>
      <c r="O1252" s="4" t="s">
        <v>1415</v>
      </c>
      <c r="P1252" s="3" t="s">
        <v>13386</v>
      </c>
      <c r="Q1252" s="4"/>
      <c r="R1252" s="4"/>
      <c r="S1252" s="9" t="str">
        <f>HYPERLINK("https://pbs.twimg.com/profile_images/1026100613824884736/DW-guVaH.jpg","View")</f>
        <v>View</v>
      </c>
    </row>
    <row r="1253" spans="1:19" ht="70">
      <c r="A1253" s="8">
        <v>43347.659895833334</v>
      </c>
      <c r="B1253" s="11" t="str">
        <f>HYPERLINK("https://twitter.com/ardlanlichahi","@ardlanlichahi")</f>
        <v>@ardlanlichahi</v>
      </c>
      <c r="C1253" s="6" t="s">
        <v>13549</v>
      </c>
      <c r="D1253" s="5" t="s">
        <v>13548</v>
      </c>
      <c r="E1253" s="9" t="str">
        <f>HYPERLINK("https://twitter.com/ardlanlichahi/status/1036936979294957568","1036936979294957568")</f>
        <v>1036936979294957568</v>
      </c>
      <c r="F1253" s="4" t="s">
        <v>13547</v>
      </c>
      <c r="G1253" s="10" t="s">
        <v>13546</v>
      </c>
      <c r="H1253" s="4"/>
      <c r="I1253" s="10" t="str">
        <f>HYPERLINK("http://twitter.com/download/android","Twitter for Android")</f>
        <v>Twitter for Android</v>
      </c>
      <c r="J1253" s="2">
        <v>116</v>
      </c>
      <c r="K1253" s="2">
        <v>732</v>
      </c>
      <c r="L1253" s="2">
        <v>1</v>
      </c>
      <c r="M1253" s="2"/>
      <c r="N1253" s="8">
        <v>41690.00744212963</v>
      </c>
      <c r="O1253" s="4" t="s">
        <v>13545</v>
      </c>
      <c r="P1253" s="3" t="s">
        <v>13544</v>
      </c>
      <c r="Q1253" s="4"/>
      <c r="R1253" s="4"/>
      <c r="S1253" s="9" t="str">
        <f>HYPERLINK("https://pbs.twimg.com/profile_images/838336092466204672/gdgM-gRp.jpg","View")</f>
        <v>View</v>
      </c>
    </row>
    <row r="1254" spans="1:19" ht="20">
      <c r="A1254" s="8">
        <v>43347.65934027778</v>
      </c>
      <c r="B1254" s="11" t="str">
        <f>HYPERLINK("https://twitter.com/rmoshiry","@rmoshiry")</f>
        <v>@rmoshiry</v>
      </c>
      <c r="C1254" s="6" t="s">
        <v>7363</v>
      </c>
      <c r="D1254" s="5" t="s">
        <v>13543</v>
      </c>
      <c r="E1254" s="9" t="str">
        <f>HYPERLINK("https://twitter.com/rmoshiry/status/1036936776164757504","1036936776164757504")</f>
        <v>1036936776164757504</v>
      </c>
      <c r="F1254" s="4"/>
      <c r="G1254" s="4"/>
      <c r="H1254" s="4"/>
      <c r="I1254" s="10" t="str">
        <f>HYPERLINK("http://twitter.com/download/iphone","Twitter for iPhone")</f>
        <v>Twitter for iPhone</v>
      </c>
      <c r="J1254" s="2">
        <v>162</v>
      </c>
      <c r="K1254" s="2">
        <v>228</v>
      </c>
      <c r="L1254" s="2">
        <v>1</v>
      </c>
      <c r="M1254" s="2"/>
      <c r="N1254" s="8">
        <v>41235.574074074073</v>
      </c>
      <c r="O1254" s="4" t="s">
        <v>3191</v>
      </c>
      <c r="P1254" s="3" t="s">
        <v>7361</v>
      </c>
      <c r="Q1254" s="4"/>
      <c r="R1254" s="4"/>
      <c r="S1254" s="9" t="str">
        <f>HYPERLINK("https://pbs.twimg.com/profile_images/1023907658418536448/azgsRZWl.jpg","View")</f>
        <v>View</v>
      </c>
    </row>
    <row r="1255" spans="1:19" ht="20">
      <c r="A1255" s="8">
        <v>43347.658622685187</v>
      </c>
      <c r="B1255" s="11" t="str">
        <f>HYPERLINK("https://twitter.com/haj_Einstein","@haj_Einstein")</f>
        <v>@haj_Einstein</v>
      </c>
      <c r="C1255" s="6" t="s">
        <v>1350</v>
      </c>
      <c r="D1255" s="5" t="s">
        <v>13542</v>
      </c>
      <c r="E1255" s="9" t="str">
        <f>HYPERLINK("https://twitter.com/haj_Einstein/status/1036936515081961474","1036936515081961474")</f>
        <v>1036936515081961474</v>
      </c>
      <c r="F1255" s="4"/>
      <c r="G1255" s="4"/>
      <c r="H1255" s="4"/>
      <c r="I1255" s="10" t="str">
        <f>HYPERLINK("http://twitter.com/download/android","Twitter for Android")</f>
        <v>Twitter for Android</v>
      </c>
      <c r="J1255" s="2">
        <v>1184</v>
      </c>
      <c r="K1255" s="2">
        <v>939</v>
      </c>
      <c r="L1255" s="2">
        <v>1</v>
      </c>
      <c r="M1255" s="2"/>
      <c r="N1255" s="8">
        <v>42513.552152777775</v>
      </c>
      <c r="O1255" s="4" t="s">
        <v>1348</v>
      </c>
      <c r="P1255" s="3" t="s">
        <v>1347</v>
      </c>
      <c r="Q1255" s="4"/>
      <c r="R1255" s="4"/>
      <c r="S1255" s="9" t="str">
        <f>HYPERLINK("https://pbs.twimg.com/profile_images/1035510526510592001/RAoih4hR.jpg","View")</f>
        <v>View</v>
      </c>
    </row>
    <row r="1256" spans="1:19" ht="30">
      <c r="A1256" s="8">
        <v>43347.657673611116</v>
      </c>
      <c r="B1256" s="11" t="str">
        <f>HYPERLINK("https://twitter.com/ehsan_ghost","@ehsan_ghost")</f>
        <v>@ehsan_ghost</v>
      </c>
      <c r="C1256" s="6" t="s">
        <v>13541</v>
      </c>
      <c r="D1256" s="5" t="s">
        <v>13540</v>
      </c>
      <c r="E1256" s="9" t="str">
        <f>HYPERLINK("https://twitter.com/ehsan_ghost/status/1036936171560034311","1036936171560034311")</f>
        <v>1036936171560034311</v>
      </c>
      <c r="F1256" s="4"/>
      <c r="G1256" s="4"/>
      <c r="H1256" s="4"/>
      <c r="I1256" s="10" t="str">
        <f>HYPERLINK("http://twitter.com/download/android","Twitter for Android")</f>
        <v>Twitter for Android</v>
      </c>
      <c r="J1256" s="2">
        <v>52</v>
      </c>
      <c r="K1256" s="2">
        <v>89</v>
      </c>
      <c r="L1256" s="2">
        <v>0</v>
      </c>
      <c r="M1256" s="2"/>
      <c r="N1256" s="8">
        <v>42699.066157407404</v>
      </c>
      <c r="O1256" s="4" t="s">
        <v>13539</v>
      </c>
      <c r="P1256" s="3" t="s">
        <v>13538</v>
      </c>
      <c r="Q1256" s="4"/>
      <c r="R1256" s="4"/>
      <c r="S1256" s="9" t="str">
        <f>HYPERLINK("https://pbs.twimg.com/profile_images/1036299984642170881/3MoHoaRK.jpg","View")</f>
        <v>View</v>
      </c>
    </row>
    <row r="1257" spans="1:19" ht="30">
      <c r="A1257" s="8">
        <v>43347.656597222223</v>
      </c>
      <c r="B1257" s="11" t="str">
        <f>HYPERLINK("https://twitter.com/hsnhasankhani","@hsnhasankhani")</f>
        <v>@hsnhasankhani</v>
      </c>
      <c r="C1257" s="6" t="s">
        <v>6447</v>
      </c>
      <c r="D1257" s="5" t="s">
        <v>13537</v>
      </c>
      <c r="E1257" s="9" t="str">
        <f>HYPERLINK("https://twitter.com/hsnhasankhani/status/1036935783670849536","1036935783670849536")</f>
        <v>1036935783670849536</v>
      </c>
      <c r="F1257" s="4"/>
      <c r="G1257" s="4"/>
      <c r="H1257" s="4"/>
      <c r="I1257" s="10" t="str">
        <f>HYPERLINK("http://twitter.com","Twitter Web Client")</f>
        <v>Twitter Web Client</v>
      </c>
      <c r="J1257" s="2">
        <v>71</v>
      </c>
      <c r="K1257" s="2">
        <v>73</v>
      </c>
      <c r="L1257" s="2">
        <v>0</v>
      </c>
      <c r="M1257" s="2"/>
      <c r="N1257" s="8">
        <v>43300.502557870372</v>
      </c>
      <c r="O1257" s="4" t="s">
        <v>34</v>
      </c>
      <c r="P1257" s="3" t="s">
        <v>6444</v>
      </c>
      <c r="Q1257" s="4"/>
      <c r="R1257" s="4"/>
      <c r="S1257" s="9" t="str">
        <f>HYPERLINK("https://pbs.twimg.com/profile_images/1031865810447486976/OyDV3iMJ.jpg","View")</f>
        <v>View</v>
      </c>
    </row>
    <row r="1258" spans="1:19" ht="40">
      <c r="A1258" s="8">
        <v>43347.656458333338</v>
      </c>
      <c r="B1258" s="11" t="str">
        <f>HYPERLINK("https://twitter.com/aboo_zeynab","@aboo_zeynab")</f>
        <v>@aboo_zeynab</v>
      </c>
      <c r="C1258" s="6" t="s">
        <v>13536</v>
      </c>
      <c r="D1258" s="5" t="s">
        <v>13535</v>
      </c>
      <c r="E1258" s="9" t="str">
        <f>HYPERLINK("https://twitter.com/aboo_zeynab/status/1036935732181565442","1036935732181565442")</f>
        <v>1036935732181565442</v>
      </c>
      <c r="F1258" s="10" t="s">
        <v>13534</v>
      </c>
      <c r="G1258" s="4"/>
      <c r="H1258" s="4"/>
      <c r="I1258" s="10" t="str">
        <f>HYPERLINK("http://twitter.com/download/android","Twitter for Android")</f>
        <v>Twitter for Android</v>
      </c>
      <c r="J1258" s="2">
        <v>919</v>
      </c>
      <c r="K1258" s="2">
        <v>889</v>
      </c>
      <c r="L1258" s="2">
        <v>2</v>
      </c>
      <c r="M1258" s="2"/>
      <c r="N1258" s="8">
        <v>43263.299409722225</v>
      </c>
      <c r="O1258" s="4" t="s">
        <v>13533</v>
      </c>
      <c r="P1258" s="3" t="s">
        <v>13532</v>
      </c>
      <c r="Q1258" s="4"/>
      <c r="R1258" s="4"/>
      <c r="S1258" s="9" t="str">
        <f>HYPERLINK("https://pbs.twimg.com/profile_images/1036788660820213761/2KD5xbvW.jpg","View")</f>
        <v>View</v>
      </c>
    </row>
    <row r="1259" spans="1:19" ht="30">
      <c r="A1259" s="8">
        <v>43347.656342592592</v>
      </c>
      <c r="B1259" s="11" t="str">
        <f>HYPERLINK("https://twitter.com/babaei_moha","@babaei_moha")</f>
        <v>@babaei_moha</v>
      </c>
      <c r="C1259" s="6" t="s">
        <v>7747</v>
      </c>
      <c r="D1259" s="5" t="s">
        <v>13531</v>
      </c>
      <c r="E1259" s="9" t="str">
        <f>HYPERLINK("https://twitter.com/babaei_moha/status/1036935688346849280","1036935688346849280")</f>
        <v>1036935688346849280</v>
      </c>
      <c r="F1259" s="4"/>
      <c r="G1259" s="4"/>
      <c r="H1259" s="4"/>
      <c r="I1259" s="10" t="str">
        <f>HYPERLINK("https://mobile.twitter.com","Twitter Lite")</f>
        <v>Twitter Lite</v>
      </c>
      <c r="J1259" s="2">
        <v>8</v>
      </c>
      <c r="K1259" s="2">
        <v>62</v>
      </c>
      <c r="L1259" s="2">
        <v>0</v>
      </c>
      <c r="M1259" s="2"/>
      <c r="N1259" s="8">
        <v>43334.953946759255</v>
      </c>
      <c r="O1259" s="4" t="s">
        <v>324</v>
      </c>
      <c r="P1259" s="3" t="s">
        <v>7745</v>
      </c>
      <c r="Q1259" s="4"/>
      <c r="R1259" s="4"/>
      <c r="S1259" s="9" t="str">
        <f>HYPERLINK("https://pbs.twimg.com/profile_images/1032366573858840576/eVXRBX1o.jpg","View")</f>
        <v>View</v>
      </c>
    </row>
    <row r="1260" spans="1:19" ht="40">
      <c r="A1260" s="8">
        <v>43347.656157407408</v>
      </c>
      <c r="B1260" s="11" t="str">
        <f>HYPERLINK("https://twitter.com/Roshan_did","@Roshan_did")</f>
        <v>@Roshan_did</v>
      </c>
      <c r="C1260" s="6" t="s">
        <v>13530</v>
      </c>
      <c r="D1260" s="5" t="s">
        <v>13529</v>
      </c>
      <c r="E1260" s="9" t="str">
        <f>HYPERLINK("https://twitter.com/Roshan_did/status/1036935621716205568","1036935621716205568")</f>
        <v>1036935621716205568</v>
      </c>
      <c r="F1260" s="4"/>
      <c r="G1260" s="4"/>
      <c r="H1260" s="4"/>
      <c r="I1260" s="10" t="str">
        <f>HYPERLINK("http://twitter.com/download/android","Twitter for Android")</f>
        <v>Twitter for Android</v>
      </c>
      <c r="J1260" s="2">
        <v>769</v>
      </c>
      <c r="K1260" s="2">
        <v>358</v>
      </c>
      <c r="L1260" s="2">
        <v>6</v>
      </c>
      <c r="M1260" s="2"/>
      <c r="N1260" s="8">
        <v>41251.069861111115</v>
      </c>
      <c r="O1260" s="4" t="s">
        <v>133</v>
      </c>
      <c r="P1260" s="3" t="s">
        <v>13528</v>
      </c>
      <c r="Q1260" s="4"/>
      <c r="R1260" s="4"/>
      <c r="S1260" s="9" t="str">
        <f>HYPERLINK("https://pbs.twimg.com/profile_images/942437376076460039/ImZ57b16.jpg","View")</f>
        <v>View</v>
      </c>
    </row>
    <row r="1261" spans="1:19" ht="20">
      <c r="A1261" s="8">
        <v>43347.655624999999</v>
      </c>
      <c r="B1261" s="11" t="str">
        <f>HYPERLINK("https://twitter.com/Seraj11_1","@Seraj11_1")</f>
        <v>@Seraj11_1</v>
      </c>
      <c r="C1261" s="6" t="s">
        <v>12415</v>
      </c>
      <c r="D1261" s="5" t="s">
        <v>13527</v>
      </c>
      <c r="E1261" s="9" t="str">
        <f>HYPERLINK("https://twitter.com/Seraj11_1/status/1036935429419921408","1036935429419921408")</f>
        <v>1036935429419921408</v>
      </c>
      <c r="F1261" s="10" t="s">
        <v>13526</v>
      </c>
      <c r="G1261" s="10" t="s">
        <v>13525</v>
      </c>
      <c r="H1261" s="4"/>
      <c r="I1261" s="10" t="str">
        <f>HYPERLINK("http://twitter.com/download/android","Twitter for Android")</f>
        <v>Twitter for Android</v>
      </c>
      <c r="J1261" s="2">
        <v>170</v>
      </c>
      <c r="K1261" s="2">
        <v>247</v>
      </c>
      <c r="L1261" s="2">
        <v>4</v>
      </c>
      <c r="M1261" s="2"/>
      <c r="N1261" s="8">
        <v>43331.893449074079</v>
      </c>
      <c r="O1261" s="4" t="s">
        <v>17</v>
      </c>
      <c r="P1261" s="3" t="s">
        <v>12412</v>
      </c>
      <c r="Q1261" s="4"/>
      <c r="R1261" s="4"/>
      <c r="S1261" s="9" t="str">
        <f>HYPERLINK("https://pbs.twimg.com/profile_images/1031231301641273344/kchJwYZY.jpg","View")</f>
        <v>View</v>
      </c>
    </row>
    <row r="1262" spans="1:19" ht="20">
      <c r="A1262" s="8">
        <v>43347.655289351853</v>
      </c>
      <c r="B1262" s="11" t="str">
        <f>HYPERLINK("https://twitter.com/sina69am","@sina69am")</f>
        <v>@sina69am</v>
      </c>
      <c r="C1262" s="6" t="s">
        <v>13524</v>
      </c>
      <c r="D1262" s="5" t="s">
        <v>13523</v>
      </c>
      <c r="E1262" s="9" t="str">
        <f>HYPERLINK("https://twitter.com/sina69am/status/1036935307332083712","1036935307332083712")</f>
        <v>1036935307332083712</v>
      </c>
      <c r="F1262" s="4"/>
      <c r="G1262" s="4"/>
      <c r="H1262" s="4"/>
      <c r="I1262" s="10" t="str">
        <f>HYPERLINK("https://mobile.twitter.com","Twitter Lite")</f>
        <v>Twitter Lite</v>
      </c>
      <c r="J1262" s="2">
        <v>175</v>
      </c>
      <c r="K1262" s="2">
        <v>269</v>
      </c>
      <c r="L1262" s="2">
        <v>0</v>
      </c>
      <c r="M1262" s="2"/>
      <c r="N1262" s="8">
        <v>43010.917476851857</v>
      </c>
      <c r="O1262" s="4" t="s">
        <v>13522</v>
      </c>
      <c r="P1262" s="3" t="s">
        <v>13521</v>
      </c>
      <c r="Q1262" s="4"/>
      <c r="R1262" s="4"/>
      <c r="S1262" s="9" t="str">
        <f>HYPERLINK("https://pbs.twimg.com/profile_images/1023214055174156289/-UMp9UtD.jpg","View")</f>
        <v>View</v>
      </c>
    </row>
    <row r="1263" spans="1:19" ht="30">
      <c r="A1263" s="8">
        <v>43347.654421296298</v>
      </c>
      <c r="B1263" s="11" t="str">
        <f>HYPERLINK("https://twitter.com/nima_mn77","@nima_mn77")</f>
        <v>@nima_mn77</v>
      </c>
      <c r="C1263" s="6" t="s">
        <v>13520</v>
      </c>
      <c r="D1263" s="5" t="s">
        <v>13519</v>
      </c>
      <c r="E1263" s="9" t="str">
        <f>HYPERLINK("https://twitter.com/nima_mn77/status/1036934992465674240","1036934992465674240")</f>
        <v>1036934992465674240</v>
      </c>
      <c r="F1263" s="4"/>
      <c r="G1263" s="4"/>
      <c r="H1263" s="4"/>
      <c r="I1263" s="10" t="str">
        <f>HYPERLINK("https://mobile.twitter.com","Twitter Lite")</f>
        <v>Twitter Lite</v>
      </c>
      <c r="J1263" s="2">
        <v>864</v>
      </c>
      <c r="K1263" s="2">
        <v>1409</v>
      </c>
      <c r="L1263" s="2">
        <v>0</v>
      </c>
      <c r="M1263" s="2"/>
      <c r="N1263" s="8">
        <v>42911.995081018518</v>
      </c>
      <c r="O1263" s="4" t="s">
        <v>133</v>
      </c>
      <c r="P1263" s="3" t="s">
        <v>13518</v>
      </c>
      <c r="Q1263" s="4"/>
      <c r="R1263" s="4"/>
      <c r="S1263" s="9" t="str">
        <f>HYPERLINK("https://pbs.twimg.com/profile_images/1030818607951962113/OERdQftC.jpg","View")</f>
        <v>View</v>
      </c>
    </row>
    <row r="1264" spans="1:19" ht="30">
      <c r="A1264" s="8">
        <v>43347.653715277775</v>
      </c>
      <c r="B1264" s="11" t="str">
        <f>HYPERLINK("https://twitter.com/shakiba_saboor","@shakiba_saboor")</f>
        <v>@shakiba_saboor</v>
      </c>
      <c r="C1264" s="6" t="s">
        <v>1212</v>
      </c>
      <c r="D1264" s="5" t="s">
        <v>13517</v>
      </c>
      <c r="E1264" s="9" t="str">
        <f>HYPERLINK("https://twitter.com/shakiba_saboor/status/1036934735971397632","1036934735971397632")</f>
        <v>1036934735971397632</v>
      </c>
      <c r="F1264" s="4"/>
      <c r="G1264" s="10" t="s">
        <v>13516</v>
      </c>
      <c r="H1264" s="4"/>
      <c r="I1264" s="10" t="str">
        <f>HYPERLINK("http://twitter.com/download/android","Twitter for Android")</f>
        <v>Twitter for Android</v>
      </c>
      <c r="J1264" s="2">
        <v>414</v>
      </c>
      <c r="K1264" s="2">
        <v>509</v>
      </c>
      <c r="L1264" s="2">
        <v>1</v>
      </c>
      <c r="M1264" s="2"/>
      <c r="N1264" s="8">
        <v>41614.027511574073</v>
      </c>
      <c r="O1264" s="4" t="s">
        <v>324</v>
      </c>
      <c r="P1264" s="3"/>
      <c r="Q1264" s="4"/>
      <c r="R1264" s="4"/>
      <c r="S1264" s="9" t="str">
        <f>HYPERLINK("https://pbs.twimg.com/profile_images/991062238655123456/3ErHy3hK.jpg","View")</f>
        <v>View</v>
      </c>
    </row>
    <row r="1265" spans="1:19" ht="60">
      <c r="A1265" s="8">
        <v>43347.65221064815</v>
      </c>
      <c r="B1265" s="11" t="str">
        <f>HYPERLINK("https://twitter.com/karimi309","@karimi309")</f>
        <v>@karimi309</v>
      </c>
      <c r="C1265" s="6" t="s">
        <v>5527</v>
      </c>
      <c r="D1265" s="5" t="s">
        <v>13515</v>
      </c>
      <c r="E1265" s="9" t="str">
        <f>HYPERLINK("https://twitter.com/karimi309/status/1036934193060696064","1036934193060696064")</f>
        <v>1036934193060696064</v>
      </c>
      <c r="F1265" s="10" t="s">
        <v>13297</v>
      </c>
      <c r="G1265" s="10" t="s">
        <v>13296</v>
      </c>
      <c r="H1265" s="4"/>
      <c r="I1265" s="10" t="str">
        <f>HYPERLINK("http://twitter.com/download/android","Twitter for Android")</f>
        <v>Twitter for Android</v>
      </c>
      <c r="J1265" s="2">
        <v>1041</v>
      </c>
      <c r="K1265" s="2">
        <v>897</v>
      </c>
      <c r="L1265" s="2">
        <v>2</v>
      </c>
      <c r="M1265" s="2"/>
      <c r="N1265" s="8">
        <v>43111.408750000002</v>
      </c>
      <c r="O1265" s="4" t="s">
        <v>17</v>
      </c>
      <c r="P1265" s="3" t="s">
        <v>5525</v>
      </c>
      <c r="Q1265" s="4"/>
      <c r="R1265" s="4"/>
      <c r="S1265" s="9" t="str">
        <f>HYPERLINK("https://pbs.twimg.com/profile_images/985076498821500928/aLGZdbvJ.jpg","View")</f>
        <v>View</v>
      </c>
    </row>
    <row r="1266" spans="1:19" ht="20">
      <c r="A1266" s="8">
        <v>43347.652199074073</v>
      </c>
      <c r="B1266" s="11" t="str">
        <f>HYPERLINK("https://twitter.com/hanazAmini","@hanazAmini")</f>
        <v>@hanazAmini</v>
      </c>
      <c r="C1266" s="6" t="s">
        <v>13514</v>
      </c>
      <c r="D1266" s="5" t="s">
        <v>13513</v>
      </c>
      <c r="E1266" s="9" t="str">
        <f>HYPERLINK("https://twitter.com/hanazAmini/status/1036934188522463232","1036934188522463232")</f>
        <v>1036934188522463232</v>
      </c>
      <c r="F1266" s="4"/>
      <c r="G1266" s="4"/>
      <c r="H1266" s="4"/>
      <c r="I1266" s="10" t="str">
        <f>HYPERLINK("http://twitter.com/download/android","Twitter for Android")</f>
        <v>Twitter for Android</v>
      </c>
      <c r="J1266" s="2">
        <v>685</v>
      </c>
      <c r="K1266" s="2">
        <v>399</v>
      </c>
      <c r="L1266" s="2">
        <v>3</v>
      </c>
      <c r="M1266" s="2"/>
      <c r="N1266" s="8">
        <v>42946.992534722223</v>
      </c>
      <c r="O1266" s="4" t="s">
        <v>13512</v>
      </c>
      <c r="P1266" s="3" t="s">
        <v>13511</v>
      </c>
      <c r="Q1266" s="10" t="s">
        <v>13510</v>
      </c>
      <c r="R1266" s="4"/>
      <c r="S1266" s="9" t="str">
        <f>HYPERLINK("https://pbs.twimg.com/profile_images/1036529373199908865/_KzazNXY.jpg","View")</f>
        <v>View</v>
      </c>
    </row>
    <row r="1267" spans="1:19" ht="20">
      <c r="A1267" s="8">
        <v>43347.651377314818</v>
      </c>
      <c r="B1267" s="11" t="str">
        <f>HYPERLINK("https://twitter.com/samsam_313","@samsam_313")</f>
        <v>@samsam_313</v>
      </c>
      <c r="C1267" s="6" t="s">
        <v>11196</v>
      </c>
      <c r="D1267" s="5" t="s">
        <v>13509</v>
      </c>
      <c r="E1267" s="9" t="str">
        <f>HYPERLINK("https://twitter.com/samsam_313/status/1036933888717647872","1036933888717647872")</f>
        <v>1036933888717647872</v>
      </c>
      <c r="F1267" s="4"/>
      <c r="G1267" s="10" t="s">
        <v>13508</v>
      </c>
      <c r="H1267" s="4"/>
      <c r="I1267" s="10" t="str">
        <f>HYPERLINK("http://twitter.com","Twitter Web Client")</f>
        <v>Twitter Web Client</v>
      </c>
      <c r="J1267" s="2">
        <v>79</v>
      </c>
      <c r="K1267" s="2">
        <v>114</v>
      </c>
      <c r="L1267" s="2">
        <v>1</v>
      </c>
      <c r="M1267" s="2"/>
      <c r="N1267" s="8">
        <v>43219.924722222218</v>
      </c>
      <c r="O1267" s="4" t="s">
        <v>5507</v>
      </c>
      <c r="P1267" s="3" t="s">
        <v>11193</v>
      </c>
      <c r="Q1267" s="10" t="s">
        <v>11192</v>
      </c>
      <c r="R1267" s="4"/>
      <c r="S1267" s="9" t="str">
        <f>HYPERLINK("https://pbs.twimg.com/profile_images/1034419990525440002/bIVQmb3z.jpg","View")</f>
        <v>View</v>
      </c>
    </row>
    <row r="1268" spans="1:19" ht="40">
      <c r="A1268" s="8">
        <v>43347.650590277779</v>
      </c>
      <c r="B1268" s="11" t="str">
        <f>HYPERLINK("https://twitter.com/PejmanMousavi","@PejmanMousavi")</f>
        <v>@PejmanMousavi</v>
      </c>
      <c r="C1268" s="6" t="s">
        <v>13507</v>
      </c>
      <c r="D1268" s="5" t="s">
        <v>13506</v>
      </c>
      <c r="E1268" s="9" t="str">
        <f>HYPERLINK("https://twitter.com/PejmanMousavi/status/1036933605451333633","1036933605451333633")</f>
        <v>1036933605451333633</v>
      </c>
      <c r="F1268" s="4"/>
      <c r="G1268" s="4"/>
      <c r="H1268" s="4"/>
      <c r="I1268" s="10" t="str">
        <f>HYPERLINK("http://twitter.com/download/iphone","Twitter for iPhone")</f>
        <v>Twitter for iPhone</v>
      </c>
      <c r="J1268" s="2">
        <v>1614</v>
      </c>
      <c r="K1268" s="2">
        <v>196</v>
      </c>
      <c r="L1268" s="2">
        <v>6</v>
      </c>
      <c r="M1268" s="2"/>
      <c r="N1268" s="8">
        <v>42130.003078703703</v>
      </c>
      <c r="O1268" s="4" t="s">
        <v>104</v>
      </c>
      <c r="P1268" s="3" t="s">
        <v>13505</v>
      </c>
      <c r="Q1268" s="4"/>
      <c r="R1268" s="4"/>
      <c r="S1268" s="9" t="str">
        <f>HYPERLINK("https://pbs.twimg.com/profile_images/813714809246089216/Z9bqrMFN.jpg","View")</f>
        <v>View</v>
      </c>
    </row>
    <row r="1269" spans="1:19" ht="40">
      <c r="A1269" s="8">
        <v>43347.650451388894</v>
      </c>
      <c r="B1269" s="11" t="str">
        <f>HYPERLINK("https://twitter.com/KamaliSajad","@KamaliSajad")</f>
        <v>@KamaliSajad</v>
      </c>
      <c r="C1269" s="6" t="s">
        <v>13504</v>
      </c>
      <c r="D1269" s="5" t="s">
        <v>13503</v>
      </c>
      <c r="E1269" s="9" t="str">
        <f>HYPERLINK("https://twitter.com/KamaliSajad/status/1036933555421622274","1036933555421622274")</f>
        <v>1036933555421622274</v>
      </c>
      <c r="F1269" s="4"/>
      <c r="G1269" s="4"/>
      <c r="H1269" s="4"/>
      <c r="I1269" s="10" t="str">
        <f>HYPERLINK("https://mobile.twitter.com","Twitter Lite")</f>
        <v>Twitter Lite</v>
      </c>
      <c r="J1269" s="2">
        <v>461</v>
      </c>
      <c r="K1269" s="2">
        <v>179</v>
      </c>
      <c r="L1269" s="2">
        <v>4</v>
      </c>
      <c r="M1269" s="2"/>
      <c r="N1269" s="8">
        <v>42758.641053240739</v>
      </c>
      <c r="O1269" s="4" t="s">
        <v>13502</v>
      </c>
      <c r="P1269" s="3" t="s">
        <v>13501</v>
      </c>
      <c r="Q1269" s="4"/>
      <c r="R1269" s="4"/>
      <c r="S1269" s="9" t="str">
        <f>HYPERLINK("https://pbs.twimg.com/profile_images/1002854540167794690/yXvROA2-.jpg","View")</f>
        <v>View</v>
      </c>
    </row>
    <row r="1270" spans="1:19" ht="12.5">
      <c r="A1270" s="8">
        <v>43347.650208333333</v>
      </c>
      <c r="B1270" s="11" t="str">
        <f>HYPERLINK("https://twitter.com/Rohoolah_Zam","@Rohoolah_Zam")</f>
        <v>@Rohoolah_Zam</v>
      </c>
      <c r="C1270" s="6" t="s">
        <v>1145</v>
      </c>
      <c r="D1270" s="5" t="s">
        <v>13500</v>
      </c>
      <c r="E1270" s="9" t="str">
        <f>HYPERLINK("https://twitter.com/Rohoolah_Zam/status/1036933465378369536","1036933465378369536")</f>
        <v>1036933465378369536</v>
      </c>
      <c r="F1270" s="4"/>
      <c r="G1270" s="4"/>
      <c r="H1270" s="4"/>
      <c r="I1270" s="10" t="str">
        <f>HYPERLINK("http://twitter.com/download/android","Twitter for Android")</f>
        <v>Twitter for Android</v>
      </c>
      <c r="J1270" s="2">
        <v>50</v>
      </c>
      <c r="K1270" s="2">
        <v>34</v>
      </c>
      <c r="L1270" s="2">
        <v>0</v>
      </c>
      <c r="M1270" s="2"/>
      <c r="N1270" s="8">
        <v>43332.135138888887</v>
      </c>
      <c r="O1270" s="4" t="s">
        <v>1143</v>
      </c>
      <c r="P1270" s="3" t="s">
        <v>1142</v>
      </c>
      <c r="Q1270" s="10" t="s">
        <v>1141</v>
      </c>
      <c r="R1270" s="4"/>
      <c r="S1270" s="9" t="str">
        <f>HYPERLINK("https://pbs.twimg.com/profile_images/1031672579759726595/6qlzY6gT.jpg","View")</f>
        <v>View</v>
      </c>
    </row>
    <row r="1271" spans="1:19" ht="20">
      <c r="A1271" s="8">
        <v>43347.649884259255</v>
      </c>
      <c r="B1271" s="11" t="str">
        <f>HYPERLINK("https://twitter.com/soheil_rfe","@soheil_rfe")</f>
        <v>@soheil_rfe</v>
      </c>
      <c r="C1271" s="6" t="s">
        <v>13499</v>
      </c>
      <c r="D1271" s="5" t="s">
        <v>13498</v>
      </c>
      <c r="E1271" s="9" t="str">
        <f>HYPERLINK("https://twitter.com/soheil_rfe/status/1036933350383144961","1036933350383144961")</f>
        <v>1036933350383144961</v>
      </c>
      <c r="F1271" s="4"/>
      <c r="G1271" s="4"/>
      <c r="H1271" s="4"/>
      <c r="I1271" s="10" t="str">
        <f>HYPERLINK("http://twitter.com/download/iphone","Twitter for iPhone")</f>
        <v>Twitter for iPhone</v>
      </c>
      <c r="J1271" s="2">
        <v>24</v>
      </c>
      <c r="K1271" s="2">
        <v>58</v>
      </c>
      <c r="L1271" s="2">
        <v>0</v>
      </c>
      <c r="M1271" s="2"/>
      <c r="N1271" s="8">
        <v>43338.630543981482</v>
      </c>
      <c r="O1271" s="4" t="s">
        <v>34</v>
      </c>
      <c r="P1271" s="3" t="s">
        <v>13497</v>
      </c>
      <c r="Q1271" s="10" t="s">
        <v>13496</v>
      </c>
      <c r="R1271" s="4"/>
      <c r="S1271" s="9" t="str">
        <f>HYPERLINK("https://pbs.twimg.com/profile_images/1033665380038914048/MwiT05Vg.jpg","View")</f>
        <v>View</v>
      </c>
    </row>
    <row r="1272" spans="1:19" ht="30">
      <c r="A1272" s="8">
        <v>43347.648854166662</v>
      </c>
      <c r="B1272" s="11" t="str">
        <f>HYPERLINK("https://twitter.com/mojtaba1367575","@mojtaba1367575")</f>
        <v>@mojtaba1367575</v>
      </c>
      <c r="C1272" s="6" t="s">
        <v>13495</v>
      </c>
      <c r="D1272" s="5" t="s">
        <v>13494</v>
      </c>
      <c r="E1272" s="9" t="str">
        <f>HYPERLINK("https://twitter.com/mojtaba1367575/status/1036932976896954370","1036932976896954370")</f>
        <v>1036932976896954370</v>
      </c>
      <c r="F1272" s="4"/>
      <c r="G1272" s="4"/>
      <c r="H1272" s="4"/>
      <c r="I1272" s="10" t="str">
        <f>HYPERLINK("http://twitter.com","Twitter Web Client")</f>
        <v>Twitter Web Client</v>
      </c>
      <c r="J1272" s="2">
        <v>102</v>
      </c>
      <c r="K1272" s="2">
        <v>358</v>
      </c>
      <c r="L1272" s="2">
        <v>0</v>
      </c>
      <c r="M1272" s="2"/>
      <c r="N1272" s="8">
        <v>43169.599803240737</v>
      </c>
      <c r="O1272" s="4"/>
      <c r="P1272" s="3" t="s">
        <v>13493</v>
      </c>
      <c r="Q1272" s="4"/>
      <c r="R1272" s="4"/>
      <c r="S1272" s="9" t="str">
        <f>HYPERLINK("https://pbs.twimg.com/profile_images/972478074435534848/4-WJSgoG.jpg","View")</f>
        <v>View</v>
      </c>
    </row>
    <row r="1273" spans="1:19" ht="20">
      <c r="A1273" s="8">
        <v>43347.647997685184</v>
      </c>
      <c r="B1273" s="11" t="str">
        <f>HYPERLINK("https://twitter.com/amir_79ap","@amir_79ap")</f>
        <v>@amir_79ap</v>
      </c>
      <c r="C1273" s="6" t="s">
        <v>13492</v>
      </c>
      <c r="D1273" s="5" t="s">
        <v>13491</v>
      </c>
      <c r="E1273" s="9" t="str">
        <f>HYPERLINK("https://twitter.com/amir_79ap/status/1036932664727678977","1036932664727678977")</f>
        <v>1036932664727678977</v>
      </c>
      <c r="F1273" s="4"/>
      <c r="G1273" s="4"/>
      <c r="H1273" s="4"/>
      <c r="I1273" s="10" t="str">
        <f>HYPERLINK("http://twitter.com/download/android","Twitter for Android")</f>
        <v>Twitter for Android</v>
      </c>
      <c r="J1273" s="2">
        <v>22</v>
      </c>
      <c r="K1273" s="2">
        <v>92</v>
      </c>
      <c r="L1273" s="2">
        <v>0</v>
      </c>
      <c r="M1273" s="2"/>
      <c r="N1273" s="8">
        <v>42706.912974537037</v>
      </c>
      <c r="O1273" s="4" t="s">
        <v>975</v>
      </c>
      <c r="P1273" s="3"/>
      <c r="Q1273" s="4"/>
      <c r="R1273" s="4"/>
      <c r="S1273" s="9" t="str">
        <f>HYPERLINK("https://pbs.twimg.com/profile_images/918900138105626624/q9EJjsAq.jpg","View")</f>
        <v>View</v>
      </c>
    </row>
    <row r="1274" spans="1:19" ht="20">
      <c r="A1274" s="8">
        <v>43347.647928240738</v>
      </c>
      <c r="B1274" s="11" t="str">
        <f>HYPERLINK("https://twitter.com/mhomidi67","@mhomidi67")</f>
        <v>@mhomidi67</v>
      </c>
      <c r="C1274" s="6" t="s">
        <v>13490</v>
      </c>
      <c r="D1274" s="5" t="s">
        <v>13489</v>
      </c>
      <c r="E1274" s="9" t="str">
        <f>HYPERLINK("https://twitter.com/mhomidi67/status/1036932640027430912","1036932640027430912")</f>
        <v>1036932640027430912</v>
      </c>
      <c r="F1274" s="4"/>
      <c r="G1274" s="4"/>
      <c r="H1274" s="4"/>
      <c r="I1274" s="10" t="str">
        <f>HYPERLINK("http://twitter.com/download/iphone","Twitter for iPhone")</f>
        <v>Twitter for iPhone</v>
      </c>
      <c r="J1274" s="2">
        <v>9</v>
      </c>
      <c r="K1274" s="2">
        <v>14</v>
      </c>
      <c r="L1274" s="2">
        <v>0</v>
      </c>
      <c r="M1274" s="2"/>
      <c r="N1274" s="8">
        <v>43012.607060185182</v>
      </c>
      <c r="O1274" s="4" t="s">
        <v>34</v>
      </c>
      <c r="P1274" s="3" t="s">
        <v>13488</v>
      </c>
      <c r="Q1274" s="4"/>
      <c r="R1274" s="4"/>
      <c r="S1274" s="9" t="str">
        <f>HYPERLINK("https://pbs.twimg.com/profile_images/915536810092236800/REamRSDN.jpg","View")</f>
        <v>View</v>
      </c>
    </row>
    <row r="1275" spans="1:19" ht="30">
      <c r="A1275" s="8">
        <v>43347.647511574076</v>
      </c>
      <c r="B1275" s="11" t="str">
        <f>HYPERLINK("https://twitter.com/yaalii_110","@yaalii_110")</f>
        <v>@yaalii_110</v>
      </c>
      <c r="C1275" s="6" t="s">
        <v>1224</v>
      </c>
      <c r="D1275" s="5" t="s">
        <v>13487</v>
      </c>
      <c r="E1275" s="9" t="str">
        <f>HYPERLINK("https://twitter.com/yaalii_110/status/1036932488675975168","1036932488675975168")</f>
        <v>1036932488675975168</v>
      </c>
      <c r="F1275" s="4"/>
      <c r="G1275" s="10" t="s">
        <v>13486</v>
      </c>
      <c r="H1275" s="4"/>
      <c r="I1275" s="10" t="str">
        <f>HYPERLINK("http://twitter.com/download/android","Twitter for Android")</f>
        <v>Twitter for Android</v>
      </c>
      <c r="J1275" s="2">
        <v>342</v>
      </c>
      <c r="K1275" s="2">
        <v>238</v>
      </c>
      <c r="L1275" s="2">
        <v>2</v>
      </c>
      <c r="M1275" s="2"/>
      <c r="N1275" s="8">
        <v>43246.990578703699</v>
      </c>
      <c r="O1275" s="4"/>
      <c r="P1275" s="3" t="s">
        <v>1222</v>
      </c>
      <c r="Q1275" s="4"/>
      <c r="R1275" s="4"/>
      <c r="S1275" s="9" t="str">
        <f>HYPERLINK("https://pbs.twimg.com/profile_images/1000459175330279425/q_IXc2Kn.jpg","View")</f>
        <v>View</v>
      </c>
    </row>
    <row r="1276" spans="1:19" ht="30">
      <c r="A1276" s="8">
        <v>43347.646331018521</v>
      </c>
      <c r="B1276" s="11" t="str">
        <f>HYPERLINK("https://twitter.com/vadegah","@vadegah")</f>
        <v>@vadegah</v>
      </c>
      <c r="C1276" s="6" t="s">
        <v>12683</v>
      </c>
      <c r="D1276" s="5" t="s">
        <v>13485</v>
      </c>
      <c r="E1276" s="9" t="str">
        <f>HYPERLINK("https://twitter.com/vadegah/status/1036932059921436673","1036932059921436673")</f>
        <v>1036932059921436673</v>
      </c>
      <c r="F1276" s="4"/>
      <c r="G1276" s="4"/>
      <c r="H1276" s="4"/>
      <c r="I1276" s="10" t="str">
        <f>HYPERLINK("http://twitter.com/download/android","Twitter for Android")</f>
        <v>Twitter for Android</v>
      </c>
      <c r="J1276" s="2">
        <v>69</v>
      </c>
      <c r="K1276" s="2">
        <v>39</v>
      </c>
      <c r="L1276" s="2">
        <v>0</v>
      </c>
      <c r="M1276" s="2"/>
      <c r="N1276" s="8">
        <v>41526.969236111108</v>
      </c>
      <c r="O1276" s="4" t="s">
        <v>17</v>
      </c>
      <c r="P1276" s="3" t="s">
        <v>12681</v>
      </c>
      <c r="Q1276" s="4"/>
      <c r="R1276" s="4"/>
      <c r="S1276" s="9" t="str">
        <f>HYPERLINK("https://pbs.twimg.com/profile_images/1005340734982119424/jNdTyrTX.jpg","View")</f>
        <v>View</v>
      </c>
    </row>
    <row r="1277" spans="1:19" ht="30">
      <c r="A1277" s="8">
        <v>43347.645416666666</v>
      </c>
      <c r="B1277" s="11" t="str">
        <f>HYPERLINK("https://twitter.com/Khalil1362","@Khalil1362")</f>
        <v>@Khalil1362</v>
      </c>
      <c r="C1277" s="6" t="s">
        <v>13484</v>
      </c>
      <c r="D1277" s="5" t="s">
        <v>13483</v>
      </c>
      <c r="E1277" s="9" t="str">
        <f>HYPERLINK("https://twitter.com/Khalil1362/status/1036931731096588289","1036931731096588289")</f>
        <v>1036931731096588289</v>
      </c>
      <c r="F1277" s="4"/>
      <c r="G1277" s="10" t="s">
        <v>13482</v>
      </c>
      <c r="H1277" s="4"/>
      <c r="I1277" s="10" t="str">
        <f>HYPERLINK("http://twitter.com/download/android","Twitter for Android")</f>
        <v>Twitter for Android</v>
      </c>
      <c r="J1277" s="2">
        <v>253</v>
      </c>
      <c r="K1277" s="2">
        <v>612</v>
      </c>
      <c r="L1277" s="2">
        <v>0</v>
      </c>
      <c r="M1277" s="2"/>
      <c r="N1277" s="8">
        <v>41023.540775462963</v>
      </c>
      <c r="O1277" s="4"/>
      <c r="P1277" s="3" t="s">
        <v>13481</v>
      </c>
      <c r="Q1277" s="4"/>
      <c r="R1277" s="4"/>
      <c r="S1277" s="9" t="str">
        <f>HYPERLINK("https://pbs.twimg.com/profile_images/930658950093131779/AdscdYCd.jpg","View")</f>
        <v>View</v>
      </c>
    </row>
    <row r="1278" spans="1:19" ht="30">
      <c r="A1278" s="8">
        <v>43347.645138888889</v>
      </c>
      <c r="B1278" s="11" t="str">
        <f>HYPERLINK("https://twitter.com/saeed_kh26","@saeed_kh26")</f>
        <v>@saeed_kh26</v>
      </c>
      <c r="C1278" s="6" t="s">
        <v>13480</v>
      </c>
      <c r="D1278" s="5" t="s">
        <v>13479</v>
      </c>
      <c r="E1278" s="9" t="str">
        <f>HYPERLINK("https://twitter.com/saeed_kh26/status/1036931628474544128","1036931628474544128")</f>
        <v>1036931628474544128</v>
      </c>
      <c r="F1278" s="4"/>
      <c r="G1278" s="4"/>
      <c r="H1278" s="4"/>
      <c r="I1278" s="10" t="str">
        <f>HYPERLINK("http://twitter.com/download/iphone","Twitter for iPhone")</f>
        <v>Twitter for iPhone</v>
      </c>
      <c r="J1278" s="2">
        <v>581</v>
      </c>
      <c r="K1278" s="2">
        <v>2276</v>
      </c>
      <c r="L1278" s="2">
        <v>2</v>
      </c>
      <c r="M1278" s="2"/>
      <c r="N1278" s="8">
        <v>42013.885219907403</v>
      </c>
      <c r="O1278" s="4" t="s">
        <v>34</v>
      </c>
      <c r="P1278" s="3" t="s">
        <v>13478</v>
      </c>
      <c r="Q1278" s="4"/>
      <c r="R1278" s="4"/>
      <c r="S1278" s="9" t="str">
        <f>HYPERLINK("https://pbs.twimg.com/profile_images/1015191676170702849/3HAwiIVF.jpg","View")</f>
        <v>View</v>
      </c>
    </row>
    <row r="1279" spans="1:19" ht="20">
      <c r="A1279" s="8">
        <v>43347.644768518519</v>
      </c>
      <c r="B1279" s="11" t="str">
        <f>HYPERLINK("https://twitter.com/alnapachino","@alnapachino")</f>
        <v>@alnapachino</v>
      </c>
      <c r="C1279" s="6" t="s">
        <v>5930</v>
      </c>
      <c r="D1279" s="5" t="s">
        <v>13477</v>
      </c>
      <c r="E1279" s="9" t="str">
        <f>HYPERLINK("https://twitter.com/alnapachino/status/1036931496546889728","1036931496546889728")</f>
        <v>1036931496546889728</v>
      </c>
      <c r="F1279" s="4"/>
      <c r="G1279" s="4"/>
      <c r="H1279" s="4"/>
      <c r="I1279" s="10" t="str">
        <f>HYPERLINK("http://twitter.com","Twitter Web Client")</f>
        <v>Twitter Web Client</v>
      </c>
      <c r="J1279" s="2">
        <v>816</v>
      </c>
      <c r="K1279" s="2">
        <v>531</v>
      </c>
      <c r="L1279" s="2">
        <v>2</v>
      </c>
      <c r="M1279" s="2"/>
      <c r="N1279" s="8">
        <v>42425.999039351853</v>
      </c>
      <c r="O1279" s="4"/>
      <c r="P1279" s="3" t="s">
        <v>5927</v>
      </c>
      <c r="Q1279" s="4"/>
      <c r="R1279" s="4"/>
      <c r="S1279" s="9" t="str">
        <f>HYPERLINK("https://pbs.twimg.com/profile_images/981244499757236224/pbpEdfIz.jpg","View")</f>
        <v>View</v>
      </c>
    </row>
    <row r="1280" spans="1:19" ht="20">
      <c r="A1280" s="8">
        <v>43347.643541666665</v>
      </c>
      <c r="B1280" s="11" t="str">
        <f>HYPERLINK("https://twitter.com/new_sheikh","@new_sheikh")</f>
        <v>@new_sheikh</v>
      </c>
      <c r="C1280" s="6" t="s">
        <v>1354</v>
      </c>
      <c r="D1280" s="5" t="s">
        <v>13476</v>
      </c>
      <c r="E1280" s="9" t="str">
        <f>HYPERLINK("https://twitter.com/new_sheikh/status/1036931050130337792","1036931050130337792")</f>
        <v>1036931050130337792</v>
      </c>
      <c r="F1280" s="4"/>
      <c r="G1280" s="10" t="s">
        <v>13475</v>
      </c>
      <c r="H1280" s="4"/>
      <c r="I1280" s="10" t="str">
        <f>HYPERLINK("http://twitter.com/download/android","Twitter for Android")</f>
        <v>Twitter for Android</v>
      </c>
      <c r="J1280" s="2">
        <v>1522</v>
      </c>
      <c r="K1280" s="2">
        <v>898</v>
      </c>
      <c r="L1280" s="2">
        <v>1</v>
      </c>
      <c r="M1280" s="2"/>
      <c r="N1280" s="8">
        <v>43175.448726851857</v>
      </c>
      <c r="O1280" s="4" t="s">
        <v>1352</v>
      </c>
      <c r="P1280" s="3" t="s">
        <v>1351</v>
      </c>
      <c r="Q1280" s="4"/>
      <c r="R1280" s="4"/>
      <c r="S1280" s="9" t="str">
        <f>HYPERLINK("https://pbs.twimg.com/profile_images/1014723119183990784/pgI0yxZS.jpg","View")</f>
        <v>View</v>
      </c>
    </row>
    <row r="1281" spans="1:19" ht="12.5">
      <c r="A1281" s="8">
        <v>43347.642372685186</v>
      </c>
      <c r="B1281" s="11" t="str">
        <f>HYPERLINK("https://twitter.com/karimi309","@karimi309")</f>
        <v>@karimi309</v>
      </c>
      <c r="C1281" s="6" t="s">
        <v>5527</v>
      </c>
      <c r="D1281" s="5" t="s">
        <v>13474</v>
      </c>
      <c r="E1281" s="9" t="str">
        <f>HYPERLINK("https://twitter.com/karimi309/status/1036930625947791360","1036930625947791360")</f>
        <v>1036930625947791360</v>
      </c>
      <c r="F1281" s="4"/>
      <c r="G1281" s="10" t="s">
        <v>13473</v>
      </c>
      <c r="H1281" s="4"/>
      <c r="I1281" s="10" t="str">
        <f>HYPERLINK("http://twitter.com/download/android","Twitter for Android")</f>
        <v>Twitter for Android</v>
      </c>
      <c r="J1281" s="2">
        <v>1041</v>
      </c>
      <c r="K1281" s="2">
        <v>897</v>
      </c>
      <c r="L1281" s="2">
        <v>2</v>
      </c>
      <c r="M1281" s="2"/>
      <c r="N1281" s="8">
        <v>43111.408750000002</v>
      </c>
      <c r="O1281" s="4" t="s">
        <v>17</v>
      </c>
      <c r="P1281" s="3" t="s">
        <v>5525</v>
      </c>
      <c r="Q1281" s="4"/>
      <c r="R1281" s="4"/>
      <c r="S1281" s="9" t="str">
        <f>HYPERLINK("https://pbs.twimg.com/profile_images/985076498821500928/aLGZdbvJ.jpg","View")</f>
        <v>View</v>
      </c>
    </row>
    <row r="1282" spans="1:19" ht="40">
      <c r="A1282" s="8">
        <v>43347.642187500001</v>
      </c>
      <c r="B1282" s="11" t="str">
        <f>HYPERLINK("https://twitter.com/Malavan__zebel","@Malavan__zebel")</f>
        <v>@Malavan__zebel</v>
      </c>
      <c r="C1282" s="6" t="s">
        <v>9201</v>
      </c>
      <c r="D1282" s="5" t="s">
        <v>13472</v>
      </c>
      <c r="E1282" s="9" t="str">
        <f>HYPERLINK("https://twitter.com/Malavan__zebel/status/1036930560067813376","1036930560067813376")</f>
        <v>1036930560067813376</v>
      </c>
      <c r="F1282" s="4"/>
      <c r="G1282" s="4"/>
      <c r="H1282" s="4"/>
      <c r="I1282" s="10" t="str">
        <f>HYPERLINK("http://twitter.com/download/android","Twitter for Android")</f>
        <v>Twitter for Android</v>
      </c>
      <c r="J1282" s="2">
        <v>152</v>
      </c>
      <c r="K1282" s="2">
        <v>75</v>
      </c>
      <c r="L1282" s="2">
        <v>0</v>
      </c>
      <c r="M1282" s="2"/>
      <c r="N1282" s="8">
        <v>43038.577708333338</v>
      </c>
      <c r="O1282" s="4" t="s">
        <v>2642</v>
      </c>
      <c r="P1282" s="3" t="s">
        <v>9199</v>
      </c>
      <c r="Q1282" s="4"/>
      <c r="R1282" s="4"/>
      <c r="S1282" s="9" t="str">
        <f>HYPERLINK("https://pbs.twimg.com/profile_images/941208710826938369/IvrxJMm1.jpg","View")</f>
        <v>View</v>
      </c>
    </row>
    <row r="1283" spans="1:19" ht="20">
      <c r="A1283" s="8">
        <v>43347.642048611116</v>
      </c>
      <c r="B1283" s="11" t="str">
        <f>HYPERLINK("https://twitter.com/retwet_enghelab","@retwet_enghelab")</f>
        <v>@retwet_enghelab</v>
      </c>
      <c r="C1283" s="6" t="s">
        <v>11908</v>
      </c>
      <c r="D1283" s="5" t="s">
        <v>13471</v>
      </c>
      <c r="E1283" s="9" t="str">
        <f>HYPERLINK("https://twitter.com/retwet_enghelab/status/1036930509677322240","1036930509677322240")</f>
        <v>1036930509677322240</v>
      </c>
      <c r="F1283" s="4"/>
      <c r="G1283" s="4"/>
      <c r="H1283" s="4"/>
      <c r="I1283" s="10" t="str">
        <f>HYPERLINK("http://t.me/RetweetBot","HsinBot")</f>
        <v>HsinBot</v>
      </c>
      <c r="J1283" s="2">
        <v>298</v>
      </c>
      <c r="K1283" s="2">
        <v>65</v>
      </c>
      <c r="L1283" s="2">
        <v>1</v>
      </c>
      <c r="M1283" s="2"/>
      <c r="N1283" s="8">
        <v>42947.090462962966</v>
      </c>
      <c r="O1283" s="4" t="s">
        <v>10123</v>
      </c>
      <c r="P1283" s="3" t="s">
        <v>11906</v>
      </c>
      <c r="Q1283" s="4"/>
      <c r="R1283" s="4"/>
      <c r="S1283" s="9" t="str">
        <f>HYPERLINK("https://pbs.twimg.com/profile_images/1036286071187951618/FnkxMG3e.jpg","View")</f>
        <v>View</v>
      </c>
    </row>
    <row r="1284" spans="1:19" ht="40">
      <c r="A1284" s="8">
        <v>43347.642037037032</v>
      </c>
      <c r="B1284" s="11" t="str">
        <f>HYPERLINK("https://twitter.com/moas619","@moas619")</f>
        <v>@moas619</v>
      </c>
      <c r="C1284" s="6">
        <v>619</v>
      </c>
      <c r="D1284" s="5" t="s">
        <v>13470</v>
      </c>
      <c r="E1284" s="9" t="str">
        <f>HYPERLINK("https://twitter.com/moas619/status/1036930504778567680","1036930504778567680")</f>
        <v>1036930504778567680</v>
      </c>
      <c r="F1284" s="4"/>
      <c r="G1284" s="4"/>
      <c r="H1284" s="4"/>
      <c r="I1284" s="10" t="str">
        <f>HYPERLINK("http://twitter.com/download/android","Twitter for Android")</f>
        <v>Twitter for Android</v>
      </c>
      <c r="J1284" s="2">
        <v>90</v>
      </c>
      <c r="K1284" s="2">
        <v>161</v>
      </c>
      <c r="L1284" s="2">
        <v>0</v>
      </c>
      <c r="M1284" s="2"/>
      <c r="N1284" s="8">
        <v>42820.84611111111</v>
      </c>
      <c r="O1284" s="4" t="s">
        <v>34</v>
      </c>
      <c r="P1284" s="3"/>
      <c r="Q1284" s="4"/>
      <c r="R1284" s="4"/>
      <c r="S1284" s="9" t="str">
        <f>HYPERLINK("https://pbs.twimg.com/profile_images/1027060936086102016/VSqg7Jst.jpg","View")</f>
        <v>View</v>
      </c>
    </row>
    <row r="1285" spans="1:19" ht="20">
      <c r="A1285" s="8">
        <v>43347.641782407409</v>
      </c>
      <c r="B1285" s="11" t="str">
        <f>HYPERLINK("https://twitter.com/aliasadi0013","@aliasadi0013")</f>
        <v>@aliasadi0013</v>
      </c>
      <c r="C1285" s="6" t="s">
        <v>7040</v>
      </c>
      <c r="D1285" s="5" t="s">
        <v>13469</v>
      </c>
      <c r="E1285" s="9" t="str">
        <f>HYPERLINK("https://twitter.com/aliasadi0013/status/1036930411862081536","1036930411862081536")</f>
        <v>1036930411862081536</v>
      </c>
      <c r="F1285" s="4"/>
      <c r="G1285" s="4"/>
      <c r="H1285" s="4"/>
      <c r="I1285" s="10" t="str">
        <f>HYPERLINK("http://twitter.com/download/android","Twitter for Android")</f>
        <v>Twitter for Android</v>
      </c>
      <c r="J1285" s="2">
        <v>247</v>
      </c>
      <c r="K1285" s="2">
        <v>208</v>
      </c>
      <c r="L1285" s="2">
        <v>1</v>
      </c>
      <c r="M1285" s="2"/>
      <c r="N1285" s="8">
        <v>42799.711562500001</v>
      </c>
      <c r="O1285" s="4" t="s">
        <v>324</v>
      </c>
      <c r="P1285" s="3" t="s">
        <v>7347</v>
      </c>
      <c r="Q1285" s="4"/>
      <c r="R1285" s="4"/>
      <c r="S1285" s="9" t="str">
        <f>HYPERLINK("https://pbs.twimg.com/profile_images/1025460334029623296/Ij77heGF.jpg","View")</f>
        <v>View</v>
      </c>
    </row>
    <row r="1286" spans="1:19" ht="20">
      <c r="A1286" s="8">
        <v>43347.640509259261</v>
      </c>
      <c r="B1286" s="11" t="str">
        <f>HYPERLINK("https://twitter.com/aliasadi0013","@aliasadi0013")</f>
        <v>@aliasadi0013</v>
      </c>
      <c r="C1286" s="6" t="s">
        <v>7040</v>
      </c>
      <c r="D1286" s="5" t="s">
        <v>13468</v>
      </c>
      <c r="E1286" s="9" t="str">
        <f>HYPERLINK("https://twitter.com/aliasadi0013/status/1036929950299947008","1036929950299947008")</f>
        <v>1036929950299947008</v>
      </c>
      <c r="F1286" s="4"/>
      <c r="G1286" s="4"/>
      <c r="H1286" s="4"/>
      <c r="I1286" s="10" t="str">
        <f>HYPERLINK("http://twitter.com/download/android","Twitter for Android")</f>
        <v>Twitter for Android</v>
      </c>
      <c r="J1286" s="2">
        <v>247</v>
      </c>
      <c r="K1286" s="2">
        <v>208</v>
      </c>
      <c r="L1286" s="2">
        <v>1</v>
      </c>
      <c r="M1286" s="2"/>
      <c r="N1286" s="8">
        <v>42799.711562500001</v>
      </c>
      <c r="O1286" s="4" t="s">
        <v>324</v>
      </c>
      <c r="P1286" s="3" t="s">
        <v>7347</v>
      </c>
      <c r="Q1286" s="4"/>
      <c r="R1286" s="4"/>
      <c r="S1286" s="9" t="str">
        <f>HYPERLINK("https://pbs.twimg.com/profile_images/1025460334029623296/Ij77heGF.jpg","View")</f>
        <v>View</v>
      </c>
    </row>
    <row r="1287" spans="1:19" ht="30">
      <c r="A1287" s="8">
        <v>43347.639837962968</v>
      </c>
      <c r="B1287" s="11" t="str">
        <f>HYPERLINK("https://twitter.com/aliasadi0013","@aliasadi0013")</f>
        <v>@aliasadi0013</v>
      </c>
      <c r="C1287" s="6" t="s">
        <v>7040</v>
      </c>
      <c r="D1287" s="5" t="s">
        <v>13467</v>
      </c>
      <c r="E1287" s="9" t="str">
        <f>HYPERLINK("https://twitter.com/aliasadi0013/status/1036929709446234112","1036929709446234112")</f>
        <v>1036929709446234112</v>
      </c>
      <c r="F1287" s="4"/>
      <c r="G1287" s="4"/>
      <c r="H1287" s="4"/>
      <c r="I1287" s="10" t="str">
        <f>HYPERLINK("http://twitter.com/download/android","Twitter for Android")</f>
        <v>Twitter for Android</v>
      </c>
      <c r="J1287" s="2">
        <v>247</v>
      </c>
      <c r="K1287" s="2">
        <v>208</v>
      </c>
      <c r="L1287" s="2">
        <v>1</v>
      </c>
      <c r="M1287" s="2"/>
      <c r="N1287" s="8">
        <v>42799.711562500001</v>
      </c>
      <c r="O1287" s="4" t="s">
        <v>324</v>
      </c>
      <c r="P1287" s="3" t="s">
        <v>7347</v>
      </c>
      <c r="Q1287" s="4"/>
      <c r="R1287" s="4"/>
      <c r="S1287" s="9" t="str">
        <f>HYPERLINK("https://pbs.twimg.com/profile_images/1025460334029623296/Ij77heGF.jpg","View")</f>
        <v>View</v>
      </c>
    </row>
    <row r="1288" spans="1:19" ht="40">
      <c r="A1288" s="8">
        <v>43347.639166666668</v>
      </c>
      <c r="B1288" s="11" t="str">
        <f>HYPERLINK("https://twitter.com/saberbostaniasl","@saberbostaniasl")</f>
        <v>@saberbostaniasl</v>
      </c>
      <c r="C1288" s="6" t="s">
        <v>13466</v>
      </c>
      <c r="D1288" s="5" t="s">
        <v>13465</v>
      </c>
      <c r="E1288" s="9" t="str">
        <f>HYPERLINK("https://twitter.com/saberbostaniasl/status/1036929465266384896","1036929465266384896")</f>
        <v>1036929465266384896</v>
      </c>
      <c r="F1288" s="4"/>
      <c r="G1288" s="4"/>
      <c r="H1288" s="4"/>
      <c r="I1288" s="10" t="str">
        <f>HYPERLINK("http://twitter.com/download/android","Twitter for Android")</f>
        <v>Twitter for Android</v>
      </c>
      <c r="J1288" s="2">
        <v>7262</v>
      </c>
      <c r="K1288" s="2">
        <v>589</v>
      </c>
      <c r="L1288" s="2">
        <v>56</v>
      </c>
      <c r="M1288" s="2"/>
      <c r="N1288" s="8">
        <v>41109.453680555554</v>
      </c>
      <c r="O1288" s="4" t="s">
        <v>3090</v>
      </c>
      <c r="P1288" s="3" t="s">
        <v>13464</v>
      </c>
      <c r="Q1288" s="10" t="s">
        <v>13463</v>
      </c>
      <c r="R1288" s="4"/>
      <c r="S1288" s="9" t="str">
        <f>HYPERLINK("https://pbs.twimg.com/profile_images/1008002620185894913/m6yFi9nO.jpg","View")</f>
        <v>View</v>
      </c>
    </row>
    <row r="1289" spans="1:19" ht="40">
      <c r="A1289" s="8">
        <v>43347.639027777783</v>
      </c>
      <c r="B1289" s="11" t="str">
        <f>HYPERLINK("https://twitter.com/MrHolyspirit13","@MrHolyspirit13")</f>
        <v>@MrHolyspirit13</v>
      </c>
      <c r="C1289" s="6" t="s">
        <v>13462</v>
      </c>
      <c r="D1289" s="5" t="s">
        <v>13461</v>
      </c>
      <c r="E1289" s="9" t="str">
        <f>HYPERLINK("https://twitter.com/MrHolyspirit13/status/1036929417342279681","1036929417342279681")</f>
        <v>1036929417342279681</v>
      </c>
      <c r="F1289" s="4"/>
      <c r="G1289" s="4"/>
      <c r="H1289" s="4"/>
      <c r="I1289" s="10" t="str">
        <f>HYPERLINK("https://mobile.twitter.com","Twitter Lite")</f>
        <v>Twitter Lite</v>
      </c>
      <c r="J1289" s="2">
        <v>340</v>
      </c>
      <c r="K1289" s="2">
        <v>725</v>
      </c>
      <c r="L1289" s="2">
        <v>0</v>
      </c>
      <c r="M1289" s="2"/>
      <c r="N1289" s="8">
        <v>41711.622210648144</v>
      </c>
      <c r="O1289" s="4" t="s">
        <v>13460</v>
      </c>
      <c r="P1289" s="3" t="s">
        <v>13459</v>
      </c>
      <c r="Q1289" s="4"/>
      <c r="R1289" s="4"/>
      <c r="S1289" s="9" t="str">
        <f>HYPERLINK("https://pbs.twimg.com/profile_images/993154040979697664/XbW0tvVo.jpg","View")</f>
        <v>View</v>
      </c>
    </row>
    <row r="1290" spans="1:19" ht="20">
      <c r="A1290" s="8">
        <v>43347.638344907406</v>
      </c>
      <c r="B1290" s="11" t="str">
        <f>HYPERLINK("https://twitter.com/Mohammad_tba","@Mohammad_tba")</f>
        <v>@Mohammad_tba</v>
      </c>
      <c r="C1290" s="6" t="s">
        <v>13458</v>
      </c>
      <c r="D1290" s="5" t="s">
        <v>13457</v>
      </c>
      <c r="E1290" s="9" t="str">
        <f>HYPERLINK("https://twitter.com/Mohammad_tba/status/1036929169110827010","1036929169110827010")</f>
        <v>1036929169110827010</v>
      </c>
      <c r="F1290" s="4"/>
      <c r="G1290" s="4"/>
      <c r="H1290" s="4"/>
      <c r="I1290" s="10" t="str">
        <f>HYPERLINK("http://twitter.com/download/android","Twitter for Android")</f>
        <v>Twitter for Android</v>
      </c>
      <c r="J1290" s="2">
        <v>383</v>
      </c>
      <c r="K1290" s="2">
        <v>286</v>
      </c>
      <c r="L1290" s="2">
        <v>2</v>
      </c>
      <c r="M1290" s="2"/>
      <c r="N1290" s="8">
        <v>42751.096678240741</v>
      </c>
      <c r="O1290" s="4" t="s">
        <v>34</v>
      </c>
      <c r="P1290" s="3" t="s">
        <v>13456</v>
      </c>
      <c r="Q1290" s="4"/>
      <c r="R1290" s="4"/>
      <c r="S1290" s="9" t="str">
        <f>HYPERLINK("https://pbs.twimg.com/profile_images/979975441472778241/jXLXSsy0.jpg","View")</f>
        <v>View</v>
      </c>
    </row>
    <row r="1291" spans="1:19" ht="30">
      <c r="A1291" s="8">
        <v>43347.636620370366</v>
      </c>
      <c r="B1291" s="11" t="str">
        <f>HYPERLINK("https://twitter.com/Yasin_tahamtan","@Yasin_tahamtan")</f>
        <v>@Yasin_tahamtan</v>
      </c>
      <c r="C1291" s="6" t="s">
        <v>10746</v>
      </c>
      <c r="D1291" s="5" t="s">
        <v>13455</v>
      </c>
      <c r="E1291" s="9" t="str">
        <f>HYPERLINK("https://twitter.com/Yasin_tahamtan/status/1036928542783750144","1036928542783750144")</f>
        <v>1036928542783750144</v>
      </c>
      <c r="F1291" s="4"/>
      <c r="G1291" s="10" t="s">
        <v>13454</v>
      </c>
      <c r="H1291" s="4"/>
      <c r="I1291" s="10" t="str">
        <f>HYPERLINK("http://twitter.com/download/android","Twitter for Android")</f>
        <v>Twitter for Android</v>
      </c>
      <c r="J1291" s="2">
        <v>168</v>
      </c>
      <c r="K1291" s="2">
        <v>189</v>
      </c>
      <c r="L1291" s="2">
        <v>0</v>
      </c>
      <c r="M1291" s="2"/>
      <c r="N1291" s="8">
        <v>43264.046631944446</v>
      </c>
      <c r="O1291" s="4" t="s">
        <v>12287</v>
      </c>
      <c r="P1291" s="3" t="s">
        <v>12286</v>
      </c>
      <c r="Q1291" s="4"/>
      <c r="R1291" s="4"/>
      <c r="S1291" s="9" t="str">
        <f>HYPERLINK("https://pbs.twimg.com/profile_images/1036128390435270663/_J9H-I8t.jpg","View")</f>
        <v>View</v>
      </c>
    </row>
    <row r="1292" spans="1:19" ht="20">
      <c r="A1292" s="8">
        <v>43347.635381944448</v>
      </c>
      <c r="B1292" s="11" t="str">
        <f>HYPERLINK("https://twitter.com/aliasadi0013","@aliasadi0013")</f>
        <v>@aliasadi0013</v>
      </c>
      <c r="C1292" s="6" t="s">
        <v>7040</v>
      </c>
      <c r="D1292" s="5" t="s">
        <v>13453</v>
      </c>
      <c r="E1292" s="9" t="str">
        <f>HYPERLINK("https://twitter.com/aliasadi0013/status/1036928093116661760","1036928093116661760")</f>
        <v>1036928093116661760</v>
      </c>
      <c r="F1292" s="4"/>
      <c r="G1292" s="4"/>
      <c r="H1292" s="4"/>
      <c r="I1292" s="10" t="str">
        <f>HYPERLINK("http://twitter.com/download/android","Twitter for Android")</f>
        <v>Twitter for Android</v>
      </c>
      <c r="J1292" s="2">
        <v>248</v>
      </c>
      <c r="K1292" s="2">
        <v>209</v>
      </c>
      <c r="L1292" s="2">
        <v>1</v>
      </c>
      <c r="M1292" s="2"/>
      <c r="N1292" s="8">
        <v>42799.711562500001</v>
      </c>
      <c r="O1292" s="4" t="s">
        <v>324</v>
      </c>
      <c r="P1292" s="3" t="s">
        <v>7347</v>
      </c>
      <c r="Q1292" s="4"/>
      <c r="R1292" s="4"/>
      <c r="S1292" s="9" t="str">
        <f>HYPERLINK("https://pbs.twimg.com/profile_images/1025460334029623296/Ij77heGF.jpg","View")</f>
        <v>View</v>
      </c>
    </row>
    <row r="1293" spans="1:19" ht="20">
      <c r="A1293" s="8">
        <v>43347.634502314817</v>
      </c>
      <c r="B1293" s="11" t="str">
        <f>HYPERLINK("https://twitter.com/arashgreen5","@arashgreen5")</f>
        <v>@arashgreen5</v>
      </c>
      <c r="C1293" s="6" t="s">
        <v>13452</v>
      </c>
      <c r="D1293" s="5" t="s">
        <v>13451</v>
      </c>
      <c r="E1293" s="9" t="str">
        <f>HYPERLINK("https://twitter.com/arashgreen5/status/1036927776291315712","1036927776291315712")</f>
        <v>1036927776291315712</v>
      </c>
      <c r="F1293" s="4"/>
      <c r="G1293" s="4"/>
      <c r="H1293" s="4"/>
      <c r="I1293" s="10" t="str">
        <f>HYPERLINK("http://twitter.com/download/android","Twitter for Android")</f>
        <v>Twitter for Android</v>
      </c>
      <c r="J1293" s="2">
        <v>79</v>
      </c>
      <c r="K1293" s="2">
        <v>178</v>
      </c>
      <c r="L1293" s="2">
        <v>0</v>
      </c>
      <c r="M1293" s="2"/>
      <c r="N1293" s="8">
        <v>41600.900983796295</v>
      </c>
      <c r="O1293" s="4"/>
      <c r="P1293" s="3" t="s">
        <v>13450</v>
      </c>
      <c r="Q1293" s="4"/>
      <c r="R1293" s="4"/>
      <c r="S1293" s="9" t="str">
        <f>HYPERLINK("https://pbs.twimg.com/profile_images/1036520461813743618/JkOKPGRA.jpg","View")</f>
        <v>View</v>
      </c>
    </row>
    <row r="1294" spans="1:19" ht="12.5">
      <c r="A1294" s="8">
        <v>43347.633599537032</v>
      </c>
      <c r="B1294" s="11" t="str">
        <f>HYPERLINK("https://twitter.com/trraagedy","@trraagedy")</f>
        <v>@trraagedy</v>
      </c>
      <c r="C1294" s="6" t="s">
        <v>13449</v>
      </c>
      <c r="D1294" s="5" t="s">
        <v>13448</v>
      </c>
      <c r="E1294" s="9" t="str">
        <f>HYPERLINK("https://twitter.com/trraagedy/status/1036927446912786437","1036927446912786437")</f>
        <v>1036927446912786437</v>
      </c>
      <c r="F1294" s="4"/>
      <c r="G1294" s="4"/>
      <c r="H1294" s="4"/>
      <c r="I1294" s="10" t="str">
        <f>HYPERLINK("http://twitter.com/download/android","Twitter for Android")</f>
        <v>Twitter for Android</v>
      </c>
      <c r="J1294" s="2">
        <v>1485</v>
      </c>
      <c r="K1294" s="2">
        <v>3085</v>
      </c>
      <c r="L1294" s="2">
        <v>0</v>
      </c>
      <c r="M1294" s="2"/>
      <c r="N1294" s="8">
        <v>43014.899479166663</v>
      </c>
      <c r="O1294" s="4"/>
      <c r="P1294" s="3" t="s">
        <v>13447</v>
      </c>
      <c r="Q1294" s="4"/>
      <c r="R1294" s="4"/>
      <c r="S1294" s="9" t="str">
        <f>HYPERLINK("https://pbs.twimg.com/profile_images/954315884046282752/tidmVrZQ.jpg","View")</f>
        <v>View</v>
      </c>
    </row>
    <row r="1295" spans="1:19" ht="30">
      <c r="A1295" s="8">
        <v>43347.632905092592</v>
      </c>
      <c r="B1295" s="11" t="str">
        <f>HYPERLINK("https://twitter.com/Mehdi_Sanaei_","@Mehdi_Sanaei_")</f>
        <v>@Mehdi_Sanaei_</v>
      </c>
      <c r="C1295" s="6" t="s">
        <v>13446</v>
      </c>
      <c r="D1295" s="5" t="s">
        <v>13445</v>
      </c>
      <c r="E1295" s="9" t="str">
        <f>HYPERLINK("https://twitter.com/Mehdi_Sanaei_/status/1036927198513569792","1036927198513569792")</f>
        <v>1036927198513569792</v>
      </c>
      <c r="F1295" s="4"/>
      <c r="G1295" s="4"/>
      <c r="H1295" s="4"/>
      <c r="I1295" s="10" t="str">
        <f>HYPERLINK("http://twitter.com/download/iphone","Twitter for iPhone")</f>
        <v>Twitter for iPhone</v>
      </c>
      <c r="J1295" s="2">
        <v>549</v>
      </c>
      <c r="K1295" s="2">
        <v>9</v>
      </c>
      <c r="L1295" s="2">
        <v>11</v>
      </c>
      <c r="M1295" s="2"/>
      <c r="N1295" s="8">
        <v>41624.867604166662</v>
      </c>
      <c r="O1295" s="4" t="s">
        <v>13444</v>
      </c>
      <c r="P1295" s="3"/>
      <c r="Q1295" s="4"/>
      <c r="R1295" s="4"/>
      <c r="S1295" s="9" t="str">
        <f>HYPERLINK("https://pbs.twimg.com/profile_images/461406361398431744/olo8tIzr.jpeg","View")</f>
        <v>View</v>
      </c>
    </row>
    <row r="1296" spans="1:19" ht="30">
      <c r="A1296" s="8">
        <v>43347.632372685184</v>
      </c>
      <c r="B1296" s="11" t="str">
        <f>HYPERLINK("https://twitter.com/IranIntl","@IranIntl")</f>
        <v>@IranIntl</v>
      </c>
      <c r="C1296" s="6" t="s">
        <v>2253</v>
      </c>
      <c r="D1296" s="5" t="s">
        <v>13443</v>
      </c>
      <c r="E1296" s="9" t="str">
        <f>HYPERLINK("https://twitter.com/IranIntl/status/1036927001888735237","1036927001888735237")</f>
        <v>1036927001888735237</v>
      </c>
      <c r="F1296" s="4"/>
      <c r="G1296" s="10" t="s">
        <v>13442</v>
      </c>
      <c r="H1296" s="4"/>
      <c r="I1296" s="10" t="str">
        <f>HYPERLINK("http://www.falcon.io","Falcon Social Media Management ")</f>
        <v xml:space="preserve">Falcon Social Media Management </v>
      </c>
      <c r="J1296" s="2">
        <v>10671</v>
      </c>
      <c r="K1296" s="2">
        <v>38</v>
      </c>
      <c r="L1296" s="2">
        <v>73</v>
      </c>
      <c r="M1296" s="2"/>
      <c r="N1296" s="8">
        <v>42495.854155092587</v>
      </c>
      <c r="O1296" s="4" t="s">
        <v>2250</v>
      </c>
      <c r="P1296" s="3" t="s">
        <v>2249</v>
      </c>
      <c r="Q1296" s="10" t="s">
        <v>2248</v>
      </c>
      <c r="R1296" s="4"/>
      <c r="S1296" s="9" t="str">
        <f>HYPERLINK("https://pbs.twimg.com/profile_images/959109044987416576/LIHHUain.jpg","View")</f>
        <v>View</v>
      </c>
    </row>
    <row r="1297" spans="1:19" ht="30">
      <c r="A1297" s="8">
        <v>43347.631273148145</v>
      </c>
      <c r="B1297" s="11" t="str">
        <f>HYPERLINK("https://twitter.com/Houmatth","@Houmatth")</f>
        <v>@Houmatth</v>
      </c>
      <c r="C1297" s="6" t="s">
        <v>254</v>
      </c>
      <c r="D1297" s="5" t="s">
        <v>13441</v>
      </c>
      <c r="E1297" s="9" t="str">
        <f>HYPERLINK("https://twitter.com/Houmatth/status/1036926604033880066","1036926604033880066")</f>
        <v>1036926604033880066</v>
      </c>
      <c r="F1297" s="4"/>
      <c r="G1297" s="4"/>
      <c r="H1297" s="4"/>
      <c r="I1297" s="10" t="str">
        <f>HYPERLINK("http://twitter.com/download/android","Twitter for Android")</f>
        <v>Twitter for Android</v>
      </c>
      <c r="J1297" s="2">
        <v>296</v>
      </c>
      <c r="K1297" s="2">
        <v>290</v>
      </c>
      <c r="L1297" s="2">
        <v>1</v>
      </c>
      <c r="M1297" s="2"/>
      <c r="N1297" s="8">
        <v>41033.979664351849</v>
      </c>
      <c r="O1297" s="4" t="s">
        <v>252</v>
      </c>
      <c r="P1297" s="3" t="s">
        <v>251</v>
      </c>
      <c r="Q1297" s="4"/>
      <c r="R1297" s="4"/>
      <c r="S1297" s="9" t="str">
        <f>HYPERLINK("https://pbs.twimg.com/profile_images/1026998685178253313/l6NsSeYl.jpg","View")</f>
        <v>View</v>
      </c>
    </row>
    <row r="1298" spans="1:19" ht="12.5">
      <c r="A1298" s="8">
        <v>43347.630266203705</v>
      </c>
      <c r="B1298" s="11" t="str">
        <f>HYPERLINK("https://twitter.com/Pitpitak1","@Pitpitak1")</f>
        <v>@Pitpitak1</v>
      </c>
      <c r="C1298" s="6" t="s">
        <v>1969</v>
      </c>
      <c r="D1298" s="5" t="s">
        <v>13440</v>
      </c>
      <c r="E1298" s="9" t="str">
        <f>HYPERLINK("https://twitter.com/Pitpitak1/status/1036926242275115008","1036926242275115008")</f>
        <v>1036926242275115008</v>
      </c>
      <c r="F1298" s="4"/>
      <c r="G1298" s="4"/>
      <c r="H1298" s="4"/>
      <c r="I1298" s="10" t="str">
        <f>HYPERLINK("http://twitter.com/download/iphone","Twitter for iPhone")</f>
        <v>Twitter for iPhone</v>
      </c>
      <c r="J1298" s="2">
        <v>59</v>
      </c>
      <c r="K1298" s="2">
        <v>228</v>
      </c>
      <c r="L1298" s="2">
        <v>1</v>
      </c>
      <c r="M1298" s="2"/>
      <c r="N1298" s="8">
        <v>38995.965601851851</v>
      </c>
      <c r="O1298" s="4"/>
      <c r="P1298" s="3" t="s">
        <v>1967</v>
      </c>
      <c r="Q1298" s="4"/>
      <c r="R1298" s="4"/>
      <c r="S1298" s="9" t="str">
        <f>HYPERLINK("https://pbs.twimg.com/profile_images/1011196687896006656/YqWXZdT4.jpg","View")</f>
        <v>View</v>
      </c>
    </row>
    <row r="1299" spans="1:19" ht="40">
      <c r="A1299" s="8">
        <v>43347.62909722222</v>
      </c>
      <c r="B1299" s="11" t="str">
        <f>HYPERLINK("https://twitter.com/seniormhd","@seniormhd")</f>
        <v>@seniormhd</v>
      </c>
      <c r="C1299" s="6" t="s">
        <v>13439</v>
      </c>
      <c r="D1299" s="5" t="s">
        <v>13438</v>
      </c>
      <c r="E1299" s="9" t="str">
        <f>HYPERLINK("https://twitter.com/seniormhd/status/1036925816339234816","1036925816339234816")</f>
        <v>1036925816339234816</v>
      </c>
      <c r="F1299" s="4"/>
      <c r="G1299" s="4"/>
      <c r="H1299" s="4"/>
      <c r="I1299" s="10" t="str">
        <f>HYPERLINK("http://twitter.com","Twitter Web Client")</f>
        <v>Twitter Web Client</v>
      </c>
      <c r="J1299" s="2">
        <v>600</v>
      </c>
      <c r="K1299" s="2">
        <v>4521</v>
      </c>
      <c r="L1299" s="2">
        <v>2</v>
      </c>
      <c r="M1299" s="2"/>
      <c r="N1299" s="8">
        <v>43244.947245370371</v>
      </c>
      <c r="O1299" s="4" t="s">
        <v>1415</v>
      </c>
      <c r="P1299" s="3" t="s">
        <v>13437</v>
      </c>
      <c r="Q1299" s="4"/>
      <c r="R1299" s="4"/>
      <c r="S1299" s="9" t="str">
        <f>HYPERLINK("https://pbs.twimg.com/profile_images/1022097799310188545/KqtbBQcu.jpg","View")</f>
        <v>View</v>
      </c>
    </row>
    <row r="1300" spans="1:19" ht="30">
      <c r="A1300" s="8">
        <v>43347.627905092595</v>
      </c>
      <c r="B1300" s="11" t="str">
        <f>HYPERLINK("https://twitter.com/SeagullMaroon","@SeagullMaroon")</f>
        <v>@SeagullMaroon</v>
      </c>
      <c r="C1300" s="6" t="s">
        <v>13436</v>
      </c>
      <c r="D1300" s="5" t="s">
        <v>13435</v>
      </c>
      <c r="E1300" s="9" t="str">
        <f>HYPERLINK("https://twitter.com/SeagullMaroon/status/1036925386410614784","1036925386410614784")</f>
        <v>1036925386410614784</v>
      </c>
      <c r="F1300" s="10" t="s">
        <v>12224</v>
      </c>
      <c r="G1300" s="4"/>
      <c r="H1300" s="4"/>
      <c r="I1300" s="10" t="str">
        <f>HYPERLINK("http://twitter.com","Twitter Web Client")</f>
        <v>Twitter Web Client</v>
      </c>
      <c r="J1300" s="2">
        <v>726</v>
      </c>
      <c r="K1300" s="2">
        <v>223</v>
      </c>
      <c r="L1300" s="2">
        <v>3</v>
      </c>
      <c r="M1300" s="2"/>
      <c r="N1300" s="8">
        <v>40737.608912037038</v>
      </c>
      <c r="O1300" s="4"/>
      <c r="P1300" s="3"/>
      <c r="Q1300" s="4"/>
      <c r="R1300" s="4"/>
      <c r="S1300" s="9" t="str">
        <f>HYPERLINK("https://pbs.twimg.com/profile_images/685825463810326529/lRjICJya.jpg","View")</f>
        <v>View</v>
      </c>
    </row>
    <row r="1301" spans="1:19" ht="80">
      <c r="A1301" s="8">
        <v>43347.627372685187</v>
      </c>
      <c r="B1301" s="11" t="str">
        <f>HYPERLINK("https://twitter.com/iranium88","@iranium88")</f>
        <v>@iranium88</v>
      </c>
      <c r="C1301" s="6" t="s">
        <v>13434</v>
      </c>
      <c r="D1301" s="5" t="s">
        <v>13433</v>
      </c>
      <c r="E1301" s="9" t="str">
        <f>HYPERLINK("https://twitter.com/iranium88/status/1036925189752336384","1036925189752336384")</f>
        <v>1036925189752336384</v>
      </c>
      <c r="F1301" s="4" t="s">
        <v>13432</v>
      </c>
      <c r="G1301" s="4"/>
      <c r="H1301" s="4"/>
      <c r="I1301" s="10" t="str">
        <f>HYPERLINK("http://twitter.com","Twitter Web Client")</f>
        <v>Twitter Web Client</v>
      </c>
      <c r="J1301" s="2">
        <v>2396</v>
      </c>
      <c r="K1301" s="2">
        <v>1549</v>
      </c>
      <c r="L1301" s="2">
        <v>4</v>
      </c>
      <c r="M1301" s="2"/>
      <c r="N1301" s="8">
        <v>42790.818125000005</v>
      </c>
      <c r="O1301" s="4" t="s">
        <v>13431</v>
      </c>
      <c r="P1301" s="3" t="s">
        <v>13430</v>
      </c>
      <c r="Q1301" s="10" t="s">
        <v>13429</v>
      </c>
      <c r="R1301" s="4"/>
      <c r="S1301" s="9" t="str">
        <f>HYPERLINK("https://pbs.twimg.com/profile_images/1030155753083101184/kI6YbcUN.jpg","View")</f>
        <v>View</v>
      </c>
    </row>
    <row r="1302" spans="1:19" ht="70">
      <c r="A1302" s="8">
        <v>43347.62672453704</v>
      </c>
      <c r="B1302" s="11" t="str">
        <f>HYPERLINK("https://twitter.com/Keyhan500","@Keyhan500")</f>
        <v>@Keyhan500</v>
      </c>
      <c r="C1302" s="6" t="s">
        <v>13428</v>
      </c>
      <c r="D1302" s="5" t="s">
        <v>13427</v>
      </c>
      <c r="E1302" s="9" t="str">
        <f>HYPERLINK("https://twitter.com/Keyhan500/status/1036924957064871936","1036924957064871936")</f>
        <v>1036924957064871936</v>
      </c>
      <c r="F1302" s="4" t="s">
        <v>13426</v>
      </c>
      <c r="G1302" s="10" t="s">
        <v>12828</v>
      </c>
      <c r="H1302" s="4"/>
      <c r="I1302" s="10" t="str">
        <f>HYPERLINK("http://twitter.com/download/android","Twitter for Android")</f>
        <v>Twitter for Android</v>
      </c>
      <c r="J1302" s="2">
        <v>3</v>
      </c>
      <c r="K1302" s="2">
        <v>34</v>
      </c>
      <c r="L1302" s="2">
        <v>0</v>
      </c>
      <c r="M1302" s="2"/>
      <c r="N1302" s="8">
        <v>42913.528692129628</v>
      </c>
      <c r="O1302" s="4"/>
      <c r="P1302" s="3"/>
      <c r="Q1302" s="4"/>
      <c r="R1302" s="4"/>
      <c r="S1302" s="2" t="s">
        <v>155</v>
      </c>
    </row>
    <row r="1303" spans="1:19" ht="30">
      <c r="A1303" s="8">
        <v>43347.626620370371</v>
      </c>
      <c r="B1303" s="11" t="str">
        <f>HYPERLINK("https://twitter.com/Marallslr","@Marallslr")</f>
        <v>@Marallslr</v>
      </c>
      <c r="C1303" s="6" t="s">
        <v>13425</v>
      </c>
      <c r="D1303" s="5" t="s">
        <v>13424</v>
      </c>
      <c r="E1303" s="9" t="str">
        <f>HYPERLINK("https://twitter.com/Marallslr/status/1036924917269311490","1036924917269311490")</f>
        <v>1036924917269311490</v>
      </c>
      <c r="F1303" s="4"/>
      <c r="G1303" s="4"/>
      <c r="H1303" s="4"/>
      <c r="I1303" s="10" t="str">
        <f>HYPERLINK("http://twitter.com/download/iphone","Twitter for iPhone")</f>
        <v>Twitter for iPhone</v>
      </c>
      <c r="J1303" s="2">
        <v>1318</v>
      </c>
      <c r="K1303" s="2">
        <v>1125</v>
      </c>
      <c r="L1303" s="2">
        <v>5</v>
      </c>
      <c r="M1303" s="2"/>
      <c r="N1303" s="8">
        <v>43203.850752314815</v>
      </c>
      <c r="O1303" s="4" t="s">
        <v>9296</v>
      </c>
      <c r="P1303" s="3" t="s">
        <v>13423</v>
      </c>
      <c r="Q1303" s="4"/>
      <c r="R1303" s="4"/>
      <c r="S1303" s="9" t="str">
        <f>HYPERLINK("https://pbs.twimg.com/profile_images/1024332059676950529/XaMK4ihV.jpg","View")</f>
        <v>View</v>
      </c>
    </row>
    <row r="1304" spans="1:19" ht="30">
      <c r="A1304" s="8">
        <v>43347.626134259262</v>
      </c>
      <c r="B1304" s="11" t="str">
        <f>HYPERLINK("https://twitter.com/mehdihosainpour","@mehdihosainpour")</f>
        <v>@mehdihosainpour</v>
      </c>
      <c r="C1304" s="6" t="s">
        <v>13422</v>
      </c>
      <c r="D1304" s="5" t="s">
        <v>13421</v>
      </c>
      <c r="E1304" s="9" t="str">
        <f>HYPERLINK("https://twitter.com/mehdihosainpour/status/1036924743222521856","1036924743222521856")</f>
        <v>1036924743222521856</v>
      </c>
      <c r="F1304" s="4"/>
      <c r="G1304" s="10" t="s">
        <v>13420</v>
      </c>
      <c r="H1304" s="4"/>
      <c r="I1304" s="10" t="str">
        <f>HYPERLINK("http://twitter.com","Twitter Web Client")</f>
        <v>Twitter Web Client</v>
      </c>
      <c r="J1304" s="2">
        <v>36</v>
      </c>
      <c r="K1304" s="2">
        <v>49</v>
      </c>
      <c r="L1304" s="2">
        <v>0</v>
      </c>
      <c r="M1304" s="2"/>
      <c r="N1304" s="8">
        <v>42415.051574074074</v>
      </c>
      <c r="O1304" s="4"/>
      <c r="P1304" s="3" t="s">
        <v>13419</v>
      </c>
      <c r="Q1304" s="4"/>
      <c r="R1304" s="4"/>
      <c r="S1304" s="9" t="str">
        <f>HYPERLINK("https://pbs.twimg.com/profile_images/698987305638481920/pQh-Gj5I.jpg","View")</f>
        <v>View</v>
      </c>
    </row>
    <row r="1305" spans="1:19" ht="20">
      <c r="A1305" s="8">
        <v>43347.626030092593</v>
      </c>
      <c r="B1305" s="11" t="str">
        <f>HYPERLINK("https://twitter.com/MReza7222","@MReza7222")</f>
        <v>@MReza7222</v>
      </c>
      <c r="C1305" s="6" t="s">
        <v>13418</v>
      </c>
      <c r="D1305" s="5" t="s">
        <v>13417</v>
      </c>
      <c r="E1305" s="9" t="str">
        <f>HYPERLINK("https://twitter.com/MReza7222/status/1036924703158530048","1036924703158530048")</f>
        <v>1036924703158530048</v>
      </c>
      <c r="F1305" s="4"/>
      <c r="G1305" s="10" t="s">
        <v>13416</v>
      </c>
      <c r="H1305" s="4"/>
      <c r="I1305" s="10" t="str">
        <f>HYPERLINK("http://twitter.com/download/iphone","Twitter for iPhone")</f>
        <v>Twitter for iPhone</v>
      </c>
      <c r="J1305" s="2">
        <v>290</v>
      </c>
      <c r="K1305" s="2">
        <v>90</v>
      </c>
      <c r="L1305" s="2">
        <v>0</v>
      </c>
      <c r="M1305" s="2"/>
      <c r="N1305" s="8">
        <v>42747.683240740742</v>
      </c>
      <c r="O1305" s="4" t="s">
        <v>133</v>
      </c>
      <c r="P1305" s="3" t="s">
        <v>13415</v>
      </c>
      <c r="Q1305" s="4"/>
      <c r="R1305" s="4"/>
      <c r="S1305" s="9" t="str">
        <f>HYPERLINK("https://pbs.twimg.com/profile_images/1036173395782717440/ETvi5Ek6.jpg","View")</f>
        <v>View</v>
      </c>
    </row>
    <row r="1306" spans="1:19" ht="30">
      <c r="A1306" s="8">
        <v>43347.625439814816</v>
      </c>
      <c r="B1306" s="11" t="str">
        <f>HYPERLINK("https://twitter.com/ArtLover1367","@ArtLover1367")</f>
        <v>@ArtLover1367</v>
      </c>
      <c r="C1306" s="6" t="s">
        <v>13414</v>
      </c>
      <c r="D1306" s="5" t="s">
        <v>13413</v>
      </c>
      <c r="E1306" s="9" t="str">
        <f>HYPERLINK("https://twitter.com/ArtLover1367/status/1036924490079510530","1036924490079510530")</f>
        <v>1036924490079510530</v>
      </c>
      <c r="F1306" s="10" t="s">
        <v>13412</v>
      </c>
      <c r="G1306" s="4"/>
      <c r="H1306" s="4"/>
      <c r="I1306" s="10" t="str">
        <f>HYPERLINK("http://twitter.com/download/android","Twitter for Android")</f>
        <v>Twitter for Android</v>
      </c>
      <c r="J1306" s="2">
        <v>2928</v>
      </c>
      <c r="K1306" s="2">
        <v>636</v>
      </c>
      <c r="L1306" s="2">
        <v>15</v>
      </c>
      <c r="M1306" s="2"/>
      <c r="N1306" s="8">
        <v>42573.976516203707</v>
      </c>
      <c r="O1306" s="4" t="s">
        <v>13411</v>
      </c>
      <c r="P1306" s="3" t="s">
        <v>13410</v>
      </c>
      <c r="Q1306" s="10" t="s">
        <v>13409</v>
      </c>
      <c r="R1306" s="4"/>
      <c r="S1306" s="9" t="str">
        <f>HYPERLINK("https://pbs.twimg.com/profile_images/1032684665906384896/NUzR3lXA.jpg","View")</f>
        <v>View</v>
      </c>
    </row>
    <row r="1307" spans="1:19" ht="60">
      <c r="A1307" s="8">
        <v>43347.624594907407</v>
      </c>
      <c r="B1307" s="11" t="str">
        <f>HYPERLINK("https://twitter.com/renessanseIran","@renessanseIran")</f>
        <v>@renessanseIran</v>
      </c>
      <c r="C1307" s="6" t="s">
        <v>13408</v>
      </c>
      <c r="D1307" s="5" t="s">
        <v>13407</v>
      </c>
      <c r="E1307" s="9" t="str">
        <f>HYPERLINK("https://twitter.com/renessanseIran/status/1036924184927109122","1036924184927109122")</f>
        <v>1036924184927109122</v>
      </c>
      <c r="F1307" s="10" t="s">
        <v>13406</v>
      </c>
      <c r="G1307" s="4"/>
      <c r="H1307" s="4"/>
      <c r="I1307" s="10" t="str">
        <f>HYPERLINK("http://twitter.com/download/iphone","Twitter for iPhone")</f>
        <v>Twitter for iPhone</v>
      </c>
      <c r="J1307" s="2">
        <v>227</v>
      </c>
      <c r="K1307" s="2">
        <v>175</v>
      </c>
      <c r="L1307" s="2">
        <v>0</v>
      </c>
      <c r="M1307" s="2"/>
      <c r="N1307" s="8">
        <v>43226.621041666665</v>
      </c>
      <c r="O1307" s="4" t="s">
        <v>13405</v>
      </c>
      <c r="P1307" s="3" t="s">
        <v>13404</v>
      </c>
      <c r="Q1307" s="4"/>
      <c r="R1307" s="4"/>
      <c r="S1307" s="9" t="str">
        <f>HYPERLINK("https://pbs.twimg.com/profile_images/1035675030594768896/irRzrKkP.jpg","View")</f>
        <v>View</v>
      </c>
    </row>
    <row r="1308" spans="1:19" ht="40">
      <c r="A1308" s="8">
        <v>43347.624479166669</v>
      </c>
      <c r="B1308" s="11" t="str">
        <f>HYPERLINK("https://twitter.com/saman_313_ezad_","@saman_313_ezad_")</f>
        <v>@saman_313_ezad_</v>
      </c>
      <c r="C1308" s="6" t="s">
        <v>11404</v>
      </c>
      <c r="D1308" s="5" t="s">
        <v>13403</v>
      </c>
      <c r="E1308" s="9" t="str">
        <f>HYPERLINK("https://twitter.com/saman_313_ezad_/status/1036924144967933954","1036924144967933954")</f>
        <v>1036924144967933954</v>
      </c>
      <c r="F1308" s="4"/>
      <c r="G1308" s="10" t="s">
        <v>13402</v>
      </c>
      <c r="H1308" s="4"/>
      <c r="I1308" s="10" t="str">
        <f>HYPERLINK("http://twitter.com/download/android","Twitter for Android")</f>
        <v>Twitter for Android</v>
      </c>
      <c r="J1308" s="2">
        <v>572</v>
      </c>
      <c r="K1308" s="2">
        <v>1432</v>
      </c>
      <c r="L1308" s="2">
        <v>3</v>
      </c>
      <c r="M1308" s="2"/>
      <c r="N1308" s="8">
        <v>43316.025000000001</v>
      </c>
      <c r="O1308" s="4" t="s">
        <v>17</v>
      </c>
      <c r="P1308" s="3"/>
      <c r="Q1308" s="4"/>
      <c r="R1308" s="4"/>
      <c r="S1308" s="9" t="str">
        <f>HYPERLINK("https://pbs.twimg.com/profile_images/1026829741796585473/C6U1R3Sw.jpg","View")</f>
        <v>View</v>
      </c>
    </row>
    <row r="1309" spans="1:19" ht="40">
      <c r="A1309" s="8">
        <v>43347.62364583333</v>
      </c>
      <c r="B1309" s="11" t="str">
        <f>HYPERLINK("https://twitter.com/khosro_shahani","@khosro_shahani")</f>
        <v>@khosro_shahani</v>
      </c>
      <c r="C1309" s="6" t="s">
        <v>13401</v>
      </c>
      <c r="D1309" s="5" t="s">
        <v>13400</v>
      </c>
      <c r="E1309" s="9" t="str">
        <f>HYPERLINK("https://twitter.com/khosro_shahani/status/1036923839584690177","1036923839584690177")</f>
        <v>1036923839584690177</v>
      </c>
      <c r="F1309" s="4"/>
      <c r="G1309" s="4"/>
      <c r="H1309" s="4"/>
      <c r="I1309" s="10" t="str">
        <f>HYPERLINK("http://twitter.com","Twitter Web Client")</f>
        <v>Twitter Web Client</v>
      </c>
      <c r="J1309" s="2">
        <v>26</v>
      </c>
      <c r="K1309" s="2">
        <v>37</v>
      </c>
      <c r="L1309" s="2">
        <v>0</v>
      </c>
      <c r="M1309" s="2"/>
      <c r="N1309" s="8">
        <v>43167.678171296298</v>
      </c>
      <c r="O1309" s="4" t="s">
        <v>13399</v>
      </c>
      <c r="P1309" s="3" t="s">
        <v>13398</v>
      </c>
      <c r="Q1309" s="4"/>
      <c r="R1309" s="4"/>
      <c r="S1309" s="9" t="str">
        <f>HYPERLINK("https://pbs.twimg.com/profile_images/1000030381918375937/d_Dilfb3.jpg","View")</f>
        <v>View</v>
      </c>
    </row>
    <row r="1310" spans="1:19" ht="20">
      <c r="A1310" s="8">
        <v>43347.623032407406</v>
      </c>
      <c r="B1310" s="11" t="str">
        <f>HYPERLINK("https://twitter.com/albakerki","@albakerki")</f>
        <v>@albakerki</v>
      </c>
      <c r="C1310" s="6" t="s">
        <v>13397</v>
      </c>
      <c r="D1310" s="5" t="s">
        <v>13396</v>
      </c>
      <c r="E1310" s="9" t="str">
        <f>HYPERLINK("https://twitter.com/albakerki/status/1036923619551703040","1036923619551703040")</f>
        <v>1036923619551703040</v>
      </c>
      <c r="F1310" s="4"/>
      <c r="G1310" s="4"/>
      <c r="H1310" s="4"/>
      <c r="I1310" s="10" t="str">
        <f>HYPERLINK("http://twitter.com/download/iphone","Twitter for iPhone")</f>
        <v>Twitter for iPhone</v>
      </c>
      <c r="J1310" s="2">
        <v>911</v>
      </c>
      <c r="K1310" s="2">
        <v>701</v>
      </c>
      <c r="L1310" s="2">
        <v>0</v>
      </c>
      <c r="M1310" s="2"/>
      <c r="N1310" s="8">
        <v>43230.970763888894</v>
      </c>
      <c r="O1310" s="4" t="s">
        <v>13395</v>
      </c>
      <c r="P1310" s="3" t="s">
        <v>13394</v>
      </c>
      <c r="Q1310" s="4"/>
      <c r="R1310" s="4"/>
      <c r="S1310" s="9" t="str">
        <f>HYPERLINK("https://pbs.twimg.com/profile_images/1036567055305203712/H4govIIZ.jpg","View")</f>
        <v>View</v>
      </c>
    </row>
    <row r="1311" spans="1:19" ht="30">
      <c r="A1311" s="8">
        <v>43347.621944444443</v>
      </c>
      <c r="B1311" s="11" t="str">
        <f>HYPERLINK("https://twitter.com/jiizes","@jiizes")</f>
        <v>@jiizes</v>
      </c>
      <c r="C1311" s="6" t="s">
        <v>11892</v>
      </c>
      <c r="D1311" s="5" t="s">
        <v>13393</v>
      </c>
      <c r="E1311" s="9" t="str">
        <f>HYPERLINK("https://twitter.com/jiizes/status/1036923226046259200","1036923226046259200")</f>
        <v>1036923226046259200</v>
      </c>
      <c r="F1311" s="4"/>
      <c r="G1311" s="4"/>
      <c r="H1311" s="4"/>
      <c r="I1311" s="10" t="str">
        <f>HYPERLINK("http://twitter.com/download/android","Twitter for Android")</f>
        <v>Twitter for Android</v>
      </c>
      <c r="J1311" s="2">
        <v>2063</v>
      </c>
      <c r="K1311" s="2">
        <v>931</v>
      </c>
      <c r="L1311" s="2">
        <v>7</v>
      </c>
      <c r="M1311" s="2"/>
      <c r="N1311" s="8">
        <v>41563.951435185183</v>
      </c>
      <c r="O1311" s="4" t="s">
        <v>11890</v>
      </c>
      <c r="P1311" s="3" t="s">
        <v>11889</v>
      </c>
      <c r="Q1311" s="4"/>
      <c r="R1311" s="4"/>
      <c r="S1311" s="9" t="str">
        <f>HYPERLINK("https://pbs.twimg.com/profile_images/1013376747335806976/zdU8koMx.jpg","View")</f>
        <v>View</v>
      </c>
    </row>
    <row r="1312" spans="1:19" ht="60">
      <c r="A1312" s="8">
        <v>43347.621469907404</v>
      </c>
      <c r="B1312" s="11" t="str">
        <f>HYPERLINK("https://twitter.com/Omidam_Hamin","@Omidam_Hamin")</f>
        <v>@Omidam_Hamin</v>
      </c>
      <c r="C1312" s="6" t="s">
        <v>6949</v>
      </c>
      <c r="D1312" s="5" t="s">
        <v>13392</v>
      </c>
      <c r="E1312" s="9" t="str">
        <f>HYPERLINK("https://twitter.com/Omidam_Hamin/status/1036923053492588545","1036923053492588545")</f>
        <v>1036923053492588545</v>
      </c>
      <c r="F1312" s="10" t="s">
        <v>13391</v>
      </c>
      <c r="G1312" s="4"/>
      <c r="H1312" s="4"/>
      <c r="I1312" s="10" t="str">
        <f>HYPERLINK("http://twitter.com/download/android","Twitter for Android")</f>
        <v>Twitter for Android</v>
      </c>
      <c r="J1312" s="2">
        <v>1372</v>
      </c>
      <c r="K1312" s="2">
        <v>1551</v>
      </c>
      <c r="L1312" s="2">
        <v>5</v>
      </c>
      <c r="M1312" s="2"/>
      <c r="N1312" s="8">
        <v>43134.987071759257</v>
      </c>
      <c r="O1312" s="4" t="s">
        <v>6946</v>
      </c>
      <c r="P1312" s="3" t="s">
        <v>6945</v>
      </c>
      <c r="Q1312" s="4"/>
      <c r="R1312" s="4"/>
      <c r="S1312" s="9" t="str">
        <f>HYPERLINK("https://pbs.twimg.com/profile_images/959884726608723970/p9MALHAG.jpg","View")</f>
        <v>View</v>
      </c>
    </row>
    <row r="1313" spans="1:19" ht="20">
      <c r="A1313" s="8">
        <v>43347.620624999996</v>
      </c>
      <c r="B1313" s="11" t="str">
        <f>HYPERLINK("https://twitter.com/RoshanFardaye","@RoshanFardaye")</f>
        <v>@RoshanFardaye</v>
      </c>
      <c r="C1313" s="6" t="s">
        <v>13390</v>
      </c>
      <c r="D1313" s="5" t="s">
        <v>13389</v>
      </c>
      <c r="E1313" s="9" t="str">
        <f>HYPERLINK("https://twitter.com/RoshanFardaye/status/1036922745588785152","1036922745588785152")</f>
        <v>1036922745588785152</v>
      </c>
      <c r="F1313" s="4"/>
      <c r="G1313" s="4"/>
      <c r="H1313" s="4"/>
      <c r="I1313" s="10" t="str">
        <f>HYPERLINK("http://twitter.com","Twitter Web Client")</f>
        <v>Twitter Web Client</v>
      </c>
      <c r="J1313" s="2">
        <v>36</v>
      </c>
      <c r="K1313" s="2">
        <v>180</v>
      </c>
      <c r="L1313" s="2">
        <v>0</v>
      </c>
      <c r="M1313" s="2"/>
      <c r="N1313" s="8">
        <v>43295.651898148149</v>
      </c>
      <c r="O1313" s="4"/>
      <c r="P1313" s="3" t="s">
        <v>13388</v>
      </c>
      <c r="Q1313" s="4"/>
      <c r="R1313" s="4"/>
      <c r="S1313" s="9" t="str">
        <f>HYPERLINK("https://pbs.twimg.com/profile_images/1034804469719085056/_ECLh8HE.jpg","View")</f>
        <v>View</v>
      </c>
    </row>
    <row r="1314" spans="1:19" ht="40">
      <c r="A1314" s="8">
        <v>43347.618993055556</v>
      </c>
      <c r="B1314" s="11" t="str">
        <f>HYPERLINK("https://twitter.com/mockingbird_158","@mockingbird_158")</f>
        <v>@mockingbird_158</v>
      </c>
      <c r="C1314" s="6" t="s">
        <v>3839</v>
      </c>
      <c r="D1314" s="5" t="s">
        <v>13387</v>
      </c>
      <c r="E1314" s="9" t="str">
        <f>HYPERLINK("https://twitter.com/mockingbird_158/status/1036922156364570624","1036922156364570624")</f>
        <v>1036922156364570624</v>
      </c>
      <c r="F1314" s="4"/>
      <c r="G1314" s="4"/>
      <c r="H1314" s="4"/>
      <c r="I1314" s="10" t="str">
        <f>HYPERLINK("http://twitter.com/download/android","Twitter for Android")</f>
        <v>Twitter for Android</v>
      </c>
      <c r="J1314" s="2">
        <v>256</v>
      </c>
      <c r="K1314" s="2">
        <v>298</v>
      </c>
      <c r="L1314" s="2">
        <v>0</v>
      </c>
      <c r="M1314" s="2"/>
      <c r="N1314" s="8">
        <v>40764.094004629631</v>
      </c>
      <c r="O1314" s="4" t="s">
        <v>1415</v>
      </c>
      <c r="P1314" s="3" t="s">
        <v>13386</v>
      </c>
      <c r="Q1314" s="4"/>
      <c r="R1314" s="4"/>
      <c r="S1314" s="9" t="str">
        <f>HYPERLINK("https://pbs.twimg.com/profile_images/1026100613824884736/DW-guVaH.jpg","View")</f>
        <v>View</v>
      </c>
    </row>
    <row r="1315" spans="1:19" ht="30">
      <c r="A1315" s="8">
        <v>43347.618402777778</v>
      </c>
      <c r="B1315" s="11" t="str">
        <f>HYPERLINK("https://twitter.com/hsnhasankhani","@hsnhasankhani")</f>
        <v>@hsnhasankhani</v>
      </c>
      <c r="C1315" s="6" t="s">
        <v>6447</v>
      </c>
      <c r="D1315" s="5" t="s">
        <v>13385</v>
      </c>
      <c r="E1315" s="9" t="str">
        <f>HYPERLINK("https://twitter.com/hsnhasankhani/status/1036921940722810880","1036921940722810880")</f>
        <v>1036921940722810880</v>
      </c>
      <c r="F1315" s="4"/>
      <c r="G1315" s="4"/>
      <c r="H1315" s="4"/>
      <c r="I1315" s="10" t="str">
        <f>HYPERLINK("http://twitter.com","Twitter Web Client")</f>
        <v>Twitter Web Client</v>
      </c>
      <c r="J1315" s="2">
        <v>70</v>
      </c>
      <c r="K1315" s="2">
        <v>72</v>
      </c>
      <c r="L1315" s="2">
        <v>0</v>
      </c>
      <c r="M1315" s="2"/>
      <c r="N1315" s="8">
        <v>43300.502557870372</v>
      </c>
      <c r="O1315" s="4" t="s">
        <v>34</v>
      </c>
      <c r="P1315" s="3" t="s">
        <v>6444</v>
      </c>
      <c r="Q1315" s="4"/>
      <c r="R1315" s="4"/>
      <c r="S1315" s="9" t="str">
        <f>HYPERLINK("https://pbs.twimg.com/profile_images/1031865810447486976/OyDV3iMJ.jpg","View")</f>
        <v>View</v>
      </c>
    </row>
    <row r="1316" spans="1:19" ht="20">
      <c r="A1316" s="8">
        <v>43347.617835648147</v>
      </c>
      <c r="B1316" s="11" t="str">
        <f>HYPERLINK("https://twitter.com/aghaye_hich","@aghaye_hich")</f>
        <v>@aghaye_hich</v>
      </c>
      <c r="C1316" s="6" t="s">
        <v>475</v>
      </c>
      <c r="D1316" s="5" t="s">
        <v>13384</v>
      </c>
      <c r="E1316" s="9" t="str">
        <f>HYPERLINK("https://twitter.com/aghaye_hich/status/1036921736808288259","1036921736808288259")</f>
        <v>1036921736808288259</v>
      </c>
      <c r="F1316" s="4"/>
      <c r="G1316" s="4"/>
      <c r="H1316" s="4"/>
      <c r="I1316" s="10" t="str">
        <f>HYPERLINK("https://mobile.twitter.com","Mobile Web (M2)")</f>
        <v>Mobile Web (M2)</v>
      </c>
      <c r="J1316" s="2">
        <v>1238</v>
      </c>
      <c r="K1316" s="2">
        <v>2916</v>
      </c>
      <c r="L1316" s="2">
        <v>0</v>
      </c>
      <c r="M1316" s="2"/>
      <c r="N1316" s="8">
        <v>42960.599120370374</v>
      </c>
      <c r="O1316" s="4" t="s">
        <v>25</v>
      </c>
      <c r="P1316" s="3" t="s">
        <v>473</v>
      </c>
      <c r="Q1316" s="4"/>
      <c r="R1316" s="4"/>
      <c r="S1316" s="9" t="str">
        <f>HYPERLINK("https://pbs.twimg.com/profile_images/949243298912391168/gSA4ElYF.jpg","View")</f>
        <v>View</v>
      </c>
    </row>
    <row r="1317" spans="1:19" ht="20">
      <c r="A1317" s="8">
        <v>43347.617743055554</v>
      </c>
      <c r="B1317" s="11" t="str">
        <f>HYPERLINK("https://twitter.com/Mementomori1871","@Mementomori1871")</f>
        <v>@Mementomori1871</v>
      </c>
      <c r="C1317" s="6" t="s">
        <v>13383</v>
      </c>
      <c r="D1317" s="5" t="s">
        <v>13382</v>
      </c>
      <c r="E1317" s="9" t="str">
        <f>HYPERLINK("https://twitter.com/Mementomori1871/status/1036921702293364736","1036921702293364736")</f>
        <v>1036921702293364736</v>
      </c>
      <c r="F1317" s="4"/>
      <c r="G1317" s="4"/>
      <c r="H1317" s="4"/>
      <c r="I1317" s="10" t="str">
        <f>HYPERLINK("http://twitter.com/download/android","Twitter for Android")</f>
        <v>Twitter for Android</v>
      </c>
      <c r="J1317" s="2">
        <v>95</v>
      </c>
      <c r="K1317" s="2">
        <v>563</v>
      </c>
      <c r="L1317" s="2">
        <v>0</v>
      </c>
      <c r="M1317" s="2"/>
      <c r="N1317" s="8">
        <v>43079.982824074075</v>
      </c>
      <c r="O1317" s="4"/>
      <c r="P1317" s="3" t="s">
        <v>13381</v>
      </c>
      <c r="Q1317" s="4"/>
      <c r="R1317" s="4"/>
      <c r="S1317" s="9" t="str">
        <f>HYPERLINK("https://pbs.twimg.com/profile_images/1036584131109511170/vYqa3kX2.jpg","View")</f>
        <v>View</v>
      </c>
    </row>
    <row r="1318" spans="1:19" ht="40">
      <c r="A1318" s="8">
        <v>43347.61755787037</v>
      </c>
      <c r="B1318" s="11" t="str">
        <f>HYPERLINK("https://twitter.com/ManotoNews","@ManotoNews")</f>
        <v>@ManotoNews</v>
      </c>
      <c r="C1318" s="6" t="s">
        <v>1174</v>
      </c>
      <c r="D1318" s="5" t="s">
        <v>13380</v>
      </c>
      <c r="E1318" s="9" t="str">
        <f>HYPERLINK("https://twitter.com/ManotoNews/status/1036921636732190721","1036921636732190721")</f>
        <v>1036921636732190721</v>
      </c>
      <c r="F1318" s="4"/>
      <c r="G1318" s="4"/>
      <c r="H1318" s="4"/>
      <c r="I1318" s="10" t="str">
        <f>HYPERLINK("http://www.socialflow.com","SocialFlow")</f>
        <v>SocialFlow</v>
      </c>
      <c r="J1318" s="2">
        <v>448107</v>
      </c>
      <c r="K1318" s="2">
        <v>16</v>
      </c>
      <c r="L1318" s="2">
        <v>619</v>
      </c>
      <c r="M1318" s="2" t="s">
        <v>80</v>
      </c>
      <c r="N1318" s="8">
        <v>40859.711631944447</v>
      </c>
      <c r="O1318" s="4" t="s">
        <v>460</v>
      </c>
      <c r="P1318" s="3" t="s">
        <v>1171</v>
      </c>
      <c r="Q1318" s="10" t="s">
        <v>1170</v>
      </c>
      <c r="R1318" s="4"/>
      <c r="S1318" s="9" t="str">
        <f>HYPERLINK("https://pbs.twimg.com/profile_images/976899507744051201/07FIeivp.jpg","View")</f>
        <v>View</v>
      </c>
    </row>
    <row r="1319" spans="1:19" ht="20">
      <c r="A1319" s="8">
        <v>43347.617037037038</v>
      </c>
      <c r="B1319" s="11" t="str">
        <f>HYPERLINK("https://twitter.com/B_taraj","@B_taraj")</f>
        <v>@B_taraj</v>
      </c>
      <c r="C1319" s="6" t="s">
        <v>10290</v>
      </c>
      <c r="D1319" s="5" t="s">
        <v>13379</v>
      </c>
      <c r="E1319" s="9" t="str">
        <f>HYPERLINK("https://twitter.com/B_taraj/status/1036921447783051265","1036921447783051265")</f>
        <v>1036921447783051265</v>
      </c>
      <c r="F1319" s="4"/>
      <c r="G1319" s="10" t="s">
        <v>13378</v>
      </c>
      <c r="H1319" s="4"/>
      <c r="I1319" s="10" t="str">
        <f>HYPERLINK("http://twitter.com/download/android","Twitter for Android")</f>
        <v>Twitter for Android</v>
      </c>
      <c r="J1319" s="2">
        <v>4551</v>
      </c>
      <c r="K1319" s="2">
        <v>4849</v>
      </c>
      <c r="L1319" s="2">
        <v>4</v>
      </c>
      <c r="M1319" s="2"/>
      <c r="N1319" s="8">
        <v>43166.631643518514</v>
      </c>
      <c r="O1319" s="4"/>
      <c r="P1319" s="3" t="s">
        <v>10287</v>
      </c>
      <c r="Q1319" s="4"/>
      <c r="R1319" s="4"/>
      <c r="S1319" s="9" t="str">
        <f>HYPERLINK("https://pbs.twimg.com/profile_images/971360003679506432/0fRwcVIL.jpg","View")</f>
        <v>View</v>
      </c>
    </row>
    <row r="1320" spans="1:19" ht="20">
      <c r="A1320" s="8">
        <v>43347.616793981477</v>
      </c>
      <c r="B1320" s="11" t="str">
        <f>HYPERLINK("https://twitter.com/IranIntl","@IranIntl")</f>
        <v>@IranIntl</v>
      </c>
      <c r="C1320" s="6" t="s">
        <v>2253</v>
      </c>
      <c r="D1320" s="5" t="s">
        <v>13377</v>
      </c>
      <c r="E1320" s="9" t="str">
        <f>HYPERLINK("https://twitter.com/IranIntl/status/1036921357970366468","1036921357970366468")</f>
        <v>1036921357970366468</v>
      </c>
      <c r="F1320" s="4"/>
      <c r="G1320" s="10" t="s">
        <v>13376</v>
      </c>
      <c r="H1320" s="4"/>
      <c r="I1320" s="10" t="str">
        <f>HYPERLINK("http://www.falcon.io","Falcon Social Media Management ")</f>
        <v xml:space="preserve">Falcon Social Media Management </v>
      </c>
      <c r="J1320" s="2">
        <v>10671</v>
      </c>
      <c r="K1320" s="2">
        <v>38</v>
      </c>
      <c r="L1320" s="2">
        <v>73</v>
      </c>
      <c r="M1320" s="2"/>
      <c r="N1320" s="8">
        <v>42495.854155092587</v>
      </c>
      <c r="O1320" s="4" t="s">
        <v>2250</v>
      </c>
      <c r="P1320" s="3" t="s">
        <v>2249</v>
      </c>
      <c r="Q1320" s="10" t="s">
        <v>2248</v>
      </c>
      <c r="R1320" s="4"/>
      <c r="S1320" s="9" t="str">
        <f>HYPERLINK("https://pbs.twimg.com/profile_images/959109044987416576/LIHHUain.jpg","View")</f>
        <v>View</v>
      </c>
    </row>
    <row r="1321" spans="1:19" ht="20">
      <c r="A1321" s="8">
        <v>43347.614363425921</v>
      </c>
      <c r="B1321" s="11" t="str">
        <f>HYPERLINK("https://twitter.com/alffagol","@alffagol")</f>
        <v>@alffagol</v>
      </c>
      <c r="C1321" s="6" t="s">
        <v>13375</v>
      </c>
      <c r="D1321" s="5" t="s">
        <v>13374</v>
      </c>
      <c r="E1321" s="9" t="str">
        <f>HYPERLINK("https://twitter.com/alffagol/status/1036920476763926528","1036920476763926528")</f>
        <v>1036920476763926528</v>
      </c>
      <c r="F1321" s="4"/>
      <c r="G1321" s="10" t="s">
        <v>13373</v>
      </c>
      <c r="H1321" s="4"/>
      <c r="I1321" s="10" t="str">
        <f>HYPERLINK("http://twitter.com","Twitter Web Client")</f>
        <v>Twitter Web Client</v>
      </c>
      <c r="J1321" s="2">
        <v>42</v>
      </c>
      <c r="K1321" s="2">
        <v>140</v>
      </c>
      <c r="L1321" s="2">
        <v>0</v>
      </c>
      <c r="M1321" s="2"/>
      <c r="N1321" s="8">
        <v>42661.460752314815</v>
      </c>
      <c r="O1321" s="4"/>
      <c r="P1321" s="3" t="s">
        <v>13372</v>
      </c>
      <c r="Q1321" s="4"/>
      <c r="R1321" s="4"/>
      <c r="S1321" s="9" t="str">
        <f>HYPERLINK("https://pbs.twimg.com/profile_images/1023814343786463233/_vEQSxUN.jpg","View")</f>
        <v>View</v>
      </c>
    </row>
    <row r="1322" spans="1:19" ht="20">
      <c r="A1322" s="8">
        <v>43347.613136574073</v>
      </c>
      <c r="B1322" s="11" t="str">
        <f>HYPERLINK("https://twitter.com/IranIntl","@IranIntl")</f>
        <v>@IranIntl</v>
      </c>
      <c r="C1322" s="6" t="s">
        <v>2253</v>
      </c>
      <c r="D1322" s="5" t="s">
        <v>13371</v>
      </c>
      <c r="E1322" s="9" t="str">
        <f>HYPERLINK("https://twitter.com/IranIntl/status/1036920033266593792","1036920033266593792")</f>
        <v>1036920033266593792</v>
      </c>
      <c r="F1322" s="4"/>
      <c r="G1322" s="10" t="s">
        <v>13370</v>
      </c>
      <c r="H1322" s="4"/>
      <c r="I1322" s="10" t="str">
        <f>HYPERLINK("http://www.falcon.io","Falcon Social Media Management ")</f>
        <v xml:space="preserve">Falcon Social Media Management </v>
      </c>
      <c r="J1322" s="2">
        <v>10671</v>
      </c>
      <c r="K1322" s="2">
        <v>38</v>
      </c>
      <c r="L1322" s="2">
        <v>73</v>
      </c>
      <c r="M1322" s="2"/>
      <c r="N1322" s="8">
        <v>42495.854155092587</v>
      </c>
      <c r="O1322" s="4" t="s">
        <v>2250</v>
      </c>
      <c r="P1322" s="3" t="s">
        <v>2249</v>
      </c>
      <c r="Q1322" s="10" t="s">
        <v>2248</v>
      </c>
      <c r="R1322" s="4"/>
      <c r="S1322" s="9" t="str">
        <f>HYPERLINK("https://pbs.twimg.com/profile_images/959109044987416576/LIHHUain.jpg","View")</f>
        <v>View</v>
      </c>
    </row>
    <row r="1323" spans="1:19" ht="12.5">
      <c r="A1323" s="8">
        <v>43347.612638888888</v>
      </c>
      <c r="B1323" s="11" t="str">
        <f>HYPERLINK("https://twitter.com/saeidabdvali","@saeidabdvali")</f>
        <v>@saeidabdvali</v>
      </c>
      <c r="C1323" s="6" t="s">
        <v>13369</v>
      </c>
      <c r="D1323" s="5" t="s">
        <v>13368</v>
      </c>
      <c r="E1323" s="9" t="str">
        <f>HYPERLINK("https://twitter.com/saeidabdvali/status/1036919854329147392","1036919854329147392")</f>
        <v>1036919854329147392</v>
      </c>
      <c r="F1323" s="4"/>
      <c r="G1323" s="4"/>
      <c r="H1323" s="4"/>
      <c r="I1323" s="10" t="str">
        <f>HYPERLINK("http://twitter.com/download/iphone","Twitter for iPhone")</f>
        <v>Twitter for iPhone</v>
      </c>
      <c r="J1323" s="2">
        <v>16</v>
      </c>
      <c r="K1323" s="2">
        <v>63</v>
      </c>
      <c r="L1323" s="2">
        <v>0</v>
      </c>
      <c r="M1323" s="2"/>
      <c r="N1323" s="8">
        <v>43325.914513888885</v>
      </c>
      <c r="O1323" s="4" t="s">
        <v>13367</v>
      </c>
      <c r="P1323" s="3"/>
      <c r="Q1323" s="4"/>
      <c r="R1323" s="4"/>
      <c r="S1323" s="9" t="str">
        <f>HYPERLINK("https://pbs.twimg.com/profile_images/1029062429890818049/-zGI4psj.jpg","View")</f>
        <v>View</v>
      </c>
    </row>
    <row r="1324" spans="1:19" ht="30">
      <c r="A1324" s="8">
        <v>43347.611759259264</v>
      </c>
      <c r="B1324" s="11" t="str">
        <f>HYPERLINK("https://twitter.com/Roozbeh_rm","@Roozbeh_rm")</f>
        <v>@Roozbeh_rm</v>
      </c>
      <c r="C1324" s="6" t="s">
        <v>1234</v>
      </c>
      <c r="D1324" s="5" t="s">
        <v>13366</v>
      </c>
      <c r="E1324" s="9" t="str">
        <f>HYPERLINK("https://twitter.com/Roozbeh_rm/status/1036919532961624064","1036919532961624064")</f>
        <v>1036919532961624064</v>
      </c>
      <c r="F1324" s="4"/>
      <c r="G1324" s="4"/>
      <c r="H1324" s="4"/>
      <c r="I1324" s="10" t="str">
        <f>HYPERLINK("http://twitter.com/download/android","Twitter for Android")</f>
        <v>Twitter for Android</v>
      </c>
      <c r="J1324" s="2">
        <v>140</v>
      </c>
      <c r="K1324" s="2">
        <v>307</v>
      </c>
      <c r="L1324" s="2">
        <v>0</v>
      </c>
      <c r="M1324" s="2"/>
      <c r="N1324" s="8">
        <v>43262.722303240742</v>
      </c>
      <c r="O1324" s="4" t="s">
        <v>1231</v>
      </c>
      <c r="P1324" s="3" t="s">
        <v>1230</v>
      </c>
      <c r="Q1324" s="4"/>
      <c r="R1324" s="4"/>
      <c r="S1324" s="9" t="str">
        <f>HYPERLINK("https://pbs.twimg.com/profile_images/1034801034844090370/vCcACVWI.jpg","View")</f>
        <v>View</v>
      </c>
    </row>
    <row r="1325" spans="1:19" ht="30">
      <c r="A1325" s="8">
        <v>43347.610752314809</v>
      </c>
      <c r="B1325" s="11" t="str">
        <f>HYPERLINK("https://twitter.com/mohyeddin_farsi","@mohyeddin_farsi")</f>
        <v>@mohyeddin_farsi</v>
      </c>
      <c r="C1325" s="6" t="s">
        <v>3121</v>
      </c>
      <c r="D1325" s="5" t="s">
        <v>13365</v>
      </c>
      <c r="E1325" s="9" t="str">
        <f>HYPERLINK("https://twitter.com/mohyeddin_farsi/status/1036919167037919232","1036919167037919232")</f>
        <v>1036919167037919232</v>
      </c>
      <c r="F1325" s="4"/>
      <c r="G1325" s="10" t="s">
        <v>13364</v>
      </c>
      <c r="H1325" s="4"/>
      <c r="I1325" s="10" t="str">
        <f>HYPERLINK("http://twitter.com/download/android","Twitter for Android")</f>
        <v>Twitter for Android</v>
      </c>
      <c r="J1325" s="2">
        <v>3093</v>
      </c>
      <c r="K1325" s="2">
        <v>4943</v>
      </c>
      <c r="L1325" s="2">
        <v>1</v>
      </c>
      <c r="M1325" s="2"/>
      <c r="N1325" s="8">
        <v>43208.817083333328</v>
      </c>
      <c r="O1325" s="4" t="s">
        <v>10298</v>
      </c>
      <c r="P1325" s="3" t="s">
        <v>10297</v>
      </c>
      <c r="Q1325" s="4"/>
      <c r="R1325" s="4"/>
      <c r="S1325" s="9" t="str">
        <f>HYPERLINK("https://pbs.twimg.com/profile_images/1025783168513789953/1ugz7yGG.jpg","View")</f>
        <v>View</v>
      </c>
    </row>
    <row r="1326" spans="1:19" ht="20">
      <c r="A1326" s="8">
        <v>43347.609710648147</v>
      </c>
      <c r="B1326" s="11" t="str">
        <f>HYPERLINK("https://twitter.com/IranIntl","@IranIntl")</f>
        <v>@IranIntl</v>
      </c>
      <c r="C1326" s="6" t="s">
        <v>2253</v>
      </c>
      <c r="D1326" s="5" t="s">
        <v>13363</v>
      </c>
      <c r="E1326" s="9" t="str">
        <f>HYPERLINK("https://twitter.com/IranIntl/status/1036918790439804928","1036918790439804928")</f>
        <v>1036918790439804928</v>
      </c>
      <c r="F1326" s="4"/>
      <c r="G1326" s="10" t="s">
        <v>13362</v>
      </c>
      <c r="H1326" s="4"/>
      <c r="I1326" s="10" t="str">
        <f>HYPERLINK("http://www.falcon.io","Falcon Social Media Management ")</f>
        <v xml:space="preserve">Falcon Social Media Management </v>
      </c>
      <c r="J1326" s="2">
        <v>10671</v>
      </c>
      <c r="K1326" s="2">
        <v>38</v>
      </c>
      <c r="L1326" s="2">
        <v>73</v>
      </c>
      <c r="M1326" s="2"/>
      <c r="N1326" s="8">
        <v>42495.854155092587</v>
      </c>
      <c r="O1326" s="4" t="s">
        <v>2250</v>
      </c>
      <c r="P1326" s="3" t="s">
        <v>2249</v>
      </c>
      <c r="Q1326" s="10" t="s">
        <v>2248</v>
      </c>
      <c r="R1326" s="4"/>
      <c r="S1326" s="9" t="str">
        <f>HYPERLINK("https://pbs.twimg.com/profile_images/959109044987416576/LIHHUain.jpg","View")</f>
        <v>View</v>
      </c>
    </row>
    <row r="1327" spans="1:19" ht="40">
      <c r="A1327" s="8">
        <v>43347.609456018516</v>
      </c>
      <c r="B1327" s="11" t="str">
        <f>HYPERLINK("https://twitter.com/ehsan_rastgar","@ehsan_rastgar")</f>
        <v>@ehsan_rastgar</v>
      </c>
      <c r="C1327" s="6" t="s">
        <v>7946</v>
      </c>
      <c r="D1327" s="5" t="s">
        <v>13361</v>
      </c>
      <c r="E1327" s="9" t="str">
        <f>HYPERLINK("https://twitter.com/ehsan_rastgar/status/1036918699297570817","1036918699297570817")</f>
        <v>1036918699297570817</v>
      </c>
      <c r="F1327" s="4"/>
      <c r="G1327" s="4"/>
      <c r="H1327" s="4"/>
      <c r="I1327" s="10" t="str">
        <f>HYPERLINK("http://twitter.com/download/android","Twitter for Android")</f>
        <v>Twitter for Android</v>
      </c>
      <c r="J1327" s="2">
        <v>24626</v>
      </c>
      <c r="K1327" s="2">
        <v>12428</v>
      </c>
      <c r="L1327" s="2">
        <v>85</v>
      </c>
      <c r="M1327" s="2"/>
      <c r="N1327" s="8">
        <v>41924.946435185186</v>
      </c>
      <c r="O1327" s="4" t="s">
        <v>133</v>
      </c>
      <c r="P1327" s="3" t="s">
        <v>7944</v>
      </c>
      <c r="Q1327" s="10" t="s">
        <v>7943</v>
      </c>
      <c r="R1327" s="4"/>
      <c r="S1327" s="9" t="str">
        <f>HYPERLINK("https://pbs.twimg.com/profile_images/864110040806035457/JAqs6HgK.jpg","View")</f>
        <v>View</v>
      </c>
    </row>
    <row r="1328" spans="1:19" ht="30">
      <c r="A1328" s="8">
        <v>43347.608877314815</v>
      </c>
      <c r="B1328" s="11" t="str">
        <f>HYPERLINK("https://twitter.com/hasanasadiz","@hasanasadiz")</f>
        <v>@hasanasadiz</v>
      </c>
      <c r="C1328" s="6" t="s">
        <v>4572</v>
      </c>
      <c r="D1328" s="5" t="s">
        <v>13360</v>
      </c>
      <c r="E1328" s="9" t="str">
        <f>HYPERLINK("https://twitter.com/hasanasadiz/status/1036918489787912193","1036918489787912193")</f>
        <v>1036918489787912193</v>
      </c>
      <c r="F1328" s="10" t="s">
        <v>13359</v>
      </c>
      <c r="G1328" s="4"/>
      <c r="H1328" s="4"/>
      <c r="I1328" s="10" t="str">
        <f>HYPERLINK("http://twitter.com/download/iphone","Twitter for iPhone")</f>
        <v>Twitter for iPhone</v>
      </c>
      <c r="J1328" s="2">
        <v>22745</v>
      </c>
      <c r="K1328" s="2">
        <v>208</v>
      </c>
      <c r="L1328" s="2">
        <v>94</v>
      </c>
      <c r="M1328" s="2"/>
      <c r="N1328" s="8">
        <v>42248.669837962967</v>
      </c>
      <c r="O1328" s="4" t="s">
        <v>133</v>
      </c>
      <c r="P1328" s="3" t="s">
        <v>4569</v>
      </c>
      <c r="Q1328" s="4"/>
      <c r="R1328" s="4"/>
      <c r="S1328" s="9" t="str">
        <f>HYPERLINK("https://pbs.twimg.com/profile_images/1013062048517902336/7FeFKwKA.jpg","View")</f>
        <v>View</v>
      </c>
    </row>
    <row r="1329" spans="1:19" ht="30">
      <c r="A1329" s="8">
        <v>43347.608611111107</v>
      </c>
      <c r="B1329" s="11" t="str">
        <f>HYPERLINK("https://twitter.com/sa03407833","@sa03407833")</f>
        <v>@sa03407833</v>
      </c>
      <c r="C1329" s="6" t="s">
        <v>13142</v>
      </c>
      <c r="D1329" s="5" t="s">
        <v>13358</v>
      </c>
      <c r="E1329" s="9" t="str">
        <f>HYPERLINK("https://twitter.com/sa03407833/status/1036918390932340736","1036918390932340736")</f>
        <v>1036918390932340736</v>
      </c>
      <c r="F1329" s="4"/>
      <c r="G1329" s="4"/>
      <c r="H1329" s="4"/>
      <c r="I1329" s="10" t="str">
        <f>HYPERLINK("http://twitter.com/download/iphone","Twitter for iPhone")</f>
        <v>Twitter for iPhone</v>
      </c>
      <c r="J1329" s="2">
        <v>0</v>
      </c>
      <c r="K1329" s="2">
        <v>64</v>
      </c>
      <c r="L1329" s="2">
        <v>0</v>
      </c>
      <c r="M1329" s="2"/>
      <c r="N1329" s="8">
        <v>43347.480937500004</v>
      </c>
      <c r="O1329" s="4"/>
      <c r="P1329" s="3" t="s">
        <v>13140</v>
      </c>
      <c r="Q1329" s="4"/>
      <c r="R1329" s="4"/>
      <c r="S1329" s="9" t="str">
        <f>HYPERLINK("https://pbs.twimg.com/profile_images/1036896213315067904/aGDWxwUW.jpg","View")</f>
        <v>View</v>
      </c>
    </row>
    <row r="1330" spans="1:19" ht="30">
      <c r="A1330" s="8">
        <v>43347.608449074076</v>
      </c>
      <c r="B1330" s="11" t="str">
        <f>HYPERLINK("https://twitter.com/km_farid8008","@km_farid8008")</f>
        <v>@km_farid8008</v>
      </c>
      <c r="C1330" s="6" t="s">
        <v>13357</v>
      </c>
      <c r="D1330" s="5" t="s">
        <v>13356</v>
      </c>
      <c r="E1330" s="9" t="str">
        <f>HYPERLINK("https://twitter.com/km_farid8008/status/1036918335370403840","1036918335370403840")</f>
        <v>1036918335370403840</v>
      </c>
      <c r="F1330" s="4"/>
      <c r="G1330" s="4"/>
      <c r="H1330" s="4"/>
      <c r="I1330" s="10" t="str">
        <f>HYPERLINK("http://twitter.com/download/android","Twitter for Android")</f>
        <v>Twitter for Android</v>
      </c>
      <c r="J1330" s="2">
        <v>68</v>
      </c>
      <c r="K1330" s="2">
        <v>74</v>
      </c>
      <c r="L1330" s="2">
        <v>0</v>
      </c>
      <c r="M1330" s="2"/>
      <c r="N1330" s="8">
        <v>43249.576747685191</v>
      </c>
      <c r="O1330" s="4" t="s">
        <v>34</v>
      </c>
      <c r="P1330" s="3" t="s">
        <v>13355</v>
      </c>
      <c r="Q1330" s="4"/>
      <c r="R1330" s="4"/>
      <c r="S1330" s="9" t="str">
        <f>HYPERLINK("https://pbs.twimg.com/profile_images/1024371124564647938/VsjQtWwS.jpg","View")</f>
        <v>View</v>
      </c>
    </row>
    <row r="1331" spans="1:19" ht="40">
      <c r="A1331" s="8">
        <v>43347.607546296298</v>
      </c>
      <c r="B1331" s="11" t="str">
        <f>HYPERLINK("https://twitter.com/farid_vk","@farid_vk")</f>
        <v>@farid_vk</v>
      </c>
      <c r="C1331" s="6" t="s">
        <v>8153</v>
      </c>
      <c r="D1331" s="5" t="s">
        <v>13354</v>
      </c>
      <c r="E1331" s="9" t="str">
        <f>HYPERLINK("https://twitter.com/farid_vk/status/1036918005211582464","1036918005211582464")</f>
        <v>1036918005211582464</v>
      </c>
      <c r="F1331" s="10" t="s">
        <v>13353</v>
      </c>
      <c r="G1331" s="10" t="s">
        <v>13352</v>
      </c>
      <c r="H1331" s="4"/>
      <c r="I1331" s="10" t="str">
        <f>HYPERLINK("http://twitter.com","Twitter Web Client")</f>
        <v>Twitter Web Client</v>
      </c>
      <c r="J1331" s="2">
        <v>137</v>
      </c>
      <c r="K1331" s="2">
        <v>791</v>
      </c>
      <c r="L1331" s="2">
        <v>0</v>
      </c>
      <c r="M1331" s="2"/>
      <c r="N1331" s="8">
        <v>43209.084780092591</v>
      </c>
      <c r="O1331" s="4"/>
      <c r="P1331" s="3" t="s">
        <v>8151</v>
      </c>
      <c r="Q1331" s="4"/>
      <c r="R1331" s="4"/>
      <c r="S1331" s="9" t="str">
        <f>HYPERLINK("https://pbs.twimg.com/profile_images/1016623699691175936/aJsehUvu.jpg","View")</f>
        <v>View</v>
      </c>
    </row>
    <row r="1332" spans="1:19" ht="20">
      <c r="A1332" s="8">
        <v>43347.605543981481</v>
      </c>
      <c r="B1332" s="11" t="str">
        <f>HYPERLINK("https://twitter.com/fatam_ri","@fatam_ri")</f>
        <v>@fatam_ri</v>
      </c>
      <c r="C1332" s="6" t="s">
        <v>13351</v>
      </c>
      <c r="D1332" s="5" t="s">
        <v>13350</v>
      </c>
      <c r="E1332" s="9" t="str">
        <f>HYPERLINK("https://twitter.com/fatam_ri/status/1036917279366295552","1036917279366295552")</f>
        <v>1036917279366295552</v>
      </c>
      <c r="F1332" s="4"/>
      <c r="G1332" s="4"/>
      <c r="H1332" s="4"/>
      <c r="I1332" s="10" t="str">
        <f>HYPERLINK("http://twitter.com/download/iphone","Twitter for iPhone")</f>
        <v>Twitter for iPhone</v>
      </c>
      <c r="J1332" s="2">
        <v>34</v>
      </c>
      <c r="K1332" s="2">
        <v>35</v>
      </c>
      <c r="L1332" s="2">
        <v>0</v>
      </c>
      <c r="M1332" s="2"/>
      <c r="N1332" s="8">
        <v>43247.496064814812</v>
      </c>
      <c r="O1332" s="4"/>
      <c r="P1332" s="3" t="s">
        <v>13349</v>
      </c>
      <c r="Q1332" s="4"/>
      <c r="R1332" s="4"/>
      <c r="S1332" s="9" t="str">
        <f>HYPERLINK("https://pbs.twimg.com/profile_images/1031839562874740741/49Cu8U6T.jpg","View")</f>
        <v>View</v>
      </c>
    </row>
    <row r="1333" spans="1:19" ht="40">
      <c r="A1333" s="8">
        <v>43347.605046296296</v>
      </c>
      <c r="B1333" s="11" t="str">
        <f>HYPERLINK("https://twitter.com/Kiyanara","@Kiyanara")</f>
        <v>@Kiyanara</v>
      </c>
      <c r="C1333" s="6" t="s">
        <v>2162</v>
      </c>
      <c r="D1333" s="5" t="s">
        <v>13348</v>
      </c>
      <c r="E1333" s="9" t="str">
        <f>HYPERLINK("https://twitter.com/Kiyanara/status/1036917099644379136","1036917099644379136")</f>
        <v>1036917099644379136</v>
      </c>
      <c r="F1333" s="4"/>
      <c r="G1333" s="4"/>
      <c r="H1333" s="4"/>
      <c r="I1333" s="10" t="str">
        <f>HYPERLINK("http://twitter.com","Twitter Web Client")</f>
        <v>Twitter Web Client</v>
      </c>
      <c r="J1333" s="2">
        <v>294</v>
      </c>
      <c r="K1333" s="2">
        <v>229</v>
      </c>
      <c r="L1333" s="2">
        <v>2</v>
      </c>
      <c r="M1333" s="2"/>
      <c r="N1333" s="8">
        <v>41155.709988425922</v>
      </c>
      <c r="O1333" s="4" t="s">
        <v>2159</v>
      </c>
      <c r="P1333" s="3" t="s">
        <v>2158</v>
      </c>
      <c r="Q1333" s="4"/>
      <c r="R1333" s="4"/>
      <c r="S1333" s="9" t="str">
        <f>HYPERLINK("https://pbs.twimg.com/profile_images/1016974331086176256/AIsihCYT.jpg","View")</f>
        <v>View</v>
      </c>
    </row>
    <row r="1334" spans="1:19" ht="20">
      <c r="A1334" s="8">
        <v>43347.60319444444</v>
      </c>
      <c r="B1334" s="11" t="str">
        <f>HYPERLINK("https://twitter.com/AbbyUsed","@AbbyUsed")</f>
        <v>@AbbyUsed</v>
      </c>
      <c r="C1334" s="6" t="s">
        <v>13347</v>
      </c>
      <c r="D1334" s="5" t="s">
        <v>13346</v>
      </c>
      <c r="E1334" s="9" t="str">
        <f>HYPERLINK("https://twitter.com/AbbyUsed/status/1036916430535569408","1036916430535569408")</f>
        <v>1036916430535569408</v>
      </c>
      <c r="F1334" s="4"/>
      <c r="G1334" s="4"/>
      <c r="H1334" s="4"/>
      <c r="I1334" s="10" t="str">
        <f>HYPERLINK("http://twitter.com","Twitter Web Client")</f>
        <v>Twitter Web Client</v>
      </c>
      <c r="J1334" s="2">
        <v>107</v>
      </c>
      <c r="K1334" s="2">
        <v>501</v>
      </c>
      <c r="L1334" s="2">
        <v>0</v>
      </c>
      <c r="M1334" s="2"/>
      <c r="N1334" s="8">
        <v>42147.428541666668</v>
      </c>
      <c r="O1334" s="4" t="s">
        <v>13345</v>
      </c>
      <c r="P1334" s="3"/>
      <c r="Q1334" s="4"/>
      <c r="R1334" s="4"/>
      <c r="S1334" s="9" t="str">
        <f>HYPERLINK("https://pbs.twimg.com/profile_images/995231335370326016/OHHAAQ3o.jpg","View")</f>
        <v>View</v>
      </c>
    </row>
    <row r="1335" spans="1:19" ht="20">
      <c r="A1335" s="8">
        <v>43347.602766203709</v>
      </c>
      <c r="B1335" s="11" t="str">
        <f>HYPERLINK("https://twitter.com/m_r_f_najafi","@m_r_f_najafi")</f>
        <v>@m_r_f_najafi</v>
      </c>
      <c r="C1335" s="6" t="s">
        <v>4383</v>
      </c>
      <c r="D1335" s="5" t="s">
        <v>13344</v>
      </c>
      <c r="E1335" s="9" t="str">
        <f>HYPERLINK("https://twitter.com/m_r_f_najafi/status/1036916272775278598","1036916272775278598")</f>
        <v>1036916272775278598</v>
      </c>
      <c r="F1335" s="4"/>
      <c r="G1335" s="4"/>
      <c r="H1335" s="4"/>
      <c r="I1335" s="10" t="str">
        <f>HYPERLINK("http://twitter.com/download/android","Twitter for Android")</f>
        <v>Twitter for Android</v>
      </c>
      <c r="J1335" s="2">
        <v>211</v>
      </c>
      <c r="K1335" s="2">
        <v>33</v>
      </c>
      <c r="L1335" s="2">
        <v>3</v>
      </c>
      <c r="M1335" s="2"/>
      <c r="N1335" s="8">
        <v>43032.872303240743</v>
      </c>
      <c r="O1335" s="4"/>
      <c r="P1335" s="3"/>
      <c r="Q1335" s="4"/>
      <c r="R1335" s="4"/>
      <c r="S1335" s="9" t="str">
        <f>HYPERLINK("https://pbs.twimg.com/profile_images/932731081786142720/P3d8Wbit.jpg","View")</f>
        <v>View</v>
      </c>
    </row>
    <row r="1336" spans="1:19" ht="30">
      <c r="A1336" s="8">
        <v>43347.601863425924</v>
      </c>
      <c r="B1336" s="11" t="str">
        <f>HYPERLINK("https://twitter.com/0paradoxam0","@0paradoxam0")</f>
        <v>@0paradoxam0</v>
      </c>
      <c r="C1336" s="6" t="s">
        <v>11846</v>
      </c>
      <c r="D1336" s="5" t="s">
        <v>13343</v>
      </c>
      <c r="E1336" s="9" t="str">
        <f>HYPERLINK("https://twitter.com/0paradoxam0/status/1036915946827538432","1036915946827538432")</f>
        <v>1036915946827538432</v>
      </c>
      <c r="F1336" s="4"/>
      <c r="G1336" s="4"/>
      <c r="H1336" s="4"/>
      <c r="I1336" s="10" t="str">
        <f>HYPERLINK("http://twitter.com/download/android","Twitter for Android")</f>
        <v>Twitter for Android</v>
      </c>
      <c r="J1336" s="2">
        <v>378</v>
      </c>
      <c r="K1336" s="2">
        <v>183</v>
      </c>
      <c r="L1336" s="2">
        <v>2</v>
      </c>
      <c r="M1336" s="2"/>
      <c r="N1336" s="8">
        <v>41837.599062499998</v>
      </c>
      <c r="O1336" s="4" t="s">
        <v>11844</v>
      </c>
      <c r="P1336" s="3" t="s">
        <v>11843</v>
      </c>
      <c r="Q1336" s="4"/>
      <c r="R1336" s="4"/>
      <c r="S1336" s="9" t="str">
        <f>HYPERLINK("https://pbs.twimg.com/profile_images/1015475565418176512/pDZ8-tlM.jpg","View")</f>
        <v>View</v>
      </c>
    </row>
    <row r="1337" spans="1:19" ht="80">
      <c r="A1337" s="8">
        <v>43347.600821759261</v>
      </c>
      <c r="B1337" s="11" t="str">
        <f>HYPERLINK("https://twitter.com/ehsan_cheraghi","@ehsan_cheraghi")</f>
        <v>@ehsan_cheraghi</v>
      </c>
      <c r="C1337" s="6" t="s">
        <v>13342</v>
      </c>
      <c r="D1337" s="5" t="s">
        <v>13341</v>
      </c>
      <c r="E1337" s="9" t="str">
        <f>HYPERLINK("https://twitter.com/ehsan_cheraghi/status/1036915571818983425","1036915571818983425")</f>
        <v>1036915571818983425</v>
      </c>
      <c r="F1337" s="10" t="s">
        <v>13297</v>
      </c>
      <c r="G1337" s="10" t="s">
        <v>13296</v>
      </c>
      <c r="H1337" s="4"/>
      <c r="I1337" s="10" t="str">
        <f>HYPERLINK("http://twitter.com/download/android","Twitter for Android")</f>
        <v>Twitter for Android</v>
      </c>
      <c r="J1337" s="2">
        <v>361</v>
      </c>
      <c r="K1337" s="2">
        <v>352</v>
      </c>
      <c r="L1337" s="2">
        <v>0</v>
      </c>
      <c r="M1337" s="2"/>
      <c r="N1337" s="8">
        <v>41306.649108796293</v>
      </c>
      <c r="O1337" s="4"/>
      <c r="P1337" s="3" t="s">
        <v>13340</v>
      </c>
      <c r="Q1337" s="4"/>
      <c r="R1337" s="4"/>
      <c r="S1337" s="9" t="str">
        <f>HYPERLINK("https://pbs.twimg.com/profile_images/1011668002532622339/OSoaz6fi.jpg","View")</f>
        <v>View</v>
      </c>
    </row>
    <row r="1338" spans="1:19" ht="30">
      <c r="A1338" s="8">
        <v>43347.600694444445</v>
      </c>
      <c r="B1338" s="11" t="str">
        <f>HYPERLINK("https://twitter.com/GeraaMedia","@GeraaMedia")</f>
        <v>@GeraaMedia</v>
      </c>
      <c r="C1338" s="6" t="s">
        <v>13127</v>
      </c>
      <c r="D1338" s="5" t="s">
        <v>13339</v>
      </c>
      <c r="E1338" s="9" t="str">
        <f>HYPERLINK("https://twitter.com/GeraaMedia/status/1036915521848070144","1036915521848070144")</f>
        <v>1036915521848070144</v>
      </c>
      <c r="F1338" s="4"/>
      <c r="G1338" s="10" t="s">
        <v>13338</v>
      </c>
      <c r="H1338" s="4"/>
      <c r="I1338" s="10" t="str">
        <f>HYPERLINK("http://twitter.com/download/android","Twitter for Android")</f>
        <v>Twitter for Android</v>
      </c>
      <c r="J1338" s="2">
        <v>974</v>
      </c>
      <c r="K1338" s="2">
        <v>14</v>
      </c>
      <c r="L1338" s="2">
        <v>14</v>
      </c>
      <c r="M1338" s="2"/>
      <c r="N1338" s="8">
        <v>43260.974722222221</v>
      </c>
      <c r="O1338" s="4" t="s">
        <v>34</v>
      </c>
      <c r="P1338" s="3" t="s">
        <v>13124</v>
      </c>
      <c r="Q1338" s="4"/>
      <c r="R1338" s="4"/>
      <c r="S1338" s="9" t="str">
        <f>HYPERLINK("https://pbs.twimg.com/profile_images/1013771784645218304/4VOo9uPU.jpg","View")</f>
        <v>View</v>
      </c>
    </row>
    <row r="1339" spans="1:19" ht="20">
      <c r="A1339" s="8">
        <v>43347.599050925928</v>
      </c>
      <c r="B1339" s="11" t="str">
        <f>HYPERLINK("https://twitter.com/radioomid","@radioomid")</f>
        <v>@radioomid</v>
      </c>
      <c r="C1339" s="6" t="s">
        <v>6261</v>
      </c>
      <c r="D1339" s="5" t="s">
        <v>13337</v>
      </c>
      <c r="E1339" s="9" t="str">
        <f>HYPERLINK("https://twitter.com/radioomid/status/1036914928815357957","1036914928815357957")</f>
        <v>1036914928815357957</v>
      </c>
      <c r="F1339" s="10" t="s">
        <v>13336</v>
      </c>
      <c r="G1339" s="4"/>
      <c r="H1339" s="4"/>
      <c r="I1339" s="10" t="str">
        <f>HYPERLINK("http://twitter.com","Twitter Web Client")</f>
        <v>Twitter Web Client</v>
      </c>
      <c r="J1339" s="2">
        <v>667</v>
      </c>
      <c r="K1339" s="2">
        <v>592</v>
      </c>
      <c r="L1339" s="2">
        <v>1</v>
      </c>
      <c r="M1339" s="2"/>
      <c r="N1339" s="8">
        <v>42836.654143518521</v>
      </c>
      <c r="O1339" s="4" t="s">
        <v>6258</v>
      </c>
      <c r="P1339" s="3" t="s">
        <v>6257</v>
      </c>
      <c r="Q1339" s="10" t="s">
        <v>6256</v>
      </c>
      <c r="R1339" s="4"/>
      <c r="S1339" s="9" t="str">
        <f>HYPERLINK("https://pbs.twimg.com/profile_images/864869486729494528/iRFVzy5V.jpg","View")</f>
        <v>View</v>
      </c>
    </row>
    <row r="1340" spans="1:19" ht="20">
      <c r="A1340" s="8">
        <v>43347.597604166665</v>
      </c>
      <c r="B1340" s="11" t="str">
        <f>HYPERLINK("https://twitter.com/7aoPAeAnOKqm6Ez","@7aoPAeAnOKqm6Ez")</f>
        <v>@7aoPAeAnOKqm6Ez</v>
      </c>
      <c r="C1340" s="6" t="s">
        <v>13335</v>
      </c>
      <c r="D1340" s="5" t="s">
        <v>13334</v>
      </c>
      <c r="E1340" s="9" t="str">
        <f>HYPERLINK("https://twitter.com/7aoPAeAnOKqm6Ez/status/1036914404628017152","1036914404628017152")</f>
        <v>1036914404628017152</v>
      </c>
      <c r="F1340" s="4"/>
      <c r="G1340" s="4"/>
      <c r="H1340" s="4"/>
      <c r="I1340" s="10" t="str">
        <f>HYPERLINK("https://mobile.twitter.com","Twitter Lite")</f>
        <v>Twitter Lite</v>
      </c>
      <c r="J1340" s="2">
        <v>11</v>
      </c>
      <c r="K1340" s="2">
        <v>34</v>
      </c>
      <c r="L1340" s="2">
        <v>0</v>
      </c>
      <c r="M1340" s="2"/>
      <c r="N1340" s="8">
        <v>43328.286643518513</v>
      </c>
      <c r="O1340" s="4" t="s">
        <v>13333</v>
      </c>
      <c r="P1340" s="3" t="s">
        <v>13332</v>
      </c>
      <c r="Q1340" s="4"/>
      <c r="R1340" s="4"/>
      <c r="S1340" s="9" t="str">
        <f>HYPERLINK("https://pbs.twimg.com/profile_images/1036482573235572737/Q5Ry_3bN.jpg","View")</f>
        <v>View</v>
      </c>
    </row>
    <row r="1341" spans="1:19" ht="30">
      <c r="A1341" s="8">
        <v>43347.596620370372</v>
      </c>
      <c r="B1341" s="11" t="str">
        <f>HYPERLINK("https://twitter.com/salman_sanjary","@salman_sanjary")</f>
        <v>@salman_sanjary</v>
      </c>
      <c r="C1341" s="6" t="s">
        <v>3365</v>
      </c>
      <c r="D1341" s="5" t="s">
        <v>13331</v>
      </c>
      <c r="E1341" s="9" t="str">
        <f>HYPERLINK("https://twitter.com/salman_sanjary/status/1036914047931887616","1036914047931887616")</f>
        <v>1036914047931887616</v>
      </c>
      <c r="F1341" s="4"/>
      <c r="G1341" s="4"/>
      <c r="H1341" s="4"/>
      <c r="I1341" s="10" t="str">
        <f>HYPERLINK("http://twitter.com/download/android","Twitter for Android")</f>
        <v>Twitter for Android</v>
      </c>
      <c r="J1341" s="2">
        <v>109</v>
      </c>
      <c r="K1341" s="2">
        <v>225</v>
      </c>
      <c r="L1341" s="2">
        <v>1</v>
      </c>
      <c r="M1341" s="2"/>
      <c r="N1341" s="8">
        <v>43310.393240740741</v>
      </c>
      <c r="O1341" s="4" t="s">
        <v>3363</v>
      </c>
      <c r="P1341" s="3" t="s">
        <v>3362</v>
      </c>
      <c r="Q1341" s="4"/>
      <c r="R1341" s="4"/>
      <c r="S1341" s="9" t="str">
        <f>HYPERLINK("https://pbs.twimg.com/profile_images/1023443114164404225/aoqNKpOX.jpg","View")</f>
        <v>View</v>
      </c>
    </row>
    <row r="1342" spans="1:19" ht="30">
      <c r="A1342" s="8">
        <v>43347.59538194444</v>
      </c>
      <c r="B1342" s="11" t="str">
        <f>HYPERLINK("https://twitter.com/mohamadsalimi69","@mohamadsalimi69")</f>
        <v>@mohamadsalimi69</v>
      </c>
      <c r="C1342" s="6" t="s">
        <v>2858</v>
      </c>
      <c r="D1342" s="5" t="s">
        <v>13330</v>
      </c>
      <c r="E1342" s="9" t="str">
        <f>HYPERLINK("https://twitter.com/mohamadsalimi69/status/1036913600403828736","1036913600403828736")</f>
        <v>1036913600403828736</v>
      </c>
      <c r="F1342" s="4"/>
      <c r="G1342" s="4"/>
      <c r="H1342" s="4"/>
      <c r="I1342" s="10" t="str">
        <f>HYPERLINK("http://twitter.com/download/android","Twitter for Android")</f>
        <v>Twitter for Android</v>
      </c>
      <c r="J1342" s="2">
        <v>261</v>
      </c>
      <c r="K1342" s="2">
        <v>222</v>
      </c>
      <c r="L1342" s="2">
        <v>0</v>
      </c>
      <c r="M1342" s="2"/>
      <c r="N1342" s="8">
        <v>42471.547812500001</v>
      </c>
      <c r="O1342" s="4"/>
      <c r="P1342" s="3" t="s">
        <v>2855</v>
      </c>
      <c r="Q1342" s="4"/>
      <c r="R1342" s="4"/>
      <c r="S1342" s="9" t="str">
        <f>HYPERLINK("https://pbs.twimg.com/profile_images/1011262089216823296/oKIeknpo.jpg","View")</f>
        <v>View</v>
      </c>
    </row>
    <row r="1343" spans="1:19" ht="30">
      <c r="A1343" s="8">
        <v>43347.59511574074</v>
      </c>
      <c r="B1343" s="11" t="str">
        <f>HYPERLINK("https://twitter.com/moradi101","@moradi101")</f>
        <v>@moradi101</v>
      </c>
      <c r="C1343" s="6" t="s">
        <v>13329</v>
      </c>
      <c r="D1343" s="5" t="s">
        <v>13328</v>
      </c>
      <c r="E1343" s="9" t="str">
        <f>HYPERLINK("https://twitter.com/moradi101/status/1036913504274534400","1036913504274534400")</f>
        <v>1036913504274534400</v>
      </c>
      <c r="F1343" s="4"/>
      <c r="G1343" s="4"/>
      <c r="H1343" s="4"/>
      <c r="I1343" s="10" t="str">
        <f>HYPERLINK("http://twitter.com/download/android","Twitter for Android")</f>
        <v>Twitter for Android</v>
      </c>
      <c r="J1343" s="2">
        <v>207</v>
      </c>
      <c r="K1343" s="2">
        <v>315</v>
      </c>
      <c r="L1343" s="2">
        <v>0</v>
      </c>
      <c r="M1343" s="2"/>
      <c r="N1343" s="8">
        <v>41672.948865740742</v>
      </c>
      <c r="O1343" s="4" t="s">
        <v>17</v>
      </c>
      <c r="P1343" s="3" t="s">
        <v>13327</v>
      </c>
      <c r="Q1343" s="4"/>
      <c r="R1343" s="4"/>
      <c r="S1343" s="9" t="str">
        <f>HYPERLINK("https://pbs.twimg.com/profile_images/995234076490715137/gwOLgd-L.jpg","View")</f>
        <v>View</v>
      </c>
    </row>
    <row r="1344" spans="1:19" ht="30">
      <c r="A1344" s="8">
        <v>43347.594606481478</v>
      </c>
      <c r="B1344" s="11" t="str">
        <f>HYPERLINK("https://twitter.com/rezaebadizade","@rezaebadizade")</f>
        <v>@rezaebadizade</v>
      </c>
      <c r="C1344" s="6" t="s">
        <v>13326</v>
      </c>
      <c r="D1344" s="5" t="s">
        <v>13325</v>
      </c>
      <c r="E1344" s="9" t="str">
        <f>HYPERLINK("https://twitter.com/rezaebadizade/status/1036913319213498369","1036913319213498369")</f>
        <v>1036913319213498369</v>
      </c>
      <c r="F1344" s="10" t="s">
        <v>13324</v>
      </c>
      <c r="G1344" s="4"/>
      <c r="H1344" s="4"/>
      <c r="I1344" s="10" t="str">
        <f>HYPERLINK("http://twitter.com","Twitter Web Client")</f>
        <v>Twitter Web Client</v>
      </c>
      <c r="J1344" s="2">
        <v>300</v>
      </c>
      <c r="K1344" s="2">
        <v>305</v>
      </c>
      <c r="L1344" s="2">
        <v>4</v>
      </c>
      <c r="M1344" s="2"/>
      <c r="N1344" s="8">
        <v>41122.888553240744</v>
      </c>
      <c r="O1344" s="4" t="s">
        <v>211</v>
      </c>
      <c r="P1344" s="3" t="s">
        <v>13323</v>
      </c>
      <c r="Q1344" s="10" t="s">
        <v>13322</v>
      </c>
      <c r="R1344" s="4"/>
      <c r="S1344" s="9" t="str">
        <f>HYPERLINK("https://pbs.twimg.com/profile_images/620193154818572289/BzscoriK.jpg","View")</f>
        <v>View</v>
      </c>
    </row>
    <row r="1345" spans="1:19" ht="20">
      <c r="A1345" s="8">
        <v>43347.594548611116</v>
      </c>
      <c r="B1345" s="11" t="str">
        <f>HYPERLINK("https://twitter.com/barandazaan","@barandazaan")</f>
        <v>@barandazaan</v>
      </c>
      <c r="C1345" s="6" t="s">
        <v>13321</v>
      </c>
      <c r="D1345" s="5" t="s">
        <v>13320</v>
      </c>
      <c r="E1345" s="9" t="str">
        <f>HYPERLINK("https://twitter.com/barandazaan/status/1036913294739685376","1036913294739685376")</f>
        <v>1036913294739685376</v>
      </c>
      <c r="F1345" s="4"/>
      <c r="G1345" s="4"/>
      <c r="H1345" s="4"/>
      <c r="I1345" s="10" t="str">
        <f>HYPERLINK("http://twitter.com","Twitter Web Client")</f>
        <v>Twitter Web Client</v>
      </c>
      <c r="J1345" s="2">
        <v>392</v>
      </c>
      <c r="K1345" s="2">
        <v>379</v>
      </c>
      <c r="L1345" s="2">
        <v>0</v>
      </c>
      <c r="M1345" s="2"/>
      <c r="N1345" s="8">
        <v>41889.885775462964</v>
      </c>
      <c r="O1345" s="4" t="s">
        <v>25</v>
      </c>
      <c r="P1345" s="3" t="s">
        <v>10250</v>
      </c>
      <c r="Q1345" s="4"/>
      <c r="R1345" s="4"/>
      <c r="S1345" s="9" t="str">
        <f>HYPERLINK("https://pbs.twimg.com/profile_images/1035770688437727232/ICvIBkRm.jpg","View")</f>
        <v>View</v>
      </c>
    </row>
    <row r="1346" spans="1:19" ht="20">
      <c r="A1346" s="8">
        <v>43347.593935185185</v>
      </c>
      <c r="B1346" s="11" t="str">
        <f>HYPERLINK("https://twitter.com/moas619","@moas619")</f>
        <v>@moas619</v>
      </c>
      <c r="C1346" s="6">
        <v>619</v>
      </c>
      <c r="D1346" s="5" t="s">
        <v>13319</v>
      </c>
      <c r="E1346" s="9" t="str">
        <f>HYPERLINK("https://twitter.com/moas619/status/1036913076321349632","1036913076321349632")</f>
        <v>1036913076321349632</v>
      </c>
      <c r="F1346" s="4"/>
      <c r="G1346" s="4"/>
      <c r="H1346" s="4"/>
      <c r="I1346" s="10" t="str">
        <f>HYPERLINK("http://twitter.com/download/android","Twitter for Android")</f>
        <v>Twitter for Android</v>
      </c>
      <c r="J1346" s="2">
        <v>90</v>
      </c>
      <c r="K1346" s="2">
        <v>161</v>
      </c>
      <c r="L1346" s="2">
        <v>0</v>
      </c>
      <c r="M1346" s="2"/>
      <c r="N1346" s="8">
        <v>42820.84611111111</v>
      </c>
      <c r="O1346" s="4" t="s">
        <v>34</v>
      </c>
      <c r="P1346" s="3"/>
      <c r="Q1346" s="4"/>
      <c r="R1346" s="4"/>
      <c r="S1346" s="9" t="str">
        <f>HYPERLINK("https://pbs.twimg.com/profile_images/1027060936086102016/VSqg7Jst.jpg","View")</f>
        <v>View</v>
      </c>
    </row>
    <row r="1347" spans="1:19" ht="40">
      <c r="A1347" s="8">
        <v>43347.593599537038</v>
      </c>
      <c r="B1347" s="11" t="str">
        <f>HYPERLINK("https://twitter.com/simayazaditv","@simayazaditv")</f>
        <v>@simayazaditv</v>
      </c>
      <c r="C1347" s="6" t="s">
        <v>1758</v>
      </c>
      <c r="D1347" s="5" t="s">
        <v>13318</v>
      </c>
      <c r="E1347" s="9" t="str">
        <f>HYPERLINK("https://twitter.com/simayazaditv/status/1036912953780568064","1036912953780568064")</f>
        <v>1036912953780568064</v>
      </c>
      <c r="F1347" s="4"/>
      <c r="G1347" s="10" t="s">
        <v>13317</v>
      </c>
      <c r="H1347" s="4"/>
      <c r="I1347" s="10" t="str">
        <f>HYPERLINK("http://twitter.com","Twitter Web Client")</f>
        <v>Twitter Web Client</v>
      </c>
      <c r="J1347" s="2">
        <v>6070</v>
      </c>
      <c r="K1347" s="2">
        <v>1</v>
      </c>
      <c r="L1347" s="2">
        <v>101</v>
      </c>
      <c r="M1347" s="2"/>
      <c r="N1347" s="8">
        <v>42209.662442129629</v>
      </c>
      <c r="O1347" s="4" t="s">
        <v>252</v>
      </c>
      <c r="P1347" s="3"/>
      <c r="Q1347" s="10" t="s">
        <v>1755</v>
      </c>
      <c r="R1347" s="4"/>
      <c r="S1347" s="9" t="str">
        <f>HYPERLINK("https://pbs.twimg.com/profile_images/624546008937144321/5aqccHix.png","View")</f>
        <v>View</v>
      </c>
    </row>
    <row r="1348" spans="1:19" ht="20">
      <c r="A1348" s="8">
        <v>43347.592581018514</v>
      </c>
      <c r="B1348" s="11" t="str">
        <f>HYPERLINK("https://twitter.com/GeraaMedia","@GeraaMedia")</f>
        <v>@GeraaMedia</v>
      </c>
      <c r="C1348" s="6" t="s">
        <v>13127</v>
      </c>
      <c r="D1348" s="5" t="s">
        <v>13316</v>
      </c>
      <c r="E1348" s="9" t="str">
        <f>HYPERLINK("https://twitter.com/GeraaMedia/status/1036912584459542528","1036912584459542528")</f>
        <v>1036912584459542528</v>
      </c>
      <c r="F1348" s="4"/>
      <c r="G1348" s="10" t="s">
        <v>13315</v>
      </c>
      <c r="H1348" s="4"/>
      <c r="I1348" s="10" t="str">
        <f>HYPERLINK("http://twitter.com/download/android","Twitter for Android")</f>
        <v>Twitter for Android</v>
      </c>
      <c r="J1348" s="2">
        <v>973</v>
      </c>
      <c r="K1348" s="2">
        <v>14</v>
      </c>
      <c r="L1348" s="2">
        <v>13</v>
      </c>
      <c r="M1348" s="2"/>
      <c r="N1348" s="8">
        <v>43260.974722222221</v>
      </c>
      <c r="O1348" s="4" t="s">
        <v>34</v>
      </c>
      <c r="P1348" s="3" t="s">
        <v>13124</v>
      </c>
      <c r="Q1348" s="4"/>
      <c r="R1348" s="4"/>
      <c r="S1348" s="9" t="str">
        <f>HYPERLINK("https://pbs.twimg.com/profile_images/1013771784645218304/4VOo9uPU.jpg","View")</f>
        <v>View</v>
      </c>
    </row>
    <row r="1349" spans="1:19" ht="40">
      <c r="A1349" s="8">
        <v>43347.592141203699</v>
      </c>
      <c r="B1349" s="11" t="str">
        <f>HYPERLINK("https://twitter.com/elsolito619","@elsolito619")</f>
        <v>@elsolito619</v>
      </c>
      <c r="C1349" s="6" t="s">
        <v>13314</v>
      </c>
      <c r="D1349" s="5" t="s">
        <v>13313</v>
      </c>
      <c r="E1349" s="9" t="str">
        <f>HYPERLINK("https://twitter.com/elsolito619/status/1036912422571859973","1036912422571859973")</f>
        <v>1036912422571859973</v>
      </c>
      <c r="F1349" s="4"/>
      <c r="G1349" s="4"/>
      <c r="H1349" s="4"/>
      <c r="I1349" s="10" t="str">
        <f>HYPERLINK("http://twitter.com","Twitter Web Client")</f>
        <v>Twitter Web Client</v>
      </c>
      <c r="J1349" s="2">
        <v>6</v>
      </c>
      <c r="K1349" s="2">
        <v>6</v>
      </c>
      <c r="L1349" s="2">
        <v>0</v>
      </c>
      <c r="M1349" s="2"/>
      <c r="N1349" s="8">
        <v>43120.527673611112</v>
      </c>
      <c r="O1349" s="4"/>
      <c r="P1349" s="3" t="s">
        <v>13312</v>
      </c>
      <c r="Q1349" s="4"/>
      <c r="R1349" s="4"/>
      <c r="S1349" s="9" t="str">
        <f>HYPERLINK("https://pbs.twimg.com/profile_images/1036911257440284672/XXorCdr4.jpg","View")</f>
        <v>View</v>
      </c>
    </row>
    <row r="1350" spans="1:19" ht="40">
      <c r="A1350" s="8">
        <v>43347.59170138889</v>
      </c>
      <c r="B1350" s="11" t="str">
        <f>HYPERLINK("https://twitter.com/HBidmeshk","@HBidmeshk")</f>
        <v>@HBidmeshk</v>
      </c>
      <c r="C1350" s="6" t="s">
        <v>13311</v>
      </c>
      <c r="D1350" s="5" t="s">
        <v>13310</v>
      </c>
      <c r="E1350" s="9" t="str">
        <f>HYPERLINK("https://twitter.com/HBidmeshk/status/1036912264920670210","1036912264920670210")</f>
        <v>1036912264920670210</v>
      </c>
      <c r="F1350" s="4"/>
      <c r="G1350" s="4"/>
      <c r="H1350" s="4"/>
      <c r="I1350" s="10" t="str">
        <f>HYPERLINK("http://twitter.com/#!/download/ipad","Twitter for iPad")</f>
        <v>Twitter for iPad</v>
      </c>
      <c r="J1350" s="2">
        <v>7</v>
      </c>
      <c r="K1350" s="2">
        <v>21</v>
      </c>
      <c r="L1350" s="2">
        <v>0</v>
      </c>
      <c r="M1350" s="2"/>
      <c r="N1350" s="8">
        <v>43241.736342592594</v>
      </c>
      <c r="O1350" s="4"/>
      <c r="P1350" s="3"/>
      <c r="Q1350" s="4"/>
      <c r="R1350" s="4"/>
      <c r="S1350" s="9" t="str">
        <f>HYPERLINK("https://pbs.twimg.com/profile_images/1010987634779357189/3h8fzHyv.jpg","View")</f>
        <v>View</v>
      </c>
    </row>
    <row r="1351" spans="1:19" ht="40">
      <c r="A1351" s="8">
        <v>43347.591099537036</v>
      </c>
      <c r="B1351" s="11" t="str">
        <f>HYPERLINK("https://twitter.com/m_amin_rezai","@m_amin_rezai")</f>
        <v>@m_amin_rezai</v>
      </c>
      <c r="C1351" s="6" t="s">
        <v>3521</v>
      </c>
      <c r="D1351" s="12" t="s">
        <v>13309</v>
      </c>
      <c r="E1351" s="9" t="str">
        <f>HYPERLINK("https://twitter.com/m_amin_rezai/status/1036912044761595906","1036912044761595906")</f>
        <v>1036912044761595906</v>
      </c>
      <c r="F1351" s="4"/>
      <c r="G1351" s="4"/>
      <c r="H1351" s="4"/>
      <c r="I1351" s="10" t="str">
        <f>HYPERLINK("http://twitter.com/download/android","Twitter for Android")</f>
        <v>Twitter for Android</v>
      </c>
      <c r="J1351" s="2">
        <v>2140</v>
      </c>
      <c r="K1351" s="2">
        <v>1857</v>
      </c>
      <c r="L1351" s="2">
        <v>8</v>
      </c>
      <c r="M1351" s="2"/>
      <c r="N1351" s="8">
        <v>42941.435937499999</v>
      </c>
      <c r="O1351" s="4" t="s">
        <v>17</v>
      </c>
      <c r="P1351" s="3" t="s">
        <v>3519</v>
      </c>
      <c r="Q1351" s="4"/>
      <c r="R1351" s="4"/>
      <c r="S1351" s="9" t="str">
        <f>HYPERLINK("https://pbs.twimg.com/profile_images/889734361637158912/PPCcZuAD.jpg","View")</f>
        <v>View</v>
      </c>
    </row>
    <row r="1352" spans="1:19" ht="70">
      <c r="A1352" s="8">
        <v>43347.590821759259</v>
      </c>
      <c r="B1352" s="11" t="str">
        <f>HYPERLINK("https://twitter.com/dina_pn2017","@dina_pn2017")</f>
        <v>@dina_pn2017</v>
      </c>
      <c r="C1352" s="6" t="s">
        <v>13308</v>
      </c>
      <c r="D1352" s="5" t="s">
        <v>13307</v>
      </c>
      <c r="E1352" s="9" t="str">
        <f>HYPERLINK("https://twitter.com/dina_pn2017/status/1036911946795233280","1036911946795233280")</f>
        <v>1036911946795233280</v>
      </c>
      <c r="F1352" s="10" t="s">
        <v>13306</v>
      </c>
      <c r="G1352" s="4"/>
      <c r="H1352" s="4"/>
      <c r="I1352" s="10" t="str">
        <f>HYPERLINK("http://twitter.com/download/android","Twitter for Android")</f>
        <v>Twitter for Android</v>
      </c>
      <c r="J1352" s="2">
        <v>2674</v>
      </c>
      <c r="K1352" s="2">
        <v>2648</v>
      </c>
      <c r="L1352" s="2">
        <v>2</v>
      </c>
      <c r="M1352" s="2"/>
      <c r="N1352" s="8">
        <v>42727.911122685182</v>
      </c>
      <c r="O1352" s="4" t="s">
        <v>13305</v>
      </c>
      <c r="P1352" s="3" t="s">
        <v>13304</v>
      </c>
      <c r="Q1352" s="4"/>
      <c r="R1352" s="4"/>
      <c r="S1352" s="9" t="str">
        <f>HYPERLINK("https://pbs.twimg.com/profile_images/891035330119438336/LLvZ-cp9.jpg","View")</f>
        <v>View</v>
      </c>
    </row>
    <row r="1353" spans="1:19" ht="40">
      <c r="A1353" s="8">
        <v>43347.590150462958</v>
      </c>
      <c r="B1353" s="11" t="str">
        <f>HYPERLINK("https://twitter.com/abomahmod_ir","@abomahmod_ir")</f>
        <v>@abomahmod_ir</v>
      </c>
      <c r="C1353" s="6" t="s">
        <v>13303</v>
      </c>
      <c r="D1353" s="5" t="s">
        <v>13302</v>
      </c>
      <c r="E1353" s="9" t="str">
        <f>HYPERLINK("https://twitter.com/abomahmod_ir/status/1036911702321848320","1036911702321848320")</f>
        <v>1036911702321848320</v>
      </c>
      <c r="F1353" s="10" t="s">
        <v>13301</v>
      </c>
      <c r="G1353" s="10" t="s">
        <v>13300</v>
      </c>
      <c r="H1353" s="4"/>
      <c r="I1353" s="10" t="str">
        <f>HYPERLINK("http://twitter.com/download/android","Twitter for Android")</f>
        <v>Twitter for Android</v>
      </c>
      <c r="J1353" s="2">
        <v>656</v>
      </c>
      <c r="K1353" s="2">
        <v>97</v>
      </c>
      <c r="L1353" s="2">
        <v>3</v>
      </c>
      <c r="M1353" s="2"/>
      <c r="N1353" s="8">
        <v>43254.629976851851</v>
      </c>
      <c r="O1353" s="4" t="s">
        <v>17</v>
      </c>
      <c r="P1353" s="3" t="s">
        <v>13299</v>
      </c>
      <c r="Q1353" s="4"/>
      <c r="R1353" s="4"/>
      <c r="S1353" s="9" t="str">
        <f>HYPERLINK("https://pbs.twimg.com/profile_images/1035205316131127296/OTo1IEfK.jpg","View")</f>
        <v>View</v>
      </c>
    </row>
    <row r="1354" spans="1:19" ht="60">
      <c r="A1354" s="8">
        <v>43347.590092592596</v>
      </c>
      <c r="B1354" s="11" t="str">
        <f>HYPERLINK("https://twitter.com/amindlv","@amindlv")</f>
        <v>@amindlv</v>
      </c>
      <c r="C1354" s="6" t="s">
        <v>7520</v>
      </c>
      <c r="D1354" s="5" t="s">
        <v>13298</v>
      </c>
      <c r="E1354" s="9" t="str">
        <f>HYPERLINK("https://twitter.com/amindlv/status/1036911683124559878","1036911683124559878")</f>
        <v>1036911683124559878</v>
      </c>
      <c r="F1354" s="10" t="s">
        <v>13297</v>
      </c>
      <c r="G1354" s="10" t="s">
        <v>13296</v>
      </c>
      <c r="H1354" s="4"/>
      <c r="I1354" s="10" t="str">
        <f>HYPERLINK("http://twitter.com/download/android","Twitter for Android")</f>
        <v>Twitter for Android</v>
      </c>
      <c r="J1354" s="2">
        <v>2084</v>
      </c>
      <c r="K1354" s="2">
        <v>1900</v>
      </c>
      <c r="L1354" s="2">
        <v>14</v>
      </c>
      <c r="M1354" s="2"/>
      <c r="N1354" s="8">
        <v>40260.977210648147</v>
      </c>
      <c r="O1354" s="4" t="s">
        <v>34</v>
      </c>
      <c r="P1354" s="3" t="s">
        <v>7516</v>
      </c>
      <c r="Q1354" s="4"/>
      <c r="R1354" s="4"/>
      <c r="S1354" s="9" t="str">
        <f>HYPERLINK("https://pbs.twimg.com/profile_images/1025326662383292416/KsZNBLRH.jpg","View")</f>
        <v>View</v>
      </c>
    </row>
    <row r="1355" spans="1:19" ht="30">
      <c r="A1355" s="8">
        <v>43347.589571759258</v>
      </c>
      <c r="B1355" s="11" t="str">
        <f>HYPERLINK("https://twitter.com/Kiyanara","@Kiyanara")</f>
        <v>@Kiyanara</v>
      </c>
      <c r="C1355" s="6" t="s">
        <v>2162</v>
      </c>
      <c r="D1355" s="5" t="s">
        <v>13295</v>
      </c>
      <c r="E1355" s="9" t="str">
        <f>HYPERLINK("https://twitter.com/Kiyanara/status/1036911494242361344","1036911494242361344")</f>
        <v>1036911494242361344</v>
      </c>
      <c r="F1355" s="4"/>
      <c r="G1355" s="4"/>
      <c r="H1355" s="4"/>
      <c r="I1355" s="10" t="str">
        <f>HYPERLINK("http://twitter.com","Twitter Web Client")</f>
        <v>Twitter Web Client</v>
      </c>
      <c r="J1355" s="2">
        <v>292</v>
      </c>
      <c r="K1355" s="2">
        <v>229</v>
      </c>
      <c r="L1355" s="2">
        <v>2</v>
      </c>
      <c r="M1355" s="2"/>
      <c r="N1355" s="8">
        <v>41155.709988425922</v>
      </c>
      <c r="O1355" s="4" t="s">
        <v>2159</v>
      </c>
      <c r="P1355" s="3" t="s">
        <v>2158</v>
      </c>
      <c r="Q1355" s="4"/>
      <c r="R1355" s="4"/>
      <c r="S1355" s="9" t="str">
        <f>HYPERLINK("https://pbs.twimg.com/profile_images/1016974331086176256/AIsihCYT.jpg","View")</f>
        <v>View</v>
      </c>
    </row>
    <row r="1356" spans="1:19" ht="40">
      <c r="A1356" s="8">
        <v>43347.589328703703</v>
      </c>
      <c r="B1356" s="11" t="str">
        <f>HYPERLINK("https://twitter.com/simayazaditv","@simayazaditv")</f>
        <v>@simayazaditv</v>
      </c>
      <c r="C1356" s="6" t="s">
        <v>1758</v>
      </c>
      <c r="D1356" s="5" t="s">
        <v>13294</v>
      </c>
      <c r="E1356" s="9" t="str">
        <f>HYPERLINK("https://twitter.com/simayazaditv/status/1036911403007991808","1036911403007991808")</f>
        <v>1036911403007991808</v>
      </c>
      <c r="F1356" s="4"/>
      <c r="G1356" s="10" t="s">
        <v>13293</v>
      </c>
      <c r="H1356" s="4"/>
      <c r="I1356" s="10" t="str">
        <f>HYPERLINK("http://twitter.com","Twitter Web Client")</f>
        <v>Twitter Web Client</v>
      </c>
      <c r="J1356" s="2">
        <v>6070</v>
      </c>
      <c r="K1356" s="2">
        <v>1</v>
      </c>
      <c r="L1356" s="2">
        <v>101</v>
      </c>
      <c r="M1356" s="2"/>
      <c r="N1356" s="8">
        <v>42209.662442129629</v>
      </c>
      <c r="O1356" s="4" t="s">
        <v>252</v>
      </c>
      <c r="P1356" s="3"/>
      <c r="Q1356" s="10" t="s">
        <v>1755</v>
      </c>
      <c r="R1356" s="4"/>
      <c r="S1356" s="9" t="str">
        <f>HYPERLINK("https://pbs.twimg.com/profile_images/624546008937144321/5aqccHix.png","View")</f>
        <v>View</v>
      </c>
    </row>
    <row r="1357" spans="1:19" ht="30">
      <c r="A1357" s="8">
        <v>43347.588784722218</v>
      </c>
      <c r="B1357" s="11" t="str">
        <f>HYPERLINK("https://twitter.com/sattariali22","@sattariali22")</f>
        <v>@sattariali22</v>
      </c>
      <c r="C1357" s="6" t="s">
        <v>13292</v>
      </c>
      <c r="D1357" s="5" t="s">
        <v>13291</v>
      </c>
      <c r="E1357" s="9" t="str">
        <f>HYPERLINK("https://twitter.com/sattariali22/status/1036911206047592448","1036911206047592448")</f>
        <v>1036911206047592448</v>
      </c>
      <c r="F1357" s="4"/>
      <c r="G1357" s="10" t="s">
        <v>13290</v>
      </c>
      <c r="H1357" s="4"/>
      <c r="I1357" s="10" t="str">
        <f>HYPERLINK("http://twitter.com/download/android","Twitter for Android")</f>
        <v>Twitter for Android</v>
      </c>
      <c r="J1357" s="2">
        <v>2376</v>
      </c>
      <c r="K1357" s="2">
        <v>1361</v>
      </c>
      <c r="L1357" s="2">
        <v>6</v>
      </c>
      <c r="M1357" s="2"/>
      <c r="N1357" s="8">
        <v>42881.363680555558</v>
      </c>
      <c r="O1357" s="4"/>
      <c r="P1357" s="3" t="s">
        <v>13289</v>
      </c>
      <c r="Q1357" s="4"/>
      <c r="R1357" s="4"/>
      <c r="S1357" s="9" t="str">
        <f>HYPERLINK("https://pbs.twimg.com/profile_images/1029605998024122368/smb_cyFd.jpg","View")</f>
        <v>View</v>
      </c>
    </row>
    <row r="1358" spans="1:19" ht="20">
      <c r="A1358" s="8">
        <v>43347.588749999995</v>
      </c>
      <c r="B1358" s="11" t="str">
        <f>HYPERLINK("https://twitter.com/targetman77","@targetman77")</f>
        <v>@targetman77</v>
      </c>
      <c r="C1358" s="6" t="s">
        <v>8058</v>
      </c>
      <c r="D1358" s="5" t="s">
        <v>13288</v>
      </c>
      <c r="E1358" s="9" t="str">
        <f>HYPERLINK("https://twitter.com/targetman77/status/1036911197315100672","1036911197315100672")</f>
        <v>1036911197315100672</v>
      </c>
      <c r="F1358" s="4"/>
      <c r="G1358" s="4"/>
      <c r="H1358" s="4"/>
      <c r="I1358" s="10" t="str">
        <f>HYPERLINK("http://twitter.com/download/android","Twitter for Android")</f>
        <v>Twitter for Android</v>
      </c>
      <c r="J1358" s="2">
        <v>276</v>
      </c>
      <c r="K1358" s="2">
        <v>529</v>
      </c>
      <c r="L1358" s="2">
        <v>0</v>
      </c>
      <c r="M1358" s="2"/>
      <c r="N1358" s="8">
        <v>42704.392789351856</v>
      </c>
      <c r="O1358" s="4" t="s">
        <v>8055</v>
      </c>
      <c r="P1358" s="3" t="s">
        <v>8054</v>
      </c>
      <c r="Q1358" s="4"/>
      <c r="R1358" s="4"/>
      <c r="S1358" s="9" t="str">
        <f>HYPERLINK("https://pbs.twimg.com/profile_images/1004375683206991872/T-h63g7P.jpg","View")</f>
        <v>View</v>
      </c>
    </row>
    <row r="1359" spans="1:19" ht="30">
      <c r="A1359" s="8">
        <v>43347.588055555556</v>
      </c>
      <c r="B1359" s="11" t="str">
        <f>HYPERLINK("https://twitter.com/HabibDaneshvar","@HabibDaneshvar")</f>
        <v>@HabibDaneshvar</v>
      </c>
      <c r="C1359" s="6" t="s">
        <v>13287</v>
      </c>
      <c r="D1359" s="5" t="s">
        <v>13286</v>
      </c>
      <c r="E1359" s="9" t="str">
        <f>HYPERLINK("https://twitter.com/HabibDaneshvar/status/1036910942209097728","1036910942209097728")</f>
        <v>1036910942209097728</v>
      </c>
      <c r="F1359" s="4"/>
      <c r="G1359" s="4"/>
      <c r="H1359" s="4"/>
      <c r="I1359" s="10" t="str">
        <f>HYPERLINK("http://twitter.com/download/android","Twitter for Android")</f>
        <v>Twitter for Android</v>
      </c>
      <c r="J1359" s="2">
        <v>654</v>
      </c>
      <c r="K1359" s="2">
        <v>564</v>
      </c>
      <c r="L1359" s="2">
        <v>0</v>
      </c>
      <c r="M1359" s="2"/>
      <c r="N1359" s="8">
        <v>42262.973078703704</v>
      </c>
      <c r="O1359" s="4"/>
      <c r="P1359" s="3" t="s">
        <v>13285</v>
      </c>
      <c r="Q1359" s="4"/>
      <c r="R1359" s="4"/>
      <c r="S1359" s="9" t="str">
        <f>HYPERLINK("https://pbs.twimg.com/profile_images/1014072914629595137/SdpK2O91.jpg","View")</f>
        <v>View</v>
      </c>
    </row>
    <row r="1360" spans="1:19" ht="30">
      <c r="A1360" s="8">
        <v>43347.587094907409</v>
      </c>
      <c r="B1360" s="11" t="str">
        <f>HYPERLINK("https://twitter.com/tanzande","@tanzande")</f>
        <v>@tanzande</v>
      </c>
      <c r="C1360" s="6" t="s">
        <v>13271</v>
      </c>
      <c r="D1360" s="5" t="s">
        <v>13284</v>
      </c>
      <c r="E1360" s="9" t="str">
        <f>HYPERLINK("https://twitter.com/tanzande/status/1036910595717648385","1036910595717648385")</f>
        <v>1036910595717648385</v>
      </c>
      <c r="F1360" s="10" t="s">
        <v>13283</v>
      </c>
      <c r="G1360" s="4"/>
      <c r="H1360" s="4"/>
      <c r="I1360" s="10" t="str">
        <f>HYPERLINK("http://twitter.com","Twitter Web Client")</f>
        <v>Twitter Web Client</v>
      </c>
      <c r="J1360" s="2">
        <v>1134</v>
      </c>
      <c r="K1360" s="2">
        <v>693</v>
      </c>
      <c r="L1360" s="2">
        <v>3</v>
      </c>
      <c r="M1360" s="2"/>
      <c r="N1360" s="8">
        <v>42975.501689814817</v>
      </c>
      <c r="O1360" s="4" t="s">
        <v>763</v>
      </c>
      <c r="P1360" s="3" t="s">
        <v>13268</v>
      </c>
      <c r="Q1360" s="4"/>
      <c r="R1360" s="4"/>
      <c r="S1360" s="9" t="str">
        <f>HYPERLINK("https://pbs.twimg.com/profile_images/1023085801125634048/XjuBuHCd.jpg","View")</f>
        <v>View</v>
      </c>
    </row>
    <row r="1361" spans="1:19" ht="12.5">
      <c r="A1361" s="8">
        <v>43347.586585648147</v>
      </c>
      <c r="B1361" s="11" t="str">
        <f>HYPERLINK("https://twitter.com/MeisamQ","@MeisamQ")</f>
        <v>@MeisamQ</v>
      </c>
      <c r="C1361" s="6" t="s">
        <v>13282</v>
      </c>
      <c r="D1361" s="5" t="s">
        <v>13281</v>
      </c>
      <c r="E1361" s="9" t="str">
        <f>HYPERLINK("https://twitter.com/MeisamQ/status/1036910411529052160","1036910411529052160")</f>
        <v>1036910411529052160</v>
      </c>
      <c r="F1361" s="4"/>
      <c r="G1361" s="4"/>
      <c r="H1361" s="4"/>
      <c r="I1361" s="10" t="str">
        <f>HYPERLINK("http://twitter.com","Twitter Web Client")</f>
        <v>Twitter Web Client</v>
      </c>
      <c r="J1361" s="2">
        <v>242</v>
      </c>
      <c r="K1361" s="2">
        <v>547</v>
      </c>
      <c r="L1361" s="2">
        <v>1</v>
      </c>
      <c r="M1361" s="2"/>
      <c r="N1361" s="8">
        <v>40985.377141203702</v>
      </c>
      <c r="O1361" s="4" t="s">
        <v>1415</v>
      </c>
      <c r="P1361" s="3" t="s">
        <v>13280</v>
      </c>
      <c r="Q1361" s="10" t="s">
        <v>13279</v>
      </c>
      <c r="R1361" s="4"/>
      <c r="S1361" s="9" t="str">
        <f>HYPERLINK("https://pbs.twimg.com/profile_images/1902733838/229746_2178268583839_1460610412_2453377_177559_n.jpg","View")</f>
        <v>View</v>
      </c>
    </row>
    <row r="1362" spans="1:19" ht="50">
      <c r="A1362" s="8">
        <v>43347.585787037038</v>
      </c>
      <c r="B1362" s="11" t="str">
        <f>HYPERLINK("https://twitter.com/Ravani33","@Ravani33")</f>
        <v>@Ravani33</v>
      </c>
      <c r="C1362" s="6" t="s">
        <v>13278</v>
      </c>
      <c r="D1362" s="5" t="s">
        <v>13277</v>
      </c>
      <c r="E1362" s="9" t="str">
        <f>HYPERLINK("https://twitter.com/Ravani33/status/1036910122054893569","1036910122054893569")</f>
        <v>1036910122054893569</v>
      </c>
      <c r="F1362" s="4"/>
      <c r="G1362" s="4"/>
      <c r="H1362" s="4"/>
      <c r="I1362" s="10" t="str">
        <f>HYPERLINK("https://mobile.twitter.com","Twitter Lite")</f>
        <v>Twitter Lite</v>
      </c>
      <c r="J1362" s="2">
        <v>155</v>
      </c>
      <c r="K1362" s="2">
        <v>150</v>
      </c>
      <c r="L1362" s="2">
        <v>0</v>
      </c>
      <c r="M1362" s="2"/>
      <c r="N1362" s="8">
        <v>43130.947951388887</v>
      </c>
      <c r="O1362" s="4"/>
      <c r="P1362" s="3" t="s">
        <v>13276</v>
      </c>
      <c r="Q1362" s="4"/>
      <c r="R1362" s="4"/>
      <c r="S1362" s="9" t="str">
        <f>HYPERLINK("https://pbs.twimg.com/profile_images/995377699865677825/DfZk6iJM.jpg","View")</f>
        <v>View</v>
      </c>
    </row>
    <row r="1363" spans="1:19" ht="20">
      <c r="A1363" s="8">
        <v>43347.584293981483</v>
      </c>
      <c r="B1363" s="11" t="str">
        <f>HYPERLINK("https://twitter.com/ka_2_re","@ka_2_re")</f>
        <v>@ka_2_re</v>
      </c>
      <c r="C1363" s="6" t="s">
        <v>13275</v>
      </c>
      <c r="D1363" s="5" t="s">
        <v>13274</v>
      </c>
      <c r="E1363" s="9" t="str">
        <f>HYPERLINK("https://twitter.com/ka_2_re/status/1036909582361264128","1036909582361264128")</f>
        <v>1036909582361264128</v>
      </c>
      <c r="F1363" s="4"/>
      <c r="G1363" s="4"/>
      <c r="H1363" s="4"/>
      <c r="I1363" s="10" t="str">
        <f>HYPERLINK("http://twitter.com/download/android","Twitter for Android")</f>
        <v>Twitter for Android</v>
      </c>
      <c r="J1363" s="2">
        <v>1731</v>
      </c>
      <c r="K1363" s="2">
        <v>2467</v>
      </c>
      <c r="L1363" s="2">
        <v>6</v>
      </c>
      <c r="M1363" s="2"/>
      <c r="N1363" s="8">
        <v>40280.389826388891</v>
      </c>
      <c r="O1363" s="4" t="s">
        <v>13273</v>
      </c>
      <c r="P1363" s="3" t="s">
        <v>13272</v>
      </c>
      <c r="Q1363" s="4"/>
      <c r="R1363" s="4"/>
      <c r="S1363" s="9" t="str">
        <f>HYPERLINK("https://pbs.twimg.com/profile_images/983899564733272064/DRXLGXtM.jpg","View")</f>
        <v>View</v>
      </c>
    </row>
    <row r="1364" spans="1:19" ht="20">
      <c r="A1364" s="8">
        <v>43347.583622685182</v>
      </c>
      <c r="B1364" s="11" t="str">
        <f>HYPERLINK("https://twitter.com/tanzande","@tanzande")</f>
        <v>@tanzande</v>
      </c>
      <c r="C1364" s="6" t="s">
        <v>13271</v>
      </c>
      <c r="D1364" s="5" t="s">
        <v>13270</v>
      </c>
      <c r="E1364" s="9" t="str">
        <f>HYPERLINK("https://twitter.com/tanzande/status/1036909337724284930","1036909337724284930")</f>
        <v>1036909337724284930</v>
      </c>
      <c r="F1364" s="4"/>
      <c r="G1364" s="10" t="s">
        <v>13269</v>
      </c>
      <c r="H1364" s="4"/>
      <c r="I1364" s="10" t="str">
        <f>HYPERLINK("http://twitter.com","Twitter Web Client")</f>
        <v>Twitter Web Client</v>
      </c>
      <c r="J1364" s="2">
        <v>1134</v>
      </c>
      <c r="K1364" s="2">
        <v>693</v>
      </c>
      <c r="L1364" s="2">
        <v>3</v>
      </c>
      <c r="M1364" s="2"/>
      <c r="N1364" s="8">
        <v>42975.501689814817</v>
      </c>
      <c r="O1364" s="4" t="s">
        <v>763</v>
      </c>
      <c r="P1364" s="3" t="s">
        <v>13268</v>
      </c>
      <c r="Q1364" s="4"/>
      <c r="R1364" s="4"/>
      <c r="S1364" s="9" t="str">
        <f>HYPERLINK("https://pbs.twimg.com/profile_images/1023085801125634048/XjuBuHCd.jpg","View")</f>
        <v>View</v>
      </c>
    </row>
    <row r="1365" spans="1:19" ht="20">
      <c r="A1365" s="8">
        <v>43347.583541666667</v>
      </c>
      <c r="B1365" s="11" t="str">
        <f>HYPERLINK("https://twitter.com/maj_021","@maj_021")</f>
        <v>@maj_021</v>
      </c>
      <c r="C1365" s="6" t="s">
        <v>13267</v>
      </c>
      <c r="D1365" s="5" t="s">
        <v>13266</v>
      </c>
      <c r="E1365" s="9" t="str">
        <f>HYPERLINK("https://twitter.com/maj_021/status/1036909307579838464","1036909307579838464")</f>
        <v>1036909307579838464</v>
      </c>
      <c r="F1365" s="4"/>
      <c r="G1365" s="10" t="s">
        <v>13265</v>
      </c>
      <c r="H1365" s="4"/>
      <c r="I1365" s="10" t="str">
        <f>HYPERLINK("http://twitter.com/download/android","Twitter for Android")</f>
        <v>Twitter for Android</v>
      </c>
      <c r="J1365" s="2">
        <v>102</v>
      </c>
      <c r="K1365" s="2">
        <v>37</v>
      </c>
      <c r="L1365" s="2">
        <v>0</v>
      </c>
      <c r="M1365" s="2"/>
      <c r="N1365" s="8">
        <v>42591.785324074073</v>
      </c>
      <c r="O1365" s="4" t="s">
        <v>13264</v>
      </c>
      <c r="P1365" s="3" t="s">
        <v>13263</v>
      </c>
      <c r="Q1365" s="10" t="s">
        <v>13262</v>
      </c>
      <c r="R1365" s="4"/>
      <c r="S1365" s="9" t="str">
        <f>HYPERLINK("https://pbs.twimg.com/profile_images/1005597112816603136/BY8zfWD9.jpg","View")</f>
        <v>View</v>
      </c>
    </row>
    <row r="1366" spans="1:19" ht="20">
      <c r="A1366" s="8">
        <v>43347.583483796298</v>
      </c>
      <c r="B1366" s="11" t="str">
        <f>HYPERLINK("https://twitter.com/IranianLoneWolf","@IranianLoneWolf")</f>
        <v>@IranianLoneWolf</v>
      </c>
      <c r="C1366" s="6" t="s">
        <v>492</v>
      </c>
      <c r="D1366" s="5" t="s">
        <v>13261</v>
      </c>
      <c r="E1366" s="9" t="str">
        <f>HYPERLINK("https://twitter.com/IranianLoneWolf/status/1036909284926341120","1036909284926341120")</f>
        <v>1036909284926341120</v>
      </c>
      <c r="F1366" s="4"/>
      <c r="G1366" s="4"/>
      <c r="H1366" s="4"/>
      <c r="I1366" s="10" t="str">
        <f>HYPERLINK("http://twitter.com","Twitter Web Client")</f>
        <v>Twitter Web Client</v>
      </c>
      <c r="J1366" s="2">
        <v>976</v>
      </c>
      <c r="K1366" s="2">
        <v>2739</v>
      </c>
      <c r="L1366" s="2">
        <v>2</v>
      </c>
      <c r="M1366" s="2"/>
      <c r="N1366" s="8">
        <v>42078.440706018519</v>
      </c>
      <c r="O1366" s="4" t="s">
        <v>490</v>
      </c>
      <c r="P1366" s="3" t="s">
        <v>489</v>
      </c>
      <c r="Q1366" s="4"/>
      <c r="R1366" s="4"/>
      <c r="S1366" s="9" t="str">
        <f>HYPERLINK("https://pbs.twimg.com/profile_images/1011513817023569920/6SmcXZ_E.jpg","View")</f>
        <v>View</v>
      </c>
    </row>
    <row r="1367" spans="1:19" ht="20">
      <c r="A1367" s="8">
        <v>43347.583460648151</v>
      </c>
      <c r="B1367" s="11" t="str">
        <f>HYPERLINK("https://twitter.com/raiyat_zade","@raiyat_zade")</f>
        <v>@raiyat_zade</v>
      </c>
      <c r="C1367" s="6" t="s">
        <v>13260</v>
      </c>
      <c r="D1367" s="5" t="s">
        <v>13259</v>
      </c>
      <c r="E1367" s="9" t="str">
        <f>HYPERLINK("https://twitter.com/raiyat_zade/status/1036909277703749632","1036909277703749632")</f>
        <v>1036909277703749632</v>
      </c>
      <c r="F1367" s="4"/>
      <c r="G1367" s="10" t="s">
        <v>13258</v>
      </c>
      <c r="H1367" s="4"/>
      <c r="I1367" s="10" t="str">
        <f>HYPERLINK("http://twitter.com/download/android","Twitter for Android")</f>
        <v>Twitter for Android</v>
      </c>
      <c r="J1367" s="2">
        <v>50</v>
      </c>
      <c r="K1367" s="2">
        <v>268</v>
      </c>
      <c r="L1367" s="2">
        <v>0</v>
      </c>
      <c r="M1367" s="2"/>
      <c r="N1367" s="8">
        <v>41894.940335648149</v>
      </c>
      <c r="O1367" s="4"/>
      <c r="P1367" s="3" t="s">
        <v>13257</v>
      </c>
      <c r="Q1367" s="4"/>
      <c r="R1367" s="4"/>
      <c r="S1367" s="9" t="str">
        <f>HYPERLINK("https://pbs.twimg.com/profile_images/1032925095998541825/L31iqEHS.jpg","View")</f>
        <v>View</v>
      </c>
    </row>
    <row r="1368" spans="1:19" ht="30">
      <c r="A1368" s="8">
        <v>43347.582627314812</v>
      </c>
      <c r="B1368" s="11" t="str">
        <f>HYPERLINK("https://twitter.com/safsategar","@safsategar")</f>
        <v>@safsategar</v>
      </c>
      <c r="C1368" s="6" t="s">
        <v>13256</v>
      </c>
      <c r="D1368" s="5" t="s">
        <v>13255</v>
      </c>
      <c r="E1368" s="9" t="str">
        <f>HYPERLINK("https://twitter.com/safsategar/status/1036908975780843520","1036908975780843520")</f>
        <v>1036908975780843520</v>
      </c>
      <c r="F1368" s="4"/>
      <c r="G1368" s="4"/>
      <c r="H1368" s="4"/>
      <c r="I1368" s="10" t="str">
        <f>HYPERLINK("http://twitter.com","Twitter Web Client")</f>
        <v>Twitter Web Client</v>
      </c>
      <c r="J1368" s="2">
        <v>501</v>
      </c>
      <c r="K1368" s="2">
        <v>324</v>
      </c>
      <c r="L1368" s="2">
        <v>1</v>
      </c>
      <c r="M1368" s="2"/>
      <c r="N1368" s="8">
        <v>43231.997303240743</v>
      </c>
      <c r="O1368" s="4" t="s">
        <v>13254</v>
      </c>
      <c r="P1368" s="3" t="s">
        <v>13253</v>
      </c>
      <c r="Q1368" s="4"/>
      <c r="R1368" s="4"/>
      <c r="S1368" s="9" t="str">
        <f>HYPERLINK("https://pbs.twimg.com/profile_images/1012005572005322756/VKs4IlOz.jpg","View")</f>
        <v>View</v>
      </c>
    </row>
    <row r="1369" spans="1:19" ht="30">
      <c r="A1369" s="8">
        <v>43347.582604166666</v>
      </c>
      <c r="B1369" s="11" t="str">
        <f>HYPERLINK("https://twitter.com/javadifar66","@javadifar66")</f>
        <v>@javadifar66</v>
      </c>
      <c r="C1369" s="6" t="s">
        <v>9107</v>
      </c>
      <c r="D1369" s="5" t="s">
        <v>13252</v>
      </c>
      <c r="E1369" s="9" t="str">
        <f>HYPERLINK("https://twitter.com/javadifar66/status/1036908969019748353","1036908969019748353")</f>
        <v>1036908969019748353</v>
      </c>
      <c r="F1369" s="4"/>
      <c r="G1369" s="4"/>
      <c r="H1369" s="4"/>
      <c r="I1369" s="10" t="str">
        <f>HYPERLINK("http://twitter.com/download/android","Twitter for Android")</f>
        <v>Twitter for Android</v>
      </c>
      <c r="J1369" s="2">
        <v>395</v>
      </c>
      <c r="K1369" s="2">
        <v>394</v>
      </c>
      <c r="L1369" s="2">
        <v>0</v>
      </c>
      <c r="M1369" s="2"/>
      <c r="N1369" s="8">
        <v>42517.767013888893</v>
      </c>
      <c r="O1369" s="4"/>
      <c r="P1369" s="3" t="s">
        <v>9105</v>
      </c>
      <c r="Q1369" s="4"/>
      <c r="R1369" s="4"/>
      <c r="S1369" s="9" t="str">
        <f>HYPERLINK("https://pbs.twimg.com/profile_images/1021000129191563264/L6viif4m.jpg","View")</f>
        <v>View</v>
      </c>
    </row>
    <row r="1370" spans="1:19" ht="80">
      <c r="A1370" s="8">
        <v>43347.578449074077</v>
      </c>
      <c r="B1370" s="11" t="str">
        <f>HYPERLINK("https://twitter.com/omid_reza_Hadi","@omid_reza_Hadi")</f>
        <v>@omid_reza_Hadi</v>
      </c>
      <c r="C1370" s="6" t="s">
        <v>13251</v>
      </c>
      <c r="D1370" s="5" t="s">
        <v>13250</v>
      </c>
      <c r="E1370" s="9" t="str">
        <f>HYPERLINK("https://twitter.com/omid_reza_Hadi/status/1036907462056665088","1036907462056665088")</f>
        <v>1036907462056665088</v>
      </c>
      <c r="F1370" s="10" t="s">
        <v>13249</v>
      </c>
      <c r="G1370" s="4"/>
      <c r="H1370" s="4"/>
      <c r="I1370" s="10" t="str">
        <f>HYPERLINK("https://about.twitter.com/products/tweetdeck","TweetDeck")</f>
        <v>TweetDeck</v>
      </c>
      <c r="J1370" s="2">
        <v>2178</v>
      </c>
      <c r="K1370" s="2">
        <v>2285</v>
      </c>
      <c r="L1370" s="2">
        <v>7</v>
      </c>
      <c r="M1370" s="2"/>
      <c r="N1370" s="8">
        <v>42866.738576388889</v>
      </c>
      <c r="O1370" s="4" t="s">
        <v>13248</v>
      </c>
      <c r="P1370" s="3" t="s">
        <v>13247</v>
      </c>
      <c r="Q1370" s="10" t="s">
        <v>13246</v>
      </c>
      <c r="R1370" s="4"/>
      <c r="S1370" s="9" t="str">
        <f>HYPERLINK("https://pbs.twimg.com/profile_images/884383407978893312/Zk0BQknG.jpg","View")</f>
        <v>View</v>
      </c>
    </row>
    <row r="1371" spans="1:19" ht="20">
      <c r="A1371" s="8">
        <v>43347.578217592592</v>
      </c>
      <c r="B1371" s="11" t="str">
        <f>HYPERLINK("https://twitter.com/sh_Saeid_","@sh_Saeid_")</f>
        <v>@sh_Saeid_</v>
      </c>
      <c r="C1371" s="6" t="s">
        <v>1812</v>
      </c>
      <c r="D1371" s="5" t="s">
        <v>13245</v>
      </c>
      <c r="E1371" s="9" t="str">
        <f>HYPERLINK("https://twitter.com/sh_Saeid_/status/1036907377587617792","1036907377587617792")</f>
        <v>1036907377587617792</v>
      </c>
      <c r="F1371" s="4"/>
      <c r="G1371" s="4"/>
      <c r="H1371" s="4"/>
      <c r="I1371" s="10" t="str">
        <f>HYPERLINK("http://twitter.com/download/iphone","Twitter for iPhone")</f>
        <v>Twitter for iPhone</v>
      </c>
      <c r="J1371" s="2">
        <v>607</v>
      </c>
      <c r="K1371" s="2">
        <v>966</v>
      </c>
      <c r="L1371" s="2">
        <v>0</v>
      </c>
      <c r="M1371" s="2"/>
      <c r="N1371" s="8">
        <v>43281.780833333338</v>
      </c>
      <c r="O1371" s="4" t="s">
        <v>1810</v>
      </c>
      <c r="P1371" s="3" t="s">
        <v>1809</v>
      </c>
      <c r="Q1371" s="4"/>
      <c r="R1371" s="4"/>
      <c r="S1371" s="9" t="str">
        <f>HYPERLINK("https://pbs.twimg.com/profile_images/1035612613718302722/PF0c9_wc.jpg","View")</f>
        <v>View</v>
      </c>
    </row>
    <row r="1372" spans="1:19" ht="20">
      <c r="A1372" s="8">
        <v>43347.577592592592</v>
      </c>
      <c r="B1372" s="11" t="str">
        <f>HYPERLINK("https://twitter.com/euronews_pe","@euronews_pe")</f>
        <v>@euronews_pe</v>
      </c>
      <c r="C1372" s="6" t="s">
        <v>2880</v>
      </c>
      <c r="D1372" s="5" t="s">
        <v>13244</v>
      </c>
      <c r="E1372" s="9" t="str">
        <f>HYPERLINK("https://twitter.com/euronews_pe/status/1036907150705082370","1036907150705082370")</f>
        <v>1036907150705082370</v>
      </c>
      <c r="F1372" s="10" t="s">
        <v>13243</v>
      </c>
      <c r="G1372" s="10" t="s">
        <v>13242</v>
      </c>
      <c r="H1372" s="4"/>
      <c r="I1372" s="10" t="str">
        <f>HYPERLINK("http://twitter.com","Twitter Web Client")</f>
        <v>Twitter Web Client</v>
      </c>
      <c r="J1372" s="2">
        <v>217506</v>
      </c>
      <c r="K1372" s="2">
        <v>150</v>
      </c>
      <c r="L1372" s="2">
        <v>521</v>
      </c>
      <c r="M1372" s="2" t="s">
        <v>80</v>
      </c>
      <c r="N1372" s="8">
        <v>41163.736319444448</v>
      </c>
      <c r="O1372" s="4" t="s">
        <v>2876</v>
      </c>
      <c r="P1372" s="3" t="s">
        <v>2875</v>
      </c>
      <c r="Q1372" s="10" t="s">
        <v>2874</v>
      </c>
      <c r="R1372" s="4"/>
      <c r="S1372" s="9" t="str">
        <f>HYPERLINK("https://pbs.twimg.com/profile_images/732666813612445696/1CthSJh6.jpg","View")</f>
        <v>View</v>
      </c>
    </row>
    <row r="1373" spans="1:19" ht="20">
      <c r="A1373" s="8">
        <v>43347.577245370368</v>
      </c>
      <c r="B1373" s="11" t="str">
        <f>HYPERLINK("https://twitter.com/moas619","@moas619")</f>
        <v>@moas619</v>
      </c>
      <c r="C1373" s="6">
        <v>619</v>
      </c>
      <c r="D1373" s="5" t="s">
        <v>13241</v>
      </c>
      <c r="E1373" s="9" t="str">
        <f>HYPERLINK("https://twitter.com/moas619/status/1036907027853987842","1036907027853987842")</f>
        <v>1036907027853987842</v>
      </c>
      <c r="F1373" s="4"/>
      <c r="G1373" s="4"/>
      <c r="H1373" s="4"/>
      <c r="I1373" s="10" t="str">
        <f>HYPERLINK("http://twitter.com/download/android","Twitter for Android")</f>
        <v>Twitter for Android</v>
      </c>
      <c r="J1373" s="2">
        <v>90</v>
      </c>
      <c r="K1373" s="2">
        <v>161</v>
      </c>
      <c r="L1373" s="2">
        <v>0</v>
      </c>
      <c r="M1373" s="2"/>
      <c r="N1373" s="8">
        <v>42820.84611111111</v>
      </c>
      <c r="O1373" s="4" t="s">
        <v>34</v>
      </c>
      <c r="P1373" s="3"/>
      <c r="Q1373" s="4"/>
      <c r="R1373" s="4"/>
      <c r="S1373" s="9" t="str">
        <f>HYPERLINK("https://pbs.twimg.com/profile_images/1027060936086102016/VSqg7Jst.jpg","View")</f>
        <v>View</v>
      </c>
    </row>
    <row r="1374" spans="1:19" ht="30">
      <c r="A1374" s="8">
        <v>43347.576273148152</v>
      </c>
      <c r="B1374" s="11" t="str">
        <f>HYPERLINK("https://twitter.com/tafakkor97","@tafakkor97")</f>
        <v>@tafakkor97</v>
      </c>
      <c r="C1374" s="6" t="s">
        <v>13240</v>
      </c>
      <c r="D1374" s="5" t="s">
        <v>13239</v>
      </c>
      <c r="E1374" s="9" t="str">
        <f>HYPERLINK("https://twitter.com/tafakkor97/status/1036906674978582532","1036906674978582532")</f>
        <v>1036906674978582532</v>
      </c>
      <c r="F1374" s="4"/>
      <c r="G1374" s="4"/>
      <c r="H1374" s="4"/>
      <c r="I1374" s="10" t="str">
        <f>HYPERLINK("http://twitter.com/download/android","Twitter for Android")</f>
        <v>Twitter for Android</v>
      </c>
      <c r="J1374" s="2">
        <v>713</v>
      </c>
      <c r="K1374" s="2">
        <v>1832</v>
      </c>
      <c r="L1374" s="2">
        <v>1</v>
      </c>
      <c r="M1374" s="2"/>
      <c r="N1374" s="8">
        <v>42947.87122685185</v>
      </c>
      <c r="O1374" s="4" t="s">
        <v>17</v>
      </c>
      <c r="P1374" s="3"/>
      <c r="Q1374" s="4"/>
      <c r="R1374" s="4"/>
      <c r="S1374" s="9" t="str">
        <f>HYPERLINK("https://pbs.twimg.com/profile_images/1032981280437297153/QFFfJp87.jpg","View")</f>
        <v>View</v>
      </c>
    </row>
    <row r="1375" spans="1:19" ht="40">
      <c r="A1375" s="8">
        <v>43347.575810185182</v>
      </c>
      <c r="B1375" s="11" t="str">
        <f>HYPERLINK("https://twitter.com/hadpiri","@hadpiri")</f>
        <v>@hadpiri</v>
      </c>
      <c r="C1375" s="6" t="s">
        <v>5682</v>
      </c>
      <c r="D1375" s="5" t="s">
        <v>13238</v>
      </c>
      <c r="E1375" s="9" t="str">
        <f>HYPERLINK("https://twitter.com/hadpiri/status/1036906504165752832","1036906504165752832")</f>
        <v>1036906504165752832</v>
      </c>
      <c r="F1375" s="10" t="s">
        <v>13237</v>
      </c>
      <c r="G1375" s="4"/>
      <c r="H1375" s="4"/>
      <c r="I1375" s="10" t="str">
        <f>HYPERLINK("http://twitter.com/download/android","Twitter for Android")</f>
        <v>Twitter for Android</v>
      </c>
      <c r="J1375" s="2">
        <v>329</v>
      </c>
      <c r="K1375" s="2">
        <v>266</v>
      </c>
      <c r="L1375" s="2">
        <v>0</v>
      </c>
      <c r="M1375" s="2"/>
      <c r="N1375" s="8">
        <v>41192.342233796298</v>
      </c>
      <c r="O1375" s="4" t="s">
        <v>34</v>
      </c>
      <c r="P1375" s="3" t="s">
        <v>13236</v>
      </c>
      <c r="Q1375" s="10" t="s">
        <v>5679</v>
      </c>
      <c r="R1375" s="4"/>
      <c r="S1375" s="9" t="str">
        <f>HYPERLINK("https://pbs.twimg.com/profile_images/960277127617794048/qVXJpaM5.jpg","View")</f>
        <v>View</v>
      </c>
    </row>
    <row r="1376" spans="1:19" ht="30">
      <c r="A1376" s="8">
        <v>43347.574791666666</v>
      </c>
      <c r="B1376" s="11" t="str">
        <f>HYPERLINK("https://twitter.com/ISNAMEDIA","@ISNAMEDIA")</f>
        <v>@ISNAMEDIA</v>
      </c>
      <c r="C1376" s="6" t="s">
        <v>13235</v>
      </c>
      <c r="D1376" s="5" t="s">
        <v>13234</v>
      </c>
      <c r="E1376" s="9" t="str">
        <f>HYPERLINK("https://twitter.com/ISNAMEDIA/status/1036906136430157824","1036906136430157824")</f>
        <v>1036906136430157824</v>
      </c>
      <c r="F1376" s="10" t="s">
        <v>13233</v>
      </c>
      <c r="G1376" s="10" t="s">
        <v>13232</v>
      </c>
      <c r="H1376" s="4"/>
      <c r="I1376" s="10" t="str">
        <f>HYPERLINK("http://twitter.com","Twitter Web Client")</f>
        <v>Twitter Web Client</v>
      </c>
      <c r="J1376" s="2">
        <v>718</v>
      </c>
      <c r="K1376" s="2">
        <v>118</v>
      </c>
      <c r="L1376" s="2">
        <v>11</v>
      </c>
      <c r="M1376" s="2"/>
      <c r="N1376" s="8">
        <v>43209.806666666671</v>
      </c>
      <c r="O1376" s="4" t="s">
        <v>145</v>
      </c>
      <c r="P1376" s="3" t="s">
        <v>13231</v>
      </c>
      <c r="Q1376" s="4"/>
      <c r="R1376" s="4"/>
      <c r="S1376" s="9" t="str">
        <f>HYPERLINK("https://pbs.twimg.com/profile_images/992338208410296320/VmaNd33c.jpg","View")</f>
        <v>View</v>
      </c>
    </row>
    <row r="1377" spans="1:19" ht="30">
      <c r="A1377" s="8">
        <v>43347.57476851852</v>
      </c>
      <c r="B1377" s="11" t="str">
        <f>HYPERLINK("https://twitter.com/AminDinakani66","@AminDinakani66")</f>
        <v>@AminDinakani66</v>
      </c>
      <c r="C1377" s="6" t="s">
        <v>13230</v>
      </c>
      <c r="D1377" s="5" t="s">
        <v>13229</v>
      </c>
      <c r="E1377" s="9" t="str">
        <f>HYPERLINK("https://twitter.com/AminDinakani66/status/1036906127890546688","1036906127890546688")</f>
        <v>1036906127890546688</v>
      </c>
      <c r="F1377" s="4"/>
      <c r="G1377" s="4"/>
      <c r="H1377" s="4"/>
      <c r="I1377" s="10" t="str">
        <f>HYPERLINK("http://twitter.com/download/android","Twitter for Android")</f>
        <v>Twitter for Android</v>
      </c>
      <c r="J1377" s="2">
        <v>356</v>
      </c>
      <c r="K1377" s="2">
        <v>465</v>
      </c>
      <c r="L1377" s="2">
        <v>0</v>
      </c>
      <c r="M1377" s="2"/>
      <c r="N1377" s="8">
        <v>43229.917569444442</v>
      </c>
      <c r="O1377" s="4" t="s">
        <v>13228</v>
      </c>
      <c r="P1377" s="3" t="s">
        <v>13227</v>
      </c>
      <c r="Q1377" s="4"/>
      <c r="R1377" s="4"/>
      <c r="S1377" s="9" t="str">
        <f>HYPERLINK("https://pbs.twimg.com/profile_images/996037165334388736/jeYVldw9.jpg","View")</f>
        <v>View</v>
      </c>
    </row>
    <row r="1378" spans="1:19" ht="30">
      <c r="A1378" s="8">
        <v>43347.573206018518</v>
      </c>
      <c r="B1378" s="11" t="str">
        <f>HYPERLINK("https://twitter.com/aliireza_s","@aliireza_s")</f>
        <v>@aliireza_s</v>
      </c>
      <c r="C1378" s="6" t="s">
        <v>13226</v>
      </c>
      <c r="D1378" s="5" t="s">
        <v>13225</v>
      </c>
      <c r="E1378" s="9" t="str">
        <f>HYPERLINK("https://twitter.com/aliireza_s/status/1036905561097478149","1036905561097478149")</f>
        <v>1036905561097478149</v>
      </c>
      <c r="F1378" s="4"/>
      <c r="G1378" s="4"/>
      <c r="H1378" s="4"/>
      <c r="I1378" s="10" t="str">
        <f>HYPERLINK("http://twitter.com/download/android","Twitter for Android")</f>
        <v>Twitter for Android</v>
      </c>
      <c r="J1378" s="2">
        <v>2318</v>
      </c>
      <c r="K1378" s="2">
        <v>1145</v>
      </c>
      <c r="L1378" s="2">
        <v>9</v>
      </c>
      <c r="M1378" s="2"/>
      <c r="N1378" s="8">
        <v>42757.645810185189</v>
      </c>
      <c r="O1378" s="4" t="s">
        <v>524</v>
      </c>
      <c r="P1378" s="3" t="s">
        <v>13224</v>
      </c>
      <c r="Q1378" s="4"/>
      <c r="R1378" s="4"/>
      <c r="S1378" s="9" t="str">
        <f>HYPERLINK("https://pbs.twimg.com/profile_images/988326576063483904/mKN7n1fo.jpg","View")</f>
        <v>View</v>
      </c>
    </row>
    <row r="1379" spans="1:19" ht="30">
      <c r="A1379" s="8">
        <v>43347.573136574079</v>
      </c>
      <c r="B1379" s="11" t="str">
        <f>HYPERLINK("https://twitter.com/hafezeh_tarikhi","@hafezeh_tarikhi")</f>
        <v>@hafezeh_tarikhi</v>
      </c>
      <c r="C1379" s="6" t="s">
        <v>10953</v>
      </c>
      <c r="D1379" s="5" t="s">
        <v>13223</v>
      </c>
      <c r="E1379" s="9" t="str">
        <f>HYPERLINK("https://twitter.com/hafezeh_tarikhi/status/1036905536711806976","1036905536711806976")</f>
        <v>1036905536711806976</v>
      </c>
      <c r="F1379" s="4"/>
      <c r="G1379" s="10" t="s">
        <v>13222</v>
      </c>
      <c r="H1379" s="4"/>
      <c r="I1379" s="10" t="str">
        <f>HYPERLINK("http://twitter.com","Twitter Web Client")</f>
        <v>Twitter Web Client</v>
      </c>
      <c r="J1379" s="2">
        <v>9870</v>
      </c>
      <c r="K1379" s="2">
        <v>7</v>
      </c>
      <c r="L1379" s="2">
        <v>71</v>
      </c>
      <c r="M1379" s="2"/>
      <c r="N1379" s="8">
        <v>43082.462071759262</v>
      </c>
      <c r="O1379" s="4"/>
      <c r="P1379" s="3" t="s">
        <v>10949</v>
      </c>
      <c r="Q1379" s="4"/>
      <c r="R1379" s="4"/>
      <c r="S1379" s="9" t="str">
        <f>HYPERLINK("https://pbs.twimg.com/profile_images/940869355168026624/XSxhppj8.jpg","View")</f>
        <v>View</v>
      </c>
    </row>
    <row r="1380" spans="1:19" ht="30">
      <c r="A1380" s="8">
        <v>43347.572106481486</v>
      </c>
      <c r="B1380" s="11" t="str">
        <f>HYPERLINK("https://twitter.com/pesareenghelabi","@pesareenghelabi")</f>
        <v>@pesareenghelabi</v>
      </c>
      <c r="C1380" s="6" t="s">
        <v>6496</v>
      </c>
      <c r="D1380" s="5" t="s">
        <v>13221</v>
      </c>
      <c r="E1380" s="9" t="str">
        <f>HYPERLINK("https://twitter.com/pesareenghelabi/status/1036905165591404544","1036905165591404544")</f>
        <v>1036905165591404544</v>
      </c>
      <c r="F1380" s="4"/>
      <c r="G1380" s="4"/>
      <c r="H1380" s="4"/>
      <c r="I1380" s="10" t="str">
        <f>HYPERLINK("http://twitter.com/download/iphone","Twitter for iPhone")</f>
        <v>Twitter for iPhone</v>
      </c>
      <c r="J1380" s="2">
        <v>1479</v>
      </c>
      <c r="K1380" s="2">
        <v>1379</v>
      </c>
      <c r="L1380" s="2">
        <v>1</v>
      </c>
      <c r="M1380" s="2"/>
      <c r="N1380" s="8">
        <v>43122.518923611111</v>
      </c>
      <c r="O1380" s="4" t="s">
        <v>34</v>
      </c>
      <c r="P1380" s="3" t="s">
        <v>6494</v>
      </c>
      <c r="Q1380" s="4"/>
      <c r="R1380" s="4"/>
      <c r="S1380" s="9" t="str">
        <f>HYPERLINK("https://pbs.twimg.com/profile_images/1015538945382342657/dEnWJitL.jpg","View")</f>
        <v>View</v>
      </c>
    </row>
    <row r="1381" spans="1:19" ht="20">
      <c r="A1381" s="8">
        <v>43347.57199074074</v>
      </c>
      <c r="B1381" s="11" t="str">
        <f>HYPERLINK("https://twitter.com/AminBabazadeh2","@AminBabazadeh2")</f>
        <v>@AminBabazadeh2</v>
      </c>
      <c r="C1381" s="6" t="s">
        <v>13219</v>
      </c>
      <c r="D1381" s="5" t="s">
        <v>13220</v>
      </c>
      <c r="E1381" s="9" t="str">
        <f>HYPERLINK("https://twitter.com/AminBabazadeh2/status/1036905123128205312","1036905123128205312")</f>
        <v>1036905123128205312</v>
      </c>
      <c r="F1381" s="4"/>
      <c r="G1381" s="4"/>
      <c r="H1381" s="4"/>
      <c r="I1381" s="10" t="str">
        <f>HYPERLINK("http://twitter.com/download/android","Twitter for Android")</f>
        <v>Twitter for Android</v>
      </c>
      <c r="J1381" s="2">
        <v>1589</v>
      </c>
      <c r="K1381" s="2">
        <v>1871</v>
      </c>
      <c r="L1381" s="2">
        <v>4</v>
      </c>
      <c r="M1381" s="2"/>
      <c r="N1381" s="8">
        <v>42740.667476851857</v>
      </c>
      <c r="O1381" s="4"/>
      <c r="P1381" s="3" t="s">
        <v>13217</v>
      </c>
      <c r="Q1381" s="10" t="s">
        <v>13216</v>
      </c>
      <c r="R1381" s="4"/>
      <c r="S1381" s="9" t="str">
        <f>HYPERLINK("https://pbs.twimg.com/profile_images/1014177014767644672/01hl5BLJ.jpg","View")</f>
        <v>View</v>
      </c>
    </row>
    <row r="1382" spans="1:19" ht="20">
      <c r="A1382" s="8">
        <v>43347.57068287037</v>
      </c>
      <c r="B1382" s="11" t="str">
        <f>HYPERLINK("https://twitter.com/AminBabazadeh2","@AminBabazadeh2")</f>
        <v>@AminBabazadeh2</v>
      </c>
      <c r="C1382" s="6" t="s">
        <v>13219</v>
      </c>
      <c r="D1382" s="5" t="s">
        <v>13218</v>
      </c>
      <c r="E1382" s="9" t="str">
        <f>HYPERLINK("https://twitter.com/AminBabazadeh2/status/1036904646269431809","1036904646269431809")</f>
        <v>1036904646269431809</v>
      </c>
      <c r="F1382" s="4"/>
      <c r="G1382" s="4"/>
      <c r="H1382" s="4"/>
      <c r="I1382" s="10" t="str">
        <f>HYPERLINK("http://twitter.com/download/android","Twitter for Android")</f>
        <v>Twitter for Android</v>
      </c>
      <c r="J1382" s="2">
        <v>1589</v>
      </c>
      <c r="K1382" s="2">
        <v>1871</v>
      </c>
      <c r="L1382" s="2">
        <v>4</v>
      </c>
      <c r="M1382" s="2"/>
      <c r="N1382" s="8">
        <v>42740.667476851857</v>
      </c>
      <c r="O1382" s="4"/>
      <c r="P1382" s="3" t="s">
        <v>13217</v>
      </c>
      <c r="Q1382" s="10" t="s">
        <v>13216</v>
      </c>
      <c r="R1382" s="4"/>
      <c r="S1382" s="9" t="str">
        <f>HYPERLINK("https://pbs.twimg.com/profile_images/1014177014767644672/01hl5BLJ.jpg","View")</f>
        <v>View</v>
      </c>
    </row>
    <row r="1383" spans="1:19" ht="40">
      <c r="A1383" s="8">
        <v>43347.570358796293</v>
      </c>
      <c r="B1383" s="11" t="str">
        <f>HYPERLINK("https://twitter.com/alifatehi_now","@alifatehi_now")</f>
        <v>@alifatehi_now</v>
      </c>
      <c r="C1383" s="6" t="s">
        <v>9543</v>
      </c>
      <c r="D1383" s="5" t="s">
        <v>13215</v>
      </c>
      <c r="E1383" s="9" t="str">
        <f>HYPERLINK("https://twitter.com/alifatehi_now/status/1036904529604878336","1036904529604878336")</f>
        <v>1036904529604878336</v>
      </c>
      <c r="F1383" s="4"/>
      <c r="G1383" s="4"/>
      <c r="H1383" s="4"/>
      <c r="I1383" s="10" t="str">
        <f>HYPERLINK("http://twitter.com","Twitter Web Client")</f>
        <v>Twitter Web Client</v>
      </c>
      <c r="J1383" s="2">
        <v>390</v>
      </c>
      <c r="K1383" s="2">
        <v>588</v>
      </c>
      <c r="L1383" s="2">
        <v>4</v>
      </c>
      <c r="M1383" s="2"/>
      <c r="N1383" s="8">
        <v>40113.698125000003</v>
      </c>
      <c r="O1383" s="4" t="s">
        <v>9540</v>
      </c>
      <c r="P1383" s="3" t="s">
        <v>9539</v>
      </c>
      <c r="Q1383" s="10" t="s">
        <v>9538</v>
      </c>
      <c r="R1383" s="4"/>
      <c r="S1383" s="9" t="str">
        <f>HYPERLINK("https://pbs.twimg.com/profile_images/1014162974867673093/_-ETFXUy.jpg","View")</f>
        <v>View</v>
      </c>
    </row>
    <row r="1384" spans="1:19" ht="12.5">
      <c r="A1384" s="8">
        <v>43347.570358796293</v>
      </c>
      <c r="B1384" s="11" t="str">
        <f>HYPERLINK("https://twitter.com/sonami76","@sonami76")</f>
        <v>@sonami76</v>
      </c>
      <c r="C1384" s="6" t="s">
        <v>13214</v>
      </c>
      <c r="D1384" s="5" t="s">
        <v>13213</v>
      </c>
      <c r="E1384" s="9" t="str">
        <f>HYPERLINK("https://twitter.com/sonami76/status/1036904529420140544","1036904529420140544")</f>
        <v>1036904529420140544</v>
      </c>
      <c r="F1384" s="4"/>
      <c r="G1384" s="4"/>
      <c r="H1384" s="4"/>
      <c r="I1384" s="10" t="str">
        <f>HYPERLINK("http://twitter.com/download/android","Twitter for Android")</f>
        <v>Twitter for Android</v>
      </c>
      <c r="J1384" s="2">
        <v>158</v>
      </c>
      <c r="K1384" s="2">
        <v>181</v>
      </c>
      <c r="L1384" s="2">
        <v>1</v>
      </c>
      <c r="M1384" s="2"/>
      <c r="N1384" s="8">
        <v>42920.604085648149</v>
      </c>
      <c r="O1384" s="4"/>
      <c r="P1384" s="3" t="s">
        <v>13212</v>
      </c>
      <c r="Q1384" s="4"/>
      <c r="R1384" s="4"/>
      <c r="S1384" s="9" t="str">
        <f>HYPERLINK("https://pbs.twimg.com/profile_images/1027981719985639424/JC9dkotk.jpg","View")</f>
        <v>View</v>
      </c>
    </row>
    <row r="1385" spans="1:19" ht="30">
      <c r="A1385" s="8">
        <v>43347.570266203707</v>
      </c>
      <c r="B1385" s="11" t="str">
        <f>HYPERLINK("https://twitter.com/Fnews_Persian","@Fnews_Persian")</f>
        <v>@Fnews_Persian</v>
      </c>
      <c r="C1385" s="6" t="s">
        <v>919</v>
      </c>
      <c r="D1385" s="5" t="s">
        <v>13211</v>
      </c>
      <c r="E1385" s="9" t="str">
        <f>HYPERLINK("https://twitter.com/Fnews_Persian/status/1036904495756836864","1036904495756836864")</f>
        <v>1036904495756836864</v>
      </c>
      <c r="F1385" s="4"/>
      <c r="G1385" s="10" t="s">
        <v>13210</v>
      </c>
      <c r="H1385" s="4"/>
      <c r="I1385" s="10" t="str">
        <f>HYPERLINK("https://buffer.com","Buffer")</f>
        <v>Buffer</v>
      </c>
      <c r="J1385" s="2">
        <v>58369</v>
      </c>
      <c r="K1385" s="2">
        <v>8</v>
      </c>
      <c r="L1385" s="2">
        <v>9</v>
      </c>
      <c r="M1385" s="2"/>
      <c r="N1385" s="8">
        <v>42445.668726851851</v>
      </c>
      <c r="O1385" s="4" t="s">
        <v>916</v>
      </c>
      <c r="P1385" s="3" t="s">
        <v>915</v>
      </c>
      <c r="Q1385" s="10" t="s">
        <v>9016</v>
      </c>
      <c r="R1385" s="4"/>
      <c r="S1385" s="9" t="str">
        <f>HYPERLINK("https://pbs.twimg.com/profile_images/962248284151734272/-yEY7hhB.jpg","View")</f>
        <v>View</v>
      </c>
    </row>
    <row r="1386" spans="1:19" ht="40">
      <c r="A1386" s="8">
        <v>43347.568055555559</v>
      </c>
      <c r="B1386" s="11" t="str">
        <f>HYPERLINK("https://twitter.com/MehditofighHagh","@MehditofighHagh")</f>
        <v>@MehditofighHagh</v>
      </c>
      <c r="C1386" s="6" t="s">
        <v>13209</v>
      </c>
      <c r="D1386" s="5" t="s">
        <v>13208</v>
      </c>
      <c r="E1386" s="9" t="str">
        <f>HYPERLINK("https://twitter.com/MehditofighHagh/status/1036903697907896320","1036903697907896320")</f>
        <v>1036903697907896320</v>
      </c>
      <c r="F1386" s="4"/>
      <c r="G1386" s="4"/>
      <c r="H1386" s="4"/>
      <c r="I1386" s="10" t="str">
        <f>HYPERLINK("http://twitter.com/download/iphone","Twitter for iPhone")</f>
        <v>Twitter for iPhone</v>
      </c>
      <c r="J1386" s="2">
        <v>2939</v>
      </c>
      <c r="K1386" s="2">
        <v>2800</v>
      </c>
      <c r="L1386" s="2">
        <v>6</v>
      </c>
      <c r="M1386" s="2"/>
      <c r="N1386" s="8">
        <v>42350.273854166662</v>
      </c>
      <c r="O1386" s="4" t="s">
        <v>17</v>
      </c>
      <c r="P1386" s="3" t="s">
        <v>13207</v>
      </c>
      <c r="Q1386" s="4"/>
      <c r="R1386" s="4"/>
      <c r="S1386" s="9" t="str">
        <f>HYPERLINK("https://pbs.twimg.com/profile_images/1033239114177495040/rHpbKLv7.jpg","View")</f>
        <v>View</v>
      </c>
    </row>
    <row r="1387" spans="1:19" ht="12.5">
      <c r="A1387" s="8">
        <v>43347.56731481482</v>
      </c>
      <c r="B1387" s="11" t="str">
        <f>HYPERLINK("https://twitter.com/mahdie99","@mahdie99")</f>
        <v>@mahdie99</v>
      </c>
      <c r="C1387" s="6" t="s">
        <v>13206</v>
      </c>
      <c r="D1387" s="5" t="s">
        <v>13205</v>
      </c>
      <c r="E1387" s="9" t="str">
        <f>HYPERLINK("https://twitter.com/mahdie99/status/1036903426934878208","1036903426934878208")</f>
        <v>1036903426934878208</v>
      </c>
      <c r="F1387" s="4"/>
      <c r="G1387" s="10" t="s">
        <v>13204</v>
      </c>
      <c r="H1387" s="4"/>
      <c r="I1387" s="10" t="str">
        <f>HYPERLINK("http://twitter.com/download/android","Twitter for Android")</f>
        <v>Twitter for Android</v>
      </c>
      <c r="J1387" s="2">
        <v>191</v>
      </c>
      <c r="K1387" s="2">
        <v>703</v>
      </c>
      <c r="L1387" s="2">
        <v>0</v>
      </c>
      <c r="M1387" s="2"/>
      <c r="N1387" s="8">
        <v>43277.076469907406</v>
      </c>
      <c r="O1387" s="4" t="s">
        <v>13203</v>
      </c>
      <c r="P1387" s="3" t="s">
        <v>13202</v>
      </c>
      <c r="Q1387" s="4"/>
      <c r="R1387" s="4"/>
      <c r="S1387" s="9" t="str">
        <f>HYPERLINK("https://pbs.twimg.com/profile_images/1014675758248353793/mOnHOwCN.jpg","View")</f>
        <v>View</v>
      </c>
    </row>
    <row r="1388" spans="1:19" ht="20">
      <c r="A1388" s="8">
        <v>43347.566377314812</v>
      </c>
      <c r="B1388" s="11" t="str">
        <f>HYPERLINK("https://twitter.com/SPakroo","@SPakroo")</f>
        <v>@SPakroo</v>
      </c>
      <c r="C1388" s="6" t="s">
        <v>4824</v>
      </c>
      <c r="D1388" s="5" t="s">
        <v>13201</v>
      </c>
      <c r="E1388" s="9" t="str">
        <f>HYPERLINK("https://twitter.com/SPakroo/status/1036903085925253120","1036903085925253120")</f>
        <v>1036903085925253120</v>
      </c>
      <c r="F1388" s="4"/>
      <c r="G1388" s="4"/>
      <c r="H1388" s="4"/>
      <c r="I1388" s="10" t="str">
        <f>HYPERLINK("http://twitter.com","Twitter Web Client")</f>
        <v>Twitter Web Client</v>
      </c>
      <c r="J1388" s="2">
        <v>6</v>
      </c>
      <c r="K1388" s="2">
        <v>25</v>
      </c>
      <c r="L1388" s="2">
        <v>0</v>
      </c>
      <c r="M1388" s="2"/>
      <c r="N1388" s="8">
        <v>43310.822800925926</v>
      </c>
      <c r="O1388" s="4"/>
      <c r="P1388" s="3"/>
      <c r="Q1388" s="4"/>
      <c r="R1388" s="4"/>
      <c r="S1388" s="9" t="str">
        <f>HYPERLINK("https://pbs.twimg.com/profile_images/1026468958969331713/pXihc-bs.jpg","View")</f>
        <v>View</v>
      </c>
    </row>
    <row r="1389" spans="1:19" ht="40">
      <c r="A1389" s="8">
        <v>43347.565798611111</v>
      </c>
      <c r="B1389" s="11" t="str">
        <f>HYPERLINK("https://twitter.com/Omiderfanmanesh","@Omiderfanmanesh")</f>
        <v>@Omiderfanmanesh</v>
      </c>
      <c r="C1389" s="6" t="s">
        <v>11280</v>
      </c>
      <c r="D1389" s="5" t="s">
        <v>13200</v>
      </c>
      <c r="E1389" s="9" t="str">
        <f>HYPERLINK("https://twitter.com/Omiderfanmanesh/status/1036902876650594305","1036902876650594305")</f>
        <v>1036902876650594305</v>
      </c>
      <c r="F1389" s="4"/>
      <c r="G1389" s="4"/>
      <c r="H1389" s="4"/>
      <c r="I1389" s="10" t="str">
        <f>HYPERLINK("http://twitter.com/download/android","Twitter for Android")</f>
        <v>Twitter for Android</v>
      </c>
      <c r="J1389" s="2">
        <v>955</v>
      </c>
      <c r="K1389" s="2">
        <v>1125</v>
      </c>
      <c r="L1389" s="2">
        <v>2</v>
      </c>
      <c r="M1389" s="2"/>
      <c r="N1389" s="8">
        <v>42701.033217592594</v>
      </c>
      <c r="O1389" s="4" t="s">
        <v>11277</v>
      </c>
      <c r="P1389" s="3" t="s">
        <v>11276</v>
      </c>
      <c r="Q1389" s="4"/>
      <c r="R1389" s="4"/>
      <c r="S1389" s="9" t="str">
        <f>HYPERLINK("https://pbs.twimg.com/profile_images/1028990298305658880/JAdUYLZr.jpg","View")</f>
        <v>View</v>
      </c>
    </row>
    <row r="1390" spans="1:19" ht="20">
      <c r="A1390" s="8">
        <v>43347.565011574072</v>
      </c>
      <c r="B1390" s="11" t="str">
        <f>HYPERLINK("https://twitter.com/iribnewsFa","@iribnewsFa")</f>
        <v>@iribnewsFa</v>
      </c>
      <c r="C1390" s="6" t="s">
        <v>6161</v>
      </c>
      <c r="D1390" s="5" t="s">
        <v>13199</v>
      </c>
      <c r="E1390" s="9" t="str">
        <f>HYPERLINK("https://twitter.com/iribnewsFa/status/1036902592004190208","1036902592004190208")</f>
        <v>1036902592004190208</v>
      </c>
      <c r="F1390" s="4"/>
      <c r="G1390" s="10" t="s">
        <v>13198</v>
      </c>
      <c r="H1390" s="4"/>
      <c r="I1390" s="10" t="str">
        <f>HYPERLINK("http://twitter.com","Twitter Web Client")</f>
        <v>Twitter Web Client</v>
      </c>
      <c r="J1390" s="2">
        <v>197</v>
      </c>
      <c r="K1390" s="2">
        <v>52</v>
      </c>
      <c r="L1390" s="2">
        <v>4</v>
      </c>
      <c r="M1390" s="2"/>
      <c r="N1390" s="8">
        <v>43297.475810185184</v>
      </c>
      <c r="O1390" s="4" t="s">
        <v>34</v>
      </c>
      <c r="P1390" s="3" t="s">
        <v>6159</v>
      </c>
      <c r="Q1390" s="4"/>
      <c r="R1390" s="4"/>
      <c r="S1390" s="9" t="str">
        <f>HYPERLINK("https://pbs.twimg.com/profile_images/1018766929786560512/S7nJiRM5.jpg","View")</f>
        <v>View</v>
      </c>
    </row>
    <row r="1391" spans="1:19" ht="12.5">
      <c r="A1391" s="8">
        <v>43347.564687499995</v>
      </c>
      <c r="B1391" s="11" t="str">
        <f>HYPERLINK("https://twitter.com/bikhial5014","@bikhial5014")</f>
        <v>@bikhial5014</v>
      </c>
      <c r="C1391" s="6" t="s">
        <v>13197</v>
      </c>
      <c r="D1391" s="5" t="s">
        <v>13196</v>
      </c>
      <c r="E1391" s="9" t="str">
        <f>HYPERLINK("https://twitter.com/bikhial5014/status/1036902475704557570","1036902475704557570")</f>
        <v>1036902475704557570</v>
      </c>
      <c r="F1391" s="4"/>
      <c r="G1391" s="4"/>
      <c r="H1391" s="4"/>
      <c r="I1391" s="10" t="str">
        <f>HYPERLINK("http://twitter.com/download/android","Twitter for Android")</f>
        <v>Twitter for Android</v>
      </c>
      <c r="J1391" s="2">
        <v>486</v>
      </c>
      <c r="K1391" s="2">
        <v>322</v>
      </c>
      <c r="L1391" s="2">
        <v>2</v>
      </c>
      <c r="M1391" s="2"/>
      <c r="N1391" s="8">
        <v>42693.35732638889</v>
      </c>
      <c r="O1391" s="4"/>
      <c r="P1391" s="3"/>
      <c r="Q1391" s="4"/>
      <c r="R1391" s="4"/>
      <c r="S1391" s="9" t="str">
        <f>HYPERLINK("https://pbs.twimg.com/profile_images/1034878161631281153/aY-nH5mg.jpg","View")</f>
        <v>View</v>
      </c>
    </row>
    <row r="1392" spans="1:19" ht="20">
      <c r="A1392" s="8">
        <v>43347.563993055555</v>
      </c>
      <c r="B1392" s="11" t="str">
        <f>HYPERLINK("https://twitter.com/mahanmousavi","@mahanmousavi")</f>
        <v>@mahanmousavi</v>
      </c>
      <c r="C1392" s="6" t="s">
        <v>13195</v>
      </c>
      <c r="D1392" s="5" t="s">
        <v>13194</v>
      </c>
      <c r="E1392" s="9" t="str">
        <f>HYPERLINK("https://twitter.com/mahanmousavi/status/1036902225442942976","1036902225442942976")</f>
        <v>1036902225442942976</v>
      </c>
      <c r="F1392" s="4"/>
      <c r="G1392" s="4"/>
      <c r="H1392" s="4"/>
      <c r="I1392" s="10" t="str">
        <f>HYPERLINK("http://twitter.com/download/iphone","Twitter for iPhone")</f>
        <v>Twitter for iPhone</v>
      </c>
      <c r="J1392" s="2">
        <v>81</v>
      </c>
      <c r="K1392" s="2">
        <v>160</v>
      </c>
      <c r="L1392" s="2">
        <v>0</v>
      </c>
      <c r="M1392" s="2"/>
      <c r="N1392" s="8">
        <v>41165.51048611111</v>
      </c>
      <c r="O1392" s="4"/>
      <c r="P1392" s="3" t="s">
        <v>13193</v>
      </c>
      <c r="Q1392" s="4"/>
      <c r="R1392" s="4"/>
      <c r="S1392" s="9" t="str">
        <f>HYPERLINK("https://pbs.twimg.com/profile_images/669910320811372544/fNPx6mQf.jpg","View")</f>
        <v>View</v>
      </c>
    </row>
    <row r="1393" spans="1:19" ht="40">
      <c r="A1393" s="8">
        <v>43347.562939814816</v>
      </c>
      <c r="B1393" s="11" t="str">
        <f>HYPERLINK("https://twitter.com/Shahrok49919799","@Shahrok49919799")</f>
        <v>@Shahrok49919799</v>
      </c>
      <c r="C1393" s="6" t="s">
        <v>5481</v>
      </c>
      <c r="D1393" s="5" t="s">
        <v>13192</v>
      </c>
      <c r="E1393" s="9" t="str">
        <f>HYPERLINK("https://twitter.com/Shahrok49919799/status/1036901841550884864","1036901841550884864")</f>
        <v>1036901841550884864</v>
      </c>
      <c r="F1393" s="4"/>
      <c r="G1393" s="4"/>
      <c r="H1393" s="4"/>
      <c r="I1393" s="10" t="str">
        <f>HYPERLINK("http://twitter.com/download/iphone","Twitter for iPhone")</f>
        <v>Twitter for iPhone</v>
      </c>
      <c r="J1393" s="2">
        <v>475</v>
      </c>
      <c r="K1393" s="2">
        <v>802</v>
      </c>
      <c r="L1393" s="2">
        <v>0</v>
      </c>
      <c r="M1393" s="2"/>
      <c r="N1393" s="8">
        <v>42744.015150462961</v>
      </c>
      <c r="O1393" s="4" t="s">
        <v>34</v>
      </c>
      <c r="P1393" s="3" t="s">
        <v>13191</v>
      </c>
      <c r="Q1393" s="4"/>
      <c r="R1393" s="4"/>
      <c r="S1393" s="9" t="str">
        <f>HYPERLINK("https://pbs.twimg.com/profile_images/1036508854467678209/0PKCAobN.jpg","View")</f>
        <v>View</v>
      </c>
    </row>
    <row r="1394" spans="1:19" ht="30">
      <c r="A1394" s="8">
        <v>43347.561678240745</v>
      </c>
      <c r="B1394" s="11" t="str">
        <f>HYPERLINK("https://twitter.com/ata_afs","@ata_afs")</f>
        <v>@ata_afs</v>
      </c>
      <c r="C1394" s="6" t="s">
        <v>1217</v>
      </c>
      <c r="D1394" s="5" t="s">
        <v>13190</v>
      </c>
      <c r="E1394" s="9" t="str">
        <f>HYPERLINK("https://twitter.com/ata_afs/status/1036901386326237185","1036901386326237185")</f>
        <v>1036901386326237185</v>
      </c>
      <c r="F1394" s="4"/>
      <c r="G1394" s="4"/>
      <c r="H1394" s="4"/>
      <c r="I1394" s="10" t="str">
        <f>HYPERLINK("http://twitter.com/download/iphone","Twitter for iPhone")</f>
        <v>Twitter for iPhone</v>
      </c>
      <c r="J1394" s="2">
        <v>381</v>
      </c>
      <c r="K1394" s="2">
        <v>698</v>
      </c>
      <c r="L1394" s="2">
        <v>0</v>
      </c>
      <c r="M1394" s="2"/>
      <c r="N1394" s="8">
        <v>41833.536099537036</v>
      </c>
      <c r="O1394" s="4" t="s">
        <v>34</v>
      </c>
      <c r="P1394" s="3" t="s">
        <v>1213</v>
      </c>
      <c r="Q1394" s="4"/>
      <c r="R1394" s="4"/>
      <c r="S1394" s="9" t="str">
        <f>HYPERLINK("https://pbs.twimg.com/profile_images/958374868008960000/IRXSv5-C.jpg","View")</f>
        <v>View</v>
      </c>
    </row>
    <row r="1395" spans="1:19" ht="40">
      <c r="A1395" s="8">
        <v>43347.56082175926</v>
      </c>
      <c r="B1395" s="11" t="str">
        <f>HYPERLINK("https://twitter.com/Mahdi25783774","@Mahdi25783774")</f>
        <v>@Mahdi25783774</v>
      </c>
      <c r="C1395" s="6" t="s">
        <v>5469</v>
      </c>
      <c r="D1395" s="5" t="s">
        <v>13189</v>
      </c>
      <c r="E1395" s="9" t="str">
        <f>HYPERLINK("https://twitter.com/Mahdi25783774/status/1036901073187942400","1036901073187942400")</f>
        <v>1036901073187942400</v>
      </c>
      <c r="F1395" s="4"/>
      <c r="G1395" s="10" t="s">
        <v>13188</v>
      </c>
      <c r="H1395" s="4"/>
      <c r="I1395" s="10" t="str">
        <f>HYPERLINK("http://twitter.com/download/android","Twitter for Android")</f>
        <v>Twitter for Android</v>
      </c>
      <c r="J1395" s="2">
        <v>707</v>
      </c>
      <c r="K1395" s="2">
        <v>913</v>
      </c>
      <c r="L1395" s="2">
        <v>1</v>
      </c>
      <c r="M1395" s="2"/>
      <c r="N1395" s="8">
        <v>43233.519814814819</v>
      </c>
      <c r="O1395" s="4" t="s">
        <v>133</v>
      </c>
      <c r="P1395" s="3" t="s">
        <v>5466</v>
      </c>
      <c r="Q1395" s="4"/>
      <c r="R1395" s="4"/>
      <c r="S1395" s="9" t="str">
        <f>HYPERLINK("https://pbs.twimg.com/profile_images/1033642102679318528/4lBWskrd.jpg","View")</f>
        <v>View</v>
      </c>
    </row>
    <row r="1396" spans="1:19" ht="30">
      <c r="A1396" s="8">
        <v>43347.560486111106</v>
      </c>
      <c r="B1396" s="11" t="str">
        <f>HYPERLINK("https://twitter.com/Leon_or_lion","@Leon_or_lion")</f>
        <v>@Leon_or_lion</v>
      </c>
      <c r="C1396" s="6" t="s">
        <v>13187</v>
      </c>
      <c r="D1396" s="5" t="s">
        <v>13186</v>
      </c>
      <c r="E1396" s="9" t="str">
        <f>HYPERLINK("https://twitter.com/Leon_or_lion/status/1036900951150534656","1036900951150534656")</f>
        <v>1036900951150534656</v>
      </c>
      <c r="F1396" s="4"/>
      <c r="G1396" s="4"/>
      <c r="H1396" s="4"/>
      <c r="I1396" s="10" t="str">
        <f>HYPERLINK("http://twitter.com/download/android","Twitter for Android")</f>
        <v>Twitter for Android</v>
      </c>
      <c r="J1396" s="2">
        <v>267</v>
      </c>
      <c r="K1396" s="2">
        <v>286</v>
      </c>
      <c r="L1396" s="2">
        <v>0</v>
      </c>
      <c r="M1396" s="2"/>
      <c r="N1396" s="8">
        <v>42925.143506944441</v>
      </c>
      <c r="O1396" s="4" t="s">
        <v>13185</v>
      </c>
      <c r="P1396" s="3" t="s">
        <v>13184</v>
      </c>
      <c r="Q1396" s="4"/>
      <c r="R1396" s="4"/>
      <c r="S1396" s="9" t="str">
        <f>HYPERLINK("https://pbs.twimg.com/profile_images/1023333700325572608/heSDnOIA.jpg","View")</f>
        <v>View</v>
      </c>
    </row>
    <row r="1397" spans="1:19" ht="40">
      <c r="A1397" s="8">
        <v>43347.55945601852</v>
      </c>
      <c r="B1397" s="11" t="str">
        <f>HYPERLINK("https://twitter.com/iman_shojeii","@iman_shojeii")</f>
        <v>@iman_shojeii</v>
      </c>
      <c r="C1397" s="6" t="s">
        <v>13183</v>
      </c>
      <c r="D1397" s="5" t="s">
        <v>13182</v>
      </c>
      <c r="E1397" s="9" t="str">
        <f>HYPERLINK("https://twitter.com/iman_shojeii/status/1036900579312889857","1036900579312889857")</f>
        <v>1036900579312889857</v>
      </c>
      <c r="F1397" s="4"/>
      <c r="G1397" s="10" t="s">
        <v>13181</v>
      </c>
      <c r="H1397" s="4"/>
      <c r="I1397" s="10" t="str">
        <f>HYPERLINK("http://twitter.com","Twitter Web Client")</f>
        <v>Twitter Web Client</v>
      </c>
      <c r="J1397" s="2">
        <v>1</v>
      </c>
      <c r="K1397" s="2">
        <v>5</v>
      </c>
      <c r="L1397" s="2">
        <v>0</v>
      </c>
      <c r="M1397" s="2"/>
      <c r="N1397" s="8">
        <v>43347.455601851849</v>
      </c>
      <c r="O1397" s="4"/>
      <c r="P1397" s="3" t="s">
        <v>13180</v>
      </c>
      <c r="Q1397" s="4"/>
      <c r="R1397" s="4"/>
      <c r="S1397" s="9" t="str">
        <f>HYPERLINK("https://pbs.twimg.com/profile_images/1036886112180916226/IyKdXK9K.jpg","View")</f>
        <v>View</v>
      </c>
    </row>
    <row r="1398" spans="1:19" ht="30">
      <c r="A1398" s="8">
        <v>43347.558518518519</v>
      </c>
      <c r="B1398" s="11" t="str">
        <f>HYPERLINK("https://twitter.com/rezatanhai","@rezatanhai")</f>
        <v>@rezatanhai</v>
      </c>
      <c r="C1398" s="6" t="s">
        <v>13179</v>
      </c>
      <c r="D1398" s="5" t="s">
        <v>13178</v>
      </c>
      <c r="E1398" s="9" t="str">
        <f>HYPERLINK("https://twitter.com/rezatanhai/status/1036900240375377921","1036900240375377921")</f>
        <v>1036900240375377921</v>
      </c>
      <c r="F1398" s="4" t="s">
        <v>13177</v>
      </c>
      <c r="G1398" s="4"/>
      <c r="H1398" s="4"/>
      <c r="I1398" s="10" t="str">
        <f>HYPERLINK("http://twitter.com","Twitter Web Client")</f>
        <v>Twitter Web Client</v>
      </c>
      <c r="J1398" s="2">
        <v>58</v>
      </c>
      <c r="K1398" s="2">
        <v>51</v>
      </c>
      <c r="L1398" s="2">
        <v>0</v>
      </c>
      <c r="M1398" s="2"/>
      <c r="N1398" s="8">
        <v>42439.420092592598</v>
      </c>
      <c r="O1398" s="4"/>
      <c r="P1398" s="3"/>
      <c r="Q1398" s="4"/>
      <c r="R1398" s="4"/>
      <c r="S1398" s="9" t="str">
        <f>HYPERLINK("https://pbs.twimg.com/profile_images/939051176502398981/AztdAtFH.jpg","View")</f>
        <v>View</v>
      </c>
    </row>
    <row r="1399" spans="1:19" ht="20">
      <c r="A1399" s="8">
        <v>43347.557812500003</v>
      </c>
      <c r="B1399" s="11" t="str">
        <f>HYPERLINK("https://twitter.com/Ramdisius","@Ramdisius")</f>
        <v>@Ramdisius</v>
      </c>
      <c r="C1399" s="6" t="s">
        <v>1494</v>
      </c>
      <c r="D1399" s="5" t="s">
        <v>13176</v>
      </c>
      <c r="E1399" s="9" t="str">
        <f>HYPERLINK("https://twitter.com/Ramdisius/status/1036899983595917314","1036899983595917314")</f>
        <v>1036899983595917314</v>
      </c>
      <c r="F1399" s="4"/>
      <c r="G1399" s="10" t="s">
        <v>13175</v>
      </c>
      <c r="H1399" s="4"/>
      <c r="I1399" s="10" t="str">
        <f>HYPERLINK("http://twitter.com/download/android","Twitter for Android")</f>
        <v>Twitter for Android</v>
      </c>
      <c r="J1399" s="2">
        <v>88</v>
      </c>
      <c r="K1399" s="2">
        <v>95</v>
      </c>
      <c r="L1399" s="2">
        <v>0</v>
      </c>
      <c r="M1399" s="2"/>
      <c r="N1399" s="8">
        <v>42999.626296296294</v>
      </c>
      <c r="O1399" s="4"/>
      <c r="P1399" s="3" t="s">
        <v>1491</v>
      </c>
      <c r="Q1399" s="4"/>
      <c r="R1399" s="4"/>
      <c r="S1399" s="9" t="str">
        <f>HYPERLINK("https://pbs.twimg.com/profile_images/953361613679202306/_YiFOaj_.jpg","View")</f>
        <v>View</v>
      </c>
    </row>
    <row r="1400" spans="1:19" ht="20">
      <c r="A1400" s="8">
        <v>43347.556250000001</v>
      </c>
      <c r="B1400" s="11" t="str">
        <f>HYPERLINK("https://twitter.com/tehrannews_ir","@tehrannews_ir")</f>
        <v>@tehrannews_ir</v>
      </c>
      <c r="C1400" s="6" t="s">
        <v>13174</v>
      </c>
      <c r="D1400" s="5" t="s">
        <v>13173</v>
      </c>
      <c r="E1400" s="9" t="str">
        <f>HYPERLINK("https://twitter.com/tehrannews_ir/status/1036899418069381120","1036899418069381120")</f>
        <v>1036899418069381120</v>
      </c>
      <c r="F1400" s="4"/>
      <c r="G1400" s="4"/>
      <c r="H1400" s="4"/>
      <c r="I1400" s="10" t="str">
        <f>HYPERLINK("http://twitter.com/download/android","Twitter for Android")</f>
        <v>Twitter for Android</v>
      </c>
      <c r="J1400" s="2">
        <v>1113</v>
      </c>
      <c r="K1400" s="2">
        <v>2408</v>
      </c>
      <c r="L1400" s="2">
        <v>4</v>
      </c>
      <c r="M1400" s="2"/>
      <c r="N1400" s="8">
        <v>42700.405069444445</v>
      </c>
      <c r="O1400" s="4" t="s">
        <v>17</v>
      </c>
      <c r="P1400" s="3" t="s">
        <v>13172</v>
      </c>
      <c r="Q1400" s="10" t="s">
        <v>13171</v>
      </c>
      <c r="R1400" s="4"/>
      <c r="S1400" s="9" t="str">
        <f>HYPERLINK("https://pbs.twimg.com/profile_images/892645766438715392/O82M_UEU.jpg","View")</f>
        <v>View</v>
      </c>
    </row>
    <row r="1401" spans="1:19" ht="40">
      <c r="A1401" s="8">
        <v>43347.555995370371</v>
      </c>
      <c r="B1401" s="11" t="str">
        <f>HYPERLINK("https://twitter.com/sazandegii","@sazandegii")</f>
        <v>@sazandegii</v>
      </c>
      <c r="C1401" s="6" t="s">
        <v>4156</v>
      </c>
      <c r="D1401" s="5" t="s">
        <v>13170</v>
      </c>
      <c r="E1401" s="9" t="str">
        <f>HYPERLINK("https://twitter.com/sazandegii/status/1036899325761269760","1036899325761269760")</f>
        <v>1036899325761269760</v>
      </c>
      <c r="F1401" s="4"/>
      <c r="G1401" s="4"/>
      <c r="H1401" s="4"/>
      <c r="I1401" s="10" t="str">
        <f>HYPERLINK("http://twitter.com","Twitter Web Client")</f>
        <v>Twitter Web Client</v>
      </c>
      <c r="J1401" s="2">
        <v>786</v>
      </c>
      <c r="K1401" s="2">
        <v>75</v>
      </c>
      <c r="L1401" s="2">
        <v>14</v>
      </c>
      <c r="M1401" s="2"/>
      <c r="N1401" s="8">
        <v>43144.881296296298</v>
      </c>
      <c r="O1401" s="4" t="s">
        <v>104</v>
      </c>
      <c r="P1401" s="3" t="s">
        <v>4153</v>
      </c>
      <c r="Q1401" s="4"/>
      <c r="R1401" s="4"/>
      <c r="S1401" s="9" t="str">
        <f>HYPERLINK("https://pbs.twimg.com/profile_images/970996181366202368/iBGYCP3F.jpg","View")</f>
        <v>View</v>
      </c>
    </row>
    <row r="1402" spans="1:19" ht="30">
      <c r="A1402" s="8">
        <v>43347.555231481485</v>
      </c>
      <c r="B1402" s="11" t="str">
        <f>HYPERLINK("https://twitter.com/Badbadak4","@Badbadak4")</f>
        <v>@Badbadak4</v>
      </c>
      <c r="C1402" s="6" t="s">
        <v>13169</v>
      </c>
      <c r="D1402" s="5" t="s">
        <v>13168</v>
      </c>
      <c r="E1402" s="9" t="str">
        <f>HYPERLINK("https://twitter.com/Badbadak4/status/1036899048505180162","1036899048505180162")</f>
        <v>1036899048505180162</v>
      </c>
      <c r="F1402" s="4"/>
      <c r="G1402" s="4"/>
      <c r="H1402" s="4"/>
      <c r="I1402" s="10" t="str">
        <f>HYPERLINK("http://twitter.com","Twitter Web Client")</f>
        <v>Twitter Web Client</v>
      </c>
      <c r="J1402" s="2">
        <v>272</v>
      </c>
      <c r="K1402" s="2">
        <v>306</v>
      </c>
      <c r="L1402" s="2">
        <v>0</v>
      </c>
      <c r="M1402" s="2"/>
      <c r="N1402" s="8">
        <v>43190.957592592589</v>
      </c>
      <c r="O1402" s="4"/>
      <c r="P1402" s="3" t="s">
        <v>13167</v>
      </c>
      <c r="Q1402" s="4"/>
      <c r="R1402" s="4"/>
      <c r="S1402" s="9" t="str">
        <f>HYPERLINK("https://pbs.twimg.com/profile_images/980333403085197312/WDo2yKlC.jpg","View")</f>
        <v>View</v>
      </c>
    </row>
    <row r="1403" spans="1:19" ht="30">
      <c r="A1403" s="8">
        <v>43347.554247685184</v>
      </c>
      <c r="B1403" s="11" t="str">
        <f>HYPERLINK("https://twitter.com/M_Soltanian","@M_Soltanian")</f>
        <v>@M_Soltanian</v>
      </c>
      <c r="C1403" s="6" t="s">
        <v>307</v>
      </c>
      <c r="D1403" s="5" t="s">
        <v>13166</v>
      </c>
      <c r="E1403" s="9" t="str">
        <f>HYPERLINK("https://twitter.com/M_Soltanian/status/1036898691918057473","1036898691918057473")</f>
        <v>1036898691918057473</v>
      </c>
      <c r="F1403" s="4"/>
      <c r="G1403" s="4"/>
      <c r="H1403" s="4"/>
      <c r="I1403" s="10" t="str">
        <f>HYPERLINK("http://twitter.com/download/iphone","Twitter for iPhone")</f>
        <v>Twitter for iPhone</v>
      </c>
      <c r="J1403" s="2">
        <v>81</v>
      </c>
      <c r="K1403" s="2">
        <v>36</v>
      </c>
      <c r="L1403" s="2">
        <v>1</v>
      </c>
      <c r="M1403" s="2"/>
      <c r="N1403" s="8">
        <v>40800.012372685189</v>
      </c>
      <c r="O1403" s="4" t="s">
        <v>305</v>
      </c>
      <c r="P1403" s="3" t="s">
        <v>304</v>
      </c>
      <c r="Q1403" s="4"/>
      <c r="R1403" s="4"/>
      <c r="S1403" s="9" t="str">
        <f>HYPERLINK("https://pbs.twimg.com/profile_images/1020378073479483393/0vop71In.jpg","View")</f>
        <v>View</v>
      </c>
    </row>
    <row r="1404" spans="1:19" ht="30">
      <c r="A1404" s="8">
        <v>43347.554236111115</v>
      </c>
      <c r="B1404" s="11" t="str">
        <f>HYPERLINK("https://twitter.com/KmemariIran","@KmemariIran")</f>
        <v>@KmemariIran</v>
      </c>
      <c r="C1404" s="6" t="s">
        <v>1400</v>
      </c>
      <c r="D1404" s="5" t="s">
        <v>13165</v>
      </c>
      <c r="E1404" s="9" t="str">
        <f>HYPERLINK("https://twitter.com/KmemariIran/status/1036898689866842112","1036898689866842112")</f>
        <v>1036898689866842112</v>
      </c>
      <c r="F1404" s="4"/>
      <c r="G1404" s="4"/>
      <c r="H1404" s="4"/>
      <c r="I1404" s="10" t="str">
        <f>HYPERLINK("http://twitter.com/download/iphone","Twitter for iPhone")</f>
        <v>Twitter for iPhone</v>
      </c>
      <c r="J1404" s="2">
        <v>1636</v>
      </c>
      <c r="K1404" s="2">
        <v>4635</v>
      </c>
      <c r="L1404" s="2">
        <v>1</v>
      </c>
      <c r="M1404" s="2"/>
      <c r="N1404" s="8">
        <v>41314.427916666667</v>
      </c>
      <c r="O1404" s="4"/>
      <c r="P1404" s="3"/>
      <c r="Q1404" s="4"/>
      <c r="R1404" s="4"/>
      <c r="S1404" s="9" t="str">
        <f>HYPERLINK("https://pbs.twimg.com/profile_images/898805624657629186/OjMXkXe4.jpg","View")</f>
        <v>View</v>
      </c>
    </row>
    <row r="1405" spans="1:19" ht="12.5">
      <c r="A1405" s="8">
        <v>43347.552627314813</v>
      </c>
      <c r="B1405" s="11" t="str">
        <f>HYPERLINK("https://twitter.com/smaams118","@smaams118")</f>
        <v>@smaams118</v>
      </c>
      <c r="C1405" s="6" t="s">
        <v>13164</v>
      </c>
      <c r="D1405" s="5" t="s">
        <v>13163</v>
      </c>
      <c r="E1405" s="9" t="str">
        <f>HYPERLINK("https://twitter.com/smaams118/status/1036898102937092096","1036898102937092096")</f>
        <v>1036898102937092096</v>
      </c>
      <c r="F1405" s="4"/>
      <c r="G1405" s="4"/>
      <c r="H1405" s="4"/>
      <c r="I1405" s="10" t="str">
        <f>HYPERLINK("http://twitter.com/download/iphone","Twitter for iPhone")</f>
        <v>Twitter for iPhone</v>
      </c>
      <c r="J1405" s="2">
        <v>1955</v>
      </c>
      <c r="K1405" s="2">
        <v>1896</v>
      </c>
      <c r="L1405" s="2">
        <v>7</v>
      </c>
      <c r="M1405" s="2"/>
      <c r="N1405" s="8">
        <v>42942.511967592596</v>
      </c>
      <c r="O1405" s="4"/>
      <c r="P1405" s="3" t="s">
        <v>13162</v>
      </c>
      <c r="Q1405" s="4"/>
      <c r="R1405" s="4"/>
      <c r="S1405" s="9" t="str">
        <f>HYPERLINK("https://pbs.twimg.com/profile_images/1011877475184447488/4jnY6F4E.jpg","View")</f>
        <v>View</v>
      </c>
    </row>
    <row r="1406" spans="1:19" ht="40">
      <c r="A1406" s="8">
        <v>43347.551296296297</v>
      </c>
      <c r="B1406" s="11" t="str">
        <f>HYPERLINK("https://twitter.com/kurd_arim","@kurd_arim")</f>
        <v>@kurd_arim</v>
      </c>
      <c r="C1406" s="6" t="s">
        <v>13161</v>
      </c>
      <c r="D1406" s="5" t="s">
        <v>13160</v>
      </c>
      <c r="E1406" s="9" t="str">
        <f>HYPERLINK("https://twitter.com/kurd_arim/status/1036897622194352128","1036897622194352128")</f>
        <v>1036897622194352128</v>
      </c>
      <c r="F1406" s="4"/>
      <c r="G1406" s="4"/>
      <c r="H1406" s="4"/>
      <c r="I1406" s="10" t="str">
        <f>HYPERLINK("http://twitter.com/download/android","Twitter for Android")</f>
        <v>Twitter for Android</v>
      </c>
      <c r="J1406" s="2">
        <v>385</v>
      </c>
      <c r="K1406" s="2">
        <v>439</v>
      </c>
      <c r="L1406" s="2">
        <v>0</v>
      </c>
      <c r="M1406" s="2"/>
      <c r="N1406" s="8">
        <v>42947.487222222218</v>
      </c>
      <c r="O1406" s="4"/>
      <c r="P1406" s="3" t="s">
        <v>13159</v>
      </c>
      <c r="Q1406" s="4"/>
      <c r="R1406" s="4"/>
      <c r="S1406" s="9" t="str">
        <f>HYPERLINK("https://pbs.twimg.com/profile_images/1031571308948193281/Mbk4FY87.jpg","View")</f>
        <v>View</v>
      </c>
    </row>
    <row r="1407" spans="1:19" ht="20">
      <c r="A1407" s="8">
        <v>43347.550659722227</v>
      </c>
      <c r="B1407" s="11" t="str">
        <f>HYPERLINK("https://twitter.com/Behrang_ai","@Behrang_ai")</f>
        <v>@Behrang_ai</v>
      </c>
      <c r="C1407" s="6" t="s">
        <v>3210</v>
      </c>
      <c r="D1407" s="5" t="s">
        <v>13158</v>
      </c>
      <c r="E1407" s="9" t="str">
        <f>HYPERLINK("https://twitter.com/Behrang_ai/status/1036897391184670721","1036897391184670721")</f>
        <v>1036897391184670721</v>
      </c>
      <c r="F1407" s="4"/>
      <c r="G1407" s="4"/>
      <c r="H1407" s="4"/>
      <c r="I1407" s="10" t="str">
        <f>HYPERLINK("http://twitter.com","Twitter Web Client")</f>
        <v>Twitter Web Client</v>
      </c>
      <c r="J1407" s="2">
        <v>113</v>
      </c>
      <c r="K1407" s="2">
        <v>162</v>
      </c>
      <c r="L1407" s="2">
        <v>0</v>
      </c>
      <c r="M1407" s="2"/>
      <c r="N1407" s="8">
        <v>43319.792928240742</v>
      </c>
      <c r="O1407" s="4"/>
      <c r="P1407" s="3" t="s">
        <v>13157</v>
      </c>
      <c r="Q1407" s="4"/>
      <c r="R1407" s="4"/>
      <c r="S1407" s="9" t="str">
        <f>HYPERLINK("https://pbs.twimg.com/profile_images/1026840277942788097/zvBsT69x.jpg","View")</f>
        <v>View</v>
      </c>
    </row>
    <row r="1408" spans="1:19" ht="40">
      <c r="A1408" s="8">
        <v>43347.549629629633</v>
      </c>
      <c r="B1408" s="11" t="str">
        <f>HYPERLINK("https://twitter.com/moas619","@moas619")</f>
        <v>@moas619</v>
      </c>
      <c r="C1408" s="6">
        <v>619</v>
      </c>
      <c r="D1408" s="5" t="s">
        <v>13156</v>
      </c>
      <c r="E1408" s="9" t="str">
        <f>HYPERLINK("https://twitter.com/moas619/status/1036897019552509953","1036897019552509953")</f>
        <v>1036897019552509953</v>
      </c>
      <c r="F1408" s="4"/>
      <c r="G1408" s="4"/>
      <c r="H1408" s="4"/>
      <c r="I1408" s="10" t="str">
        <f>HYPERLINK("http://twitter.com/download/android","Twitter for Android")</f>
        <v>Twitter for Android</v>
      </c>
      <c r="J1408" s="2">
        <v>91</v>
      </c>
      <c r="K1408" s="2">
        <v>161</v>
      </c>
      <c r="L1408" s="2">
        <v>0</v>
      </c>
      <c r="M1408" s="2"/>
      <c r="N1408" s="8">
        <v>42820.84611111111</v>
      </c>
      <c r="O1408" s="4" t="s">
        <v>34</v>
      </c>
      <c r="P1408" s="3"/>
      <c r="Q1408" s="4"/>
      <c r="R1408" s="4"/>
      <c r="S1408" s="9" t="str">
        <f>HYPERLINK("https://pbs.twimg.com/profile_images/1027060936086102016/VSqg7Jst.jpg","View")</f>
        <v>View</v>
      </c>
    </row>
    <row r="1409" spans="1:19" ht="30">
      <c r="A1409" s="8">
        <v>43347.54855324074</v>
      </c>
      <c r="B1409" s="11" t="str">
        <f>HYPERLINK("https://twitter.com/bmeehinsaazm","@bmeehinsaazm")</f>
        <v>@bmeehinsaazm</v>
      </c>
      <c r="C1409" s="6" t="s">
        <v>13155</v>
      </c>
      <c r="D1409" s="5" t="s">
        <v>13154</v>
      </c>
      <c r="E1409" s="9" t="str">
        <f>HYPERLINK("https://twitter.com/bmeehinsaazm/status/1036896630509846528","1036896630509846528")</f>
        <v>1036896630509846528</v>
      </c>
      <c r="F1409" s="4"/>
      <c r="G1409" s="4"/>
      <c r="H1409" s="4"/>
      <c r="I1409" s="10" t="str">
        <f>HYPERLINK("http://twitter.com/download/android","Twitter for Android")</f>
        <v>Twitter for Android</v>
      </c>
      <c r="J1409" s="2">
        <v>576</v>
      </c>
      <c r="K1409" s="2">
        <v>201</v>
      </c>
      <c r="L1409" s="2">
        <v>0</v>
      </c>
      <c r="M1409" s="2"/>
      <c r="N1409" s="8">
        <v>42313.706909722227</v>
      </c>
      <c r="O1409" s="4" t="s">
        <v>13153</v>
      </c>
      <c r="P1409" s="3" t="s">
        <v>13152</v>
      </c>
      <c r="Q1409" s="4"/>
      <c r="R1409" s="4"/>
      <c r="S1409" s="9" t="str">
        <f>HYPERLINK("https://pbs.twimg.com/profile_images/891664468635250689/g5Sap3Tq.jpg","View")</f>
        <v>View</v>
      </c>
    </row>
    <row r="1410" spans="1:19" ht="12.5">
      <c r="A1410" s="8">
        <v>43347.548460648148</v>
      </c>
      <c r="B1410" s="11" t="str">
        <f>HYPERLINK("https://twitter.com/ShomaliAli","@ShomaliAli")</f>
        <v>@ShomaliAli</v>
      </c>
      <c r="C1410" s="6" t="s">
        <v>13151</v>
      </c>
      <c r="D1410" s="5" t="s">
        <v>13150</v>
      </c>
      <c r="E1410" s="9" t="str">
        <f>HYPERLINK("https://twitter.com/ShomaliAli/status/1036896594237513729","1036896594237513729")</f>
        <v>1036896594237513729</v>
      </c>
      <c r="F1410" s="4"/>
      <c r="G1410" s="4"/>
      <c r="H1410" s="4"/>
      <c r="I1410" s="10" t="str">
        <f>HYPERLINK("http://twitter.com/download/android","Twitter for Android")</f>
        <v>Twitter for Android</v>
      </c>
      <c r="J1410" s="2">
        <v>63</v>
      </c>
      <c r="K1410" s="2">
        <v>213</v>
      </c>
      <c r="L1410" s="2">
        <v>0</v>
      </c>
      <c r="M1410" s="2"/>
      <c r="N1410" s="8">
        <v>42131.023090277777</v>
      </c>
      <c r="O1410" s="4" t="s">
        <v>13149</v>
      </c>
      <c r="P1410" s="3"/>
      <c r="Q1410" s="4"/>
      <c r="R1410" s="4"/>
      <c r="S1410" s="9" t="str">
        <f>HYPERLINK("https://pbs.twimg.com/profile_images/1033218622867603456/WHuhj6t7.jpg","View")</f>
        <v>View</v>
      </c>
    </row>
    <row r="1411" spans="1:19" ht="20">
      <c r="A1411" s="8">
        <v>43347.547905092593</v>
      </c>
      <c r="B1411" s="11" t="str">
        <f>HYPERLINK("https://twitter.com/adashtabi","@adashtabi")</f>
        <v>@adashtabi</v>
      </c>
      <c r="C1411" s="6" t="s">
        <v>8933</v>
      </c>
      <c r="D1411" s="5" t="s">
        <v>13148</v>
      </c>
      <c r="E1411" s="9" t="str">
        <f>HYPERLINK("https://twitter.com/adashtabi/status/1036896394794201088","1036896394794201088")</f>
        <v>1036896394794201088</v>
      </c>
      <c r="F1411" s="4"/>
      <c r="G1411" s="4"/>
      <c r="H1411" s="4"/>
      <c r="I1411" s="10" t="str">
        <f>HYPERLINK("http://twitter.com","Twitter Web Client")</f>
        <v>Twitter Web Client</v>
      </c>
      <c r="J1411" s="2">
        <v>149</v>
      </c>
      <c r="K1411" s="2">
        <v>96</v>
      </c>
      <c r="L1411" s="2">
        <v>0</v>
      </c>
      <c r="M1411" s="2"/>
      <c r="N1411" s="8">
        <v>42385.611446759256</v>
      </c>
      <c r="O1411" s="4"/>
      <c r="P1411" s="3" t="s">
        <v>8931</v>
      </c>
      <c r="Q1411" s="10" t="s">
        <v>8930</v>
      </c>
      <c r="R1411" s="4"/>
      <c r="S1411" s="9" t="str">
        <f>HYPERLINK("https://pbs.twimg.com/profile_images/1033702579627118592/Utl3W_xx.jpg","View")</f>
        <v>View</v>
      </c>
    </row>
    <row r="1412" spans="1:19" ht="20">
      <c r="A1412" s="8">
        <v>43347.547361111108</v>
      </c>
      <c r="B1412" s="11" t="str">
        <f>HYPERLINK("https://twitter.com/salmaneshoon","@salmaneshoon")</f>
        <v>@salmaneshoon</v>
      </c>
      <c r="C1412" s="6" t="s">
        <v>13147</v>
      </c>
      <c r="D1412" s="5" t="s">
        <v>13146</v>
      </c>
      <c r="E1412" s="9" t="str">
        <f>HYPERLINK("https://twitter.com/salmaneshoon/status/1036896195384410112","1036896195384410112")</f>
        <v>1036896195384410112</v>
      </c>
      <c r="F1412" s="4"/>
      <c r="G1412" s="10" t="s">
        <v>13145</v>
      </c>
      <c r="H1412" s="4"/>
      <c r="I1412" s="10" t="str">
        <f>HYPERLINK("http://twitter.com/download/iphone","Twitter for iPhone")</f>
        <v>Twitter for iPhone</v>
      </c>
      <c r="J1412" s="2">
        <v>2404</v>
      </c>
      <c r="K1412" s="2">
        <v>1817</v>
      </c>
      <c r="L1412" s="2">
        <v>2</v>
      </c>
      <c r="M1412" s="2"/>
      <c r="N1412" s="8">
        <v>42694.725358796291</v>
      </c>
      <c r="O1412" s="4" t="s">
        <v>11755</v>
      </c>
      <c r="P1412" s="3" t="s">
        <v>11754</v>
      </c>
      <c r="Q1412" s="4"/>
      <c r="R1412" s="4"/>
      <c r="S1412" s="9" t="str">
        <f>HYPERLINK("https://pbs.twimg.com/profile_images/905893694317920256/G9bFTwGG.jpg","View")</f>
        <v>View</v>
      </c>
    </row>
    <row r="1413" spans="1:19" ht="20">
      <c r="A1413" s="8">
        <v>43347.546550925923</v>
      </c>
      <c r="B1413" s="11" t="str">
        <f>HYPERLINK("https://twitter.com/FarsNews_Agency","@FarsNews_Agency")</f>
        <v>@FarsNews_Agency</v>
      </c>
      <c r="C1413" s="6" t="s">
        <v>83</v>
      </c>
      <c r="D1413" s="5" t="s">
        <v>13144</v>
      </c>
      <c r="E1413" s="9" t="str">
        <f>HYPERLINK("https://twitter.com/FarsNews_Agency/status/1036895904161247232","1036895904161247232")</f>
        <v>1036895904161247232</v>
      </c>
      <c r="F1413" s="4"/>
      <c r="G1413" s="10" t="s">
        <v>13143</v>
      </c>
      <c r="H1413" s="4"/>
      <c r="I1413" s="10" t="str">
        <f>HYPERLINK("http://twitter.com","Twitter Web Client")</f>
        <v>Twitter Web Client</v>
      </c>
      <c r="J1413" s="2">
        <v>54628</v>
      </c>
      <c r="K1413" s="2">
        <v>1</v>
      </c>
      <c r="L1413" s="2">
        <v>350</v>
      </c>
      <c r="M1413" s="2" t="s">
        <v>80</v>
      </c>
      <c r="N1413" s="8">
        <v>41779.409398148149</v>
      </c>
      <c r="O1413" s="4" t="s">
        <v>79</v>
      </c>
      <c r="P1413" s="3" t="s">
        <v>78</v>
      </c>
      <c r="Q1413" s="10" t="s">
        <v>77</v>
      </c>
      <c r="R1413" s="4"/>
      <c r="S1413" s="9" t="str">
        <f>HYPERLINK("https://pbs.twimg.com/profile_images/970300864257777664/8y7AvX_N.jpg","View")</f>
        <v>View</v>
      </c>
    </row>
    <row r="1414" spans="1:19" ht="40">
      <c r="A1414" s="8">
        <v>43347.545601851853</v>
      </c>
      <c r="B1414" s="11" t="str">
        <f>HYPERLINK("https://twitter.com/sa03407833","@sa03407833")</f>
        <v>@sa03407833</v>
      </c>
      <c r="C1414" s="6" t="s">
        <v>13142</v>
      </c>
      <c r="D1414" s="5" t="s">
        <v>13141</v>
      </c>
      <c r="E1414" s="9" t="str">
        <f>HYPERLINK("https://twitter.com/sa03407833/status/1036895560920428544","1036895560920428544")</f>
        <v>1036895560920428544</v>
      </c>
      <c r="F1414" s="4"/>
      <c r="G1414" s="4"/>
      <c r="H1414" s="4"/>
      <c r="I1414" s="10" t="str">
        <f>HYPERLINK("http://twitter.com/download/iphone","Twitter for iPhone")</f>
        <v>Twitter for iPhone</v>
      </c>
      <c r="J1414" s="2">
        <v>0</v>
      </c>
      <c r="K1414" s="2">
        <v>53</v>
      </c>
      <c r="L1414" s="2">
        <v>0</v>
      </c>
      <c r="M1414" s="2"/>
      <c r="N1414" s="8">
        <v>43347.480937500004</v>
      </c>
      <c r="O1414" s="4"/>
      <c r="P1414" s="3" t="s">
        <v>13140</v>
      </c>
      <c r="Q1414" s="4"/>
      <c r="R1414" s="4"/>
      <c r="S1414" s="9" t="str">
        <f>HYPERLINK("https://pbs.twimg.com/profile_images/1036896213315067904/aGDWxwUW.jpg","View")</f>
        <v>View</v>
      </c>
    </row>
    <row r="1415" spans="1:19" ht="40">
      <c r="A1415" s="8">
        <v>43347.545266203699</v>
      </c>
      <c r="B1415" s="11" t="str">
        <f>HYPERLINK("https://twitter.com/Veganwolf08","@Veganwolf08")</f>
        <v>@Veganwolf08</v>
      </c>
      <c r="C1415" s="6" t="s">
        <v>284</v>
      </c>
      <c r="D1415" s="5" t="s">
        <v>13139</v>
      </c>
      <c r="E1415" s="9" t="str">
        <f>HYPERLINK("https://twitter.com/Veganwolf08/status/1036895437402398720","1036895437402398720")</f>
        <v>1036895437402398720</v>
      </c>
      <c r="F1415" s="10" t="s">
        <v>13138</v>
      </c>
      <c r="G1415" s="10" t="s">
        <v>13137</v>
      </c>
      <c r="H1415" s="4"/>
      <c r="I1415" s="10" t="str">
        <f>HYPERLINK("https://mobile.twitter.com","Twitter Lite")</f>
        <v>Twitter Lite</v>
      </c>
      <c r="J1415" s="2">
        <v>58</v>
      </c>
      <c r="K1415" s="2">
        <v>101</v>
      </c>
      <c r="L1415" s="2">
        <v>0</v>
      </c>
      <c r="M1415" s="2"/>
      <c r="N1415" s="8">
        <v>43102.106967592597</v>
      </c>
      <c r="O1415" s="4" t="s">
        <v>282</v>
      </c>
      <c r="P1415" s="3" t="s">
        <v>281</v>
      </c>
      <c r="Q1415" s="4"/>
      <c r="R1415" s="4"/>
      <c r="S1415" s="9" t="str">
        <f>HYPERLINK("https://pbs.twimg.com/profile_images/963000529822593024/DGULHkzW.jpg","View")</f>
        <v>View</v>
      </c>
    </row>
    <row r="1416" spans="1:19" ht="30">
      <c r="A1416" s="8">
        <v>43347.544756944444</v>
      </c>
      <c r="B1416" s="11" t="str">
        <f>HYPERLINK("https://twitter.com/Tasnimnews_Fa","@Tasnimnews_Fa")</f>
        <v>@Tasnimnews_Fa</v>
      </c>
      <c r="C1416" s="6" t="s">
        <v>603</v>
      </c>
      <c r="D1416" s="5" t="s">
        <v>13136</v>
      </c>
      <c r="E1416" s="9" t="str">
        <f>HYPERLINK("https://twitter.com/Tasnimnews_Fa/status/1036895254455177216","1036895254455177216")</f>
        <v>1036895254455177216</v>
      </c>
      <c r="F1416" s="4"/>
      <c r="G1416" s="10" t="s">
        <v>13135</v>
      </c>
      <c r="H1416" s="4"/>
      <c r="I1416" s="10" t="str">
        <f>HYPERLINK("http://twitter.com","Twitter Web Client")</f>
        <v>Twitter Web Client</v>
      </c>
      <c r="J1416" s="2">
        <v>109734</v>
      </c>
      <c r="K1416" s="2">
        <v>20</v>
      </c>
      <c r="L1416" s="2">
        <v>378</v>
      </c>
      <c r="M1416" s="2" t="s">
        <v>80</v>
      </c>
      <c r="N1416" s="8">
        <v>41868.671585648146</v>
      </c>
      <c r="O1416" s="4" t="s">
        <v>133</v>
      </c>
      <c r="P1416" s="3" t="s">
        <v>599</v>
      </c>
      <c r="Q1416" s="10" t="s">
        <v>598</v>
      </c>
      <c r="R1416" s="4"/>
      <c r="S1416" s="9" t="str">
        <f>HYPERLINK("https://pbs.twimg.com/profile_images/942003149430239232/hvLw_1_E.jpg","View")</f>
        <v>View</v>
      </c>
    </row>
    <row r="1417" spans="1:19" ht="40">
      <c r="A1417" s="8">
        <v>43347.544733796298</v>
      </c>
      <c r="B1417" s="11" t="str">
        <f>HYPERLINK("https://twitter.com/mehdighavidelll","@mehdighavidelll")</f>
        <v>@mehdighavidelll</v>
      </c>
      <c r="C1417" s="6" t="s">
        <v>13134</v>
      </c>
      <c r="D1417" s="5" t="s">
        <v>13133</v>
      </c>
      <c r="E1417" s="9" t="str">
        <f>HYPERLINK("https://twitter.com/mehdighavidelll/status/1036895243432611840","1036895243432611840")</f>
        <v>1036895243432611840</v>
      </c>
      <c r="F1417" s="4"/>
      <c r="G1417" s="4"/>
      <c r="H1417" s="4"/>
      <c r="I1417" s="10" t="str">
        <f>HYPERLINK("http://twitter.com/download/android","Twitter for Android")</f>
        <v>Twitter for Android</v>
      </c>
      <c r="J1417" s="2">
        <v>1411</v>
      </c>
      <c r="K1417" s="2">
        <v>49</v>
      </c>
      <c r="L1417" s="2">
        <v>6</v>
      </c>
      <c r="M1417" s="2"/>
      <c r="N1417" s="8">
        <v>42704.852372685185</v>
      </c>
      <c r="O1417" s="4"/>
      <c r="P1417" s="3" t="s">
        <v>13132</v>
      </c>
      <c r="Q1417" s="10" t="s">
        <v>13131</v>
      </c>
      <c r="R1417" s="4"/>
      <c r="S1417" s="9" t="str">
        <f>HYPERLINK("https://pbs.twimg.com/profile_images/1035637863646416896/Sqm1IUuU.jpg","View")</f>
        <v>View</v>
      </c>
    </row>
    <row r="1418" spans="1:19" ht="20">
      <c r="A1418" s="8">
        <v>43347.544027777782</v>
      </c>
      <c r="B1418" s="11" t="str">
        <f>HYPERLINK("https://twitter.com/mzr1370","@mzr1370")</f>
        <v>@mzr1370</v>
      </c>
      <c r="C1418" s="6" t="s">
        <v>7798</v>
      </c>
      <c r="D1418" s="5" t="s">
        <v>13130</v>
      </c>
      <c r="E1418" s="9" t="str">
        <f>HYPERLINK("https://twitter.com/mzr1370/status/1036894988704079874","1036894988704079874")</f>
        <v>1036894988704079874</v>
      </c>
      <c r="F1418" s="4"/>
      <c r="G1418" s="4"/>
      <c r="H1418" s="4"/>
      <c r="I1418" s="10" t="str">
        <f>HYPERLINK("http://twitter.com","Twitter Web Client")</f>
        <v>Twitter Web Client</v>
      </c>
      <c r="J1418" s="2">
        <v>3520</v>
      </c>
      <c r="K1418" s="2">
        <v>453</v>
      </c>
      <c r="L1418" s="2">
        <v>14</v>
      </c>
      <c r="M1418" s="2"/>
      <c r="N1418" s="8">
        <v>42883.211770833332</v>
      </c>
      <c r="O1418" s="4" t="s">
        <v>7796</v>
      </c>
      <c r="P1418" s="3" t="s">
        <v>7795</v>
      </c>
      <c r="Q1418" s="4"/>
      <c r="R1418" s="4"/>
      <c r="S1418" s="9" t="str">
        <f>HYPERLINK("https://pbs.twimg.com/profile_images/1015519122409623552/813sK7dM.jpg","View")</f>
        <v>View</v>
      </c>
    </row>
    <row r="1419" spans="1:19" ht="20">
      <c r="A1419" s="8">
        <v>43347.543842592597</v>
      </c>
      <c r="B1419" s="11" t="str">
        <f>HYPERLINK("https://twitter.com/Mahdi25783774","@Mahdi25783774")</f>
        <v>@Mahdi25783774</v>
      </c>
      <c r="C1419" s="6" t="s">
        <v>5469</v>
      </c>
      <c r="D1419" s="5" t="s">
        <v>13129</v>
      </c>
      <c r="E1419" s="9" t="str">
        <f>HYPERLINK("https://twitter.com/Mahdi25783774/status/1036894919959429122","1036894919959429122")</f>
        <v>1036894919959429122</v>
      </c>
      <c r="F1419" s="4"/>
      <c r="G1419" s="10" t="s">
        <v>13128</v>
      </c>
      <c r="H1419" s="4"/>
      <c r="I1419" s="10" t="str">
        <f>HYPERLINK("http://twitter.com/download/android","Twitter for Android")</f>
        <v>Twitter for Android</v>
      </c>
      <c r="J1419" s="2">
        <v>708</v>
      </c>
      <c r="K1419" s="2">
        <v>912</v>
      </c>
      <c r="L1419" s="2">
        <v>1</v>
      </c>
      <c r="M1419" s="2"/>
      <c r="N1419" s="8">
        <v>43233.519814814819</v>
      </c>
      <c r="O1419" s="4" t="s">
        <v>133</v>
      </c>
      <c r="P1419" s="3" t="s">
        <v>5466</v>
      </c>
      <c r="Q1419" s="4"/>
      <c r="R1419" s="4"/>
      <c r="S1419" s="9" t="str">
        <f>HYPERLINK("https://pbs.twimg.com/profile_images/1033642102679318528/4lBWskrd.jpg","View")</f>
        <v>View</v>
      </c>
    </row>
    <row r="1420" spans="1:19" ht="30">
      <c r="A1420" s="8">
        <v>43347.541666666672</v>
      </c>
      <c r="B1420" s="11" t="str">
        <f>HYPERLINK("https://twitter.com/GeraaMedia","@GeraaMedia")</f>
        <v>@GeraaMedia</v>
      </c>
      <c r="C1420" s="6" t="s">
        <v>13127</v>
      </c>
      <c r="D1420" s="5" t="s">
        <v>13126</v>
      </c>
      <c r="E1420" s="9" t="str">
        <f>HYPERLINK("https://twitter.com/GeraaMedia/status/1036894132189507585","1036894132189507585")</f>
        <v>1036894132189507585</v>
      </c>
      <c r="F1420" s="4"/>
      <c r="G1420" s="10" t="s">
        <v>13125</v>
      </c>
      <c r="H1420" s="4"/>
      <c r="I1420" s="10" t="str">
        <f>HYPERLINK("http://twitter.com/download/android","Twitter for Android")</f>
        <v>Twitter for Android</v>
      </c>
      <c r="J1420" s="2">
        <v>970</v>
      </c>
      <c r="K1420" s="2">
        <v>14</v>
      </c>
      <c r="L1420" s="2">
        <v>13</v>
      </c>
      <c r="M1420" s="2"/>
      <c r="N1420" s="8">
        <v>43260.974722222221</v>
      </c>
      <c r="O1420" s="4" t="s">
        <v>34</v>
      </c>
      <c r="P1420" s="3" t="s">
        <v>13124</v>
      </c>
      <c r="Q1420" s="4"/>
      <c r="R1420" s="4"/>
      <c r="S1420" s="9" t="str">
        <f>HYPERLINK("https://pbs.twimg.com/profile_images/1013771784645218304/4VOo9uPU.jpg","View")</f>
        <v>View</v>
      </c>
    </row>
    <row r="1421" spans="1:19" ht="20">
      <c r="A1421" s="8">
        <v>43347.540462962963</v>
      </c>
      <c r="B1421" s="11" t="str">
        <f>HYPERLINK("https://twitter.com/ZahraSalari1","@ZahraSalari1")</f>
        <v>@ZahraSalari1</v>
      </c>
      <c r="C1421" s="6" t="s">
        <v>13123</v>
      </c>
      <c r="D1421" s="5" t="s">
        <v>13122</v>
      </c>
      <c r="E1421" s="9" t="str">
        <f>HYPERLINK("https://twitter.com/ZahraSalari1/status/1036893696216719360","1036893696216719360")</f>
        <v>1036893696216719360</v>
      </c>
      <c r="F1421" s="4"/>
      <c r="G1421" s="4"/>
      <c r="H1421" s="4"/>
      <c r="I1421" s="10" t="str">
        <f>HYPERLINK("http://twitter.com/download/android","Twitter for Android")</f>
        <v>Twitter for Android</v>
      </c>
      <c r="J1421" s="2">
        <v>319</v>
      </c>
      <c r="K1421" s="2">
        <v>214</v>
      </c>
      <c r="L1421" s="2">
        <v>0</v>
      </c>
      <c r="M1421" s="2"/>
      <c r="N1421" s="8">
        <v>43250.678148148145</v>
      </c>
      <c r="O1421" s="4" t="s">
        <v>34</v>
      </c>
      <c r="P1421" s="3" t="s">
        <v>13121</v>
      </c>
      <c r="Q1421" s="4"/>
      <c r="R1421" s="4"/>
      <c r="S1421" s="9" t="str">
        <f>HYPERLINK("https://pbs.twimg.com/profile_images/1035833362852835330/RobEGaTS.jpg","View")</f>
        <v>View</v>
      </c>
    </row>
    <row r="1422" spans="1:19" ht="40">
      <c r="A1422" s="8">
        <v>43347.539710648147</v>
      </c>
      <c r="B1422" s="11" t="str">
        <f>HYPERLINK("https://twitter.com/PeimanSoltani66","@PeimanSoltani66")</f>
        <v>@PeimanSoltani66</v>
      </c>
      <c r="C1422" s="6" t="s">
        <v>13120</v>
      </c>
      <c r="D1422" s="5" t="s">
        <v>13119</v>
      </c>
      <c r="E1422" s="9" t="str">
        <f>HYPERLINK("https://twitter.com/PeimanSoltani66/status/1036893424547495937","1036893424547495937")</f>
        <v>1036893424547495937</v>
      </c>
      <c r="F1422" s="10" t="s">
        <v>12775</v>
      </c>
      <c r="G1422" s="10" t="s">
        <v>12774</v>
      </c>
      <c r="H1422" s="4"/>
      <c r="I1422" s="10" t="str">
        <f>HYPERLINK("http://twitter.com","Twitter Web Client")</f>
        <v>Twitter Web Client</v>
      </c>
      <c r="J1422" s="2">
        <v>676</v>
      </c>
      <c r="K1422" s="2">
        <v>965</v>
      </c>
      <c r="L1422" s="2">
        <v>1</v>
      </c>
      <c r="M1422" s="2"/>
      <c r="N1422" s="8">
        <v>42744.539872685185</v>
      </c>
      <c r="O1422" s="4" t="s">
        <v>34</v>
      </c>
      <c r="P1422" s="3" t="s">
        <v>13118</v>
      </c>
      <c r="Q1422" s="4"/>
      <c r="R1422" s="4"/>
      <c r="S1422" s="9" t="str">
        <f>HYPERLINK("https://pbs.twimg.com/profile_images/1033811391529066496/DXwwbzpJ.jpg","View")</f>
        <v>View</v>
      </c>
    </row>
    <row r="1423" spans="1:19" ht="30">
      <c r="A1423" s="8">
        <v>43347.539479166662</v>
      </c>
      <c r="B1423" s="11" t="str">
        <f>HYPERLINK("https://twitter.com/mohammad1908","@mohammad1908")</f>
        <v>@mohammad1908</v>
      </c>
      <c r="C1423" s="6" t="s">
        <v>2549</v>
      </c>
      <c r="D1423" s="5" t="s">
        <v>13117</v>
      </c>
      <c r="E1423" s="9" t="str">
        <f>HYPERLINK("https://twitter.com/mohammad1908/status/1036893339251961856","1036893339251961856")</f>
        <v>1036893339251961856</v>
      </c>
      <c r="F1423" s="4"/>
      <c r="G1423" s="10" t="s">
        <v>13116</v>
      </c>
      <c r="H1423" s="4"/>
      <c r="I1423" s="10" t="str">
        <f>HYPERLINK("http://twitter.com/download/iphone","Twitter for iPhone")</f>
        <v>Twitter for iPhone</v>
      </c>
      <c r="J1423" s="2">
        <v>92</v>
      </c>
      <c r="K1423" s="2">
        <v>142</v>
      </c>
      <c r="L1423" s="2">
        <v>2</v>
      </c>
      <c r="M1423" s="2"/>
      <c r="N1423" s="8">
        <v>40998.572083333333</v>
      </c>
      <c r="O1423" s="4" t="s">
        <v>34</v>
      </c>
      <c r="P1423" s="3" t="s">
        <v>11004</v>
      </c>
      <c r="Q1423" s="4"/>
      <c r="R1423" s="4"/>
      <c r="S1423" s="9" t="str">
        <f>HYPERLINK("https://pbs.twimg.com/profile_images/698054305706852353/zsvD1zJV.jpg","View")</f>
        <v>View</v>
      </c>
    </row>
    <row r="1424" spans="1:19" ht="40">
      <c r="A1424" s="8">
        <v>43347.536215277782</v>
      </c>
      <c r="B1424" s="11" t="str">
        <f>HYPERLINK("https://twitter.com/amiir_ka","@amiir_ka")</f>
        <v>@amiir_ka</v>
      </c>
      <c r="C1424" s="6" t="s">
        <v>13115</v>
      </c>
      <c r="D1424" s="5" t="s">
        <v>13114</v>
      </c>
      <c r="E1424" s="9" t="str">
        <f>HYPERLINK("https://twitter.com/amiir_ka/status/1036892158500978689","1036892158500978689")</f>
        <v>1036892158500978689</v>
      </c>
      <c r="F1424" s="4"/>
      <c r="G1424" s="4"/>
      <c r="H1424" s="4"/>
      <c r="I1424" s="10" t="str">
        <f>HYPERLINK("http://twitter.com/download/iphone","Twitter for iPhone")</f>
        <v>Twitter for iPhone</v>
      </c>
      <c r="J1424" s="2">
        <v>357</v>
      </c>
      <c r="K1424" s="2">
        <v>953</v>
      </c>
      <c r="L1424" s="2">
        <v>1</v>
      </c>
      <c r="M1424" s="2"/>
      <c r="N1424" s="8">
        <v>42728.458703703705</v>
      </c>
      <c r="O1424" s="4" t="s">
        <v>13113</v>
      </c>
      <c r="P1424" s="3" t="s">
        <v>13112</v>
      </c>
      <c r="Q1424" s="4"/>
      <c r="R1424" s="4"/>
      <c r="S1424" s="9" t="str">
        <f>HYPERLINK("https://pbs.twimg.com/profile_images/812565057984790528/rD-MTKmr.jpg","View")</f>
        <v>View</v>
      </c>
    </row>
    <row r="1425" spans="1:19" ht="40">
      <c r="A1425" s="8">
        <v>43347.535578703704</v>
      </c>
      <c r="B1425" s="11" t="str">
        <f>HYPERLINK("https://twitter.com/CafeChy","@CafeChy")</f>
        <v>@CafeChy</v>
      </c>
      <c r="C1425" s="6" t="s">
        <v>8176</v>
      </c>
      <c r="D1425" s="5" t="s">
        <v>13111</v>
      </c>
      <c r="E1425" s="9" t="str">
        <f>HYPERLINK("https://twitter.com/CafeChy/status/1036891927029919745","1036891927029919745")</f>
        <v>1036891927029919745</v>
      </c>
      <c r="F1425" s="4"/>
      <c r="G1425" s="4"/>
      <c r="H1425" s="4"/>
      <c r="I1425" s="10" t="str">
        <f>HYPERLINK("http://twitter.com/download/iphone","Twitter for iPhone")</f>
        <v>Twitter for iPhone</v>
      </c>
      <c r="J1425" s="2">
        <v>407</v>
      </c>
      <c r="K1425" s="2">
        <v>148</v>
      </c>
      <c r="L1425" s="2">
        <v>5</v>
      </c>
      <c r="M1425" s="2"/>
      <c r="N1425" s="8">
        <v>39994.765775462962</v>
      </c>
      <c r="O1425" s="4" t="s">
        <v>894</v>
      </c>
      <c r="P1425" s="3" t="s">
        <v>8174</v>
      </c>
      <c r="Q1425" s="10" t="s">
        <v>8173</v>
      </c>
      <c r="R1425" s="4"/>
      <c r="S1425" s="9" t="str">
        <f>HYPERLINK("https://pbs.twimg.com/profile_images/561620834435883008/qkdFicEK.jpeg","View")</f>
        <v>View</v>
      </c>
    </row>
    <row r="1426" spans="1:19" ht="40">
      <c r="A1426" s="8">
        <v>43347.534745370373</v>
      </c>
      <c r="B1426" s="11" t="str">
        <f>HYPERLINK("https://twitter.com/shafieikia","@shafieikia")</f>
        <v>@shafieikia</v>
      </c>
      <c r="C1426" s="6" t="s">
        <v>13110</v>
      </c>
      <c r="D1426" s="5" t="s">
        <v>13109</v>
      </c>
      <c r="E1426" s="9" t="str">
        <f>HYPERLINK("https://twitter.com/shafieikia/status/1036891625316917249","1036891625316917249")</f>
        <v>1036891625316917249</v>
      </c>
      <c r="F1426" s="4"/>
      <c r="G1426" s="4"/>
      <c r="H1426" s="4"/>
      <c r="I1426" s="10" t="str">
        <f>HYPERLINK("https://mobile.twitter.com","Twitter Lite")</f>
        <v>Twitter Lite</v>
      </c>
      <c r="J1426" s="2">
        <v>390</v>
      </c>
      <c r="K1426" s="2">
        <v>4</v>
      </c>
      <c r="L1426" s="2">
        <v>2</v>
      </c>
      <c r="M1426" s="2"/>
      <c r="N1426" s="8">
        <v>43193.664293981477</v>
      </c>
      <c r="O1426" s="4"/>
      <c r="P1426" s="3"/>
      <c r="Q1426" s="4"/>
      <c r="R1426" s="4"/>
      <c r="S1426" s="9" t="str">
        <f>HYPERLINK("https://pbs.twimg.com/profile_images/998021523674873856/Ri8tl4KD.jpg","View")</f>
        <v>View</v>
      </c>
    </row>
    <row r="1427" spans="1:19" ht="30">
      <c r="A1427" s="8">
        <v>43347.534618055557</v>
      </c>
      <c r="B1427" s="11" t="str">
        <f>HYPERLINK("https://twitter.com/IranChamber","@IranChamber")</f>
        <v>@IranChamber</v>
      </c>
      <c r="C1427" s="6" t="s">
        <v>9958</v>
      </c>
      <c r="D1427" s="5" t="s">
        <v>13108</v>
      </c>
      <c r="E1427" s="9" t="str">
        <f>HYPERLINK("https://twitter.com/IranChamber/status/1036891577677803520","1036891577677803520")</f>
        <v>1036891577677803520</v>
      </c>
      <c r="F1427" s="4"/>
      <c r="G1427" s="10" t="s">
        <v>13107</v>
      </c>
      <c r="H1427" s="4"/>
      <c r="I1427" s="10" t="str">
        <f>HYPERLINK("http://twitter.com","Twitter Web Client")</f>
        <v>Twitter Web Client</v>
      </c>
      <c r="J1427" s="2">
        <v>26</v>
      </c>
      <c r="K1427" s="2">
        <v>2</v>
      </c>
      <c r="L1427" s="2">
        <v>2</v>
      </c>
      <c r="M1427" s="2"/>
      <c r="N1427" s="8">
        <v>43327.575925925921</v>
      </c>
      <c r="O1427" s="4" t="s">
        <v>133</v>
      </c>
      <c r="P1427" s="3" t="s">
        <v>9955</v>
      </c>
      <c r="Q1427" s="10" t="s">
        <v>9954</v>
      </c>
      <c r="R1427" s="4"/>
      <c r="S1427" s="9" t="str">
        <f>HYPERLINK("https://pbs.twimg.com/profile_images/1034337095781732352/zo904nPx.jpg","View")</f>
        <v>View</v>
      </c>
    </row>
    <row r="1428" spans="1:19" ht="40">
      <c r="A1428" s="8">
        <v>43347.533726851849</v>
      </c>
      <c r="B1428" s="11" t="str">
        <f>HYPERLINK("https://twitter.com/amire_tanha","@amire_tanha")</f>
        <v>@amire_tanha</v>
      </c>
      <c r="C1428" s="6" t="s">
        <v>9891</v>
      </c>
      <c r="D1428" s="5" t="s">
        <v>13106</v>
      </c>
      <c r="E1428" s="9" t="str">
        <f>HYPERLINK("https://twitter.com/amire_tanha/status/1036891255261806593","1036891255261806593")</f>
        <v>1036891255261806593</v>
      </c>
      <c r="F1428" s="10" t="s">
        <v>13105</v>
      </c>
      <c r="G1428" s="4"/>
      <c r="H1428" s="4"/>
      <c r="I1428" s="10" t="str">
        <f>HYPERLINK("http://twitter.com/download/iphone","Twitter for iPhone")</f>
        <v>Twitter for iPhone</v>
      </c>
      <c r="J1428" s="2">
        <v>7127</v>
      </c>
      <c r="K1428" s="2">
        <v>3697</v>
      </c>
      <c r="L1428" s="2">
        <v>28</v>
      </c>
      <c r="M1428" s="2"/>
      <c r="N1428" s="8">
        <v>41558.983773148146</v>
      </c>
      <c r="O1428" s="4" t="s">
        <v>682</v>
      </c>
      <c r="P1428" s="3" t="s">
        <v>9889</v>
      </c>
      <c r="Q1428" s="10" t="s">
        <v>9888</v>
      </c>
      <c r="R1428" s="4"/>
      <c r="S1428" s="9" t="str">
        <f>HYPERLINK("https://pbs.twimg.com/profile_images/1036232878613585920/j3d_Xz4o.jpg","View")</f>
        <v>View</v>
      </c>
    </row>
    <row r="1429" spans="1:19" ht="30">
      <c r="A1429" s="8">
        <v>43347.531030092592</v>
      </c>
      <c r="B1429" s="11" t="str">
        <f>HYPERLINK("https://twitter.com/radiozamaneh","@radiozamaneh")</f>
        <v>@radiozamaneh</v>
      </c>
      <c r="C1429" s="6" t="s">
        <v>5731</v>
      </c>
      <c r="D1429" s="5" t="s">
        <v>13104</v>
      </c>
      <c r="E1429" s="9" t="str">
        <f>HYPERLINK("https://twitter.com/radiozamaneh/status/1036890278496559104","1036890278496559104")</f>
        <v>1036890278496559104</v>
      </c>
      <c r="F1429" s="10" t="s">
        <v>13103</v>
      </c>
      <c r="G1429" s="10" t="s">
        <v>13102</v>
      </c>
      <c r="H1429" s="4"/>
      <c r="I1429" s="10" t="str">
        <f>HYPERLINK("https://www.radiozamaneh.com/","RZAutoPosting")</f>
        <v>RZAutoPosting</v>
      </c>
      <c r="J1429" s="2">
        <v>110558</v>
      </c>
      <c r="K1429" s="2">
        <v>839</v>
      </c>
      <c r="L1429" s="2">
        <v>379</v>
      </c>
      <c r="M1429" s="2" t="s">
        <v>80</v>
      </c>
      <c r="N1429" s="8">
        <v>39573.255729166667</v>
      </c>
      <c r="O1429" s="4" t="s">
        <v>5727</v>
      </c>
      <c r="P1429" s="3" t="s">
        <v>5726</v>
      </c>
      <c r="Q1429" s="10" t="s">
        <v>5725</v>
      </c>
      <c r="R1429" s="4"/>
      <c r="S1429" s="9" t="str">
        <f>HYPERLINK("https://pbs.twimg.com/profile_images/990906227256328192/IYPsq9ai.jpg","View")</f>
        <v>View</v>
      </c>
    </row>
    <row r="1430" spans="1:19" ht="40">
      <c r="A1430" s="8">
        <v>43347.529317129629</v>
      </c>
      <c r="B1430" s="11" t="str">
        <f>HYPERLINK("https://twitter.com/Mahper3","@Mahper3")</f>
        <v>@Mahper3</v>
      </c>
      <c r="C1430" s="6" t="s">
        <v>13101</v>
      </c>
      <c r="D1430" s="5" t="s">
        <v>13100</v>
      </c>
      <c r="E1430" s="9" t="str">
        <f>HYPERLINK("https://twitter.com/Mahper3/status/1036889656590249984","1036889656590249984")</f>
        <v>1036889656590249984</v>
      </c>
      <c r="F1430" s="4"/>
      <c r="G1430" s="4"/>
      <c r="H1430" s="4"/>
      <c r="I1430" s="10" t="str">
        <f>HYPERLINK("http://twitter.com/download/android","Twitter for Android")</f>
        <v>Twitter for Android</v>
      </c>
      <c r="J1430" s="2">
        <v>7</v>
      </c>
      <c r="K1430" s="2">
        <v>23</v>
      </c>
      <c r="L1430" s="2">
        <v>0</v>
      </c>
      <c r="M1430" s="2"/>
      <c r="N1430" s="8">
        <v>43325.527928240743</v>
      </c>
      <c r="O1430" s="4"/>
      <c r="P1430" s="3"/>
      <c r="Q1430" s="4"/>
      <c r="R1430" s="4"/>
      <c r="S1430" s="2" t="s">
        <v>155</v>
      </c>
    </row>
    <row r="1431" spans="1:19" ht="40">
      <c r="A1431" s="8">
        <v>43347.529305555552</v>
      </c>
      <c r="B1431" s="11" t="str">
        <f>HYPERLINK("https://twitter.com/AdbMohsen","@AdbMohsen")</f>
        <v>@AdbMohsen</v>
      </c>
      <c r="C1431" s="6" t="s">
        <v>2134</v>
      </c>
      <c r="D1431" s="5" t="s">
        <v>13099</v>
      </c>
      <c r="E1431" s="9" t="str">
        <f>HYPERLINK("https://twitter.com/AdbMohsen/status/1036889651603222528","1036889651603222528")</f>
        <v>1036889651603222528</v>
      </c>
      <c r="F1431" s="4"/>
      <c r="G1431" s="4"/>
      <c r="H1431" s="4"/>
      <c r="I1431" s="10" t="str">
        <f>HYPERLINK("http://twitter.com/download/iphone","Twitter for iPhone")</f>
        <v>Twitter for iPhone</v>
      </c>
      <c r="J1431" s="2">
        <v>22</v>
      </c>
      <c r="K1431" s="2">
        <v>112</v>
      </c>
      <c r="L1431" s="2">
        <v>0</v>
      </c>
      <c r="M1431" s="2"/>
      <c r="N1431" s="8">
        <v>43254.962118055555</v>
      </c>
      <c r="O1431" s="4" t="s">
        <v>34</v>
      </c>
      <c r="P1431" s="3"/>
      <c r="Q1431" s="4"/>
      <c r="R1431" s="4"/>
      <c r="S1431" s="9" t="str">
        <f>HYPERLINK("https://pbs.twimg.com/profile_images/1003345547795689473/-xbZ5qh2.jpg","View")</f>
        <v>View</v>
      </c>
    </row>
    <row r="1432" spans="1:19" ht="30">
      <c r="A1432" s="8">
        <v>43347.528912037036</v>
      </c>
      <c r="B1432" s="11" t="str">
        <f>HYPERLINK("https://twitter.com/jjtvn_ir","@jjtvn_ir")</f>
        <v>@jjtvn_ir</v>
      </c>
      <c r="C1432" s="6" t="s">
        <v>13098</v>
      </c>
      <c r="D1432" s="5" t="s">
        <v>13097</v>
      </c>
      <c r="E1432" s="9" t="str">
        <f>HYPERLINK("https://twitter.com/jjtvn_ir/status/1036889510003527681","1036889510003527681")</f>
        <v>1036889510003527681</v>
      </c>
      <c r="F1432" s="4"/>
      <c r="G1432" s="10" t="s">
        <v>13096</v>
      </c>
      <c r="H1432" s="4"/>
      <c r="I1432" s="10" t="str">
        <f>HYPERLINK("http://twitter.com","Twitter Web Client")</f>
        <v>Twitter Web Client</v>
      </c>
      <c r="J1432" s="2">
        <v>31</v>
      </c>
      <c r="K1432" s="2">
        <v>0</v>
      </c>
      <c r="L1432" s="2">
        <v>0</v>
      </c>
      <c r="M1432" s="2"/>
      <c r="N1432" s="8">
        <v>42919.378738425927</v>
      </c>
      <c r="O1432" s="4" t="s">
        <v>34</v>
      </c>
      <c r="P1432" s="3"/>
      <c r="Q1432" s="10" t="s">
        <v>13095</v>
      </c>
      <c r="R1432" s="4"/>
      <c r="S1432" s="9" t="str">
        <f>HYPERLINK("https://pbs.twimg.com/profile_images/881733973537435649/IFsoBZs6.jpg","View")</f>
        <v>View</v>
      </c>
    </row>
    <row r="1433" spans="1:19" ht="50">
      <c r="A1433" s="8">
        <v>43347.52820601852</v>
      </c>
      <c r="B1433" s="11" t="str">
        <f>HYPERLINK("https://twitter.com/Seraj11_1","@Seraj11_1")</f>
        <v>@Seraj11_1</v>
      </c>
      <c r="C1433" s="6" t="s">
        <v>12415</v>
      </c>
      <c r="D1433" s="5" t="s">
        <v>13094</v>
      </c>
      <c r="E1433" s="9" t="str">
        <f>HYPERLINK("https://twitter.com/Seraj11_1/status/1036889254071283712","1036889254071283712")</f>
        <v>1036889254071283712</v>
      </c>
      <c r="F1433" s="10" t="s">
        <v>13093</v>
      </c>
      <c r="G1433" s="4"/>
      <c r="H1433" s="4"/>
      <c r="I1433" s="10" t="str">
        <f>HYPERLINK("http://twitter.com/download/android","Twitter for Android")</f>
        <v>Twitter for Android</v>
      </c>
      <c r="J1433" s="2">
        <v>166</v>
      </c>
      <c r="K1433" s="2">
        <v>244</v>
      </c>
      <c r="L1433" s="2">
        <v>4</v>
      </c>
      <c r="M1433" s="2"/>
      <c r="N1433" s="8">
        <v>43331.893449074079</v>
      </c>
      <c r="O1433" s="4" t="s">
        <v>17</v>
      </c>
      <c r="P1433" s="3" t="s">
        <v>12412</v>
      </c>
      <c r="Q1433" s="4"/>
      <c r="R1433" s="4"/>
      <c r="S1433" s="9" t="str">
        <f>HYPERLINK("https://pbs.twimg.com/profile_images/1031231301641273344/kchJwYZY.jpg","View")</f>
        <v>View</v>
      </c>
    </row>
    <row r="1434" spans="1:19" ht="30">
      <c r="A1434" s="8">
        <v>43347.524050925931</v>
      </c>
      <c r="B1434" s="11" t="str">
        <f>HYPERLINK("https://twitter.com/negaaraaa","@negaaraaa")</f>
        <v>@negaaraaa</v>
      </c>
      <c r="C1434" s="6" t="s">
        <v>13092</v>
      </c>
      <c r="D1434" s="5" t="s">
        <v>13091</v>
      </c>
      <c r="E1434" s="9" t="str">
        <f>HYPERLINK("https://twitter.com/negaaraaa/status/1036887747133300738","1036887747133300738")</f>
        <v>1036887747133300738</v>
      </c>
      <c r="F1434" s="4"/>
      <c r="G1434" s="4"/>
      <c r="H1434" s="4"/>
      <c r="I1434" s="10" t="str">
        <f>HYPERLINK("http://twitter.com/download/iphone","Twitter for iPhone")</f>
        <v>Twitter for iPhone</v>
      </c>
      <c r="J1434" s="2">
        <v>170</v>
      </c>
      <c r="K1434" s="2">
        <v>168</v>
      </c>
      <c r="L1434" s="2">
        <v>0</v>
      </c>
      <c r="M1434" s="2"/>
      <c r="N1434" s="8">
        <v>41333.843680555554</v>
      </c>
      <c r="O1434" s="4"/>
      <c r="P1434" s="3" t="s">
        <v>13090</v>
      </c>
      <c r="Q1434" s="4"/>
      <c r="R1434" s="4"/>
      <c r="S1434" s="9" t="str">
        <f>HYPERLINK("https://pbs.twimg.com/profile_images/1010435758963023877/H_rWJcDJ.jpg","View")</f>
        <v>View</v>
      </c>
    </row>
    <row r="1435" spans="1:19" ht="30">
      <c r="A1435" s="8">
        <v>43347.521192129629</v>
      </c>
      <c r="B1435" s="11" t="str">
        <f>HYPERLINK("https://twitter.com/radiozamaneh","@radiozamaneh")</f>
        <v>@radiozamaneh</v>
      </c>
      <c r="C1435" s="6" t="s">
        <v>5731</v>
      </c>
      <c r="D1435" s="5" t="s">
        <v>13089</v>
      </c>
      <c r="E1435" s="9" t="str">
        <f>HYPERLINK("https://twitter.com/radiozamaneh/status/1036886714910945280","1036886714910945280")</f>
        <v>1036886714910945280</v>
      </c>
      <c r="F1435" s="10" t="s">
        <v>13088</v>
      </c>
      <c r="G1435" s="10" t="s">
        <v>13087</v>
      </c>
      <c r="H1435" s="4"/>
      <c r="I1435" s="10" t="str">
        <f>HYPERLINK("https://zapier.com/","Zapier.com")</f>
        <v>Zapier.com</v>
      </c>
      <c r="J1435" s="2">
        <v>110558</v>
      </c>
      <c r="K1435" s="2">
        <v>839</v>
      </c>
      <c r="L1435" s="2">
        <v>379</v>
      </c>
      <c r="M1435" s="2" t="s">
        <v>80</v>
      </c>
      <c r="N1435" s="8">
        <v>39573.255729166667</v>
      </c>
      <c r="O1435" s="4" t="s">
        <v>5727</v>
      </c>
      <c r="P1435" s="3" t="s">
        <v>5726</v>
      </c>
      <c r="Q1435" s="10" t="s">
        <v>5725</v>
      </c>
      <c r="R1435" s="4"/>
      <c r="S1435" s="9" t="str">
        <f>HYPERLINK("https://pbs.twimg.com/profile_images/990906227256328192/IYPsq9ai.jpg","View")</f>
        <v>View</v>
      </c>
    </row>
    <row r="1436" spans="1:19" ht="30">
      <c r="A1436" s="8">
        <v>43347.520254629635</v>
      </c>
      <c r="B1436" s="11" t="str">
        <f>HYPERLINK("https://twitter.com/josephsith2018","@josephsith2018")</f>
        <v>@josephsith2018</v>
      </c>
      <c r="C1436" s="6" t="s">
        <v>10818</v>
      </c>
      <c r="D1436" s="5" t="s">
        <v>13086</v>
      </c>
      <c r="E1436" s="9" t="str">
        <f>HYPERLINK("https://twitter.com/josephsith2018/status/1036886374874591233","1036886374874591233")</f>
        <v>1036886374874591233</v>
      </c>
      <c r="F1436" s="10" t="s">
        <v>13085</v>
      </c>
      <c r="G1436" s="4"/>
      <c r="H1436" s="4"/>
      <c r="I1436" s="10" t="str">
        <f>HYPERLINK("http://twitter.com","Twitter Web Client")</f>
        <v>Twitter Web Client</v>
      </c>
      <c r="J1436" s="2">
        <v>39</v>
      </c>
      <c r="K1436" s="2">
        <v>131</v>
      </c>
      <c r="L1436" s="2">
        <v>0</v>
      </c>
      <c r="M1436" s="2"/>
      <c r="N1436" s="8">
        <v>43103.394155092596</v>
      </c>
      <c r="O1436" s="4"/>
      <c r="P1436" s="3" t="s">
        <v>10816</v>
      </c>
      <c r="Q1436" s="4"/>
      <c r="R1436" s="4"/>
      <c r="S1436" s="9" t="str">
        <f>HYPERLINK("https://pbs.twimg.com/profile_images/977588796165259264/g0voREtj.jpg","View")</f>
        <v>View</v>
      </c>
    </row>
    <row r="1437" spans="1:19" ht="30">
      <c r="A1437" s="8">
        <v>43347.519039351857</v>
      </c>
      <c r="B1437" s="11" t="str">
        <f>HYPERLINK("https://twitter.com/hossainahmadi81","@hossainahmadi81")</f>
        <v>@hossainahmadi81</v>
      </c>
      <c r="C1437" s="6" t="s">
        <v>13084</v>
      </c>
      <c r="D1437" s="5" t="s">
        <v>13083</v>
      </c>
      <c r="E1437" s="9" t="str">
        <f>HYPERLINK("https://twitter.com/hossainahmadi81/status/1036885934908694528","1036885934908694528")</f>
        <v>1036885934908694528</v>
      </c>
      <c r="F1437" s="4"/>
      <c r="G1437" s="10" t="s">
        <v>13082</v>
      </c>
      <c r="H1437" s="4"/>
      <c r="I1437" s="10" t="str">
        <f>HYPERLINK("http://twitter.com","Twitter Web Client")</f>
        <v>Twitter Web Client</v>
      </c>
      <c r="J1437" s="2">
        <v>705</v>
      </c>
      <c r="K1437" s="2">
        <v>699</v>
      </c>
      <c r="L1437" s="2">
        <v>1</v>
      </c>
      <c r="M1437" s="2"/>
      <c r="N1437" s="8">
        <v>43145.755046296297</v>
      </c>
      <c r="O1437" s="4"/>
      <c r="P1437" s="3" t="s">
        <v>13081</v>
      </c>
      <c r="Q1437" s="4"/>
      <c r="R1437" s="4"/>
      <c r="S1437" s="9" t="str">
        <f>HYPERLINK("https://pbs.twimg.com/profile_images/996771015307943942/QmhR5CK1.jpg","View")</f>
        <v>View</v>
      </c>
    </row>
    <row r="1438" spans="1:19" ht="20">
      <c r="A1438" s="8">
        <v>43347.516493055555</v>
      </c>
      <c r="B1438" s="11" t="str">
        <f>HYPERLINK("https://twitter.com/S3harfi","@S3harfi")</f>
        <v>@S3harfi</v>
      </c>
      <c r="C1438" s="6" t="s">
        <v>13080</v>
      </c>
      <c r="D1438" s="5" t="s">
        <v>13079</v>
      </c>
      <c r="E1438" s="9" t="str">
        <f>HYPERLINK("https://twitter.com/S3harfi/status/1036885008991051776","1036885008991051776")</f>
        <v>1036885008991051776</v>
      </c>
      <c r="F1438" s="4"/>
      <c r="G1438" s="4"/>
      <c r="H1438" s="4"/>
      <c r="I1438" s="10" t="str">
        <f>HYPERLINK("http://twitter.com","Twitter Web Client")</f>
        <v>Twitter Web Client</v>
      </c>
      <c r="J1438" s="2">
        <v>191</v>
      </c>
      <c r="K1438" s="2">
        <v>220</v>
      </c>
      <c r="L1438" s="2">
        <v>0</v>
      </c>
      <c r="M1438" s="2"/>
      <c r="N1438" s="8">
        <v>42829.477210648147</v>
      </c>
      <c r="O1438" s="4"/>
      <c r="P1438" s="3"/>
      <c r="Q1438" s="4"/>
      <c r="R1438" s="4"/>
      <c r="S1438" s="9" t="str">
        <f>HYPERLINK("https://pbs.twimg.com/profile_images/851895742553829376/7fqOCPgW.jpg","View")</f>
        <v>View</v>
      </c>
    </row>
    <row r="1439" spans="1:19" ht="40">
      <c r="A1439" s="8">
        <v>43347.516412037032</v>
      </c>
      <c r="B1439" s="11" t="str">
        <f>HYPERLINK("https://twitter.com/sobhe_no","@sobhe_no")</f>
        <v>@sobhe_no</v>
      </c>
      <c r="C1439" s="6" t="s">
        <v>4185</v>
      </c>
      <c r="D1439" s="5" t="s">
        <v>13078</v>
      </c>
      <c r="E1439" s="9" t="str">
        <f>HYPERLINK("https://twitter.com/sobhe_no/status/1036884981149261824","1036884981149261824")</f>
        <v>1036884981149261824</v>
      </c>
      <c r="F1439" s="4"/>
      <c r="G1439" s="4"/>
      <c r="H1439" s="4"/>
      <c r="I1439" s="10" t="str">
        <f>HYPERLINK("http://twitter.com","Twitter Web Client")</f>
        <v>Twitter Web Client</v>
      </c>
      <c r="J1439" s="2">
        <v>10682</v>
      </c>
      <c r="K1439" s="2">
        <v>31</v>
      </c>
      <c r="L1439" s="2">
        <v>73</v>
      </c>
      <c r="M1439" s="2"/>
      <c r="N1439" s="8">
        <v>42471.601400462961</v>
      </c>
      <c r="O1439" s="4" t="s">
        <v>34</v>
      </c>
      <c r="P1439" s="3" t="s">
        <v>4182</v>
      </c>
      <c r="Q1439" s="10" t="s">
        <v>4181</v>
      </c>
      <c r="R1439" s="4"/>
      <c r="S1439" s="9" t="str">
        <f>HYPERLINK("https://pbs.twimg.com/profile_images/737719828429963265/nghJhp_N.jpg","View")</f>
        <v>View</v>
      </c>
    </row>
    <row r="1440" spans="1:19" ht="40">
      <c r="A1440" s="8">
        <v>43347.516365740739</v>
      </c>
      <c r="B1440" s="11" t="str">
        <f>HYPERLINK("https://twitter.com/rouydad24","@rouydad24")</f>
        <v>@rouydad24</v>
      </c>
      <c r="C1440" s="6" t="s">
        <v>5989</v>
      </c>
      <c r="D1440" s="5" t="s">
        <v>13078</v>
      </c>
      <c r="E1440" s="9" t="str">
        <f>HYPERLINK("https://twitter.com/rouydad24/status/1036884962656624640","1036884962656624640")</f>
        <v>1036884962656624640</v>
      </c>
      <c r="F1440" s="4"/>
      <c r="G1440" s="4"/>
      <c r="H1440" s="4"/>
      <c r="I1440" s="10" t="str">
        <f>HYPERLINK("http://twitter.com","Twitter Web Client")</f>
        <v>Twitter Web Client</v>
      </c>
      <c r="J1440" s="2">
        <v>666</v>
      </c>
      <c r="K1440" s="2">
        <v>3455</v>
      </c>
      <c r="L1440" s="2">
        <v>5</v>
      </c>
      <c r="M1440" s="2"/>
      <c r="N1440" s="8">
        <v>42919.631469907406</v>
      </c>
      <c r="O1440" s="4" t="s">
        <v>133</v>
      </c>
      <c r="P1440" s="3" t="s">
        <v>5988</v>
      </c>
      <c r="Q1440" s="10" t="s">
        <v>5987</v>
      </c>
      <c r="R1440" s="4"/>
      <c r="S1440" s="9" t="str">
        <f>HYPERLINK("https://pbs.twimg.com/profile_images/881825939713282048/o2O6cC6w.jpg","View")</f>
        <v>View</v>
      </c>
    </row>
    <row r="1441" spans="1:19" ht="20">
      <c r="A1441" s="8">
        <v>43347.515775462962</v>
      </c>
      <c r="B1441" s="11" t="str">
        <f>HYPERLINK("https://twitter.com/peymanbarsam","@peymanbarsam")</f>
        <v>@peymanbarsam</v>
      </c>
      <c r="C1441" s="6" t="s">
        <v>11688</v>
      </c>
      <c r="D1441" s="5" t="s">
        <v>13077</v>
      </c>
      <c r="E1441" s="9" t="str">
        <f>HYPERLINK("https://twitter.com/peymanbarsam/status/1036884750596825089","1036884750596825089")</f>
        <v>1036884750596825089</v>
      </c>
      <c r="F1441" s="10" t="s">
        <v>13076</v>
      </c>
      <c r="G1441" s="4"/>
      <c r="H1441" s="4"/>
      <c r="I1441" s="10" t="str">
        <f>HYPERLINK("http://instagram.com","Instagram")</f>
        <v>Instagram</v>
      </c>
      <c r="J1441" s="2">
        <v>91</v>
      </c>
      <c r="K1441" s="2">
        <v>11</v>
      </c>
      <c r="L1441" s="2">
        <v>0</v>
      </c>
      <c r="M1441" s="2"/>
      <c r="N1441" s="8">
        <v>43096.604120370372</v>
      </c>
      <c r="O1441" s="4"/>
      <c r="P1441" s="3"/>
      <c r="Q1441" s="4"/>
      <c r="R1441" s="4"/>
      <c r="S1441" s="9" t="str">
        <f>HYPERLINK("https://pbs.twimg.com/profile_images/1005723114205048832/wc0UOr4s.jpg","View")</f>
        <v>View</v>
      </c>
    </row>
    <row r="1442" spans="1:19" ht="20">
      <c r="A1442" s="8">
        <v>43347.51489583333</v>
      </c>
      <c r="B1442" s="11" t="str">
        <f>HYPERLINK("https://twitter.com/edalatazadii","@edalatazadii")</f>
        <v>@edalatazadii</v>
      </c>
      <c r="C1442" s="6" t="s">
        <v>13075</v>
      </c>
      <c r="D1442" s="5" t="s">
        <v>13074</v>
      </c>
      <c r="E1442" s="9" t="str">
        <f>HYPERLINK("https://twitter.com/edalatazadii/status/1036884430139351041","1036884430139351041")</f>
        <v>1036884430139351041</v>
      </c>
      <c r="F1442" s="4"/>
      <c r="G1442" s="4"/>
      <c r="H1442" s="4"/>
      <c r="I1442" s="10" t="str">
        <f>HYPERLINK("http://twitter.com","Twitter Web Client")</f>
        <v>Twitter Web Client</v>
      </c>
      <c r="J1442" s="2">
        <v>22</v>
      </c>
      <c r="K1442" s="2">
        <v>161</v>
      </c>
      <c r="L1442" s="2">
        <v>0</v>
      </c>
      <c r="M1442" s="2"/>
      <c r="N1442" s="8">
        <v>43316.394965277781</v>
      </c>
      <c r="O1442" s="4"/>
      <c r="P1442" s="3" t="s">
        <v>1779</v>
      </c>
      <c r="Q1442" s="4"/>
      <c r="R1442" s="4"/>
      <c r="S1442" s="9" t="str">
        <f>HYPERLINK("https://pbs.twimg.com/profile_images/1029243706896011264/hw1-NJ-V.jpg","View")</f>
        <v>View</v>
      </c>
    </row>
    <row r="1443" spans="1:19" ht="30">
      <c r="A1443" s="8">
        <v>43347.514652777776</v>
      </c>
      <c r="B1443" s="11" t="str">
        <f>HYPERLINK("https://twitter.com/Didehbaan1","@Didehbaan1")</f>
        <v>@Didehbaan1</v>
      </c>
      <c r="C1443" s="6" t="s">
        <v>10498</v>
      </c>
      <c r="D1443" s="5" t="s">
        <v>13073</v>
      </c>
      <c r="E1443" s="9" t="str">
        <f>HYPERLINK("https://twitter.com/Didehbaan1/status/1036884342306484225","1036884342306484225")</f>
        <v>1036884342306484225</v>
      </c>
      <c r="F1443" s="10" t="s">
        <v>13072</v>
      </c>
      <c r="G1443" s="4"/>
      <c r="H1443" s="4"/>
      <c r="I1443" s="10" t="str">
        <f>HYPERLINK("http://twitter.com","Twitter Web Client")</f>
        <v>Twitter Web Client</v>
      </c>
      <c r="J1443" s="2">
        <v>181</v>
      </c>
      <c r="K1443" s="2">
        <v>283</v>
      </c>
      <c r="L1443" s="2">
        <v>1</v>
      </c>
      <c r="M1443" s="2"/>
      <c r="N1443" s="8">
        <v>43270.618460648147</v>
      </c>
      <c r="O1443" s="4"/>
      <c r="P1443" s="3" t="s">
        <v>10496</v>
      </c>
      <c r="Q1443" s="4"/>
      <c r="R1443" s="4"/>
      <c r="S1443" s="9" t="str">
        <f>HYPERLINK("https://pbs.twimg.com/profile_images/1009021454514606080/iThmi9MD.jpg","View")</f>
        <v>View</v>
      </c>
    </row>
    <row r="1444" spans="1:19" ht="30">
      <c r="A1444" s="8">
        <v>43347.514027777783</v>
      </c>
      <c r="B1444" s="11" t="str">
        <f>HYPERLINK("https://twitter.com/jimbeleee","@jimbeleee")</f>
        <v>@jimbeleee</v>
      </c>
      <c r="C1444" s="6" t="s">
        <v>13071</v>
      </c>
      <c r="D1444" s="5" t="s">
        <v>13070</v>
      </c>
      <c r="E1444" s="9" t="str">
        <f>HYPERLINK("https://twitter.com/jimbeleee/status/1036884118410330112","1036884118410330112")</f>
        <v>1036884118410330112</v>
      </c>
      <c r="F1444" s="4"/>
      <c r="G1444" s="4"/>
      <c r="H1444" s="4"/>
      <c r="I1444" s="10" t="str">
        <f>HYPERLINK("http://twitter.com/download/iphone","Twitter for iPhone")</f>
        <v>Twitter for iPhone</v>
      </c>
      <c r="J1444" s="2">
        <v>600</v>
      </c>
      <c r="K1444" s="2">
        <v>1411</v>
      </c>
      <c r="L1444" s="2">
        <v>1</v>
      </c>
      <c r="M1444" s="2"/>
      <c r="N1444" s="8">
        <v>43146.562384259261</v>
      </c>
      <c r="O1444" s="4"/>
      <c r="P1444" s="3"/>
      <c r="Q1444" s="4"/>
      <c r="R1444" s="4"/>
      <c r="S1444" s="9" t="str">
        <f>HYPERLINK("https://pbs.twimg.com/profile_images/964077641232941056/jQwAvB7r.jpg","View")</f>
        <v>View</v>
      </c>
    </row>
    <row r="1445" spans="1:19" ht="40">
      <c r="A1445" s="8">
        <v>43347.513865740737</v>
      </c>
      <c r="B1445" s="11" t="str">
        <f>HYPERLINK("https://twitter.com/Mb101333R","@Mb101333R")</f>
        <v>@Mb101333R</v>
      </c>
      <c r="C1445" s="6" t="s">
        <v>13069</v>
      </c>
      <c r="D1445" s="5" t="s">
        <v>13068</v>
      </c>
      <c r="E1445" s="9" t="str">
        <f>HYPERLINK("https://twitter.com/Mb101333R/status/1036884060126236672","1036884060126236672")</f>
        <v>1036884060126236672</v>
      </c>
      <c r="F1445" s="4"/>
      <c r="G1445" s="4"/>
      <c r="H1445" s="4"/>
      <c r="I1445" s="10" t="str">
        <f>HYPERLINK("http://twitter.com/download/iphone","Twitter for iPhone")</f>
        <v>Twitter for iPhone</v>
      </c>
      <c r="J1445" s="2">
        <v>32</v>
      </c>
      <c r="K1445" s="2">
        <v>1</v>
      </c>
      <c r="L1445" s="2">
        <v>1</v>
      </c>
      <c r="M1445" s="2"/>
      <c r="N1445" s="8">
        <v>41573.214803240742</v>
      </c>
      <c r="O1445" s="4" t="s">
        <v>13067</v>
      </c>
      <c r="P1445" s="3" t="s">
        <v>13066</v>
      </c>
      <c r="Q1445" s="10" t="s">
        <v>13065</v>
      </c>
      <c r="R1445" s="4"/>
      <c r="S1445" s="9" t="str">
        <f>HYPERLINK("https://pbs.twimg.com/profile_images/927144473129357312/7EpN-YEb.jpg","View")</f>
        <v>View</v>
      </c>
    </row>
    <row r="1446" spans="1:19" ht="40">
      <c r="A1446" s="8">
        <v>43347.513252314813</v>
      </c>
      <c r="B1446" s="11" t="str">
        <f>HYPERLINK("https://twitter.com/omid_keshtkar","@omid_keshtkar")</f>
        <v>@omid_keshtkar</v>
      </c>
      <c r="C1446" s="6" t="s">
        <v>9970</v>
      </c>
      <c r="D1446" s="5" t="s">
        <v>13064</v>
      </c>
      <c r="E1446" s="9" t="str">
        <f>HYPERLINK("https://twitter.com/omid_keshtkar/status/1036883834774736897","1036883834774736897")</f>
        <v>1036883834774736897</v>
      </c>
      <c r="F1446" s="4"/>
      <c r="G1446" s="4"/>
      <c r="H1446" s="4"/>
      <c r="I1446" s="10" t="str">
        <f>HYPERLINK("http://twitter.com/download/iphone","Twitter for iPhone")</f>
        <v>Twitter for iPhone</v>
      </c>
      <c r="J1446" s="2">
        <v>9162</v>
      </c>
      <c r="K1446" s="2">
        <v>264</v>
      </c>
      <c r="L1446" s="2">
        <v>109</v>
      </c>
      <c r="M1446" s="2"/>
      <c r="N1446" s="8">
        <v>40316.503333333334</v>
      </c>
      <c r="O1446" s="4" t="s">
        <v>2250</v>
      </c>
      <c r="P1446" s="3" t="s">
        <v>9968</v>
      </c>
      <c r="Q1446" s="10" t="s">
        <v>9967</v>
      </c>
      <c r="R1446" s="4"/>
      <c r="S1446" s="9" t="str">
        <f>HYPERLINK("https://pbs.twimg.com/profile_images/1035929085514604544/oOmthD2W.jpg","View")</f>
        <v>View</v>
      </c>
    </row>
    <row r="1447" spans="1:19" ht="40">
      <c r="A1447" s="8">
        <v>43347.507986111115</v>
      </c>
      <c r="B1447" s="11" t="str">
        <f>HYPERLINK("https://twitter.com/IranianLoneWolf","@IranianLoneWolf")</f>
        <v>@IranianLoneWolf</v>
      </c>
      <c r="C1447" s="6" t="s">
        <v>492</v>
      </c>
      <c r="D1447" s="5" t="s">
        <v>13063</v>
      </c>
      <c r="E1447" s="9" t="str">
        <f>HYPERLINK("https://twitter.com/IranianLoneWolf/status/1036881926659948544","1036881926659948544")</f>
        <v>1036881926659948544</v>
      </c>
      <c r="F1447" s="4"/>
      <c r="G1447" s="4"/>
      <c r="H1447" s="4"/>
      <c r="I1447" s="10" t="str">
        <f>HYPERLINK("http://twitter.com","Twitter Web Client")</f>
        <v>Twitter Web Client</v>
      </c>
      <c r="J1447" s="2">
        <v>974</v>
      </c>
      <c r="K1447" s="2">
        <v>2738</v>
      </c>
      <c r="L1447" s="2">
        <v>2</v>
      </c>
      <c r="M1447" s="2"/>
      <c r="N1447" s="8">
        <v>42078.440706018519</v>
      </c>
      <c r="O1447" s="4" t="s">
        <v>490</v>
      </c>
      <c r="P1447" s="3" t="s">
        <v>489</v>
      </c>
      <c r="Q1447" s="4"/>
      <c r="R1447" s="4"/>
      <c r="S1447" s="9" t="str">
        <f>HYPERLINK("https://pbs.twimg.com/profile_images/1011513817023569920/6SmcXZ_E.jpg","View")</f>
        <v>View</v>
      </c>
    </row>
    <row r="1448" spans="1:19" ht="20">
      <c r="A1448" s="8">
        <v>43347.507604166662</v>
      </c>
      <c r="B1448" s="11" t="str">
        <f>HYPERLINK("https://twitter.com/sarbazemahdi","@sarbazemahdi")</f>
        <v>@sarbazemahdi</v>
      </c>
      <c r="C1448" s="6" t="s">
        <v>5743</v>
      </c>
      <c r="D1448" s="5" t="s">
        <v>13062</v>
      </c>
      <c r="E1448" s="9" t="str">
        <f>HYPERLINK("https://twitter.com/sarbazemahdi/status/1036881788453445632","1036881788453445632")</f>
        <v>1036881788453445632</v>
      </c>
      <c r="F1448" s="4"/>
      <c r="G1448" s="4"/>
      <c r="H1448" s="4"/>
      <c r="I1448" s="10" t="str">
        <f>HYPERLINK("http://twitter.com/download/android","Twitter for Android")</f>
        <v>Twitter for Android</v>
      </c>
      <c r="J1448" s="2">
        <v>5584</v>
      </c>
      <c r="K1448" s="2">
        <v>3979</v>
      </c>
      <c r="L1448" s="2">
        <v>16</v>
      </c>
      <c r="M1448" s="2"/>
      <c r="N1448" s="8">
        <v>42739.89543981482</v>
      </c>
      <c r="O1448" s="4" t="s">
        <v>324</v>
      </c>
      <c r="P1448" s="3" t="s">
        <v>5741</v>
      </c>
      <c r="Q1448" s="4"/>
      <c r="R1448" s="4"/>
      <c r="S1448" s="9" t="str">
        <f>HYPERLINK("https://pbs.twimg.com/profile_images/956268067406991361/o9kwXMvJ.jpg","View")</f>
        <v>View</v>
      </c>
    </row>
    <row r="1449" spans="1:19" ht="30">
      <c r="A1449" s="8">
        <v>43347.505520833336</v>
      </c>
      <c r="B1449" s="11" t="str">
        <f>HYPERLINK("https://twitter.com/goftare_omat","@goftare_omat")</f>
        <v>@goftare_omat</v>
      </c>
      <c r="C1449" s="6" t="s">
        <v>13061</v>
      </c>
      <c r="D1449" s="5" t="s">
        <v>13060</v>
      </c>
      <c r="E1449" s="9" t="str">
        <f>HYPERLINK("https://twitter.com/goftare_omat/status/1036881033830924289","1036881033830924289")</f>
        <v>1036881033830924289</v>
      </c>
      <c r="F1449" s="4"/>
      <c r="G1449" s="4"/>
      <c r="H1449" s="4"/>
      <c r="I1449" s="10" t="str">
        <f>HYPERLINK("http://twitter.com","Twitter Web Client")</f>
        <v>Twitter Web Client</v>
      </c>
      <c r="J1449" s="2">
        <v>166</v>
      </c>
      <c r="K1449" s="2">
        <v>406</v>
      </c>
      <c r="L1449" s="2">
        <v>0</v>
      </c>
      <c r="M1449" s="2"/>
      <c r="N1449" s="8">
        <v>42802.005509259259</v>
      </c>
      <c r="O1449" s="4" t="s">
        <v>34</v>
      </c>
      <c r="P1449" s="3" t="s">
        <v>13059</v>
      </c>
      <c r="Q1449" s="4"/>
      <c r="R1449" s="4"/>
      <c r="S1449" s="9" t="str">
        <f>HYPERLINK("https://pbs.twimg.com/profile_images/1026583072639086592/vMd3ljIw.jpg","View")</f>
        <v>View</v>
      </c>
    </row>
    <row r="1450" spans="1:19" ht="30">
      <c r="A1450" s="8">
        <v>43347.504270833335</v>
      </c>
      <c r="B1450" s="11" t="str">
        <f>HYPERLINK("https://twitter.com/AsSm313","@AsSm313")</f>
        <v>@AsSm313</v>
      </c>
      <c r="C1450" s="6" t="s">
        <v>2524</v>
      </c>
      <c r="D1450" s="5" t="s">
        <v>13058</v>
      </c>
      <c r="E1450" s="9" t="str">
        <f>HYPERLINK("https://twitter.com/AsSm313/status/1036880582591033344","1036880582591033344")</f>
        <v>1036880582591033344</v>
      </c>
      <c r="F1450" s="4"/>
      <c r="G1450" s="4"/>
      <c r="H1450" s="4"/>
      <c r="I1450" s="10" t="str">
        <f>HYPERLINK("http://twitter.com/download/android","Twitter for Android")</f>
        <v>Twitter for Android</v>
      </c>
      <c r="J1450" s="2">
        <v>284</v>
      </c>
      <c r="K1450" s="2">
        <v>136</v>
      </c>
      <c r="L1450" s="2">
        <v>1</v>
      </c>
      <c r="M1450" s="2"/>
      <c r="N1450" s="8">
        <v>43319.413356481484</v>
      </c>
      <c r="O1450" s="4" t="s">
        <v>13057</v>
      </c>
      <c r="P1450" s="3" t="s">
        <v>13056</v>
      </c>
      <c r="Q1450" s="4"/>
      <c r="R1450" s="4"/>
      <c r="S1450" s="9" t="str">
        <f>HYPERLINK("https://pbs.twimg.com/profile_images/1031767332593524737/mA9CnyLZ.jpg","View")</f>
        <v>View</v>
      </c>
    </row>
    <row r="1451" spans="1:19" ht="40">
      <c r="A1451" s="8">
        <v>43347.503206018519</v>
      </c>
      <c r="B1451" s="11" t="str">
        <f>HYPERLINK("https://twitter.com/bardiya2000","@bardiya2000")</f>
        <v>@bardiya2000</v>
      </c>
      <c r="C1451" s="6" t="s">
        <v>6602</v>
      </c>
      <c r="D1451" s="5" t="s">
        <v>13055</v>
      </c>
      <c r="E1451" s="9" t="str">
        <f>HYPERLINK("https://twitter.com/bardiya2000/status/1036880194819293185","1036880194819293185")</f>
        <v>1036880194819293185</v>
      </c>
      <c r="F1451" s="4"/>
      <c r="G1451" s="4"/>
      <c r="H1451" s="4"/>
      <c r="I1451" s="10" t="str">
        <f>HYPERLINK("http://twitter.com","Twitter Web Client")</f>
        <v>Twitter Web Client</v>
      </c>
      <c r="J1451" s="2">
        <v>11314</v>
      </c>
      <c r="K1451" s="2">
        <v>11468</v>
      </c>
      <c r="L1451" s="2">
        <v>4</v>
      </c>
      <c r="M1451" s="2"/>
      <c r="N1451" s="8">
        <v>43130.489201388889</v>
      </c>
      <c r="O1451" s="4" t="s">
        <v>104</v>
      </c>
      <c r="P1451" s="3" t="s">
        <v>6600</v>
      </c>
      <c r="Q1451" s="4"/>
      <c r="R1451" s="4"/>
      <c r="S1451" s="9" t="str">
        <f>HYPERLINK("https://pbs.twimg.com/profile_images/959171152081014784/1feOJkR-.jpg","View")</f>
        <v>View</v>
      </c>
    </row>
    <row r="1452" spans="1:19" ht="40">
      <c r="A1452" s="8">
        <v>43347.501064814816</v>
      </c>
      <c r="B1452" s="11" t="str">
        <f>HYPERLINK("https://twitter.com/gomnam_110","@gomnam_110")</f>
        <v>@gomnam_110</v>
      </c>
      <c r="C1452" s="6" t="s">
        <v>11850</v>
      </c>
      <c r="D1452" s="5" t="s">
        <v>13054</v>
      </c>
      <c r="E1452" s="9" t="str">
        <f>HYPERLINK("https://twitter.com/gomnam_110/status/1036879421083447296","1036879421083447296")</f>
        <v>1036879421083447296</v>
      </c>
      <c r="F1452" s="4"/>
      <c r="G1452" s="4"/>
      <c r="H1452" s="4"/>
      <c r="I1452" s="10" t="str">
        <f>HYPERLINK("http://twitter.com/download/android","Twitter for Android")</f>
        <v>Twitter for Android</v>
      </c>
      <c r="J1452" s="2">
        <v>259</v>
      </c>
      <c r="K1452" s="2">
        <v>235</v>
      </c>
      <c r="L1452" s="2">
        <v>4</v>
      </c>
      <c r="M1452" s="2"/>
      <c r="N1452" s="8">
        <v>43318.118738425925</v>
      </c>
      <c r="O1452" s="4" t="s">
        <v>17</v>
      </c>
      <c r="P1452" s="3" t="s">
        <v>11847</v>
      </c>
      <c r="Q1452" s="4"/>
      <c r="R1452" s="4"/>
      <c r="S1452" s="9" t="str">
        <f>HYPERLINK("https://pbs.twimg.com/profile_images/1030793714799726592/mmT51eeT.jpg","View")</f>
        <v>View</v>
      </c>
    </row>
    <row r="1453" spans="1:19" ht="30">
      <c r="A1453" s="8">
        <v>43347.500914351855</v>
      </c>
      <c r="B1453" s="11" t="str">
        <f>HYPERLINK("https://twitter.com/salman_sanjary","@salman_sanjary")</f>
        <v>@salman_sanjary</v>
      </c>
      <c r="C1453" s="6" t="s">
        <v>3365</v>
      </c>
      <c r="D1453" s="5" t="s">
        <v>13053</v>
      </c>
      <c r="E1453" s="9" t="str">
        <f>HYPERLINK("https://twitter.com/salman_sanjary/status/1036879364644855809","1036879364644855809")</f>
        <v>1036879364644855809</v>
      </c>
      <c r="F1453" s="4"/>
      <c r="G1453" s="4"/>
      <c r="H1453" s="4"/>
      <c r="I1453" s="10" t="str">
        <f>HYPERLINK("http://twitter.com/download/android","Twitter for Android")</f>
        <v>Twitter for Android</v>
      </c>
      <c r="J1453" s="2">
        <v>108</v>
      </c>
      <c r="K1453" s="2">
        <v>225</v>
      </c>
      <c r="L1453" s="2">
        <v>1</v>
      </c>
      <c r="M1453" s="2"/>
      <c r="N1453" s="8">
        <v>43310.393240740741</v>
      </c>
      <c r="O1453" s="4" t="s">
        <v>3363</v>
      </c>
      <c r="P1453" s="3" t="s">
        <v>3362</v>
      </c>
      <c r="Q1453" s="4"/>
      <c r="R1453" s="4"/>
      <c r="S1453" s="9" t="str">
        <f>HYPERLINK("https://pbs.twimg.com/profile_images/1023443114164404225/aoqNKpOX.jpg","View")</f>
        <v>View</v>
      </c>
    </row>
    <row r="1454" spans="1:19" ht="20">
      <c r="A1454" s="8">
        <v>43347.500740740739</v>
      </c>
      <c r="B1454" s="11" t="str">
        <f>HYPERLINK("https://twitter.com/yaghobtorabi","@yaghobtorabi")</f>
        <v>@yaghobtorabi</v>
      </c>
      <c r="C1454" s="6" t="s">
        <v>13052</v>
      </c>
      <c r="D1454" s="5" t="s">
        <v>13051</v>
      </c>
      <c r="E1454" s="9" t="str">
        <f>HYPERLINK("https://twitter.com/yaghobtorabi/status/1036879300241367040","1036879300241367040")</f>
        <v>1036879300241367040</v>
      </c>
      <c r="F1454" s="4"/>
      <c r="G1454" s="10" t="s">
        <v>13050</v>
      </c>
      <c r="H1454" s="4"/>
      <c r="I1454" s="10" t="str">
        <f>HYPERLINK("http://twitter.com","Twitter Web Client")</f>
        <v>Twitter Web Client</v>
      </c>
      <c r="J1454" s="2">
        <v>37</v>
      </c>
      <c r="K1454" s="2">
        <v>83</v>
      </c>
      <c r="L1454" s="2">
        <v>0</v>
      </c>
      <c r="M1454" s="2"/>
      <c r="N1454" s="8">
        <v>43280.472858796296</v>
      </c>
      <c r="O1454" s="4"/>
      <c r="P1454" s="3" t="s">
        <v>13049</v>
      </c>
      <c r="Q1454" s="10" t="s">
        <v>13048</v>
      </c>
      <c r="R1454" s="4"/>
      <c r="S1454" s="9" t="str">
        <f>HYPERLINK("https://pbs.twimg.com/profile_images/1012596715671597057/Uca_tDbZ.jpg","View")</f>
        <v>View</v>
      </c>
    </row>
    <row r="1455" spans="1:19" ht="40">
      <c r="A1455" s="8">
        <v>43347.500590277778</v>
      </c>
      <c r="B1455" s="11" t="str">
        <f>HYPERLINK("https://twitter.com/iBehzadMe","@iBehzadMe")</f>
        <v>@iBehzadMe</v>
      </c>
      <c r="C1455" s="6" t="s">
        <v>13047</v>
      </c>
      <c r="D1455" s="5" t="s">
        <v>13046</v>
      </c>
      <c r="E1455" s="9" t="str">
        <f>HYPERLINK("https://twitter.com/iBehzadMe/status/1036879246789169152","1036879246789169152")</f>
        <v>1036879246789169152</v>
      </c>
      <c r="F1455" s="4" t="s">
        <v>13045</v>
      </c>
      <c r="G1455" s="4"/>
      <c r="H1455" s="4"/>
      <c r="I1455" s="10" t="str">
        <f>HYPERLINK("http://twitter.com","Twitter Web Client")</f>
        <v>Twitter Web Client</v>
      </c>
      <c r="J1455" s="2">
        <v>63</v>
      </c>
      <c r="K1455" s="2">
        <v>390</v>
      </c>
      <c r="L1455" s="2">
        <v>0</v>
      </c>
      <c r="M1455" s="2"/>
      <c r="N1455" s="8">
        <v>41048.434791666667</v>
      </c>
      <c r="O1455" s="4" t="s">
        <v>17</v>
      </c>
      <c r="P1455" s="3" t="s">
        <v>13044</v>
      </c>
      <c r="Q1455" s="4"/>
      <c r="R1455" s="4"/>
      <c r="S1455" s="9" t="str">
        <f>HYPERLINK("https://pbs.twimg.com/profile_images/907105616530956289/YUfdyYUM.jpg","View")</f>
        <v>View</v>
      </c>
    </row>
    <row r="1456" spans="1:19" ht="30">
      <c r="A1456" s="8">
        <v>43347.499386574069</v>
      </c>
      <c r="B1456" s="11" t="str">
        <f>HYPERLINK("https://twitter.com/mb_zare","@mb_zare")</f>
        <v>@mb_zare</v>
      </c>
      <c r="C1456" s="6" t="s">
        <v>13043</v>
      </c>
      <c r="D1456" s="5" t="s">
        <v>13042</v>
      </c>
      <c r="E1456" s="9" t="str">
        <f>HYPERLINK("https://twitter.com/mb_zare/status/1036878811101577217","1036878811101577217")</f>
        <v>1036878811101577217</v>
      </c>
      <c r="F1456" s="4"/>
      <c r="G1456" s="4"/>
      <c r="H1456" s="4"/>
      <c r="I1456" s="10" t="str">
        <f>HYPERLINK("http://twitter.com/download/android","Twitter for Android")</f>
        <v>Twitter for Android</v>
      </c>
      <c r="J1456" s="2">
        <v>485</v>
      </c>
      <c r="K1456" s="2">
        <v>778</v>
      </c>
      <c r="L1456" s="2">
        <v>1</v>
      </c>
      <c r="M1456" s="2"/>
      <c r="N1456" s="8">
        <v>43162.118344907409</v>
      </c>
      <c r="O1456" s="4" t="s">
        <v>13041</v>
      </c>
      <c r="P1456" s="3" t="s">
        <v>13040</v>
      </c>
      <c r="Q1456" s="4"/>
      <c r="R1456" s="4"/>
      <c r="S1456" s="9" t="str">
        <f>HYPERLINK("https://pbs.twimg.com/profile_images/969718916292513792/CHZ7jIDd.jpg","View")</f>
        <v>View</v>
      </c>
    </row>
    <row r="1457" spans="1:19" ht="20">
      <c r="A1457" s="8">
        <v>43347.49900462963</v>
      </c>
      <c r="B1457" s="11" t="str">
        <f>HYPERLINK("https://twitter.com/bardiya2000","@bardiya2000")</f>
        <v>@bardiya2000</v>
      </c>
      <c r="C1457" s="6" t="s">
        <v>6602</v>
      </c>
      <c r="D1457" s="5" t="s">
        <v>13039</v>
      </c>
      <c r="E1457" s="9" t="str">
        <f>HYPERLINK("https://twitter.com/bardiya2000/status/1036878670617559040","1036878670617559040")</f>
        <v>1036878670617559040</v>
      </c>
      <c r="F1457" s="4"/>
      <c r="G1457" s="4"/>
      <c r="H1457" s="4"/>
      <c r="I1457" s="10" t="str">
        <f>HYPERLINK("http://twitter.com","Twitter Web Client")</f>
        <v>Twitter Web Client</v>
      </c>
      <c r="J1457" s="2">
        <v>11314</v>
      </c>
      <c r="K1457" s="2">
        <v>11468</v>
      </c>
      <c r="L1457" s="2">
        <v>4</v>
      </c>
      <c r="M1457" s="2"/>
      <c r="N1457" s="8">
        <v>43130.489201388889</v>
      </c>
      <c r="O1457" s="4" t="s">
        <v>104</v>
      </c>
      <c r="P1457" s="3" t="s">
        <v>6600</v>
      </c>
      <c r="Q1457" s="4"/>
      <c r="R1457" s="4"/>
      <c r="S1457" s="9" t="str">
        <f>HYPERLINK("https://pbs.twimg.com/profile_images/959171152081014784/1feOJkR-.jpg","View")</f>
        <v>View</v>
      </c>
    </row>
    <row r="1458" spans="1:19" ht="40">
      <c r="A1458" s="8">
        <v>43347.49864583333</v>
      </c>
      <c r="B1458" s="11" t="str">
        <f>HYPERLINK("https://twitter.com/SarmashghnewsC","@SarmashghnewsC")</f>
        <v>@SarmashghnewsC</v>
      </c>
      <c r="C1458" s="11" t="s">
        <v>5761</v>
      </c>
      <c r="D1458" s="5" t="s">
        <v>13038</v>
      </c>
      <c r="E1458" s="9" t="str">
        <f>HYPERLINK("https://twitter.com/SarmashghnewsC/status/1036878543886721024","1036878543886721024")</f>
        <v>1036878543886721024</v>
      </c>
      <c r="F1458" s="4"/>
      <c r="G1458" s="10" t="s">
        <v>13037</v>
      </c>
      <c r="H1458" s="4"/>
      <c r="I1458" s="10" t="str">
        <f>HYPERLINK("http://twitter.com/download/android","Twitter for Android")</f>
        <v>Twitter for Android</v>
      </c>
      <c r="J1458" s="2">
        <v>530</v>
      </c>
      <c r="K1458" s="2">
        <v>100</v>
      </c>
      <c r="L1458" s="2">
        <v>9</v>
      </c>
      <c r="M1458" s="2"/>
      <c r="N1458" s="8">
        <v>43254.445173611108</v>
      </c>
      <c r="O1458" s="4" t="s">
        <v>34</v>
      </c>
      <c r="P1458" s="3" t="s">
        <v>5759</v>
      </c>
      <c r="Q1458" s="4"/>
      <c r="R1458" s="4"/>
      <c r="S1458" s="9" t="str">
        <f>HYPERLINK("https://pbs.twimg.com/profile_images/1003160757314482178/iWzZHh0l.jpg","View")</f>
        <v>View</v>
      </c>
    </row>
    <row r="1459" spans="1:19" ht="70">
      <c r="A1459" s="8">
        <v>43347.49690972222</v>
      </c>
      <c r="B1459" s="11" t="str">
        <f>HYPERLINK("https://twitter.com/ata_afs","@ata_afs")</f>
        <v>@ata_afs</v>
      </c>
      <c r="C1459" s="6" t="s">
        <v>1217</v>
      </c>
      <c r="D1459" s="5" t="s">
        <v>13036</v>
      </c>
      <c r="E1459" s="9" t="str">
        <f>HYPERLINK("https://twitter.com/ata_afs/status/1036877914006937601","1036877914006937601")</f>
        <v>1036877914006937601</v>
      </c>
      <c r="F1459" s="4" t="s">
        <v>13035</v>
      </c>
      <c r="G1459" s="4"/>
      <c r="H1459" s="4"/>
      <c r="I1459" s="10" t="str">
        <f>HYPERLINK("http://twitter.com/download/iphone","Twitter for iPhone")</f>
        <v>Twitter for iPhone</v>
      </c>
      <c r="J1459" s="2">
        <v>382</v>
      </c>
      <c r="K1459" s="2">
        <v>697</v>
      </c>
      <c r="L1459" s="2">
        <v>0</v>
      </c>
      <c r="M1459" s="2"/>
      <c r="N1459" s="8">
        <v>41833.536099537036</v>
      </c>
      <c r="O1459" s="4" t="s">
        <v>34</v>
      </c>
      <c r="P1459" s="3" t="s">
        <v>1213</v>
      </c>
      <c r="Q1459" s="4"/>
      <c r="R1459" s="4"/>
      <c r="S1459" s="9" t="str">
        <f>HYPERLINK("https://pbs.twimg.com/profile_images/958374868008960000/IRXSv5-C.jpg","View")</f>
        <v>View</v>
      </c>
    </row>
    <row r="1460" spans="1:19" ht="40">
      <c r="A1460" s="8">
        <v>43347.49600694445</v>
      </c>
      <c r="B1460" s="11" t="str">
        <f>HYPERLINK("https://twitter.com/RasoulSeyyed","@RasoulSeyyed")</f>
        <v>@RasoulSeyyed</v>
      </c>
      <c r="C1460" s="6" t="s">
        <v>13034</v>
      </c>
      <c r="D1460" s="5" t="s">
        <v>13033</v>
      </c>
      <c r="E1460" s="9" t="str">
        <f>HYPERLINK("https://twitter.com/RasoulSeyyed/status/1036877587857985536","1036877587857985536")</f>
        <v>1036877587857985536</v>
      </c>
      <c r="F1460" s="4"/>
      <c r="G1460" s="4"/>
      <c r="H1460" s="4"/>
      <c r="I1460" s="10" t="str">
        <f>HYPERLINK("http://twitter.com/download/android","Twitter for Android")</f>
        <v>Twitter for Android</v>
      </c>
      <c r="J1460" s="2">
        <v>153</v>
      </c>
      <c r="K1460" s="2">
        <v>173</v>
      </c>
      <c r="L1460" s="2">
        <v>2</v>
      </c>
      <c r="M1460" s="2"/>
      <c r="N1460" s="8">
        <v>42740.922094907408</v>
      </c>
      <c r="O1460" s="4" t="s">
        <v>17</v>
      </c>
      <c r="P1460" s="3" t="s">
        <v>13032</v>
      </c>
      <c r="Q1460" s="4"/>
      <c r="R1460" s="4"/>
      <c r="S1460" s="9" t="str">
        <f>HYPERLINK("https://pbs.twimg.com/profile_images/925619696069677056/54UJdDUG.jpg","View")</f>
        <v>View</v>
      </c>
    </row>
    <row r="1461" spans="1:19" ht="40">
      <c r="A1461" s="8">
        <v>43347.49454861111</v>
      </c>
      <c r="B1461" s="11" t="str">
        <f>HYPERLINK("https://twitter.com/ABehshti","@ABehshti")</f>
        <v>@ABehshti</v>
      </c>
      <c r="C1461" s="6" t="s">
        <v>13031</v>
      </c>
      <c r="D1461" s="5" t="s">
        <v>13030</v>
      </c>
      <c r="E1461" s="9" t="str">
        <f>HYPERLINK("https://twitter.com/ABehshti/status/1036877056838184960","1036877056838184960")</f>
        <v>1036877056838184960</v>
      </c>
      <c r="F1461" s="4"/>
      <c r="G1461" s="4"/>
      <c r="H1461" s="4"/>
      <c r="I1461" s="10" t="str">
        <f>HYPERLINK("http://twitter.com/download/iphone","Twitter for iPhone")</f>
        <v>Twitter for iPhone</v>
      </c>
      <c r="J1461" s="2">
        <v>144</v>
      </c>
      <c r="K1461" s="2">
        <v>328</v>
      </c>
      <c r="L1461" s="2">
        <v>0</v>
      </c>
      <c r="M1461" s="2"/>
      <c r="N1461" s="8">
        <v>43209.93068287037</v>
      </c>
      <c r="O1461" s="4" t="s">
        <v>34</v>
      </c>
      <c r="P1461" s="3" t="s">
        <v>13029</v>
      </c>
      <c r="Q1461" s="4"/>
      <c r="R1461" s="4"/>
      <c r="S1461" s="9" t="str">
        <f>HYPERLINK("https://pbs.twimg.com/profile_images/1030148032770330624/MkkvLfGm.jpg","View")</f>
        <v>View</v>
      </c>
    </row>
    <row r="1462" spans="1:19" ht="40">
      <c r="A1462" s="8">
        <v>43347.489872685182</v>
      </c>
      <c r="B1462" s="11" t="str">
        <f>HYPERLINK("https://twitter.com/jansakht9","@jansakht9")</f>
        <v>@jansakht9</v>
      </c>
      <c r="C1462" s="6" t="s">
        <v>9251</v>
      </c>
      <c r="D1462" s="5" t="s">
        <v>13028</v>
      </c>
      <c r="E1462" s="9" t="str">
        <f>HYPERLINK("https://twitter.com/jansakht9/status/1036875365359202304","1036875365359202304")</f>
        <v>1036875365359202304</v>
      </c>
      <c r="F1462" s="4"/>
      <c r="G1462" s="4"/>
      <c r="H1462" s="4"/>
      <c r="I1462" s="10" t="str">
        <f>HYPERLINK("https://mobile.twitter.com","Twitter Lite")</f>
        <v>Twitter Lite</v>
      </c>
      <c r="J1462" s="2">
        <v>38</v>
      </c>
      <c r="K1462" s="2">
        <v>157</v>
      </c>
      <c r="L1462" s="2">
        <v>0</v>
      </c>
      <c r="M1462" s="2"/>
      <c r="N1462" s="8">
        <v>43257.262488425928</v>
      </c>
      <c r="O1462" s="4"/>
      <c r="P1462" s="3" t="s">
        <v>9249</v>
      </c>
      <c r="Q1462" s="4"/>
      <c r="R1462" s="4"/>
      <c r="S1462" s="9" t="str">
        <f>HYPERLINK("https://pbs.twimg.com/profile_images/1033645501730549760/kne9Mzqf.jpg","View")</f>
        <v>View</v>
      </c>
    </row>
    <row r="1463" spans="1:19" ht="30">
      <c r="A1463" s="8">
        <v>43347.488981481481</v>
      </c>
      <c r="B1463" s="11" t="str">
        <f>HYPERLINK("https://twitter.com/sadaf0499","@sadaf0499")</f>
        <v>@sadaf0499</v>
      </c>
      <c r="C1463" s="6" t="s">
        <v>7337</v>
      </c>
      <c r="D1463" s="5" t="s">
        <v>13027</v>
      </c>
      <c r="E1463" s="9" t="str">
        <f>HYPERLINK("https://twitter.com/sadaf0499/status/1036875038576672768","1036875038576672768")</f>
        <v>1036875038576672768</v>
      </c>
      <c r="F1463" s="4"/>
      <c r="G1463" s="4"/>
      <c r="H1463" s="4"/>
      <c r="I1463" s="10" t="str">
        <f>HYPERLINK("http://twitter.com/download/iphone","Twitter for iPhone")</f>
        <v>Twitter for iPhone</v>
      </c>
      <c r="J1463" s="2">
        <v>2155</v>
      </c>
      <c r="K1463" s="2">
        <v>1311</v>
      </c>
      <c r="L1463" s="2">
        <v>3</v>
      </c>
      <c r="M1463" s="2"/>
      <c r="N1463" s="8">
        <v>43111.887986111113</v>
      </c>
      <c r="O1463" s="4" t="s">
        <v>7335</v>
      </c>
      <c r="P1463" s="3" t="s">
        <v>7334</v>
      </c>
      <c r="Q1463" s="4"/>
      <c r="R1463" s="4"/>
      <c r="S1463" s="9" t="str">
        <f>HYPERLINK("https://pbs.twimg.com/profile_images/1026184055572901889/jPzek_ov.jpg","View")</f>
        <v>View</v>
      </c>
    </row>
    <row r="1464" spans="1:19" ht="70">
      <c r="A1464" s="8">
        <v>43347.487002314811</v>
      </c>
      <c r="B1464" s="11" t="str">
        <f>HYPERLINK("https://twitter.com/amire_tanha","@amire_tanha")</f>
        <v>@amire_tanha</v>
      </c>
      <c r="C1464" s="6" t="s">
        <v>9891</v>
      </c>
      <c r="D1464" s="5" t="s">
        <v>13026</v>
      </c>
      <c r="E1464" s="9" t="str">
        <f>HYPERLINK("https://twitter.com/amire_tanha/status/1036874324572037120","1036874324572037120")</f>
        <v>1036874324572037120</v>
      </c>
      <c r="F1464" s="10" t="s">
        <v>13025</v>
      </c>
      <c r="G1464" s="10" t="s">
        <v>13024</v>
      </c>
      <c r="H1464" s="4"/>
      <c r="I1464" s="10" t="str">
        <f>HYPERLINK("http://twitter.com/download/iphone","Twitter for iPhone")</f>
        <v>Twitter for iPhone</v>
      </c>
      <c r="J1464" s="2">
        <v>7125</v>
      </c>
      <c r="K1464" s="2">
        <v>3697</v>
      </c>
      <c r="L1464" s="2">
        <v>28</v>
      </c>
      <c r="M1464" s="2"/>
      <c r="N1464" s="8">
        <v>41558.983773148146</v>
      </c>
      <c r="O1464" s="4" t="s">
        <v>682</v>
      </c>
      <c r="P1464" s="3" t="s">
        <v>9889</v>
      </c>
      <c r="Q1464" s="10" t="s">
        <v>9888</v>
      </c>
      <c r="R1464" s="4"/>
      <c r="S1464" s="9" t="str">
        <f>HYPERLINK("https://pbs.twimg.com/profile_images/1036232878613585920/j3d_Xz4o.jpg","View")</f>
        <v>View</v>
      </c>
    </row>
    <row r="1465" spans="1:19" ht="40">
      <c r="A1465" s="8">
        <v>43347.486932870372</v>
      </c>
      <c r="B1465" s="11" t="str">
        <f>HYPERLINK("https://twitter.com/Mat__fire","@Mat__fire")</f>
        <v>@Mat__fire</v>
      </c>
      <c r="C1465" s="6" t="s">
        <v>13023</v>
      </c>
      <c r="D1465" s="5" t="s">
        <v>13022</v>
      </c>
      <c r="E1465" s="9" t="str">
        <f>HYPERLINK("https://twitter.com/Mat__fire/status/1036874298919550976","1036874298919550976")</f>
        <v>1036874298919550976</v>
      </c>
      <c r="F1465" s="4"/>
      <c r="G1465" s="4"/>
      <c r="H1465" s="4"/>
      <c r="I1465" s="10" t="str">
        <f>HYPERLINK("http://twitter.com/download/android","Twitter for Android")</f>
        <v>Twitter for Android</v>
      </c>
      <c r="J1465" s="2">
        <v>491</v>
      </c>
      <c r="K1465" s="2">
        <v>364</v>
      </c>
      <c r="L1465" s="2">
        <v>8</v>
      </c>
      <c r="M1465" s="2"/>
      <c r="N1465" s="8">
        <v>42370.687557870369</v>
      </c>
      <c r="O1465" s="4" t="s">
        <v>13021</v>
      </c>
      <c r="P1465" s="3" t="s">
        <v>13020</v>
      </c>
      <c r="Q1465" s="4"/>
      <c r="R1465" s="4"/>
      <c r="S1465" s="9" t="str">
        <f>HYPERLINK("https://pbs.twimg.com/profile_images/817815430936989696/AWg8WUtN.jpg","View")</f>
        <v>View</v>
      </c>
    </row>
    <row r="1466" spans="1:19" ht="30">
      <c r="A1466" s="8">
        <v>43347.486724537041</v>
      </c>
      <c r="B1466" s="11" t="str">
        <f>HYPERLINK("https://twitter.com/talaangor","@talaangor")</f>
        <v>@talaangor</v>
      </c>
      <c r="C1466" s="6" t="s">
        <v>13019</v>
      </c>
      <c r="D1466" s="5" t="s">
        <v>13018</v>
      </c>
      <c r="E1466" s="9" t="str">
        <f>HYPERLINK("https://twitter.com/talaangor/status/1036874223082303489","1036874223082303489")</f>
        <v>1036874223082303489</v>
      </c>
      <c r="F1466" s="10" t="s">
        <v>13017</v>
      </c>
      <c r="G1466" s="4"/>
      <c r="H1466" s="4"/>
      <c r="I1466" s="10" t="str">
        <f>HYPERLINK("http://twitter.com","Twitter Web Client")</f>
        <v>Twitter Web Client</v>
      </c>
      <c r="J1466" s="2">
        <v>220</v>
      </c>
      <c r="K1466" s="2">
        <v>774</v>
      </c>
      <c r="L1466" s="2">
        <v>0</v>
      </c>
      <c r="M1466" s="2"/>
      <c r="N1466" s="8">
        <v>40997.575046296297</v>
      </c>
      <c r="O1466" s="4" t="s">
        <v>34</v>
      </c>
      <c r="P1466" s="3" t="s">
        <v>13016</v>
      </c>
      <c r="Q1466" s="10" t="s">
        <v>13015</v>
      </c>
      <c r="R1466" s="4"/>
      <c r="S1466" s="9" t="str">
        <f>HYPERLINK("https://pbs.twimg.com/profile_images/985847680243937280/o-HOJP0C.jpg","View")</f>
        <v>View</v>
      </c>
    </row>
    <row r="1467" spans="1:19" ht="40">
      <c r="A1467" s="8">
        <v>43347.486111111109</v>
      </c>
      <c r="B1467" s="11" t="str">
        <f>HYPERLINK("https://twitter.com/Amarezzi","@Amarezzi")</f>
        <v>@Amarezzi</v>
      </c>
      <c r="C1467" s="6" t="s">
        <v>13014</v>
      </c>
      <c r="D1467" s="5" t="s">
        <v>13013</v>
      </c>
      <c r="E1467" s="9" t="str">
        <f>HYPERLINK("https://twitter.com/Amarezzi/status/1036874002210402304","1036874002210402304")</f>
        <v>1036874002210402304</v>
      </c>
      <c r="F1467" s="4"/>
      <c r="G1467" s="4"/>
      <c r="H1467" s="4"/>
      <c r="I1467" s="10" t="str">
        <f>HYPERLINK("http://twitter.com","Twitter Web Client")</f>
        <v>Twitter Web Client</v>
      </c>
      <c r="J1467" s="2">
        <v>976</v>
      </c>
      <c r="K1467" s="2">
        <v>355</v>
      </c>
      <c r="L1467" s="2">
        <v>11</v>
      </c>
      <c r="M1467" s="2"/>
      <c r="N1467" s="8">
        <v>41588.686840277776</v>
      </c>
      <c r="O1467" s="4" t="s">
        <v>894</v>
      </c>
      <c r="P1467" s="3" t="s">
        <v>13012</v>
      </c>
      <c r="Q1467" s="4"/>
      <c r="R1467" s="4"/>
      <c r="S1467" s="9" t="str">
        <f>HYPERLINK("https://pbs.twimg.com/profile_images/1029858625462910977/cZP1erNf.jpg","View")</f>
        <v>View</v>
      </c>
    </row>
    <row r="1468" spans="1:19" ht="80">
      <c r="A1468" s="8">
        <v>43347.485046296293</v>
      </c>
      <c r="B1468" s="11" t="str">
        <f>HYPERLINK("https://twitter.com/ABOLFAZLj4","@ABOLFAZLj4")</f>
        <v>@ABOLFAZLj4</v>
      </c>
      <c r="C1468" s="6" t="s">
        <v>13011</v>
      </c>
      <c r="D1468" s="5" t="s">
        <v>13010</v>
      </c>
      <c r="E1468" s="9" t="str">
        <f>HYPERLINK("https://twitter.com/ABOLFAZLj4/status/1036873613402664962","1036873613402664962")</f>
        <v>1036873613402664962</v>
      </c>
      <c r="F1468" s="10" t="s">
        <v>13009</v>
      </c>
      <c r="G1468" s="10" t="s">
        <v>13008</v>
      </c>
      <c r="H1468" s="4"/>
      <c r="I1468" s="10" t="str">
        <f>HYPERLINK("http://twitter.com/download/iphone","Twitter for iPhone")</f>
        <v>Twitter for iPhone</v>
      </c>
      <c r="J1468" s="2">
        <v>276</v>
      </c>
      <c r="K1468" s="2">
        <v>107</v>
      </c>
      <c r="L1468" s="2">
        <v>0</v>
      </c>
      <c r="M1468" s="2"/>
      <c r="N1468" s="8">
        <v>43304.91134259259</v>
      </c>
      <c r="O1468" s="4" t="s">
        <v>34</v>
      </c>
      <c r="P1468" s="3" t="s">
        <v>13007</v>
      </c>
      <c r="Q1468" s="4"/>
      <c r="R1468" s="4"/>
      <c r="S1468" s="9" t="str">
        <f>HYPERLINK("https://pbs.twimg.com/profile_images/1021467662604435457/dTKs9DL6.jpg","View")</f>
        <v>View</v>
      </c>
    </row>
    <row r="1469" spans="1:19" ht="30">
      <c r="A1469" s="8">
        <v>43347.482592592598</v>
      </c>
      <c r="B1469" s="11" t="str">
        <f>HYPERLINK("https://twitter.com/arasharas","@arasharas")</f>
        <v>@arasharas</v>
      </c>
      <c r="C1469" s="6" t="s">
        <v>13006</v>
      </c>
      <c r="D1469" s="5" t="s">
        <v>13005</v>
      </c>
      <c r="E1469" s="9" t="str">
        <f>HYPERLINK("https://twitter.com/arasharas/status/1036872725040717824","1036872725040717824")</f>
        <v>1036872725040717824</v>
      </c>
      <c r="F1469" s="4"/>
      <c r="G1469" s="4"/>
      <c r="H1469" s="4"/>
      <c r="I1469" s="10" t="str">
        <f>HYPERLINK("http://twitter.com/download/android","Twitter for Android")</f>
        <v>Twitter for Android</v>
      </c>
      <c r="J1469" s="2">
        <v>2971</v>
      </c>
      <c r="K1469" s="2">
        <v>3748</v>
      </c>
      <c r="L1469" s="2">
        <v>5</v>
      </c>
      <c r="M1469" s="2"/>
      <c r="N1469" s="8">
        <v>42712.60832175926</v>
      </c>
      <c r="O1469" s="4"/>
      <c r="P1469" s="3" t="s">
        <v>13004</v>
      </c>
      <c r="Q1469" s="4"/>
      <c r="R1469" s="4"/>
      <c r="S1469" s="9" t="str">
        <f>HYPERLINK("https://pbs.twimg.com/profile_images/986005919719976960/_8w-1MCf.jpg","View")</f>
        <v>View</v>
      </c>
    </row>
    <row r="1470" spans="1:19" ht="30">
      <c r="A1470" s="8">
        <v>43347.482152777782</v>
      </c>
      <c r="B1470" s="11" t="str">
        <f>HYPERLINK("https://twitter.com/davood274","@davood274")</f>
        <v>@davood274</v>
      </c>
      <c r="C1470" s="6" t="s">
        <v>1575</v>
      </c>
      <c r="D1470" s="5" t="s">
        <v>13003</v>
      </c>
      <c r="E1470" s="9" t="str">
        <f>HYPERLINK("https://twitter.com/davood274/status/1036872567217221633","1036872567217221633")</f>
        <v>1036872567217221633</v>
      </c>
      <c r="F1470" s="4"/>
      <c r="G1470" s="4"/>
      <c r="H1470" s="4"/>
      <c r="I1470" s="10" t="str">
        <f>HYPERLINK("http://twitter.com","Twitter Web Client")</f>
        <v>Twitter Web Client</v>
      </c>
      <c r="J1470" s="2">
        <v>296</v>
      </c>
      <c r="K1470" s="2">
        <v>644</v>
      </c>
      <c r="L1470" s="2">
        <v>0</v>
      </c>
      <c r="M1470" s="2"/>
      <c r="N1470" s="8">
        <v>41805.405289351853</v>
      </c>
      <c r="O1470" s="4" t="s">
        <v>17</v>
      </c>
      <c r="P1470" s="3" t="s">
        <v>6663</v>
      </c>
      <c r="Q1470" s="4"/>
      <c r="R1470" s="4"/>
      <c r="S1470" s="9" t="str">
        <f>HYPERLINK("https://pbs.twimg.com/profile_images/1005366993006936067/F_JGdASe.jpg","View")</f>
        <v>View</v>
      </c>
    </row>
    <row r="1471" spans="1:19" ht="30">
      <c r="A1471" s="8">
        <v>43347.481527777782</v>
      </c>
      <c r="B1471" s="11" t="str">
        <f>HYPERLINK("https://twitter.com/tabyincenter","@tabyincenter")</f>
        <v>@tabyincenter</v>
      </c>
      <c r="C1471" s="6" t="s">
        <v>13002</v>
      </c>
      <c r="D1471" s="5" t="s">
        <v>13001</v>
      </c>
      <c r="E1471" s="9" t="str">
        <f>HYPERLINK("https://twitter.com/tabyincenter/status/1036872341286989824","1036872341286989824")</f>
        <v>1036872341286989824</v>
      </c>
      <c r="F1471" s="4"/>
      <c r="G1471" s="10" t="s">
        <v>13000</v>
      </c>
      <c r="H1471" s="4"/>
      <c r="I1471" s="10" t="str">
        <f>HYPERLINK("http://twitter.com","Twitter Web Client")</f>
        <v>Twitter Web Client</v>
      </c>
      <c r="J1471" s="2">
        <v>3551</v>
      </c>
      <c r="K1471" s="2">
        <v>7</v>
      </c>
      <c r="L1471" s="2">
        <v>24</v>
      </c>
      <c r="M1471" s="2"/>
      <c r="N1471" s="8">
        <v>41533.42523148148</v>
      </c>
      <c r="O1471" s="4" t="s">
        <v>3191</v>
      </c>
      <c r="P1471" s="3" t="s">
        <v>12999</v>
      </c>
      <c r="Q1471" s="10" t="s">
        <v>12998</v>
      </c>
      <c r="R1471" s="4"/>
      <c r="S1471" s="9" t="str">
        <f>HYPERLINK("https://pbs.twimg.com/profile_images/826652793872199680/lhFQAMIz.jpg","View")</f>
        <v>View</v>
      </c>
    </row>
    <row r="1472" spans="1:19" ht="12.5">
      <c r="A1472" s="8">
        <v>43347.480532407411</v>
      </c>
      <c r="B1472" s="11" t="str">
        <f>HYPERLINK("https://twitter.com/d_papillonn","@d_papillonn")</f>
        <v>@d_papillonn</v>
      </c>
      <c r="C1472" s="6" t="s">
        <v>390</v>
      </c>
      <c r="D1472" s="5" t="s">
        <v>12997</v>
      </c>
      <c r="E1472" s="9" t="str">
        <f>HYPERLINK("https://twitter.com/d_papillonn/status/1036871977506693120","1036871977506693120")</f>
        <v>1036871977506693120</v>
      </c>
      <c r="F1472" s="4"/>
      <c r="G1472" s="10" t="s">
        <v>12996</v>
      </c>
      <c r="H1472" s="4"/>
      <c r="I1472" s="10" t="str">
        <f>HYPERLINK("http://twitter.com/download/android","Twitter for Android")</f>
        <v>Twitter for Android</v>
      </c>
      <c r="J1472" s="2">
        <v>613</v>
      </c>
      <c r="K1472" s="2">
        <v>486</v>
      </c>
      <c r="L1472" s="2">
        <v>6</v>
      </c>
      <c r="M1472" s="2"/>
      <c r="N1472" s="8">
        <v>40626.263680555552</v>
      </c>
      <c r="O1472" s="4" t="s">
        <v>388</v>
      </c>
      <c r="P1472" s="3" t="s">
        <v>387</v>
      </c>
      <c r="Q1472" s="10" t="s">
        <v>386</v>
      </c>
      <c r="R1472" s="4"/>
      <c r="S1472" s="9" t="str">
        <f>HYPERLINK("https://pbs.twimg.com/profile_images/1027869671020744705/1ratNSjB.jpg","View")</f>
        <v>View</v>
      </c>
    </row>
    <row r="1473" spans="1:19" ht="20">
      <c r="A1473" s="8">
        <v>43347.478217592594</v>
      </c>
      <c r="B1473" s="11" t="str">
        <f>HYPERLINK("https://twitter.com/marmoollak_ir","@marmoollak_ir")</f>
        <v>@marmoollak_ir</v>
      </c>
      <c r="C1473" s="6" t="s">
        <v>4124</v>
      </c>
      <c r="D1473" s="5" t="s">
        <v>12995</v>
      </c>
      <c r="E1473" s="9" t="str">
        <f>HYPERLINK("https://twitter.com/marmoollak_ir/status/1036871140340322304","1036871140340322304")</f>
        <v>1036871140340322304</v>
      </c>
      <c r="F1473" s="4"/>
      <c r="G1473" s="10" t="s">
        <v>12994</v>
      </c>
      <c r="H1473" s="4"/>
      <c r="I1473" s="10" t="str">
        <f>HYPERLINK("http://twitter.com/download/android","Twitter for Android")</f>
        <v>Twitter for Android</v>
      </c>
      <c r="J1473" s="2">
        <v>2227</v>
      </c>
      <c r="K1473" s="2">
        <v>149</v>
      </c>
      <c r="L1473" s="2">
        <v>21</v>
      </c>
      <c r="M1473" s="2"/>
      <c r="N1473" s="8">
        <v>42189.506967592592</v>
      </c>
      <c r="O1473" s="4" t="s">
        <v>2250</v>
      </c>
      <c r="P1473" s="3" t="s">
        <v>4122</v>
      </c>
      <c r="Q1473" s="4"/>
      <c r="R1473" s="4"/>
      <c r="S1473" s="9" t="str">
        <f>HYPERLINK("https://pbs.twimg.com/profile_images/951105932817203200/MN5arYdk.jpg","View")</f>
        <v>View</v>
      </c>
    </row>
    <row r="1474" spans="1:19" ht="30">
      <c r="A1474" s="8">
        <v>43347.477534722224</v>
      </c>
      <c r="B1474" s="11" t="str">
        <f>HYPERLINK("https://twitter.com/eghtesadonline","@eghtesadonline")</f>
        <v>@eghtesadonline</v>
      </c>
      <c r="C1474" s="6" t="s">
        <v>5935</v>
      </c>
      <c r="D1474" s="5" t="s">
        <v>12993</v>
      </c>
      <c r="E1474" s="9" t="str">
        <f>HYPERLINK("https://twitter.com/eghtesadonline/status/1036870890217254912","1036870890217254912")</f>
        <v>1036870890217254912</v>
      </c>
      <c r="F1474" s="4"/>
      <c r="G1474" s="4"/>
      <c r="H1474" s="4"/>
      <c r="I1474" s="10" t="str">
        <f>HYPERLINK("http://twitter.com","Twitter Web Client")</f>
        <v>Twitter Web Client</v>
      </c>
      <c r="J1474" s="2">
        <v>2109</v>
      </c>
      <c r="K1474" s="2">
        <v>7</v>
      </c>
      <c r="L1474" s="2">
        <v>41</v>
      </c>
      <c r="M1474" s="2"/>
      <c r="N1474" s="8">
        <v>41595.377060185187</v>
      </c>
      <c r="O1474" s="4" t="s">
        <v>17</v>
      </c>
      <c r="P1474" s="3" t="s">
        <v>5933</v>
      </c>
      <c r="Q1474" s="10" t="s">
        <v>5932</v>
      </c>
      <c r="R1474" s="4"/>
      <c r="S1474" s="9" t="str">
        <f>HYPERLINK("https://pbs.twimg.com/profile_images/1034350708475224064/4dNqWRJC.jpg","View")</f>
        <v>View</v>
      </c>
    </row>
    <row r="1475" spans="1:19" ht="30">
      <c r="A1475" s="8">
        <v>43347.473437499997</v>
      </c>
      <c r="B1475" s="11" t="str">
        <f>HYPERLINK("https://twitter.com/MBFarzad","@MBFarzad")</f>
        <v>@MBFarzad</v>
      </c>
      <c r="C1475" s="6" t="s">
        <v>12992</v>
      </c>
      <c r="D1475" s="5" t="s">
        <v>12991</v>
      </c>
      <c r="E1475" s="9" t="str">
        <f>HYPERLINK("https://twitter.com/MBFarzad/status/1036869407513825280","1036869407513825280")</f>
        <v>1036869407513825280</v>
      </c>
      <c r="F1475" s="4"/>
      <c r="G1475" s="4"/>
      <c r="H1475" s="4"/>
      <c r="I1475" s="10" t="str">
        <f>HYPERLINK("http://twitter.com/download/android","Twitter for Android")</f>
        <v>Twitter for Android</v>
      </c>
      <c r="J1475" s="2">
        <v>65</v>
      </c>
      <c r="K1475" s="2">
        <v>85</v>
      </c>
      <c r="L1475" s="2">
        <v>0</v>
      </c>
      <c r="M1475" s="2"/>
      <c r="N1475" s="8">
        <v>41682.399884259255</v>
      </c>
      <c r="O1475" s="4" t="s">
        <v>12990</v>
      </c>
      <c r="P1475" s="3"/>
      <c r="Q1475" s="4"/>
      <c r="R1475" s="4"/>
      <c r="S1475" s="9" t="str">
        <f>HYPERLINK("https://pbs.twimg.com/profile_images/433484484566986752/n8VAI6om.jpeg","View")</f>
        <v>View</v>
      </c>
    </row>
    <row r="1476" spans="1:19" ht="30">
      <c r="A1476" s="8">
        <v>43347.473344907412</v>
      </c>
      <c r="B1476" s="11" t="str">
        <f>HYPERLINK("https://twitter.com/Suchguri","@Suchguri")</f>
        <v>@Suchguri</v>
      </c>
      <c r="C1476" s="6" t="s">
        <v>12989</v>
      </c>
      <c r="D1476" s="5" t="s">
        <v>12988</v>
      </c>
      <c r="E1476" s="9" t="str">
        <f>HYPERLINK("https://twitter.com/Suchguri/status/1036869375926697984","1036869375926697984")</f>
        <v>1036869375926697984</v>
      </c>
      <c r="F1476" s="4"/>
      <c r="G1476" s="4"/>
      <c r="H1476" s="4"/>
      <c r="I1476" s="10" t="str">
        <f>HYPERLINK("http://twitter.com/download/android","Twitter for Android")</f>
        <v>Twitter for Android</v>
      </c>
      <c r="J1476" s="2">
        <v>26</v>
      </c>
      <c r="K1476" s="2">
        <v>144</v>
      </c>
      <c r="L1476" s="2">
        <v>0</v>
      </c>
      <c r="M1476" s="2"/>
      <c r="N1476" s="8">
        <v>43219.563148148147</v>
      </c>
      <c r="O1476" s="4" t="s">
        <v>133</v>
      </c>
      <c r="P1476" s="3" t="s">
        <v>12987</v>
      </c>
      <c r="Q1476" s="4"/>
      <c r="R1476" s="4"/>
      <c r="S1476" s="9" t="str">
        <f>HYPERLINK("https://pbs.twimg.com/profile_images/1024013346306248704/ldS21qci.jpg","View")</f>
        <v>View</v>
      </c>
    </row>
    <row r="1477" spans="1:19" ht="40">
      <c r="A1477" s="8">
        <v>43347.472407407404</v>
      </c>
      <c r="B1477" s="11" t="str">
        <f>HYPERLINK("https://twitter.com/AlinejadN","@AlinejadN")</f>
        <v>@AlinejadN</v>
      </c>
      <c r="C1477" s="6" t="s">
        <v>12986</v>
      </c>
      <c r="D1477" s="5" t="s">
        <v>12985</v>
      </c>
      <c r="E1477" s="9" t="str">
        <f>HYPERLINK("https://twitter.com/AlinejadN/status/1036869033969246209","1036869033969246209")</f>
        <v>1036869033969246209</v>
      </c>
      <c r="F1477" s="4"/>
      <c r="G1477" s="10" t="s">
        <v>12984</v>
      </c>
      <c r="H1477" s="4"/>
      <c r="I1477" s="10" t="str">
        <f>HYPERLINK("https://mobile.twitter.com","Twitter Lite")</f>
        <v>Twitter Lite</v>
      </c>
      <c r="J1477" s="2">
        <v>309</v>
      </c>
      <c r="K1477" s="2">
        <v>415</v>
      </c>
      <c r="L1477" s="2">
        <v>1</v>
      </c>
      <c r="M1477" s="2"/>
      <c r="N1477" s="8">
        <v>43216.844606481478</v>
      </c>
      <c r="O1477" s="4" t="s">
        <v>3490</v>
      </c>
      <c r="P1477" s="3" t="s">
        <v>12983</v>
      </c>
      <c r="Q1477" s="4"/>
      <c r="R1477" s="4"/>
      <c r="S1477" s="9" t="str">
        <f>HYPERLINK("https://pbs.twimg.com/profile_images/1000619299831255040/xuHzys16.jpg","View")</f>
        <v>View</v>
      </c>
    </row>
    <row r="1478" spans="1:19" ht="30">
      <c r="A1478" s="8">
        <v>43347.47210648148</v>
      </c>
      <c r="B1478" s="11" t="str">
        <f>HYPERLINK("https://twitter.com/suelasuz","@suelasuz")</f>
        <v>@suelasuz</v>
      </c>
      <c r="C1478" s="6" t="s">
        <v>11466</v>
      </c>
      <c r="D1478" s="5" t="s">
        <v>12982</v>
      </c>
      <c r="E1478" s="9" t="str">
        <f>HYPERLINK("https://twitter.com/suelasuz/status/1036868927173943301","1036868927173943301")</f>
        <v>1036868927173943301</v>
      </c>
      <c r="F1478" s="4"/>
      <c r="G1478" s="4"/>
      <c r="H1478" s="4"/>
      <c r="I1478" s="10" t="str">
        <f>HYPERLINK("http://twitter.com/download/iphone","Twitter for iPhone")</f>
        <v>Twitter for iPhone</v>
      </c>
      <c r="J1478" s="2">
        <v>1471</v>
      </c>
      <c r="K1478" s="2">
        <v>570</v>
      </c>
      <c r="L1478" s="2">
        <v>20</v>
      </c>
      <c r="M1478" s="2"/>
      <c r="N1478" s="8">
        <v>41553.447638888887</v>
      </c>
      <c r="O1478" s="4" t="s">
        <v>2338</v>
      </c>
      <c r="P1478" s="3" t="s">
        <v>11464</v>
      </c>
      <c r="Q1478" s="4"/>
      <c r="R1478" s="4"/>
      <c r="S1478" s="9" t="str">
        <f>HYPERLINK("https://pbs.twimg.com/profile_images/1032367972508225536/di44VPH4.jpg","View")</f>
        <v>View</v>
      </c>
    </row>
    <row r="1479" spans="1:19" ht="40">
      <c r="A1479" s="8">
        <v>43347.471759259264</v>
      </c>
      <c r="B1479" s="11" t="str">
        <f>HYPERLINK("https://twitter.com/pooriast","@pooriast")</f>
        <v>@pooriast</v>
      </c>
      <c r="C1479" s="6" t="s">
        <v>10943</v>
      </c>
      <c r="D1479" s="5" t="s">
        <v>12981</v>
      </c>
      <c r="E1479" s="9" t="str">
        <f>HYPERLINK("https://twitter.com/pooriast/status/1036868797267959808","1036868797267959808")</f>
        <v>1036868797267959808</v>
      </c>
      <c r="F1479" s="4"/>
      <c r="G1479" s="4"/>
      <c r="H1479" s="4"/>
      <c r="I1479" s="10" t="str">
        <f>HYPERLINK("http://twitter.com/download/android","Twitter for Android")</f>
        <v>Twitter for Android</v>
      </c>
      <c r="J1479" s="2">
        <v>14025</v>
      </c>
      <c r="K1479" s="2">
        <v>2526</v>
      </c>
      <c r="L1479" s="2">
        <v>247</v>
      </c>
      <c r="M1479" s="2"/>
      <c r="N1479" s="8">
        <v>41144.852407407408</v>
      </c>
      <c r="O1479" s="4"/>
      <c r="P1479" s="3" t="s">
        <v>10941</v>
      </c>
      <c r="Q1479" s="10" t="s">
        <v>10940</v>
      </c>
      <c r="R1479" s="4"/>
      <c r="S1479" s="9" t="str">
        <f>HYPERLINK("https://pbs.twimg.com/profile_images/1032936822068989952/kp-yDE1v.jpg","View")</f>
        <v>View</v>
      </c>
    </row>
    <row r="1480" spans="1:19" ht="30">
      <c r="A1480" s="8">
        <v>43347.471226851849</v>
      </c>
      <c r="B1480" s="11" t="str">
        <f>HYPERLINK("https://twitter.com/suelasuz","@suelasuz")</f>
        <v>@suelasuz</v>
      </c>
      <c r="C1480" s="6" t="s">
        <v>11466</v>
      </c>
      <c r="D1480" s="5" t="s">
        <v>12980</v>
      </c>
      <c r="E1480" s="9" t="str">
        <f>HYPERLINK("https://twitter.com/suelasuz/status/1036868605797912576","1036868605797912576")</f>
        <v>1036868605797912576</v>
      </c>
      <c r="F1480" s="4"/>
      <c r="G1480" s="4"/>
      <c r="H1480" s="4"/>
      <c r="I1480" s="10" t="str">
        <f>HYPERLINK("http://twitter.com/download/iphone","Twitter for iPhone")</f>
        <v>Twitter for iPhone</v>
      </c>
      <c r="J1480" s="2">
        <v>1470</v>
      </c>
      <c r="K1480" s="2">
        <v>570</v>
      </c>
      <c r="L1480" s="2">
        <v>20</v>
      </c>
      <c r="M1480" s="2"/>
      <c r="N1480" s="8">
        <v>41553.447638888887</v>
      </c>
      <c r="O1480" s="4" t="s">
        <v>2338</v>
      </c>
      <c r="P1480" s="3" t="s">
        <v>11464</v>
      </c>
      <c r="Q1480" s="4"/>
      <c r="R1480" s="4"/>
      <c r="S1480" s="9" t="str">
        <f>HYPERLINK("https://pbs.twimg.com/profile_images/1032367972508225536/di44VPH4.jpg","View")</f>
        <v>View</v>
      </c>
    </row>
    <row r="1481" spans="1:19" ht="30">
      <c r="A1481" s="8">
        <v>43347.47047453704</v>
      </c>
      <c r="B1481" s="11" t="str">
        <f>HYPERLINK("https://twitter.com/mim_taa","@mim_taa")</f>
        <v>@mim_taa</v>
      </c>
      <c r="C1481" s="6" t="s">
        <v>12979</v>
      </c>
      <c r="D1481" s="5" t="s">
        <v>12978</v>
      </c>
      <c r="E1481" s="9" t="str">
        <f>HYPERLINK("https://twitter.com/mim_taa/status/1036868334074118149","1036868334074118149")</f>
        <v>1036868334074118149</v>
      </c>
      <c r="F1481" s="4"/>
      <c r="G1481" s="4"/>
      <c r="H1481" s="4"/>
      <c r="I1481" s="10" t="str">
        <f>HYPERLINK("http://twitter.com/download/android","Twitter for Android")</f>
        <v>Twitter for Android</v>
      </c>
      <c r="J1481" s="2">
        <v>932</v>
      </c>
      <c r="K1481" s="2">
        <v>977</v>
      </c>
      <c r="L1481" s="2">
        <v>2</v>
      </c>
      <c r="M1481" s="2"/>
      <c r="N1481" s="8">
        <v>43202.456875000003</v>
      </c>
      <c r="O1481" s="4" t="s">
        <v>12977</v>
      </c>
      <c r="P1481" s="3" t="s">
        <v>12976</v>
      </c>
      <c r="Q1481" s="4"/>
      <c r="R1481" s="4"/>
      <c r="S1481" s="9" t="str">
        <f>HYPERLINK("https://pbs.twimg.com/profile_images/1031935703935057920/2uC_7QnY.jpg","View")</f>
        <v>View</v>
      </c>
    </row>
    <row r="1482" spans="1:19" ht="12.5">
      <c r="A1482" s="8">
        <v>43347.470208333332</v>
      </c>
      <c r="B1482" s="11" t="str">
        <f>HYPERLINK("https://twitter.com/Shayaniism","@Shayaniism")</f>
        <v>@Shayaniism</v>
      </c>
      <c r="C1482" s="6" t="s">
        <v>12975</v>
      </c>
      <c r="D1482" s="5" t="s">
        <v>12974</v>
      </c>
      <c r="E1482" s="9" t="str">
        <f>HYPERLINK("https://twitter.com/Shayaniism/status/1036868239106691072","1036868239106691072")</f>
        <v>1036868239106691072</v>
      </c>
      <c r="F1482" s="4"/>
      <c r="G1482" s="4"/>
      <c r="H1482" s="4"/>
      <c r="I1482" s="10" t="str">
        <f>HYPERLINK("http://twitter.com/download/iphone","Twitter for iPhone")</f>
        <v>Twitter for iPhone</v>
      </c>
      <c r="J1482" s="2">
        <v>273</v>
      </c>
      <c r="K1482" s="2">
        <v>19</v>
      </c>
      <c r="L1482" s="2">
        <v>1</v>
      </c>
      <c r="M1482" s="2"/>
      <c r="N1482" s="8">
        <v>41927.709780092591</v>
      </c>
      <c r="O1482" s="4" t="s">
        <v>460</v>
      </c>
      <c r="P1482" s="3" t="s">
        <v>12973</v>
      </c>
      <c r="Q1482" s="4"/>
      <c r="R1482" s="4"/>
      <c r="S1482" s="9" t="str">
        <f>HYPERLINK("https://pbs.twimg.com/profile_images/873130844134801410/rq8DSvQ0.jpg","View")</f>
        <v>View</v>
      </c>
    </row>
    <row r="1483" spans="1:19" ht="30">
      <c r="A1483" s="8">
        <v>43347.470069444447</v>
      </c>
      <c r="B1483" s="11" t="str">
        <f>HYPERLINK("https://twitter.com/mim_azad68","@mim_azad68")</f>
        <v>@mim_azad68</v>
      </c>
      <c r="C1483" s="6" t="s">
        <v>12972</v>
      </c>
      <c r="D1483" s="5" t="s">
        <v>12971</v>
      </c>
      <c r="E1483" s="9" t="str">
        <f>HYPERLINK("https://twitter.com/mim_azad68/status/1036868187109900288","1036868187109900288")</f>
        <v>1036868187109900288</v>
      </c>
      <c r="F1483" s="4"/>
      <c r="G1483" s="4"/>
      <c r="H1483" s="4"/>
      <c r="I1483" s="10" t="str">
        <f>HYPERLINK("http://twitter.com","Twitter Web Client")</f>
        <v>Twitter Web Client</v>
      </c>
      <c r="J1483" s="2">
        <v>3381</v>
      </c>
      <c r="K1483" s="2">
        <v>4456</v>
      </c>
      <c r="L1483" s="2">
        <v>4</v>
      </c>
      <c r="M1483" s="2"/>
      <c r="N1483" s="8">
        <v>42365.335138888884</v>
      </c>
      <c r="O1483" s="4" t="s">
        <v>17</v>
      </c>
      <c r="P1483" s="3" t="s">
        <v>12970</v>
      </c>
      <c r="Q1483" s="10" t="s">
        <v>12969</v>
      </c>
      <c r="R1483" s="4"/>
      <c r="S1483" s="9" t="str">
        <f>HYPERLINK("https://pbs.twimg.com/profile_images/1031842174470639616/4fbJ2mQW.jpg","View")</f>
        <v>View</v>
      </c>
    </row>
    <row r="1484" spans="1:19" ht="20">
      <c r="A1484" s="8">
        <v>43347.46912037037</v>
      </c>
      <c r="B1484" s="11" t="str">
        <f>HYPERLINK("https://twitter.com/Molaei4","@Molaei4")</f>
        <v>@Molaei4</v>
      </c>
      <c r="C1484" s="6" t="s">
        <v>9652</v>
      </c>
      <c r="D1484" s="5" t="s">
        <v>12968</v>
      </c>
      <c r="E1484" s="9" t="str">
        <f>HYPERLINK("https://twitter.com/Molaei4/status/1036867842321403904","1036867842321403904")</f>
        <v>1036867842321403904</v>
      </c>
      <c r="F1484" s="4"/>
      <c r="G1484" s="4"/>
      <c r="H1484" s="4"/>
      <c r="I1484" s="10" t="str">
        <f>HYPERLINK("http://twitter.com/download/android","Twitter for Android")</f>
        <v>Twitter for Android</v>
      </c>
      <c r="J1484" s="2">
        <v>1136</v>
      </c>
      <c r="K1484" s="2">
        <v>1774</v>
      </c>
      <c r="L1484" s="2">
        <v>2</v>
      </c>
      <c r="M1484" s="2"/>
      <c r="N1484" s="8">
        <v>43112.366296296299</v>
      </c>
      <c r="O1484" s="4"/>
      <c r="P1484" s="3" t="s">
        <v>9649</v>
      </c>
      <c r="Q1484" s="4"/>
      <c r="R1484" s="4"/>
      <c r="S1484" s="9" t="str">
        <f>HYPERLINK("https://pbs.twimg.com/profile_images/1020967384465756160/67n3YVRk.jpg","View")</f>
        <v>View</v>
      </c>
    </row>
    <row r="1485" spans="1:19" ht="20">
      <c r="A1485" s="8">
        <v>43347.46802083333</v>
      </c>
      <c r="B1485" s="11" t="str">
        <f>HYPERLINK("https://twitter.com/mh_keshavarz15","@mh_keshavarz15")</f>
        <v>@mh_keshavarz15</v>
      </c>
      <c r="C1485" s="6" t="s">
        <v>12967</v>
      </c>
      <c r="D1485" s="5" t="s">
        <v>12966</v>
      </c>
      <c r="E1485" s="9" t="str">
        <f>HYPERLINK("https://twitter.com/mh_keshavarz15/status/1036867442956484608","1036867442956484608")</f>
        <v>1036867442956484608</v>
      </c>
      <c r="F1485" s="4"/>
      <c r="G1485" s="4"/>
      <c r="H1485" s="4"/>
      <c r="I1485" s="10" t="str">
        <f>HYPERLINK("http://twitter.com/download/android","Twitter for Android")</f>
        <v>Twitter for Android</v>
      </c>
      <c r="J1485" s="2">
        <v>200</v>
      </c>
      <c r="K1485" s="2">
        <v>185</v>
      </c>
      <c r="L1485" s="2">
        <v>1</v>
      </c>
      <c r="M1485" s="2"/>
      <c r="N1485" s="8">
        <v>43239.685937499999</v>
      </c>
      <c r="O1485" s="4"/>
      <c r="P1485" s="3" t="s">
        <v>12965</v>
      </c>
      <c r="Q1485" s="4"/>
      <c r="R1485" s="4"/>
      <c r="S1485" s="9" t="str">
        <f>HYPERLINK("https://pbs.twimg.com/profile_images/1033804567631290369/AVhMZmqP.jpg","View")</f>
        <v>View</v>
      </c>
    </row>
    <row r="1486" spans="1:19" ht="40">
      <c r="A1486" s="8">
        <v>43347.466064814813</v>
      </c>
      <c r="B1486" s="11" t="str">
        <f>HYPERLINK("https://twitter.com/hossain4700","@hossain4700")</f>
        <v>@hossain4700</v>
      </c>
      <c r="C1486" s="6" t="s">
        <v>12964</v>
      </c>
      <c r="D1486" s="5" t="s">
        <v>12963</v>
      </c>
      <c r="E1486" s="9" t="str">
        <f>HYPERLINK("https://twitter.com/hossain4700/status/1036866736216141824","1036866736216141824")</f>
        <v>1036866736216141824</v>
      </c>
      <c r="F1486" s="4"/>
      <c r="G1486" s="4"/>
      <c r="H1486" s="4"/>
      <c r="I1486" s="10" t="str">
        <f>HYPERLINK("http://twitter.com","Twitter Web Client")</f>
        <v>Twitter Web Client</v>
      </c>
      <c r="J1486" s="2">
        <v>107</v>
      </c>
      <c r="K1486" s="2">
        <v>68</v>
      </c>
      <c r="L1486" s="2">
        <v>0</v>
      </c>
      <c r="M1486" s="2"/>
      <c r="N1486" s="8">
        <v>41937.52542824074</v>
      </c>
      <c r="O1486" s="4" t="s">
        <v>133</v>
      </c>
      <c r="P1486" s="3" t="s">
        <v>12962</v>
      </c>
      <c r="Q1486" s="4"/>
      <c r="R1486" s="4"/>
      <c r="S1486" s="9" t="str">
        <f>HYPERLINK("https://pbs.twimg.com/profile_images/838799953279344640/SdmO7rgY.jpg","View")</f>
        <v>View</v>
      </c>
    </row>
    <row r="1487" spans="1:19" ht="30">
      <c r="A1487" s="8">
        <v>43347.465810185182</v>
      </c>
      <c r="B1487" s="11" t="str">
        <f>HYPERLINK("https://twitter.com/baniadam9492","@baniadam9492")</f>
        <v>@baniadam9492</v>
      </c>
      <c r="C1487" s="6" t="s">
        <v>12961</v>
      </c>
      <c r="D1487" s="5" t="s">
        <v>12960</v>
      </c>
      <c r="E1487" s="9" t="str">
        <f>HYPERLINK("https://twitter.com/baniadam9492/status/1036866643555700737","1036866643555700737")</f>
        <v>1036866643555700737</v>
      </c>
      <c r="F1487" s="4"/>
      <c r="G1487" s="4"/>
      <c r="H1487" s="4"/>
      <c r="I1487" s="10" t="str">
        <f>HYPERLINK("https://github.com/mariotaku/twidere/","Twidere for Android #7")</f>
        <v>Twidere for Android #7</v>
      </c>
      <c r="J1487" s="2">
        <v>164</v>
      </c>
      <c r="K1487" s="2">
        <v>274</v>
      </c>
      <c r="L1487" s="2">
        <v>1</v>
      </c>
      <c r="M1487" s="2"/>
      <c r="N1487" s="8">
        <v>42776.660324074073</v>
      </c>
      <c r="O1487" s="4" t="s">
        <v>324</v>
      </c>
      <c r="P1487" s="3" t="s">
        <v>12959</v>
      </c>
      <c r="Q1487" s="10" t="s">
        <v>12958</v>
      </c>
      <c r="R1487" s="4"/>
      <c r="S1487" s="9" t="str">
        <f>HYPERLINK("https://pbs.twimg.com/profile_images/1007618043696934913/p7aKn-Pe.jpg","View")</f>
        <v>View</v>
      </c>
    </row>
    <row r="1488" spans="1:19" ht="30">
      <c r="A1488" s="8">
        <v>43347.465196759258</v>
      </c>
      <c r="B1488" s="11" t="str">
        <f>HYPERLINK("https://twitter.com/vahidmeh","@vahidmeh")</f>
        <v>@vahidmeh</v>
      </c>
      <c r="C1488" s="6" t="s">
        <v>12957</v>
      </c>
      <c r="D1488" s="5" t="s">
        <v>12956</v>
      </c>
      <c r="E1488" s="9" t="str">
        <f>HYPERLINK("https://twitter.com/vahidmeh/status/1036866419776995328","1036866419776995328")</f>
        <v>1036866419776995328</v>
      </c>
      <c r="F1488" s="4"/>
      <c r="G1488" s="4"/>
      <c r="H1488" s="4"/>
      <c r="I1488" s="10" t="str">
        <f>HYPERLINK("http://twitter.com","Twitter Web Client")</f>
        <v>Twitter Web Client</v>
      </c>
      <c r="J1488" s="2">
        <v>177</v>
      </c>
      <c r="K1488" s="2">
        <v>580</v>
      </c>
      <c r="L1488" s="2">
        <v>0</v>
      </c>
      <c r="M1488" s="2"/>
      <c r="N1488" s="8">
        <v>42708.851979166662</v>
      </c>
      <c r="O1488" s="4"/>
      <c r="P1488" s="3" t="s">
        <v>12955</v>
      </c>
      <c r="Q1488" s="4"/>
      <c r="R1488" s="4"/>
      <c r="S1488" s="9" t="str">
        <f>HYPERLINK("https://pbs.twimg.com/profile_images/1012894307131580417/1AeEcp-c.jpg","View")</f>
        <v>View</v>
      </c>
    </row>
    <row r="1489" spans="1:19" ht="20">
      <c r="A1489" s="8">
        <v>43347.46371527778</v>
      </c>
      <c r="B1489" s="11" t="str">
        <f>HYPERLINK("https://twitter.com/mehdibasa","@mehdibasa")</f>
        <v>@mehdibasa</v>
      </c>
      <c r="C1489" s="6" t="s">
        <v>12954</v>
      </c>
      <c r="D1489" s="5" t="s">
        <v>12953</v>
      </c>
      <c r="E1489" s="9" t="str">
        <f>HYPERLINK("https://twitter.com/mehdibasa/status/1036865885976387584","1036865885976387584")</f>
        <v>1036865885976387584</v>
      </c>
      <c r="F1489" s="4"/>
      <c r="G1489" s="4"/>
      <c r="H1489" s="4"/>
      <c r="I1489" s="10" t="str">
        <f>HYPERLINK("http://twitter.com/download/android","Twitter for Android")</f>
        <v>Twitter for Android</v>
      </c>
      <c r="J1489" s="2">
        <v>90</v>
      </c>
      <c r="K1489" s="2">
        <v>311</v>
      </c>
      <c r="L1489" s="2">
        <v>0</v>
      </c>
      <c r="M1489" s="2"/>
      <c r="N1489" s="8">
        <v>42713.145196759258</v>
      </c>
      <c r="O1489" s="4" t="s">
        <v>34</v>
      </c>
      <c r="P1489" s="3"/>
      <c r="Q1489" s="4"/>
      <c r="R1489" s="4"/>
      <c r="S1489" s="9" t="str">
        <f>HYPERLINK("https://pbs.twimg.com/profile_images/851316060477427712/Y-InM-gs.jpg","View")</f>
        <v>View</v>
      </c>
    </row>
    <row r="1490" spans="1:19" ht="20">
      <c r="A1490" s="8">
        <v>43347.463587962964</v>
      </c>
      <c r="B1490" s="11" t="str">
        <f>HYPERLINK("https://twitter.com/deyakoo","@deyakoo")</f>
        <v>@deyakoo</v>
      </c>
      <c r="C1490" s="6" t="s">
        <v>12952</v>
      </c>
      <c r="D1490" s="5" t="s">
        <v>12951</v>
      </c>
      <c r="E1490" s="9" t="str">
        <f>HYPERLINK("https://twitter.com/deyakoo/status/1036865837033050112","1036865837033050112")</f>
        <v>1036865837033050112</v>
      </c>
      <c r="F1490" s="4"/>
      <c r="G1490" s="4"/>
      <c r="H1490" s="4"/>
      <c r="I1490" s="10" t="str">
        <f>HYPERLINK("http://twitter.com/download/iphone","Twitter for iPhone")</f>
        <v>Twitter for iPhone</v>
      </c>
      <c r="J1490" s="2">
        <v>4603</v>
      </c>
      <c r="K1490" s="2">
        <v>1825</v>
      </c>
      <c r="L1490" s="2">
        <v>3</v>
      </c>
      <c r="M1490" s="2"/>
      <c r="N1490" s="8">
        <v>43001.616215277776</v>
      </c>
      <c r="O1490" s="4"/>
      <c r="P1490" s="3"/>
      <c r="Q1490" s="4"/>
      <c r="R1490" s="4"/>
      <c r="S1490" s="9" t="str">
        <f>HYPERLINK("https://pbs.twimg.com/profile_images/1014479425570787328/ial3hREX.jpg","View")</f>
        <v>View</v>
      </c>
    </row>
    <row r="1491" spans="1:19" ht="40">
      <c r="A1491" s="8">
        <v>43347.462152777778</v>
      </c>
      <c r="B1491" s="11" t="str">
        <f>HYPERLINK("https://twitter.com/Simourgh49","@Simourgh49")</f>
        <v>@Simourgh49</v>
      </c>
      <c r="C1491" s="6" t="s">
        <v>12950</v>
      </c>
      <c r="D1491" s="5" t="s">
        <v>12949</v>
      </c>
      <c r="E1491" s="9" t="str">
        <f>HYPERLINK("https://twitter.com/Simourgh49/status/1036865316993859585","1036865316993859585")</f>
        <v>1036865316993859585</v>
      </c>
      <c r="F1491" s="4"/>
      <c r="G1491" s="4"/>
      <c r="H1491" s="4"/>
      <c r="I1491" s="10" t="str">
        <f>HYPERLINK("http://twitter.com","Twitter Web Client")</f>
        <v>Twitter Web Client</v>
      </c>
      <c r="J1491" s="2">
        <v>248</v>
      </c>
      <c r="K1491" s="2">
        <v>320</v>
      </c>
      <c r="L1491" s="2">
        <v>0</v>
      </c>
      <c r="M1491" s="2"/>
      <c r="N1491" s="8">
        <v>42611.69253472222</v>
      </c>
      <c r="O1491" s="4"/>
      <c r="P1491" s="3" t="s">
        <v>12948</v>
      </c>
      <c r="Q1491" s="4"/>
      <c r="R1491" s="4"/>
      <c r="S1491" s="9" t="str">
        <f>HYPERLINK("https://pbs.twimg.com/profile_images/947741257148887045/wsHWDiIx.jpg","View")</f>
        <v>View</v>
      </c>
    </row>
    <row r="1492" spans="1:19" ht="40">
      <c r="A1492" s="8">
        <v>43347.461921296301</v>
      </c>
      <c r="B1492" s="11" t="str">
        <f>HYPERLINK("https://twitter.com/hoseinzinloo","@hoseinzinloo")</f>
        <v>@hoseinzinloo</v>
      </c>
      <c r="C1492" s="6" t="s">
        <v>3058</v>
      </c>
      <c r="D1492" s="5" t="s">
        <v>12947</v>
      </c>
      <c r="E1492" s="9" t="str">
        <f>HYPERLINK("https://twitter.com/hoseinzinloo/status/1036865234051289088","1036865234051289088")</f>
        <v>1036865234051289088</v>
      </c>
      <c r="F1492" s="4"/>
      <c r="G1492" s="4"/>
      <c r="H1492" s="4"/>
      <c r="I1492" s="10" t="str">
        <f>HYPERLINK("http://twitter.com","Twitter Web Client")</f>
        <v>Twitter Web Client</v>
      </c>
      <c r="J1492" s="2">
        <v>341</v>
      </c>
      <c r="K1492" s="2">
        <v>795</v>
      </c>
      <c r="L1492" s="2">
        <v>1</v>
      </c>
      <c r="M1492" s="2"/>
      <c r="N1492" s="8">
        <v>41605.439710648148</v>
      </c>
      <c r="O1492" s="4" t="s">
        <v>1415</v>
      </c>
      <c r="P1492" s="3" t="s">
        <v>3056</v>
      </c>
      <c r="Q1492" s="10" t="s">
        <v>3055</v>
      </c>
      <c r="R1492" s="4"/>
      <c r="S1492" s="9" t="str">
        <f>HYPERLINK("https://pbs.twimg.com/profile_images/981152228831580160/xKsxzrZw.jpg","View")</f>
        <v>View</v>
      </c>
    </row>
    <row r="1493" spans="1:19" ht="40">
      <c r="A1493" s="8">
        <v>43347.461678240739</v>
      </c>
      <c r="B1493" s="11" t="str">
        <f>HYPERLINK("https://twitter.com/amirho3in_r","@amirho3in_r")</f>
        <v>@amirho3in_r</v>
      </c>
      <c r="C1493" s="6" t="s">
        <v>12946</v>
      </c>
      <c r="D1493" s="5" t="s">
        <v>12945</v>
      </c>
      <c r="E1493" s="9" t="str">
        <f>HYPERLINK("https://twitter.com/amirho3in_r/status/1036865145367085057","1036865145367085057")</f>
        <v>1036865145367085057</v>
      </c>
      <c r="F1493" s="4"/>
      <c r="G1493" s="4"/>
      <c r="H1493" s="4"/>
      <c r="I1493" s="10" t="str">
        <f>HYPERLINK("http://twitter.com/download/android","Twitter for Android")</f>
        <v>Twitter for Android</v>
      </c>
      <c r="J1493" s="2">
        <v>2013</v>
      </c>
      <c r="K1493" s="2">
        <v>1855</v>
      </c>
      <c r="L1493" s="2">
        <v>2</v>
      </c>
      <c r="M1493" s="2"/>
      <c r="N1493" s="8">
        <v>42861.50403935185</v>
      </c>
      <c r="O1493" s="4" t="s">
        <v>12944</v>
      </c>
      <c r="P1493" s="3" t="s">
        <v>12943</v>
      </c>
      <c r="Q1493" s="4"/>
      <c r="R1493" s="4"/>
      <c r="S1493" s="9" t="str">
        <f>HYPERLINK("https://pbs.twimg.com/profile_images/1003769521419800576/dMaHT_p9.jpg","View")</f>
        <v>View</v>
      </c>
    </row>
    <row r="1494" spans="1:19" ht="50">
      <c r="A1494" s="8">
        <v>43347.458831018521</v>
      </c>
      <c r="B1494" s="11" t="str">
        <f>HYPERLINK("https://twitter.com/masoudnoori_f","@masoudnoori_f")</f>
        <v>@masoudnoori_f</v>
      </c>
      <c r="C1494" s="6" t="s">
        <v>12942</v>
      </c>
      <c r="D1494" s="5" t="s">
        <v>12941</v>
      </c>
      <c r="E1494" s="9" t="str">
        <f>HYPERLINK("https://twitter.com/masoudnoori_f/status/1036864115803873280","1036864115803873280")</f>
        <v>1036864115803873280</v>
      </c>
      <c r="F1494" s="10" t="s">
        <v>12940</v>
      </c>
      <c r="G1494" s="4"/>
      <c r="H1494" s="4"/>
      <c r="I1494" s="10" t="str">
        <f>HYPERLINK("http://twitter.com","Twitter Web Client")</f>
        <v>Twitter Web Client</v>
      </c>
      <c r="J1494" s="2">
        <v>608</v>
      </c>
      <c r="K1494" s="2">
        <v>77</v>
      </c>
      <c r="L1494" s="2">
        <v>6</v>
      </c>
      <c r="M1494" s="2"/>
      <c r="N1494" s="8">
        <v>42730.688449074078</v>
      </c>
      <c r="O1494" s="4"/>
      <c r="P1494" s="3" t="s">
        <v>12939</v>
      </c>
      <c r="Q1494" s="4"/>
      <c r="R1494" s="4"/>
      <c r="S1494" s="9" t="str">
        <f>HYPERLINK("https://pbs.twimg.com/profile_images/878518172147691520/XBQea-Wj.jpg","View")</f>
        <v>View</v>
      </c>
    </row>
    <row r="1495" spans="1:19" ht="30">
      <c r="A1495" s="8">
        <v>43347.458553240736</v>
      </c>
      <c r="B1495" s="11" t="str">
        <f>HYPERLINK("https://twitter.com/ilnanews","@ilnanews")</f>
        <v>@ilnanews</v>
      </c>
      <c r="C1495" s="6" t="s">
        <v>6413</v>
      </c>
      <c r="D1495" s="5" t="s">
        <v>12938</v>
      </c>
      <c r="E1495" s="9" t="str">
        <f>HYPERLINK("https://twitter.com/ilnanews/status/1036864012686970880","1036864012686970880")</f>
        <v>1036864012686970880</v>
      </c>
      <c r="F1495" s="10" t="s">
        <v>12937</v>
      </c>
      <c r="G1495" s="10" t="s">
        <v>12936</v>
      </c>
      <c r="H1495" s="4"/>
      <c r="I1495" s="10" t="str">
        <f>HYPERLINK("http://twitter.com/download/android","Twitter for Android")</f>
        <v>Twitter for Android</v>
      </c>
      <c r="J1495" s="2">
        <v>32449</v>
      </c>
      <c r="K1495" s="2">
        <v>67</v>
      </c>
      <c r="L1495" s="2">
        <v>160</v>
      </c>
      <c r="M1495" s="2"/>
      <c r="N1495" s="8">
        <v>42062.024768518517</v>
      </c>
      <c r="O1495" s="4" t="s">
        <v>34</v>
      </c>
      <c r="P1495" s="3" t="s">
        <v>6409</v>
      </c>
      <c r="Q1495" s="10" t="s">
        <v>6408</v>
      </c>
      <c r="R1495" s="4"/>
      <c r="S1495" s="9" t="str">
        <f>HYPERLINK("https://pbs.twimg.com/profile_images/760387216782848000/TS1QyYLo.jpg","View")</f>
        <v>View</v>
      </c>
    </row>
    <row r="1496" spans="1:19" ht="20">
      <c r="A1496" s="8">
        <v>43347.457951388889</v>
      </c>
      <c r="B1496" s="11" t="str">
        <f>HYPERLINK("https://twitter.com/DH6656","@DH6656")</f>
        <v>@DH6656</v>
      </c>
      <c r="C1496" s="6" t="s">
        <v>12935</v>
      </c>
      <c r="D1496" s="5" t="s">
        <v>12934</v>
      </c>
      <c r="E1496" s="9" t="str">
        <f>HYPERLINK("https://twitter.com/DH6656/status/1036863794570514434","1036863794570514434")</f>
        <v>1036863794570514434</v>
      </c>
      <c r="F1496" s="4"/>
      <c r="G1496" s="4"/>
      <c r="H1496" s="4"/>
      <c r="I1496" s="10" t="str">
        <f>HYPERLINK("http://twitter.com/download/iphone","Twitter for iPhone")</f>
        <v>Twitter for iPhone</v>
      </c>
      <c r="J1496" s="2">
        <v>18</v>
      </c>
      <c r="K1496" s="2">
        <v>112</v>
      </c>
      <c r="L1496" s="2">
        <v>0</v>
      </c>
      <c r="M1496" s="2"/>
      <c r="N1496" s="8">
        <v>40931.72383101852</v>
      </c>
      <c r="O1496" s="4"/>
      <c r="P1496" s="3"/>
      <c r="Q1496" s="4"/>
      <c r="R1496" s="4"/>
      <c r="S1496" s="9" t="str">
        <f>HYPERLINK("https://pbs.twimg.com/profile_images/1014130103855575040/34RxAeWw.jpg","View")</f>
        <v>View</v>
      </c>
    </row>
    <row r="1497" spans="1:19" ht="40">
      <c r="A1497" s="8">
        <v>43347.457766203705</v>
      </c>
      <c r="B1497" s="11" t="str">
        <f>HYPERLINK("https://twitter.com/RealSaeedGoud","@RealSaeedGoud")</f>
        <v>@RealSaeedGoud</v>
      </c>
      <c r="C1497" s="6" t="s">
        <v>5454</v>
      </c>
      <c r="D1497" s="5" t="s">
        <v>12933</v>
      </c>
      <c r="E1497" s="9" t="str">
        <f>HYPERLINK("https://twitter.com/RealSaeedGoud/status/1036863726907998209","1036863726907998209")</f>
        <v>1036863726907998209</v>
      </c>
      <c r="F1497" s="4"/>
      <c r="G1497" s="4"/>
      <c r="H1497" s="4"/>
      <c r="I1497" s="10" t="str">
        <f>HYPERLINK("http://twitter.com/download/iphone","Twitter for iPhone")</f>
        <v>Twitter for iPhone</v>
      </c>
      <c r="J1497" s="2">
        <v>352</v>
      </c>
      <c r="K1497" s="2">
        <v>1630</v>
      </c>
      <c r="L1497" s="2">
        <v>5</v>
      </c>
      <c r="M1497" s="2"/>
      <c r="N1497" s="8">
        <v>40990.68545138889</v>
      </c>
      <c r="O1497" s="4" t="s">
        <v>894</v>
      </c>
      <c r="P1497" s="3" t="s">
        <v>5452</v>
      </c>
      <c r="Q1497" s="4"/>
      <c r="R1497" s="4"/>
      <c r="S1497" s="9" t="str">
        <f>HYPERLINK("https://pbs.twimg.com/profile_images/1002969393100460034/CBR5KXVQ.jpg","View")</f>
        <v>View</v>
      </c>
    </row>
    <row r="1498" spans="1:19" ht="20">
      <c r="A1498" s="8">
        <v>43347.457719907412</v>
      </c>
      <c r="B1498" s="11" t="str">
        <f>HYPERLINK("https://twitter.com/22mreza23","@22mreza23")</f>
        <v>@22mreza23</v>
      </c>
      <c r="C1498" s="6" t="s">
        <v>12932</v>
      </c>
      <c r="D1498" s="5" t="s">
        <v>12931</v>
      </c>
      <c r="E1498" s="9" t="str">
        <f>HYPERLINK("https://twitter.com/22mreza23/status/1036863711858892801","1036863711858892801")</f>
        <v>1036863711858892801</v>
      </c>
      <c r="F1498" s="4"/>
      <c r="G1498" s="4"/>
      <c r="H1498" s="4"/>
      <c r="I1498" s="10" t="str">
        <f>HYPERLINK("http://twitter.com/download/android","Twitter for Android")</f>
        <v>Twitter for Android</v>
      </c>
      <c r="J1498" s="2">
        <v>1340</v>
      </c>
      <c r="K1498" s="2">
        <v>1383</v>
      </c>
      <c r="L1498" s="2">
        <v>6</v>
      </c>
      <c r="M1498" s="2"/>
      <c r="N1498" s="8">
        <v>43028.997118055559</v>
      </c>
      <c r="O1498" s="4" t="s">
        <v>17</v>
      </c>
      <c r="P1498" s="3" t="s">
        <v>12930</v>
      </c>
      <c r="Q1498" s="4"/>
      <c r="R1498" s="4"/>
      <c r="S1498" s="9" t="str">
        <f>HYPERLINK("https://pbs.twimg.com/profile_images/975435146257190912/MRJfc4bp.jpg","View")</f>
        <v>View</v>
      </c>
    </row>
    <row r="1499" spans="1:19" ht="40">
      <c r="A1499" s="8">
        <v>43347.457395833335</v>
      </c>
      <c r="B1499" s="11" t="str">
        <f>HYPERLINK("https://twitter.com/basirat__afzaei","@basirat__afzaei")</f>
        <v>@basirat__afzaei</v>
      </c>
      <c r="C1499" s="6" t="s">
        <v>12929</v>
      </c>
      <c r="D1499" s="5" t="s">
        <v>12928</v>
      </c>
      <c r="E1499" s="9" t="str">
        <f>HYPERLINK("https://twitter.com/basirat__afzaei/status/1036863593726144512","1036863593726144512")</f>
        <v>1036863593726144512</v>
      </c>
      <c r="F1499" s="4"/>
      <c r="G1499" s="10" t="s">
        <v>12927</v>
      </c>
      <c r="H1499" s="4"/>
      <c r="I1499" s="10" t="str">
        <f>HYPERLINK("http://twitter.com/download/android","Twitter for Android")</f>
        <v>Twitter for Android</v>
      </c>
      <c r="J1499" s="2">
        <v>16</v>
      </c>
      <c r="K1499" s="2">
        <v>1</v>
      </c>
      <c r="L1499" s="2">
        <v>0</v>
      </c>
      <c r="M1499" s="2"/>
      <c r="N1499" s="8">
        <v>43327.918414351851</v>
      </c>
      <c r="O1499" s="4"/>
      <c r="P1499" s="3"/>
      <c r="Q1499" s="4"/>
      <c r="R1499" s="4"/>
      <c r="S1499" s="9" t="str">
        <f>HYPERLINK("https://pbs.twimg.com/profile_images/1029798843393748992/MfoV7M7n.jpg","View")</f>
        <v>View</v>
      </c>
    </row>
    <row r="1500" spans="1:19" ht="12.5">
      <c r="A1500" s="8">
        <v>43347.456585648149</v>
      </c>
      <c r="B1500" s="11" t="str">
        <f>HYPERLINK("https://twitter.com/Marun_1","@Marun_1")</f>
        <v>@Marun_1</v>
      </c>
      <c r="C1500" s="6" t="s">
        <v>12926</v>
      </c>
      <c r="D1500" s="5" t="s">
        <v>12925</v>
      </c>
      <c r="E1500" s="9" t="str">
        <f>HYPERLINK("https://twitter.com/Marun_1/status/1036863299026137088","1036863299026137088")</f>
        <v>1036863299026137088</v>
      </c>
      <c r="F1500" s="4"/>
      <c r="G1500" s="4"/>
      <c r="H1500" s="4"/>
      <c r="I1500" s="10" t="str">
        <f>HYPERLINK("http://twitter.com/download/android","Twitter for Android")</f>
        <v>Twitter for Android</v>
      </c>
      <c r="J1500" s="2">
        <v>136</v>
      </c>
      <c r="K1500" s="2">
        <v>182</v>
      </c>
      <c r="L1500" s="2">
        <v>2</v>
      </c>
      <c r="M1500" s="2"/>
      <c r="N1500" s="8">
        <v>39957.826157407406</v>
      </c>
      <c r="O1500" s="4"/>
      <c r="P1500" s="3"/>
      <c r="Q1500" s="4"/>
      <c r="R1500" s="4"/>
      <c r="S1500" s="9" t="str">
        <f>HYPERLINK("https://pbs.twimg.com/profile_images/925427552893767680/2eph-mIb.jpg","View")</f>
        <v>View</v>
      </c>
    </row>
    <row r="1501" spans="1:19" ht="20">
      <c r="A1501" s="8">
        <v>43347.455567129626</v>
      </c>
      <c r="B1501" s="11" t="str">
        <f>HYPERLINK("https://twitter.com/javadnazeri1","@javadnazeri1")</f>
        <v>@javadnazeri1</v>
      </c>
      <c r="C1501" s="6" t="s">
        <v>4375</v>
      </c>
      <c r="D1501" s="5" t="s">
        <v>12924</v>
      </c>
      <c r="E1501" s="9" t="str">
        <f>HYPERLINK("https://twitter.com/javadnazeri1/status/1036862931403649024","1036862931403649024")</f>
        <v>1036862931403649024</v>
      </c>
      <c r="F1501" s="4"/>
      <c r="G1501" s="4"/>
      <c r="H1501" s="4"/>
      <c r="I1501" s="10" t="str">
        <f>HYPERLINK("http://twitter.com/download/android","Twitter for Android")</f>
        <v>Twitter for Android</v>
      </c>
      <c r="J1501" s="2">
        <v>199</v>
      </c>
      <c r="K1501" s="2">
        <v>169</v>
      </c>
      <c r="L1501" s="2">
        <v>0</v>
      </c>
      <c r="M1501" s="2"/>
      <c r="N1501" s="8">
        <v>42828.677245370374</v>
      </c>
      <c r="O1501" s="4" t="s">
        <v>17</v>
      </c>
      <c r="P1501" s="3" t="s">
        <v>4373</v>
      </c>
      <c r="Q1501" s="4"/>
      <c r="R1501" s="4"/>
      <c r="S1501" s="9" t="str">
        <f>HYPERLINK("https://pbs.twimg.com/profile_images/1015553730987610113/5I3Il-3T.jpg","View")</f>
        <v>View</v>
      </c>
    </row>
    <row r="1502" spans="1:19" ht="20">
      <c r="A1502" s="8">
        <v>43347.454016203701</v>
      </c>
      <c r="B1502" s="11" t="str">
        <f>HYPERLINK("https://twitter.com/OmidPouraziz","@OmidPouraziz")</f>
        <v>@OmidPouraziz</v>
      </c>
      <c r="C1502" s="6" t="s">
        <v>4605</v>
      </c>
      <c r="D1502" s="5" t="s">
        <v>12923</v>
      </c>
      <c r="E1502" s="9" t="str">
        <f>HYPERLINK("https://twitter.com/OmidPouraziz/status/1036862370419826693","1036862370419826693")</f>
        <v>1036862370419826693</v>
      </c>
      <c r="F1502" s="4"/>
      <c r="G1502" s="4"/>
      <c r="H1502" s="4"/>
      <c r="I1502" s="10" t="str">
        <f>HYPERLINK("http://twitter.com/download/iphone","Twitter for iPhone")</f>
        <v>Twitter for iPhone</v>
      </c>
      <c r="J1502" s="2">
        <v>171</v>
      </c>
      <c r="K1502" s="2">
        <v>668</v>
      </c>
      <c r="L1502" s="2">
        <v>1</v>
      </c>
      <c r="M1502" s="2"/>
      <c r="N1502" s="8">
        <v>41593.060752314814</v>
      </c>
      <c r="O1502" s="4" t="s">
        <v>4603</v>
      </c>
      <c r="P1502" s="3" t="s">
        <v>11708</v>
      </c>
      <c r="Q1502" s="10" t="s">
        <v>4601</v>
      </c>
      <c r="R1502" s="4"/>
      <c r="S1502" s="9" t="str">
        <f>HYPERLINK("https://pbs.twimg.com/profile_images/1007528872282378240/IzFlT-Cm.jpg","View")</f>
        <v>View</v>
      </c>
    </row>
    <row r="1503" spans="1:19" ht="30">
      <c r="A1503" s="8">
        <v>43347.453981481478</v>
      </c>
      <c r="B1503" s="11" t="str">
        <f>HYPERLINK("https://twitter.com/masoudi_reza","@masoudi_reza")</f>
        <v>@masoudi_reza</v>
      </c>
      <c r="C1503" s="6" t="s">
        <v>12922</v>
      </c>
      <c r="D1503" s="5" t="s">
        <v>12921</v>
      </c>
      <c r="E1503" s="9" t="str">
        <f>HYPERLINK("https://twitter.com/masoudi_reza/status/1036862358147293185","1036862358147293185")</f>
        <v>1036862358147293185</v>
      </c>
      <c r="F1503" s="4"/>
      <c r="G1503" s="4"/>
      <c r="H1503" s="4"/>
      <c r="I1503" s="10" t="str">
        <f>HYPERLINK("http://twitter.com/download/android","Twitter for Android")</f>
        <v>Twitter for Android</v>
      </c>
      <c r="J1503" s="2">
        <v>33</v>
      </c>
      <c r="K1503" s="2">
        <v>88</v>
      </c>
      <c r="L1503" s="2">
        <v>0</v>
      </c>
      <c r="M1503" s="2"/>
      <c r="N1503" s="8">
        <v>41556.666655092595</v>
      </c>
      <c r="O1503" s="4" t="s">
        <v>324</v>
      </c>
      <c r="P1503" s="3" t="s">
        <v>12920</v>
      </c>
      <c r="Q1503" s="10" t="s">
        <v>12919</v>
      </c>
      <c r="R1503" s="4"/>
      <c r="S1503" s="9" t="str">
        <f>HYPERLINK("https://pbs.twimg.com/profile_images/950805106173165569/wDfMVbyi.jpg","View")</f>
        <v>View</v>
      </c>
    </row>
    <row r="1504" spans="1:19" ht="40">
      <c r="A1504" s="8">
        <v>43347.452743055561</v>
      </c>
      <c r="B1504" s="11" t="str">
        <f>HYPERLINK("https://twitter.com/CharliyChaplin","@CharliyChaplin")</f>
        <v>@CharliyChaplin</v>
      </c>
      <c r="C1504" s="6" t="s">
        <v>3314</v>
      </c>
      <c r="D1504" s="5" t="s">
        <v>12918</v>
      </c>
      <c r="E1504" s="9" t="str">
        <f>HYPERLINK("https://twitter.com/CharliyChaplin/status/1036861906974212097","1036861906974212097")</f>
        <v>1036861906974212097</v>
      </c>
      <c r="F1504" s="4"/>
      <c r="G1504" s="4"/>
      <c r="H1504" s="4"/>
      <c r="I1504" s="10" t="str">
        <f>HYPERLINK("http://twitter.com","Twitter Web Client")</f>
        <v>Twitter Web Client</v>
      </c>
      <c r="J1504" s="2">
        <v>3118</v>
      </c>
      <c r="K1504" s="2">
        <v>3970</v>
      </c>
      <c r="L1504" s="2">
        <v>1</v>
      </c>
      <c r="M1504" s="2"/>
      <c r="N1504" s="8">
        <v>43199.680312500001</v>
      </c>
      <c r="O1504" s="4"/>
      <c r="P1504" s="3" t="s">
        <v>3312</v>
      </c>
      <c r="Q1504" s="4"/>
      <c r="R1504" s="4"/>
      <c r="S1504" s="9" t="str">
        <f>HYPERLINK("https://pbs.twimg.com/profile_images/984369011818422272/tQTYnTGo.jpg","View")</f>
        <v>View</v>
      </c>
    </row>
    <row r="1505" spans="1:19" ht="20">
      <c r="A1505" s="8">
        <v>43347.452499999999</v>
      </c>
      <c r="B1505" s="11" t="str">
        <f>HYPERLINK("https://twitter.com/emad__av","@emad__av")</f>
        <v>@emad__av</v>
      </c>
      <c r="C1505" s="6" t="s">
        <v>12917</v>
      </c>
      <c r="D1505" s="5" t="s">
        <v>12916</v>
      </c>
      <c r="E1505" s="9" t="str">
        <f>HYPERLINK("https://twitter.com/emad__av/status/1036861820739436545","1036861820739436545")</f>
        <v>1036861820739436545</v>
      </c>
      <c r="F1505" s="4"/>
      <c r="G1505" s="4"/>
      <c r="H1505" s="4"/>
      <c r="I1505" s="10" t="str">
        <f>HYPERLINK("http://twitter.com/download/android","Twitter for Android")</f>
        <v>Twitter for Android</v>
      </c>
      <c r="J1505" s="2">
        <v>0</v>
      </c>
      <c r="K1505" s="2">
        <v>5</v>
      </c>
      <c r="L1505" s="2">
        <v>0</v>
      </c>
      <c r="M1505" s="2"/>
      <c r="N1505" s="8">
        <v>43344.374479166669</v>
      </c>
      <c r="O1505" s="4" t="s">
        <v>17</v>
      </c>
      <c r="P1505" s="3" t="s">
        <v>12915</v>
      </c>
      <c r="Q1505" s="4"/>
      <c r="R1505" s="4"/>
      <c r="S1505" s="9" t="str">
        <f>HYPERLINK("https://pbs.twimg.com/profile_images/1035750068756901889/qWec6moN.jpg","View")</f>
        <v>View</v>
      </c>
    </row>
    <row r="1506" spans="1:19" ht="40">
      <c r="A1506" s="8">
        <v>43347.451712962968</v>
      </c>
      <c r="B1506" s="11" t="str">
        <f>HYPERLINK("https://twitter.com/mardeparsi","@mardeparsi")</f>
        <v>@mardeparsi</v>
      </c>
      <c r="C1506" s="6" t="s">
        <v>12914</v>
      </c>
      <c r="D1506" s="5" t="s">
        <v>12913</v>
      </c>
      <c r="E1506" s="9" t="str">
        <f>HYPERLINK("https://twitter.com/mardeparsi/status/1036861535749070849","1036861535749070849")</f>
        <v>1036861535749070849</v>
      </c>
      <c r="F1506" s="4"/>
      <c r="G1506" s="10" t="s">
        <v>12912</v>
      </c>
      <c r="H1506" s="4"/>
      <c r="I1506" s="10" t="str">
        <f>HYPERLINK("http://twitter.com/download/android","Twitter for Android")</f>
        <v>Twitter for Android</v>
      </c>
      <c r="J1506" s="2">
        <v>50</v>
      </c>
      <c r="K1506" s="2">
        <v>111</v>
      </c>
      <c r="L1506" s="2">
        <v>0</v>
      </c>
      <c r="M1506" s="2"/>
      <c r="N1506" s="8">
        <v>40743.908379629633</v>
      </c>
      <c r="O1506" s="4" t="s">
        <v>12911</v>
      </c>
      <c r="P1506" s="3" t="s">
        <v>12910</v>
      </c>
      <c r="Q1506" s="10" t="s">
        <v>12909</v>
      </c>
      <c r="R1506" s="4"/>
      <c r="S1506" s="9" t="str">
        <f>HYPERLINK("https://pbs.twimg.com/profile_images/983604423355183104/4gUpUPi0.jpg","View")</f>
        <v>View</v>
      </c>
    </row>
    <row r="1507" spans="1:19" ht="30">
      <c r="A1507" s="8">
        <v>43347.450185185182</v>
      </c>
      <c r="B1507" s="11" t="str">
        <f>HYPERLINK("https://twitter.com/aa66871715","@aa66871715")</f>
        <v>@aa66871715</v>
      </c>
      <c r="C1507" s="6" t="s">
        <v>9042</v>
      </c>
      <c r="D1507" s="5" t="s">
        <v>12908</v>
      </c>
      <c r="E1507" s="9" t="str">
        <f>HYPERLINK("https://twitter.com/aa66871715/status/1036860982436364289","1036860982436364289")</f>
        <v>1036860982436364289</v>
      </c>
      <c r="F1507" s="4"/>
      <c r="G1507" s="4"/>
      <c r="H1507" s="4"/>
      <c r="I1507" s="10" t="str">
        <f>HYPERLINK("http://twitter.com/download/iphone","Twitter for iPhone")</f>
        <v>Twitter for iPhone</v>
      </c>
      <c r="J1507" s="2">
        <v>260</v>
      </c>
      <c r="K1507" s="2">
        <v>437</v>
      </c>
      <c r="L1507" s="2">
        <v>0</v>
      </c>
      <c r="M1507" s="2"/>
      <c r="N1507" s="8">
        <v>42455.694398148145</v>
      </c>
      <c r="O1507" s="4" t="s">
        <v>9039</v>
      </c>
      <c r="P1507" s="3" t="s">
        <v>9038</v>
      </c>
      <c r="Q1507" s="4"/>
      <c r="R1507" s="4"/>
      <c r="S1507" s="9" t="str">
        <f>HYPERLINK("https://pbs.twimg.com/profile_images/899917041351766016/rdpYIlSp.jpg","View")</f>
        <v>View</v>
      </c>
    </row>
    <row r="1508" spans="1:19" ht="40">
      <c r="A1508" s="8">
        <v>43347.449791666666</v>
      </c>
      <c r="B1508" s="11" t="str">
        <f>HYPERLINK("https://twitter.com/tG9wnjVdQ6GVQ8L","@tG9wnjVdQ6GVQ8L")</f>
        <v>@tG9wnjVdQ6GVQ8L</v>
      </c>
      <c r="C1508" s="6" t="s">
        <v>3607</v>
      </c>
      <c r="D1508" s="5" t="s">
        <v>12907</v>
      </c>
      <c r="E1508" s="9" t="str">
        <f>HYPERLINK("https://twitter.com/tG9wnjVdQ6GVQ8L/status/1036860838269861890","1036860838269861890")</f>
        <v>1036860838269861890</v>
      </c>
      <c r="F1508" s="4"/>
      <c r="G1508" s="4"/>
      <c r="H1508" s="4"/>
      <c r="I1508" s="10" t="str">
        <f>HYPERLINK("http://twitter.com/download/android","Twitter for Android")</f>
        <v>Twitter for Android</v>
      </c>
      <c r="J1508" s="2">
        <v>2259</v>
      </c>
      <c r="K1508" s="2">
        <v>4103</v>
      </c>
      <c r="L1508" s="2">
        <v>0</v>
      </c>
      <c r="M1508" s="2"/>
      <c r="N1508" s="8">
        <v>43261.000208333338</v>
      </c>
      <c r="O1508" s="4"/>
      <c r="P1508" s="3" t="s">
        <v>3665</v>
      </c>
      <c r="Q1508" s="4"/>
      <c r="R1508" s="4"/>
      <c r="S1508" s="9" t="str">
        <f>HYPERLINK("https://pbs.twimg.com/profile_images/1007545992835686400/ROiyS3R2.jpg","View")</f>
        <v>View</v>
      </c>
    </row>
    <row r="1509" spans="1:19" ht="30">
      <c r="A1509" s="8">
        <v>43347.449583333335</v>
      </c>
      <c r="B1509" s="11" t="str">
        <f>HYPERLINK("https://twitter.com/almase_khaki","@almase_khaki")</f>
        <v>@almase_khaki</v>
      </c>
      <c r="C1509" s="6" t="s">
        <v>12906</v>
      </c>
      <c r="D1509" s="5" t="s">
        <v>12905</v>
      </c>
      <c r="E1509" s="9" t="str">
        <f>HYPERLINK("https://twitter.com/almase_khaki/status/1036860764676677633","1036860764676677633")</f>
        <v>1036860764676677633</v>
      </c>
      <c r="F1509" s="4"/>
      <c r="G1509" s="4"/>
      <c r="H1509" s="4"/>
      <c r="I1509" s="10" t="str">
        <f>HYPERLINK("http://twitter.com/download/android","Twitter for Android")</f>
        <v>Twitter for Android</v>
      </c>
      <c r="J1509" s="2">
        <v>3476</v>
      </c>
      <c r="K1509" s="2">
        <v>4996</v>
      </c>
      <c r="L1509" s="2">
        <v>3</v>
      </c>
      <c r="M1509" s="2"/>
      <c r="N1509" s="8">
        <v>43110.58997685185</v>
      </c>
      <c r="O1509" s="4" t="s">
        <v>12904</v>
      </c>
      <c r="P1509" s="3" t="s">
        <v>12903</v>
      </c>
      <c r="Q1509" s="4"/>
      <c r="R1509" s="4"/>
      <c r="S1509" s="9" t="str">
        <f>HYPERLINK("https://pbs.twimg.com/profile_images/958092586278899712/mwoNaDyr.jpg","View")</f>
        <v>View</v>
      </c>
    </row>
    <row r="1510" spans="1:19" ht="20">
      <c r="A1510" s="8">
        <v>43347.445567129631</v>
      </c>
      <c r="B1510" s="11" t="str">
        <f>HYPERLINK("https://twitter.com/Entekhab_News","@Entekhab_News")</f>
        <v>@Entekhab_News</v>
      </c>
      <c r="C1510" s="6" t="s">
        <v>519</v>
      </c>
      <c r="D1510" s="5" t="s">
        <v>12902</v>
      </c>
      <c r="E1510" s="9" t="str">
        <f>HYPERLINK("https://twitter.com/Entekhab_News/status/1036859307420278784","1036859307420278784")</f>
        <v>1036859307420278784</v>
      </c>
      <c r="F1510" s="4"/>
      <c r="G1510" s="10" t="s">
        <v>12901</v>
      </c>
      <c r="H1510" s="4"/>
      <c r="I1510" s="10" t="str">
        <f>HYPERLINK("http://twitter.com/download/android","Twitter for Android")</f>
        <v>Twitter for Android</v>
      </c>
      <c r="J1510" s="2">
        <v>16203</v>
      </c>
      <c r="K1510" s="2">
        <v>0</v>
      </c>
      <c r="L1510" s="2">
        <v>152</v>
      </c>
      <c r="M1510" s="2"/>
      <c r="N1510" s="8">
        <v>41846.90483796296</v>
      </c>
      <c r="O1510" s="4" t="s">
        <v>244</v>
      </c>
      <c r="P1510" s="3" t="s">
        <v>517</v>
      </c>
      <c r="Q1510" s="10" t="s">
        <v>516</v>
      </c>
      <c r="R1510" s="4"/>
      <c r="S1510" s="9" t="str">
        <f>HYPERLINK("https://pbs.twimg.com/profile_images/840302676332146689/objFI1sw.jpg","View")</f>
        <v>View</v>
      </c>
    </row>
    <row r="1511" spans="1:19" ht="40">
      <c r="A1511" s="8">
        <v>43347.441712962958</v>
      </c>
      <c r="B1511" s="11" t="str">
        <f>HYPERLINK("https://twitter.com/mmasiha","@mmasiha")</f>
        <v>@mmasiha</v>
      </c>
      <c r="C1511" s="6" t="s">
        <v>246</v>
      </c>
      <c r="D1511" s="5" t="s">
        <v>12900</v>
      </c>
      <c r="E1511" s="9" t="str">
        <f>HYPERLINK("https://twitter.com/mmasiha/status/1036857909072805888","1036857909072805888")</f>
        <v>1036857909072805888</v>
      </c>
      <c r="F1511" s="4"/>
      <c r="G1511" s="4"/>
      <c r="H1511" s="4"/>
      <c r="I1511" s="10" t="str">
        <f>HYPERLINK("http://twitter.com","Twitter Web Client")</f>
        <v>Twitter Web Client</v>
      </c>
      <c r="J1511" s="2">
        <v>3254</v>
      </c>
      <c r="K1511" s="2">
        <v>541</v>
      </c>
      <c r="L1511" s="2">
        <v>52</v>
      </c>
      <c r="M1511" s="2"/>
      <c r="N1511" s="8">
        <v>39983.288252314815</v>
      </c>
      <c r="O1511" s="4" t="s">
        <v>244</v>
      </c>
      <c r="P1511" s="3" t="s">
        <v>243</v>
      </c>
      <c r="Q1511" s="10" t="s">
        <v>242</v>
      </c>
      <c r="R1511" s="4"/>
      <c r="S1511" s="9" t="str">
        <f>HYPERLINK("https://pbs.twimg.com/profile_images/756187596447940610/3aUNxTLs.jpg","View")</f>
        <v>View</v>
      </c>
    </row>
    <row r="1512" spans="1:19" ht="20">
      <c r="A1512" s="8">
        <v>43347.441504629634</v>
      </c>
      <c r="B1512" s="11" t="str">
        <f>HYPERLINK("https://twitter.com/ScriptBab","@ScriptBab")</f>
        <v>@ScriptBab</v>
      </c>
      <c r="C1512" s="6" t="s">
        <v>3044</v>
      </c>
      <c r="D1512" s="5" t="s">
        <v>12899</v>
      </c>
      <c r="E1512" s="9" t="str">
        <f>HYPERLINK("https://twitter.com/ScriptBab/status/1036857834246471681","1036857834246471681")</f>
        <v>1036857834246471681</v>
      </c>
      <c r="F1512" s="4"/>
      <c r="G1512" s="4"/>
      <c r="H1512" s="4"/>
      <c r="I1512" s="10" t="str">
        <f>HYPERLINK("http://twitter.com/download/android","Twitter for Android")</f>
        <v>Twitter for Android</v>
      </c>
      <c r="J1512" s="2">
        <v>4006</v>
      </c>
      <c r="K1512" s="2">
        <v>3698</v>
      </c>
      <c r="L1512" s="2">
        <v>8</v>
      </c>
      <c r="M1512" s="2"/>
      <c r="N1512" s="8">
        <v>40732.73096064815</v>
      </c>
      <c r="O1512" s="4"/>
      <c r="P1512" s="3" t="s">
        <v>3042</v>
      </c>
      <c r="Q1512" s="4"/>
      <c r="R1512" s="4"/>
      <c r="S1512" s="9" t="str">
        <f>HYPERLINK("https://pbs.twimg.com/profile_images/1029594626854985728/VuJgJ670.jpg","View")</f>
        <v>View</v>
      </c>
    </row>
    <row r="1513" spans="1:19" ht="40">
      <c r="A1513" s="8">
        <v>43347.44149305555</v>
      </c>
      <c r="B1513" s="11" t="str">
        <f>HYPERLINK("https://twitter.com/mossaf732","@mossaf732")</f>
        <v>@mossaf732</v>
      </c>
      <c r="C1513" s="6" t="s">
        <v>479</v>
      </c>
      <c r="D1513" s="5" t="s">
        <v>12898</v>
      </c>
      <c r="E1513" s="9" t="str">
        <f>HYPERLINK("https://twitter.com/mossaf732/status/1036857832208035841","1036857832208035841")</f>
        <v>1036857832208035841</v>
      </c>
      <c r="F1513" s="4"/>
      <c r="G1513" s="10" t="s">
        <v>12897</v>
      </c>
      <c r="H1513" s="4"/>
      <c r="I1513" s="10" t="str">
        <f>HYPERLINK("http://twitter.com","Twitter Web Client")</f>
        <v>Twitter Web Client</v>
      </c>
      <c r="J1513" s="2">
        <v>2810</v>
      </c>
      <c r="K1513" s="2">
        <v>1952</v>
      </c>
      <c r="L1513" s="2">
        <v>7</v>
      </c>
      <c r="M1513" s="2"/>
      <c r="N1513" s="8">
        <v>42837.494085648148</v>
      </c>
      <c r="O1513" s="4"/>
      <c r="P1513" s="3" t="s">
        <v>477</v>
      </c>
      <c r="Q1513" s="4"/>
      <c r="R1513" s="4"/>
      <c r="S1513" s="9" t="str">
        <f>HYPERLINK("https://pbs.twimg.com/profile_images/956813144797495296/-FVW-CF4.jpg","View")</f>
        <v>View</v>
      </c>
    </row>
    <row r="1514" spans="1:19" ht="20">
      <c r="A1514" s="8">
        <v>43347.439780092594</v>
      </c>
      <c r="B1514" s="11" t="str">
        <f>HYPERLINK("https://twitter.com/Sam_the_Silenus","@Sam_the_Silenus")</f>
        <v>@Sam_the_Silenus</v>
      </c>
      <c r="C1514" s="6" t="s">
        <v>12896</v>
      </c>
      <c r="D1514" s="5" t="s">
        <v>12895</v>
      </c>
      <c r="E1514" s="9" t="str">
        <f>HYPERLINK("https://twitter.com/Sam_the_Silenus/status/1036857208355672064","1036857208355672064")</f>
        <v>1036857208355672064</v>
      </c>
      <c r="F1514" s="4"/>
      <c r="G1514" s="4"/>
      <c r="H1514" s="4"/>
      <c r="I1514" s="10" t="str">
        <f>HYPERLINK("http://twitter.com/download/android","Twitter for Android")</f>
        <v>Twitter for Android</v>
      </c>
      <c r="J1514" s="2">
        <v>33</v>
      </c>
      <c r="K1514" s="2">
        <v>21</v>
      </c>
      <c r="L1514" s="2">
        <v>0</v>
      </c>
      <c r="M1514" s="2"/>
      <c r="N1514" s="8">
        <v>41427.851053240738</v>
      </c>
      <c r="O1514" s="4" t="s">
        <v>12894</v>
      </c>
      <c r="P1514" s="3" t="s">
        <v>12893</v>
      </c>
      <c r="Q1514" s="4"/>
      <c r="R1514" s="4"/>
      <c r="S1514" s="9" t="str">
        <f>HYPERLINK("https://pbs.twimg.com/profile_images/1030373753241444353/MZKE1VCz.jpg","View")</f>
        <v>View</v>
      </c>
    </row>
    <row r="1515" spans="1:19" ht="20">
      <c r="A1515" s="8">
        <v>43347.433888888889</v>
      </c>
      <c r="B1515" s="11" t="str">
        <f>HYPERLINK("https://twitter.com/r_ghasemzadeh","@r_ghasemzadeh")</f>
        <v>@r_ghasemzadeh</v>
      </c>
      <c r="C1515" s="6" t="s">
        <v>12377</v>
      </c>
      <c r="D1515" s="5" t="s">
        <v>12892</v>
      </c>
      <c r="E1515" s="9" t="str">
        <f>HYPERLINK("https://twitter.com/r_ghasemzadeh/status/1036855076051144704","1036855076051144704")</f>
        <v>1036855076051144704</v>
      </c>
      <c r="F1515" s="4"/>
      <c r="G1515" s="4"/>
      <c r="H1515" s="4"/>
      <c r="I1515" s="10" t="str">
        <f>HYPERLINK("http://twitter.com/download/android","Twitter for Android")</f>
        <v>Twitter for Android</v>
      </c>
      <c r="J1515" s="2">
        <v>34</v>
      </c>
      <c r="K1515" s="2">
        <v>139</v>
      </c>
      <c r="L1515" s="2">
        <v>0</v>
      </c>
      <c r="M1515" s="2"/>
      <c r="N1515" s="8">
        <v>43343.732303240744</v>
      </c>
      <c r="O1515" s="4"/>
      <c r="P1515" s="3" t="s">
        <v>12375</v>
      </c>
      <c r="Q1515" s="4"/>
      <c r="R1515" s="4"/>
      <c r="S1515" s="9" t="str">
        <f>HYPERLINK("https://pbs.twimg.com/profile_images/1035760123094941697/mRgxaCs1.jpg","View")</f>
        <v>View</v>
      </c>
    </row>
    <row r="1516" spans="1:19" ht="40">
      <c r="A1516" s="8">
        <v>43347.432719907403</v>
      </c>
      <c r="B1516" s="11" t="str">
        <f>HYPERLINK("https://twitter.com/outsider_oooo","@outsider_oooo")</f>
        <v>@outsider_oooo</v>
      </c>
      <c r="C1516" s="6" t="s">
        <v>12891</v>
      </c>
      <c r="D1516" s="5" t="s">
        <v>12890</v>
      </c>
      <c r="E1516" s="9" t="str">
        <f>HYPERLINK("https://twitter.com/outsider_oooo/status/1036854652577271809","1036854652577271809")</f>
        <v>1036854652577271809</v>
      </c>
      <c r="F1516" s="4"/>
      <c r="G1516" s="4"/>
      <c r="H1516" s="4"/>
      <c r="I1516" s="10" t="str">
        <f>HYPERLINK("http://twitter.com/download/android","Twitter for Android")</f>
        <v>Twitter for Android</v>
      </c>
      <c r="J1516" s="2">
        <v>6401</v>
      </c>
      <c r="K1516" s="2">
        <v>382</v>
      </c>
      <c r="L1516" s="2">
        <v>40</v>
      </c>
      <c r="M1516" s="2"/>
      <c r="N1516" s="8">
        <v>42572.786435185189</v>
      </c>
      <c r="O1516" s="4"/>
      <c r="P1516" s="3" t="s">
        <v>12889</v>
      </c>
      <c r="Q1516" s="4"/>
      <c r="R1516" s="4"/>
      <c r="S1516" s="9" t="str">
        <f>HYPERLINK("https://pbs.twimg.com/profile_images/976710986563571713/ki6TvIPy.jpg","View")</f>
        <v>View</v>
      </c>
    </row>
    <row r="1517" spans="1:19" ht="30">
      <c r="A1517" s="8">
        <v>43347.428506944445</v>
      </c>
      <c r="B1517" s="11" t="str">
        <f>HYPERLINK("https://twitter.com/hamshahrinews","@hamshahrinews")</f>
        <v>@hamshahrinews</v>
      </c>
      <c r="C1517" s="6" t="s">
        <v>2149</v>
      </c>
      <c r="D1517" s="5" t="s">
        <v>12888</v>
      </c>
      <c r="E1517" s="9" t="str">
        <f>HYPERLINK("https://twitter.com/hamshahrinews/status/1036853125875937280","1036853125875937280")</f>
        <v>1036853125875937280</v>
      </c>
      <c r="F1517" s="4"/>
      <c r="G1517" s="10" t="s">
        <v>12887</v>
      </c>
      <c r="H1517" s="4"/>
      <c r="I1517" s="10" t="str">
        <f>HYPERLINK("http://twitter.com","Twitter Web Client")</f>
        <v>Twitter Web Client</v>
      </c>
      <c r="J1517" s="2">
        <v>1905</v>
      </c>
      <c r="K1517" s="2">
        <v>13</v>
      </c>
      <c r="L1517" s="2">
        <v>38</v>
      </c>
      <c r="M1517" s="2"/>
      <c r="N1517" s="8">
        <v>42984.575752314813</v>
      </c>
      <c r="O1517" s="4" t="s">
        <v>133</v>
      </c>
      <c r="P1517" s="3" t="s">
        <v>2146</v>
      </c>
      <c r="Q1517" s="10" t="s">
        <v>2145</v>
      </c>
      <c r="R1517" s="4"/>
      <c r="S1517" s="9" t="str">
        <f>HYPERLINK("https://pbs.twimg.com/profile_images/918008480631533568/-awyAU90.jpg","View")</f>
        <v>View</v>
      </c>
    </row>
    <row r="1518" spans="1:19" ht="40">
      <c r="A1518" s="8">
        <v>43347.427384259259</v>
      </c>
      <c r="B1518" s="11" t="str">
        <f>HYPERLINK("https://twitter.com/Mojinjo1","@Mojinjo1")</f>
        <v>@Mojinjo1</v>
      </c>
      <c r="C1518" s="6" t="s">
        <v>12886</v>
      </c>
      <c r="D1518" s="5" t="s">
        <v>12885</v>
      </c>
      <c r="E1518" s="9" t="str">
        <f>HYPERLINK("https://twitter.com/Mojinjo1/status/1036852717036158976","1036852717036158976")</f>
        <v>1036852717036158976</v>
      </c>
      <c r="F1518" s="4"/>
      <c r="G1518" s="10" t="s">
        <v>12884</v>
      </c>
      <c r="H1518" s="4"/>
      <c r="I1518" s="10" t="str">
        <f>HYPERLINK("http://twitter.com","Twitter Web Client")</f>
        <v>Twitter Web Client</v>
      </c>
      <c r="J1518" s="2">
        <v>22</v>
      </c>
      <c r="K1518" s="2">
        <v>177</v>
      </c>
      <c r="L1518" s="2">
        <v>0</v>
      </c>
      <c r="M1518" s="2"/>
      <c r="N1518" s="8">
        <v>43340.777337962965</v>
      </c>
      <c r="O1518" s="4"/>
      <c r="P1518" s="3" t="s">
        <v>12883</v>
      </c>
      <c r="Q1518" s="4"/>
      <c r="R1518" s="4"/>
      <c r="S1518" s="9" t="str">
        <f>HYPERLINK("https://pbs.twimg.com/profile_images/1034444604790194176/ihJ7nPit.jpg","View")</f>
        <v>View</v>
      </c>
    </row>
    <row r="1519" spans="1:19" ht="30">
      <c r="A1519" s="8">
        <v>43347.426759259259</v>
      </c>
      <c r="B1519" s="11" t="str">
        <f>HYPERLINK("https://twitter.com/iribnewsFa","@iribnewsFa")</f>
        <v>@iribnewsFa</v>
      </c>
      <c r="C1519" s="6" t="s">
        <v>6161</v>
      </c>
      <c r="D1519" s="5" t="s">
        <v>12882</v>
      </c>
      <c r="E1519" s="9" t="str">
        <f>HYPERLINK("https://twitter.com/iribnewsFa/status/1036852493618171904","1036852493618171904")</f>
        <v>1036852493618171904</v>
      </c>
      <c r="F1519" s="4"/>
      <c r="G1519" s="10" t="s">
        <v>12881</v>
      </c>
      <c r="H1519" s="4"/>
      <c r="I1519" s="10" t="str">
        <f>HYPERLINK("http://twitter.com","Twitter Web Client")</f>
        <v>Twitter Web Client</v>
      </c>
      <c r="J1519" s="2">
        <v>196</v>
      </c>
      <c r="K1519" s="2">
        <v>52</v>
      </c>
      <c r="L1519" s="2">
        <v>4</v>
      </c>
      <c r="M1519" s="2"/>
      <c r="N1519" s="8">
        <v>43297.475810185184</v>
      </c>
      <c r="O1519" s="4" t="s">
        <v>34</v>
      </c>
      <c r="P1519" s="3" t="s">
        <v>6159</v>
      </c>
      <c r="Q1519" s="4"/>
      <c r="R1519" s="4"/>
      <c r="S1519" s="9" t="str">
        <f>HYPERLINK("https://pbs.twimg.com/profile_images/1018766929786560512/S7nJiRM5.jpg","View")</f>
        <v>View</v>
      </c>
    </row>
    <row r="1520" spans="1:19" ht="40">
      <c r="A1520" s="8">
        <v>43347.426261574074</v>
      </c>
      <c r="B1520" s="11" t="str">
        <f>HYPERLINK("https://twitter.com/farhadkhazaeli","@farhadkhazaeli")</f>
        <v>@farhadkhazaeli</v>
      </c>
      <c r="C1520" s="6" t="s">
        <v>8670</v>
      </c>
      <c r="D1520" s="5" t="s">
        <v>12880</v>
      </c>
      <c r="E1520" s="9" t="str">
        <f>HYPERLINK("https://twitter.com/farhadkhazaeli/status/1036852311979638785","1036852311979638785")</f>
        <v>1036852311979638785</v>
      </c>
      <c r="F1520" s="4"/>
      <c r="G1520" s="4"/>
      <c r="H1520" s="4"/>
      <c r="I1520" s="10" t="str">
        <f>HYPERLINK("http://twitter.com/download/android","Twitter for Android")</f>
        <v>Twitter for Android</v>
      </c>
      <c r="J1520" s="2">
        <v>63</v>
      </c>
      <c r="K1520" s="2">
        <v>129</v>
      </c>
      <c r="L1520" s="2">
        <v>1</v>
      </c>
      <c r="M1520" s="2"/>
      <c r="N1520" s="8">
        <v>41298.827361111107</v>
      </c>
      <c r="O1520" s="4" t="s">
        <v>324</v>
      </c>
      <c r="P1520" s="3" t="s">
        <v>8668</v>
      </c>
      <c r="Q1520" s="10" t="s">
        <v>8667</v>
      </c>
      <c r="R1520" s="4"/>
      <c r="S1520" s="9" t="str">
        <f>HYPERLINK("https://pbs.twimg.com/profile_images/1005779679427596288/l_nuHc-S.jpg","View")</f>
        <v>View</v>
      </c>
    </row>
    <row r="1521" spans="1:19" ht="20">
      <c r="A1521" s="8">
        <v>43347.420312499999</v>
      </c>
      <c r="B1521" s="11" t="str">
        <f>HYPERLINK("https://twitter.com/sniper0girl","@sniper0girl")</f>
        <v>@sniper0girl</v>
      </c>
      <c r="C1521" s="6" t="s">
        <v>677</v>
      </c>
      <c r="D1521" s="5" t="s">
        <v>12879</v>
      </c>
      <c r="E1521" s="9" t="str">
        <f>HYPERLINK("https://twitter.com/sniper0girl/status/1036850156396847104","1036850156396847104")</f>
        <v>1036850156396847104</v>
      </c>
      <c r="F1521" s="4"/>
      <c r="G1521" s="4"/>
      <c r="H1521" s="4"/>
      <c r="I1521" s="10" t="str">
        <f>HYPERLINK("http://twitter.com/download/android","Twitter for Android")</f>
        <v>Twitter for Android</v>
      </c>
      <c r="J1521" s="2">
        <v>625</v>
      </c>
      <c r="K1521" s="2">
        <v>658</v>
      </c>
      <c r="L1521" s="2">
        <v>1</v>
      </c>
      <c r="M1521" s="2"/>
      <c r="N1521" s="8">
        <v>43201.01059027778</v>
      </c>
      <c r="O1521" s="4"/>
      <c r="P1521" s="3" t="s">
        <v>12878</v>
      </c>
      <c r="Q1521" s="4"/>
      <c r="R1521" s="4"/>
      <c r="S1521" s="9" t="str">
        <f>HYPERLINK("https://pbs.twimg.com/profile_images/1036707184992813056/Xy84ezQI.jpg","View")</f>
        <v>View</v>
      </c>
    </row>
    <row r="1522" spans="1:19" ht="50">
      <c r="A1522" s="8">
        <v>43347.418240740742</v>
      </c>
      <c r="B1522" s="11" t="str">
        <f>HYPERLINK("https://twitter.com/Tasnimnews_Fa","@Tasnimnews_Fa")</f>
        <v>@Tasnimnews_Fa</v>
      </c>
      <c r="C1522" s="6" t="s">
        <v>603</v>
      </c>
      <c r="D1522" s="5" t="s">
        <v>12877</v>
      </c>
      <c r="E1522" s="9" t="str">
        <f>HYPERLINK("https://twitter.com/Tasnimnews_Fa/status/1036849405494734849","1036849405494734849")</f>
        <v>1036849405494734849</v>
      </c>
      <c r="F1522" s="4"/>
      <c r="G1522" s="4"/>
      <c r="H1522" s="4"/>
      <c r="I1522" s="10" t="str">
        <f>HYPERLINK("http://twitter.com","Twitter Web Client")</f>
        <v>Twitter Web Client</v>
      </c>
      <c r="J1522" s="2">
        <v>109711</v>
      </c>
      <c r="K1522" s="2">
        <v>20</v>
      </c>
      <c r="L1522" s="2">
        <v>378</v>
      </c>
      <c r="M1522" s="2" t="s">
        <v>80</v>
      </c>
      <c r="N1522" s="8">
        <v>41868.671585648146</v>
      </c>
      <c r="O1522" s="4" t="s">
        <v>133</v>
      </c>
      <c r="P1522" s="3" t="s">
        <v>599</v>
      </c>
      <c r="Q1522" s="10" t="s">
        <v>598</v>
      </c>
      <c r="R1522" s="4"/>
      <c r="S1522" s="9" t="str">
        <f>HYPERLINK("https://pbs.twimg.com/profile_images/942003149430239232/hvLw_1_E.jpg","View")</f>
        <v>View</v>
      </c>
    </row>
    <row r="1523" spans="1:19" ht="30">
      <c r="A1523" s="8">
        <v>43347.417662037042</v>
      </c>
      <c r="B1523" s="11" t="str">
        <f>HYPERLINK("https://twitter.com/Entekhab_News","@Entekhab_News")</f>
        <v>@Entekhab_News</v>
      </c>
      <c r="C1523" s="6" t="s">
        <v>519</v>
      </c>
      <c r="D1523" s="5" t="s">
        <v>12876</v>
      </c>
      <c r="E1523" s="9" t="str">
        <f>HYPERLINK("https://twitter.com/Entekhab_News/status/1036849196316467201","1036849196316467201")</f>
        <v>1036849196316467201</v>
      </c>
      <c r="F1523" s="4"/>
      <c r="G1523" s="10" t="s">
        <v>12875</v>
      </c>
      <c r="H1523" s="4"/>
      <c r="I1523" s="10" t="str">
        <f>HYPERLINK("http://twitter.com/download/android","Twitter for Android")</f>
        <v>Twitter for Android</v>
      </c>
      <c r="J1523" s="2">
        <v>16202</v>
      </c>
      <c r="K1523" s="2">
        <v>0</v>
      </c>
      <c r="L1523" s="2">
        <v>152</v>
      </c>
      <c r="M1523" s="2"/>
      <c r="N1523" s="8">
        <v>41846.90483796296</v>
      </c>
      <c r="O1523" s="4" t="s">
        <v>244</v>
      </c>
      <c r="P1523" s="3" t="s">
        <v>517</v>
      </c>
      <c r="Q1523" s="10" t="s">
        <v>516</v>
      </c>
      <c r="R1523" s="4"/>
      <c r="S1523" s="9" t="str">
        <f>HYPERLINK("https://pbs.twimg.com/profile_images/840302676332146689/objFI1sw.jpg","View")</f>
        <v>View</v>
      </c>
    </row>
    <row r="1524" spans="1:19" ht="20">
      <c r="A1524" s="8">
        <v>43347.415543981479</v>
      </c>
      <c r="B1524" s="11" t="str">
        <f>HYPERLINK("https://twitter.com/madehghan1","@madehghan1")</f>
        <v>@madehghan1</v>
      </c>
      <c r="C1524" s="6" t="s">
        <v>12874</v>
      </c>
      <c r="D1524" s="5" t="s">
        <v>12873</v>
      </c>
      <c r="E1524" s="9" t="str">
        <f>HYPERLINK("https://twitter.com/madehghan1/status/1036848428649799682","1036848428649799682")</f>
        <v>1036848428649799682</v>
      </c>
      <c r="F1524" s="4"/>
      <c r="G1524" s="4"/>
      <c r="H1524" s="4"/>
      <c r="I1524" s="10" t="str">
        <f>HYPERLINK("http://twitter.com/download/android","Twitter for Android")</f>
        <v>Twitter for Android</v>
      </c>
      <c r="J1524" s="2">
        <v>0</v>
      </c>
      <c r="K1524" s="2">
        <v>5</v>
      </c>
      <c r="L1524" s="2">
        <v>0</v>
      </c>
      <c r="M1524" s="2"/>
      <c r="N1524" s="8">
        <v>42906.948842592596</v>
      </c>
      <c r="O1524" s="4" t="s">
        <v>104</v>
      </c>
      <c r="P1524" s="3" t="s">
        <v>12872</v>
      </c>
      <c r="Q1524" s="4"/>
      <c r="R1524" s="4"/>
      <c r="S1524" s="9" t="str">
        <f>HYPERLINK("https://pbs.twimg.com/profile_images/1036845927099715584/440CBOyV.jpg","View")</f>
        <v>View</v>
      </c>
    </row>
    <row r="1525" spans="1:19" ht="20">
      <c r="A1525" s="8">
        <v>43347.413136574076</v>
      </c>
      <c r="B1525" s="11" t="str">
        <f>HYPERLINK("https://twitter.com/haj_Einstein","@haj_Einstein")</f>
        <v>@haj_Einstein</v>
      </c>
      <c r="C1525" s="6" t="s">
        <v>1350</v>
      </c>
      <c r="D1525" s="5" t="s">
        <v>12871</v>
      </c>
      <c r="E1525" s="9" t="str">
        <f>HYPERLINK("https://twitter.com/haj_Einstein/status/1036847554107981824","1036847554107981824")</f>
        <v>1036847554107981824</v>
      </c>
      <c r="F1525" s="4"/>
      <c r="G1525" s="4"/>
      <c r="H1525" s="4"/>
      <c r="I1525" s="10" t="str">
        <f>HYPERLINK("http://twitter.com/download/android","Twitter for Android")</f>
        <v>Twitter for Android</v>
      </c>
      <c r="J1525" s="2">
        <v>1188</v>
      </c>
      <c r="K1525" s="2">
        <v>940</v>
      </c>
      <c r="L1525" s="2">
        <v>1</v>
      </c>
      <c r="M1525" s="2"/>
      <c r="N1525" s="8">
        <v>42513.552152777775</v>
      </c>
      <c r="O1525" s="4" t="s">
        <v>1348</v>
      </c>
      <c r="P1525" s="3" t="s">
        <v>1347</v>
      </c>
      <c r="Q1525" s="4"/>
      <c r="R1525" s="4"/>
      <c r="S1525" s="9" t="str">
        <f>HYPERLINK("https://pbs.twimg.com/profile_images/1035510526510592001/RAoih4hR.jpg","View")</f>
        <v>View</v>
      </c>
    </row>
    <row r="1526" spans="1:19" ht="40">
      <c r="A1526" s="8">
        <v>43347.411238425921</v>
      </c>
      <c r="B1526" s="11" t="str">
        <f>HYPERLINK("https://twitter.com/Mehrad_kkh","@Mehrad_kkh")</f>
        <v>@Mehrad_kkh</v>
      </c>
      <c r="C1526" s="6" t="s">
        <v>501</v>
      </c>
      <c r="D1526" s="5" t="s">
        <v>12870</v>
      </c>
      <c r="E1526" s="9" t="str">
        <f>HYPERLINK("https://twitter.com/Mehrad_kkh/status/1036846869366890496","1036846869366890496")</f>
        <v>1036846869366890496</v>
      </c>
      <c r="F1526" s="4"/>
      <c r="G1526" s="4"/>
      <c r="H1526" s="4"/>
      <c r="I1526" s="10" t="str">
        <f>HYPERLINK("http://twitter.com/download/android","Twitter for Android")</f>
        <v>Twitter for Android</v>
      </c>
      <c r="J1526" s="2">
        <v>5288</v>
      </c>
      <c r="K1526" s="2">
        <v>4710</v>
      </c>
      <c r="L1526" s="2">
        <v>4</v>
      </c>
      <c r="M1526" s="2"/>
      <c r="N1526" s="8">
        <v>42567.562199074076</v>
      </c>
      <c r="O1526" s="4" t="s">
        <v>34</v>
      </c>
      <c r="P1526" s="3" t="s">
        <v>499</v>
      </c>
      <c r="Q1526" s="4"/>
      <c r="R1526" s="4"/>
      <c r="S1526" s="9" t="str">
        <f>HYPERLINK("https://pbs.twimg.com/profile_images/942431478620852225/5GhvKY0T.jpg","View")</f>
        <v>View</v>
      </c>
    </row>
    <row r="1527" spans="1:19" ht="30">
      <c r="A1527" s="8">
        <v>43347.407569444447</v>
      </c>
      <c r="B1527" s="11" t="str">
        <f>HYPERLINK("https://twitter.com/khoshbakhtime","@khoshbakhtime")</f>
        <v>@khoshbakhtime</v>
      </c>
      <c r="C1527" s="6" t="s">
        <v>2003</v>
      </c>
      <c r="D1527" s="5" t="s">
        <v>12869</v>
      </c>
      <c r="E1527" s="9" t="str">
        <f>HYPERLINK("https://twitter.com/khoshbakhtime/status/1036845539705475072","1036845539705475072")</f>
        <v>1036845539705475072</v>
      </c>
      <c r="F1527" s="4"/>
      <c r="G1527" s="4"/>
      <c r="H1527" s="4"/>
      <c r="I1527" s="10" t="str">
        <f>HYPERLINK("http://twitter.com","Twitter Web Client")</f>
        <v>Twitter Web Client</v>
      </c>
      <c r="J1527" s="2">
        <v>865</v>
      </c>
      <c r="K1527" s="2">
        <v>319</v>
      </c>
      <c r="L1527" s="2">
        <v>7</v>
      </c>
      <c r="M1527" s="2"/>
      <c r="N1527" s="8">
        <v>41439.947465277779</v>
      </c>
      <c r="O1527" s="4" t="s">
        <v>34</v>
      </c>
      <c r="P1527" s="3" t="s">
        <v>2000</v>
      </c>
      <c r="Q1527" s="10" t="s">
        <v>1999</v>
      </c>
      <c r="R1527" s="4"/>
      <c r="S1527" s="9" t="str">
        <f>HYPERLINK("https://pbs.twimg.com/profile_images/1014770146634760192/ORl2EIoH.jpg","View")</f>
        <v>View</v>
      </c>
    </row>
    <row r="1528" spans="1:19" ht="40">
      <c r="A1528" s="8">
        <v>43347.405787037038</v>
      </c>
      <c r="B1528" s="11" t="str">
        <f>HYPERLINK("https://twitter.com/hsnhasankhani","@hsnhasankhani")</f>
        <v>@hsnhasankhani</v>
      </c>
      <c r="C1528" s="6" t="s">
        <v>6447</v>
      </c>
      <c r="D1528" s="5" t="s">
        <v>12868</v>
      </c>
      <c r="E1528" s="9" t="str">
        <f>HYPERLINK("https://twitter.com/hsnhasankhani/status/1036844890263613440","1036844890263613440")</f>
        <v>1036844890263613440</v>
      </c>
      <c r="F1528" s="4"/>
      <c r="G1528" s="10" t="s">
        <v>12867</v>
      </c>
      <c r="H1528" s="4"/>
      <c r="I1528" s="10" t="str">
        <f>HYPERLINK("http://twitter.com","Twitter Web Client")</f>
        <v>Twitter Web Client</v>
      </c>
      <c r="J1528" s="2">
        <v>67</v>
      </c>
      <c r="K1528" s="2">
        <v>70</v>
      </c>
      <c r="L1528" s="2">
        <v>0</v>
      </c>
      <c r="M1528" s="2"/>
      <c r="N1528" s="8">
        <v>43300.502557870372</v>
      </c>
      <c r="O1528" s="4" t="s">
        <v>34</v>
      </c>
      <c r="P1528" s="3" t="s">
        <v>6444</v>
      </c>
      <c r="Q1528" s="4"/>
      <c r="R1528" s="4"/>
      <c r="S1528" s="9" t="str">
        <f>HYPERLINK("https://pbs.twimg.com/profile_images/1031865810447486976/OyDV3iMJ.jpg","View")</f>
        <v>View</v>
      </c>
    </row>
    <row r="1529" spans="1:19" ht="40">
      <c r="A1529" s="8">
        <v>43347.404780092591</v>
      </c>
      <c r="B1529" s="11" t="str">
        <f>HYPERLINK("https://twitter.com/alef_ir","@alef_ir")</f>
        <v>@alef_ir</v>
      </c>
      <c r="C1529" s="6" t="s">
        <v>9833</v>
      </c>
      <c r="D1529" s="5" t="s">
        <v>12866</v>
      </c>
      <c r="E1529" s="9" t="str">
        <f>HYPERLINK("https://twitter.com/alef_ir/status/1036844527527579648","1036844527527579648")</f>
        <v>1036844527527579648</v>
      </c>
      <c r="F1529" s="10" t="s">
        <v>12865</v>
      </c>
      <c r="G1529" s="10" t="s">
        <v>12864</v>
      </c>
      <c r="H1529" s="4"/>
      <c r="I1529" s="10" t="str">
        <f>HYPERLINK("http://twitter.com","Twitter Web Client")</f>
        <v>Twitter Web Client</v>
      </c>
      <c r="J1529" s="2">
        <v>179</v>
      </c>
      <c r="K1529" s="2">
        <v>221</v>
      </c>
      <c r="L1529" s="2">
        <v>5</v>
      </c>
      <c r="M1529" s="2"/>
      <c r="N1529" s="8">
        <v>39705.926550925928</v>
      </c>
      <c r="O1529" s="4" t="s">
        <v>34</v>
      </c>
      <c r="P1529" s="3" t="s">
        <v>9830</v>
      </c>
      <c r="Q1529" s="10" t="s">
        <v>9829</v>
      </c>
      <c r="R1529" s="4"/>
      <c r="S1529" s="9" t="str">
        <f>HYPERLINK("https://pbs.twimg.com/profile_images/881472088938344448/fvosFAnW.jpg","View")</f>
        <v>View</v>
      </c>
    </row>
    <row r="1530" spans="1:19" ht="12.5">
      <c r="A1530" s="8">
        <v>43347.404780092591</v>
      </c>
      <c r="B1530" s="11" t="str">
        <f>HYPERLINK("https://twitter.com/jackyblanch","@jackyblanch")</f>
        <v>@jackyblanch</v>
      </c>
      <c r="C1530" s="6" t="s">
        <v>12863</v>
      </c>
      <c r="D1530" s="5" t="s">
        <v>12862</v>
      </c>
      <c r="E1530" s="9" t="str">
        <f>HYPERLINK("https://twitter.com/jackyblanch/status/1036844525673766912","1036844525673766912")</f>
        <v>1036844525673766912</v>
      </c>
      <c r="F1530" s="4"/>
      <c r="G1530" s="4"/>
      <c r="H1530" s="4"/>
      <c r="I1530" s="10" t="str">
        <f>HYPERLINK("http://twitter.com/download/iphone","Twitter for iPhone")</f>
        <v>Twitter for iPhone</v>
      </c>
      <c r="J1530" s="2">
        <v>11</v>
      </c>
      <c r="K1530" s="2">
        <v>47</v>
      </c>
      <c r="L1530" s="2">
        <v>0</v>
      </c>
      <c r="M1530" s="2"/>
      <c r="N1530" s="8">
        <v>43324.842187499999</v>
      </c>
      <c r="O1530" s="4"/>
      <c r="P1530" s="3"/>
      <c r="Q1530" s="4"/>
      <c r="R1530" s="4"/>
      <c r="S1530" s="9" t="str">
        <f>HYPERLINK("https://pbs.twimg.com/profile_images/1028684728826847233/QGC0bGub.jpg","View")</f>
        <v>View</v>
      </c>
    </row>
    <row r="1531" spans="1:19" ht="30">
      <c r="A1531" s="8">
        <v>43347.40221064815</v>
      </c>
      <c r="B1531" s="11" t="str">
        <f>HYPERLINK("https://twitter.com/Sadegh_Asadi66","@Sadegh_Asadi66")</f>
        <v>@Sadegh_Asadi66</v>
      </c>
      <c r="C1531" s="6" t="s">
        <v>8041</v>
      </c>
      <c r="D1531" s="5" t="s">
        <v>12861</v>
      </c>
      <c r="E1531" s="9" t="str">
        <f>HYPERLINK("https://twitter.com/Sadegh_Asadi66/status/1036843594550796288","1036843594550796288")</f>
        <v>1036843594550796288</v>
      </c>
      <c r="F1531" s="4"/>
      <c r="G1531" s="4"/>
      <c r="H1531" s="4"/>
      <c r="I1531" s="10" t="str">
        <f>HYPERLINK("http://twitter.com/download/iphone","Twitter for iPhone")</f>
        <v>Twitter for iPhone</v>
      </c>
      <c r="J1531" s="2">
        <v>28</v>
      </c>
      <c r="K1531" s="2">
        <v>79</v>
      </c>
      <c r="L1531" s="2">
        <v>0</v>
      </c>
      <c r="M1531" s="2"/>
      <c r="N1531" s="8">
        <v>43025.622060185182</v>
      </c>
      <c r="O1531" s="4" t="s">
        <v>8039</v>
      </c>
      <c r="P1531" s="3" t="s">
        <v>8038</v>
      </c>
      <c r="Q1531" s="4"/>
      <c r="R1531" s="4"/>
      <c r="S1531" s="9" t="str">
        <f>HYPERLINK("https://pbs.twimg.com/profile_images/1024220816098172928/pwKiqjnb.jpg","View")</f>
        <v>View</v>
      </c>
    </row>
    <row r="1532" spans="1:19" ht="20">
      <c r="A1532" s="8">
        <v>43347.399502314816</v>
      </c>
      <c r="B1532" s="11" t="str">
        <f>HYPERLINK("https://twitter.com/ilnanews","@ilnanews")</f>
        <v>@ilnanews</v>
      </c>
      <c r="C1532" s="6" t="s">
        <v>6413</v>
      </c>
      <c r="D1532" s="5" t="s">
        <v>12860</v>
      </c>
      <c r="E1532" s="9" t="str">
        <f>HYPERLINK("https://twitter.com/ilnanews/status/1036842613347962880","1036842613347962880")</f>
        <v>1036842613347962880</v>
      </c>
      <c r="F1532" s="10" t="s">
        <v>12859</v>
      </c>
      <c r="G1532" s="10" t="s">
        <v>12858</v>
      </c>
      <c r="H1532" s="4"/>
      <c r="I1532" s="10" t="str">
        <f>HYPERLINK("http://twitter.com/download/android","Twitter for Android")</f>
        <v>Twitter for Android</v>
      </c>
      <c r="J1532" s="2">
        <v>32444</v>
      </c>
      <c r="K1532" s="2">
        <v>67</v>
      </c>
      <c r="L1532" s="2">
        <v>161</v>
      </c>
      <c r="M1532" s="2"/>
      <c r="N1532" s="8">
        <v>42062.024768518517</v>
      </c>
      <c r="O1532" s="4" t="s">
        <v>34</v>
      </c>
      <c r="P1532" s="3" t="s">
        <v>6409</v>
      </c>
      <c r="Q1532" s="10" t="s">
        <v>6408</v>
      </c>
      <c r="R1532" s="4"/>
      <c r="S1532" s="9" t="str">
        <f>HYPERLINK("https://pbs.twimg.com/profile_images/760387216782848000/TS1QyYLo.jpg","View")</f>
        <v>View</v>
      </c>
    </row>
    <row r="1533" spans="1:19" ht="80">
      <c r="A1533" s="8">
        <v>43347.399062500001</v>
      </c>
      <c r="B1533" s="11" t="str">
        <f>HYPERLINK("https://twitter.com/BirashkFarshad","@BirashkFarshad")</f>
        <v>@BirashkFarshad</v>
      </c>
      <c r="C1533" s="6" t="s">
        <v>12857</v>
      </c>
      <c r="D1533" s="5" t="s">
        <v>12856</v>
      </c>
      <c r="E1533" s="9" t="str">
        <f>HYPERLINK("https://twitter.com/BirashkFarshad/status/1036842456237727745","1036842456237727745")</f>
        <v>1036842456237727745</v>
      </c>
      <c r="F1533" s="10" t="s">
        <v>12855</v>
      </c>
      <c r="G1533" s="10" t="s">
        <v>12854</v>
      </c>
      <c r="H1533" s="4"/>
      <c r="I1533" s="10" t="str">
        <f>HYPERLINK("http://twitter.com/download/android","Twitter for Android")</f>
        <v>Twitter for Android</v>
      </c>
      <c r="J1533" s="2">
        <v>507</v>
      </c>
      <c r="K1533" s="2">
        <v>958</v>
      </c>
      <c r="L1533" s="2">
        <v>11</v>
      </c>
      <c r="M1533" s="2"/>
      <c r="N1533" s="8">
        <v>41141.588784722218</v>
      </c>
      <c r="O1533" s="4" t="s">
        <v>12853</v>
      </c>
      <c r="P1533" s="3" t="s">
        <v>12852</v>
      </c>
      <c r="Q1533" s="4"/>
      <c r="R1533" s="4"/>
      <c r="S1533" s="9" t="str">
        <f>HYPERLINK("https://pbs.twimg.com/profile_images/907982727030419458/6bwMc3Eq.jpg","View")</f>
        <v>View</v>
      </c>
    </row>
    <row r="1534" spans="1:19" ht="20">
      <c r="A1534" s="8">
        <v>43347.398946759262</v>
      </c>
      <c r="B1534" s="11" t="str">
        <f>HYPERLINK("https://twitter.com/nezamikhah","@nezamikhah")</f>
        <v>@nezamikhah</v>
      </c>
      <c r="C1534" s="6" t="s">
        <v>12851</v>
      </c>
      <c r="D1534" s="5" t="s">
        <v>12850</v>
      </c>
      <c r="E1534" s="9" t="str">
        <f>HYPERLINK("https://twitter.com/nezamikhah/status/1036842412780412929","1036842412780412929")</f>
        <v>1036842412780412929</v>
      </c>
      <c r="F1534" s="4"/>
      <c r="G1534" s="10" t="s">
        <v>12849</v>
      </c>
      <c r="H1534" s="4"/>
      <c r="I1534" s="10" t="str">
        <f>HYPERLINK("http://twitter.com","Twitter Web Client")</f>
        <v>Twitter Web Client</v>
      </c>
      <c r="J1534" s="2">
        <v>1467</v>
      </c>
      <c r="K1534" s="2">
        <v>1455</v>
      </c>
      <c r="L1534" s="2">
        <v>7</v>
      </c>
      <c r="M1534" s="2"/>
      <c r="N1534" s="8">
        <v>42889.619444444441</v>
      </c>
      <c r="O1534" s="4" t="s">
        <v>12848</v>
      </c>
      <c r="P1534" s="3" t="s">
        <v>12847</v>
      </c>
      <c r="Q1534" s="4"/>
      <c r="R1534" s="4"/>
      <c r="S1534" s="9" t="str">
        <f>HYPERLINK("https://pbs.twimg.com/profile_images/979388363978534912/spKLH90s.jpg","View")</f>
        <v>View</v>
      </c>
    </row>
    <row r="1535" spans="1:19" ht="50">
      <c r="A1535" s="8">
        <v>43347.397928240738</v>
      </c>
      <c r="B1535" s="11" t="str">
        <f>HYPERLINK("https://twitter.com/ssinakt","@ssinakt")</f>
        <v>@ssinakt</v>
      </c>
      <c r="C1535" s="6" t="s">
        <v>12846</v>
      </c>
      <c r="D1535" s="5" t="s">
        <v>12845</v>
      </c>
      <c r="E1535" s="9" t="str">
        <f>HYPERLINK("https://twitter.com/ssinakt/status/1036842043673333760","1036842043673333760")</f>
        <v>1036842043673333760</v>
      </c>
      <c r="F1535" s="4"/>
      <c r="G1535" s="10" t="s">
        <v>12844</v>
      </c>
      <c r="H1535" s="4"/>
      <c r="I1535" s="10" t="str">
        <f>HYPERLINK("http://twitter.com/download/android","Twitter for Android")</f>
        <v>Twitter for Android</v>
      </c>
      <c r="J1535" s="2">
        <v>66</v>
      </c>
      <c r="K1535" s="2">
        <v>141</v>
      </c>
      <c r="L1535" s="2">
        <v>0</v>
      </c>
      <c r="M1535" s="2"/>
      <c r="N1535" s="8">
        <v>41194.601643518516</v>
      </c>
      <c r="O1535" s="4" t="s">
        <v>4211</v>
      </c>
      <c r="P1535" s="3" t="s">
        <v>12843</v>
      </c>
      <c r="Q1535" s="4"/>
      <c r="R1535" s="4"/>
      <c r="S1535" s="9" t="str">
        <f>HYPERLINK("https://pbs.twimg.com/profile_images/975651346752983045/MxeI0m4H.jpg","View")</f>
        <v>View</v>
      </c>
    </row>
    <row r="1536" spans="1:19" ht="30">
      <c r="A1536" s="8">
        <v>43347.395833333328</v>
      </c>
      <c r="B1536" s="11" t="str">
        <f>HYPERLINK("https://twitter.com/payamema","@payamema")</f>
        <v>@payamema</v>
      </c>
      <c r="C1536" s="6" t="s">
        <v>12842</v>
      </c>
      <c r="D1536" s="5" t="s">
        <v>12841</v>
      </c>
      <c r="E1536" s="9" t="str">
        <f>HYPERLINK("https://twitter.com/payamema/status/1036841286064582656","1036841286064582656")</f>
        <v>1036841286064582656</v>
      </c>
      <c r="F1536" s="4"/>
      <c r="G1536" s="10" t="s">
        <v>12840</v>
      </c>
      <c r="H1536" s="4"/>
      <c r="I1536" s="10" t="str">
        <f>HYPERLINK("https://about.twitter.com/products/tweetdeck","TweetDeck")</f>
        <v>TweetDeck</v>
      </c>
      <c r="J1536" s="2">
        <v>497</v>
      </c>
      <c r="K1536" s="2">
        <v>10</v>
      </c>
      <c r="L1536" s="2">
        <v>7</v>
      </c>
      <c r="M1536" s="2"/>
      <c r="N1536" s="8">
        <v>42765.411840277782</v>
      </c>
      <c r="O1536" s="4" t="s">
        <v>34</v>
      </c>
      <c r="P1536" s="3" t="s">
        <v>12839</v>
      </c>
      <c r="Q1536" s="10" t="s">
        <v>12838</v>
      </c>
      <c r="R1536" s="4"/>
      <c r="S1536" s="9" t="str">
        <f>HYPERLINK("https://pbs.twimg.com/profile_images/966255953250258946/nE0_MnUO.jpg","View")</f>
        <v>View</v>
      </c>
    </row>
    <row r="1537" spans="1:19" ht="20">
      <c r="A1537" s="8">
        <v>43347.388414351852</v>
      </c>
      <c r="B1537" s="11" t="str">
        <f>HYPERLINK("https://twitter.com/saalid","@saalid")</f>
        <v>@saalid</v>
      </c>
      <c r="C1537" s="6" t="s">
        <v>12837</v>
      </c>
      <c r="D1537" s="5" t="s">
        <v>12836</v>
      </c>
      <c r="E1537" s="9" t="str">
        <f>HYPERLINK("https://twitter.com/saalid/status/1036838595905118210","1036838595905118210")</f>
        <v>1036838595905118210</v>
      </c>
      <c r="F1537" s="4"/>
      <c r="G1537" s="4"/>
      <c r="H1537" s="4"/>
      <c r="I1537" s="10" t="str">
        <f>HYPERLINK("http://twitter.com/download/iphone","Twitter for iPhone")</f>
        <v>Twitter for iPhone</v>
      </c>
      <c r="J1537" s="2">
        <v>50</v>
      </c>
      <c r="K1537" s="2">
        <v>45</v>
      </c>
      <c r="L1537" s="2">
        <v>1</v>
      </c>
      <c r="M1537" s="2"/>
      <c r="N1537" s="8">
        <v>43292.441041666665</v>
      </c>
      <c r="O1537" s="4" t="s">
        <v>34</v>
      </c>
      <c r="P1537" s="3" t="s">
        <v>12835</v>
      </c>
      <c r="Q1537" s="4"/>
      <c r="R1537" s="4"/>
      <c r="S1537" s="9" t="str">
        <f>HYPERLINK("https://pbs.twimg.com/profile_images/1033383450278019072/DFnuFuV6.jpg","View")</f>
        <v>View</v>
      </c>
    </row>
    <row r="1538" spans="1:19" ht="20">
      <c r="A1538" s="8">
        <v>43347.382962962962</v>
      </c>
      <c r="B1538" s="11" t="str">
        <f>HYPERLINK("https://twitter.com/ghalam_e_tiz","@ghalam_e_tiz")</f>
        <v>@ghalam_e_tiz</v>
      </c>
      <c r="C1538" s="6" t="s">
        <v>12834</v>
      </c>
      <c r="D1538" s="5" t="s">
        <v>12833</v>
      </c>
      <c r="E1538" s="9" t="str">
        <f>HYPERLINK("https://twitter.com/ghalam_e_tiz/status/1036836619838545920","1036836619838545920")</f>
        <v>1036836619838545920</v>
      </c>
      <c r="F1538" s="4"/>
      <c r="G1538" s="10" t="s">
        <v>12832</v>
      </c>
      <c r="H1538" s="4"/>
      <c r="I1538" s="10" t="str">
        <f>HYPERLINK("http://twitter.com/download/android","Twitter for Android")</f>
        <v>Twitter for Android</v>
      </c>
      <c r="J1538" s="2">
        <v>596</v>
      </c>
      <c r="K1538" s="2">
        <v>301</v>
      </c>
      <c r="L1538" s="2">
        <v>0</v>
      </c>
      <c r="M1538" s="2"/>
      <c r="N1538" s="8">
        <v>43286.317002314812</v>
      </c>
      <c r="O1538" s="4" t="s">
        <v>17</v>
      </c>
      <c r="P1538" s="3" t="s">
        <v>12831</v>
      </c>
      <c r="Q1538" s="10" t="s">
        <v>12830</v>
      </c>
      <c r="R1538" s="4"/>
      <c r="S1538" s="9" t="str">
        <f>HYPERLINK("https://pbs.twimg.com/profile_images/1016125833361096704/f68gnR1F.jpg","View")</f>
        <v>View</v>
      </c>
    </row>
    <row r="1539" spans="1:19" ht="30">
      <c r="A1539" s="8">
        <v>43347.378553240742</v>
      </c>
      <c r="B1539" s="11" t="str">
        <f>HYPERLINK("https://twitter.com/ehsangmz","@ehsangmz")</f>
        <v>@ehsangmz</v>
      </c>
      <c r="C1539" s="6" t="s">
        <v>2188</v>
      </c>
      <c r="D1539" s="5" t="s">
        <v>12829</v>
      </c>
      <c r="E1539" s="9" t="str">
        <f>HYPERLINK("https://twitter.com/ehsangmz/status/1036835021515104256","1036835021515104256")</f>
        <v>1036835021515104256</v>
      </c>
      <c r="F1539" s="4"/>
      <c r="G1539" s="10" t="s">
        <v>12828</v>
      </c>
      <c r="H1539" s="4"/>
      <c r="I1539" s="10" t="str">
        <f>HYPERLINK("http://twitter.com","Twitter Web Client")</f>
        <v>Twitter Web Client</v>
      </c>
      <c r="J1539" s="2">
        <v>1081</v>
      </c>
      <c r="K1539" s="2">
        <v>933</v>
      </c>
      <c r="L1539" s="2">
        <v>2</v>
      </c>
      <c r="M1539" s="2"/>
      <c r="N1539" s="8">
        <v>41440.411365740743</v>
      </c>
      <c r="O1539" s="4" t="s">
        <v>34</v>
      </c>
      <c r="P1539" s="3" t="s">
        <v>2186</v>
      </c>
      <c r="Q1539" s="10" t="s">
        <v>2185</v>
      </c>
      <c r="R1539" s="4"/>
      <c r="S1539" s="9" t="str">
        <f>HYPERLINK("https://pbs.twimg.com/profile_images/1030690036352774145/PJJ4PhjW.jpg","View")</f>
        <v>View</v>
      </c>
    </row>
    <row r="1540" spans="1:19" ht="20">
      <c r="A1540" s="8">
        <v>43347.376539351855</v>
      </c>
      <c r="B1540" s="11" t="str">
        <f>HYPERLINK("https://twitter.com/ased_mohsen","@ased_mohsen")</f>
        <v>@ased_mohsen</v>
      </c>
      <c r="C1540" s="6" t="s">
        <v>12827</v>
      </c>
      <c r="D1540" s="5" t="s">
        <v>12826</v>
      </c>
      <c r="E1540" s="9" t="str">
        <f>HYPERLINK("https://twitter.com/ased_mohsen/status/1036834292867817472","1036834292867817472")</f>
        <v>1036834292867817472</v>
      </c>
      <c r="F1540" s="4"/>
      <c r="G1540" s="4"/>
      <c r="H1540" s="4"/>
      <c r="I1540" s="10" t="str">
        <f>HYPERLINK("http://twitter.com","Twitter Web Client")</f>
        <v>Twitter Web Client</v>
      </c>
      <c r="J1540" s="2">
        <v>178</v>
      </c>
      <c r="K1540" s="2">
        <v>431</v>
      </c>
      <c r="L1540" s="2">
        <v>0</v>
      </c>
      <c r="M1540" s="2"/>
      <c r="N1540" s="8">
        <v>42868.507858796293</v>
      </c>
      <c r="O1540" s="4" t="s">
        <v>17</v>
      </c>
      <c r="P1540" s="3" t="s">
        <v>12825</v>
      </c>
      <c r="Q1540" s="4"/>
      <c r="R1540" s="4"/>
      <c r="S1540" s="9" t="str">
        <f>HYPERLINK("https://pbs.twimg.com/profile_images/863311798400831488/efufljZK.jpg","View")</f>
        <v>View</v>
      </c>
    </row>
    <row r="1541" spans="1:19" ht="40">
      <c r="A1541" s="8">
        <v>43347.375648148147</v>
      </c>
      <c r="B1541" s="11" t="str">
        <f>HYPERLINK("https://twitter.com/Mohajerbitab","@Mohajerbitab")</f>
        <v>@Mohajerbitab</v>
      </c>
      <c r="C1541" s="6" t="s">
        <v>5559</v>
      </c>
      <c r="D1541" s="5" t="s">
        <v>12824</v>
      </c>
      <c r="E1541" s="9" t="str">
        <f>HYPERLINK("https://twitter.com/Mohajerbitab/status/1036833969717895168","1036833969717895168")</f>
        <v>1036833969717895168</v>
      </c>
      <c r="F1541" s="4"/>
      <c r="G1541" s="10" t="s">
        <v>12823</v>
      </c>
      <c r="H1541" s="4"/>
      <c r="I1541" s="10" t="str">
        <f>HYPERLINK("http://twitter.com/download/android","Twitter for Android")</f>
        <v>Twitter for Android</v>
      </c>
      <c r="J1541" s="2">
        <v>116</v>
      </c>
      <c r="K1541" s="2">
        <v>158</v>
      </c>
      <c r="L1541" s="2">
        <v>1</v>
      </c>
      <c r="M1541" s="2"/>
      <c r="N1541" s="8">
        <v>43121.590682870374</v>
      </c>
      <c r="O1541" s="4" t="s">
        <v>17</v>
      </c>
      <c r="P1541" s="3" t="s">
        <v>5557</v>
      </c>
      <c r="Q1541" s="4"/>
      <c r="R1541" s="4"/>
      <c r="S1541" s="9" t="str">
        <f>HYPERLINK("https://pbs.twimg.com/profile_images/955038416697200645/y-gtAR_w.jpg","View")</f>
        <v>View</v>
      </c>
    </row>
    <row r="1542" spans="1:19" ht="20">
      <c r="A1542" s="8">
        <v>43347.374837962961</v>
      </c>
      <c r="B1542" s="11" t="str">
        <f>HYPERLINK("https://twitter.com/HHezarjaribi","@HHezarjaribi")</f>
        <v>@HHezarjaribi</v>
      </c>
      <c r="C1542" s="6" t="s">
        <v>12822</v>
      </c>
      <c r="D1542" s="5" t="s">
        <v>12821</v>
      </c>
      <c r="E1542" s="9" t="str">
        <f>HYPERLINK("https://twitter.com/HHezarjaribi/status/1036833677207068672","1036833677207068672")</f>
        <v>1036833677207068672</v>
      </c>
      <c r="F1542" s="4"/>
      <c r="G1542" s="4"/>
      <c r="H1542" s="4"/>
      <c r="I1542" s="10" t="str">
        <f>HYPERLINK("http://twitter.com/download/android","Twitter for Android")</f>
        <v>Twitter for Android</v>
      </c>
      <c r="J1542" s="2">
        <v>381</v>
      </c>
      <c r="K1542" s="2">
        <v>166</v>
      </c>
      <c r="L1542" s="2">
        <v>1</v>
      </c>
      <c r="M1542" s="2"/>
      <c r="N1542" s="8">
        <v>42419.560995370368</v>
      </c>
      <c r="O1542" s="4" t="s">
        <v>682</v>
      </c>
      <c r="P1542" s="3" t="s">
        <v>12820</v>
      </c>
      <c r="Q1542" s="4"/>
      <c r="R1542" s="4"/>
      <c r="S1542" s="9" t="str">
        <f>HYPERLINK("https://pbs.twimg.com/profile_images/839865289412075520/lBq3P9Cb.jpg","View")</f>
        <v>View</v>
      </c>
    </row>
    <row r="1543" spans="1:19" ht="20">
      <c r="A1543" s="8">
        <v>43347.3746875</v>
      </c>
      <c r="B1543" s="11" t="str">
        <f>HYPERLINK("https://twitter.com/seyed_mohsen22","@seyed_mohsen22")</f>
        <v>@seyed_mohsen22</v>
      </c>
      <c r="C1543" s="6" t="s">
        <v>10615</v>
      </c>
      <c r="D1543" s="5" t="s">
        <v>12819</v>
      </c>
      <c r="E1543" s="9" t="str">
        <f>HYPERLINK("https://twitter.com/seyed_mohsen22/status/1036833622286848000","1036833622286848000")</f>
        <v>1036833622286848000</v>
      </c>
      <c r="F1543" s="4"/>
      <c r="G1543" s="4"/>
      <c r="H1543" s="4"/>
      <c r="I1543" s="10" t="str">
        <f>HYPERLINK("https://mobile.twitter.com","Twitter Lite")</f>
        <v>Twitter Lite</v>
      </c>
      <c r="J1543" s="2">
        <v>18</v>
      </c>
      <c r="K1543" s="2">
        <v>0</v>
      </c>
      <c r="L1543" s="2">
        <v>0</v>
      </c>
      <c r="M1543" s="2"/>
      <c r="N1543" s="8">
        <v>43324.410196759258</v>
      </c>
      <c r="O1543" s="4"/>
      <c r="P1543" s="3"/>
      <c r="Q1543" s="4"/>
      <c r="R1543" s="4"/>
      <c r="S1543" s="2" t="s">
        <v>155</v>
      </c>
    </row>
    <row r="1544" spans="1:19" ht="40">
      <c r="A1544" s="8">
        <v>43347.374027777776</v>
      </c>
      <c r="B1544" s="11" t="str">
        <f>HYPERLINK("https://twitter.com/edrismohamadi72","@edrismohamadi72")</f>
        <v>@edrismohamadi72</v>
      </c>
      <c r="C1544" s="6" t="s">
        <v>12818</v>
      </c>
      <c r="D1544" s="5" t="s">
        <v>12817</v>
      </c>
      <c r="E1544" s="9" t="str">
        <f>HYPERLINK("https://twitter.com/edrismohamadi72/status/1036833384637652992","1036833384637652992")</f>
        <v>1036833384637652992</v>
      </c>
      <c r="F1544" s="4"/>
      <c r="G1544" s="4"/>
      <c r="H1544" s="4"/>
      <c r="I1544" s="10" t="str">
        <f>HYPERLINK("https://mobile.twitter.com","Twitter Lite")</f>
        <v>Twitter Lite</v>
      </c>
      <c r="J1544" s="2">
        <v>55</v>
      </c>
      <c r="K1544" s="2">
        <v>72</v>
      </c>
      <c r="L1544" s="2">
        <v>0</v>
      </c>
      <c r="M1544" s="2"/>
      <c r="N1544" s="8">
        <v>42914.454930555556</v>
      </c>
      <c r="O1544" s="4" t="s">
        <v>17</v>
      </c>
      <c r="P1544" s="3" t="s">
        <v>12816</v>
      </c>
      <c r="Q1544" s="10" t="s">
        <v>12815</v>
      </c>
      <c r="R1544" s="4"/>
      <c r="S1544" s="9" t="str">
        <f>HYPERLINK("https://pbs.twimg.com/profile_images/1023205012363767813/NuFvSZaj.jpg","View")</f>
        <v>View</v>
      </c>
    </row>
    <row r="1545" spans="1:19" ht="40">
      <c r="A1545" s="8">
        <v>43347.37195601852</v>
      </c>
      <c r="B1545" s="11" t="str">
        <f>HYPERLINK("https://twitter.com/Gavaazn","@Gavaazn")</f>
        <v>@Gavaazn</v>
      </c>
      <c r="C1545" s="6" t="s">
        <v>7229</v>
      </c>
      <c r="D1545" s="5" t="s">
        <v>12814</v>
      </c>
      <c r="E1545" s="9" t="str">
        <f>HYPERLINK("https://twitter.com/Gavaazn/status/1036832632712187906","1036832632712187906")</f>
        <v>1036832632712187906</v>
      </c>
      <c r="F1545" s="4"/>
      <c r="G1545" s="4"/>
      <c r="H1545" s="4"/>
      <c r="I1545" s="10" t="str">
        <f>HYPERLINK("http://twitter.com/download/android","Twitter for Android")</f>
        <v>Twitter for Android</v>
      </c>
      <c r="J1545" s="2">
        <v>27577</v>
      </c>
      <c r="K1545" s="2">
        <v>173</v>
      </c>
      <c r="L1545" s="2">
        <v>97</v>
      </c>
      <c r="M1545" s="2"/>
      <c r="N1545" s="8">
        <v>40597.545011574075</v>
      </c>
      <c r="O1545" s="4" t="s">
        <v>7227</v>
      </c>
      <c r="P1545" s="3" t="s">
        <v>7226</v>
      </c>
      <c r="Q1545" s="4"/>
      <c r="R1545" s="4"/>
      <c r="S1545" s="9" t="str">
        <f>HYPERLINK("https://pbs.twimg.com/profile_images/1013293995919802369/ef_hQ1Lm.jpg","View")</f>
        <v>View</v>
      </c>
    </row>
    <row r="1546" spans="1:19" ht="20">
      <c r="A1546" s="8">
        <v>43347.368738425925</v>
      </c>
      <c r="B1546" s="11" t="str">
        <f>HYPERLINK("https://twitter.com/ilnanews","@ilnanews")</f>
        <v>@ilnanews</v>
      </c>
      <c r="C1546" s="6" t="s">
        <v>6413</v>
      </c>
      <c r="D1546" s="5" t="s">
        <v>12813</v>
      </c>
      <c r="E1546" s="9" t="str">
        <f>HYPERLINK("https://twitter.com/ilnanews/status/1036831465407950849","1036831465407950849")</f>
        <v>1036831465407950849</v>
      </c>
      <c r="F1546" s="10" t="s">
        <v>12812</v>
      </c>
      <c r="G1546" s="10" t="s">
        <v>12811</v>
      </c>
      <c r="H1546" s="4"/>
      <c r="I1546" s="10" t="str">
        <f>HYPERLINK("http://twitter.com/download/android","Twitter for Android")</f>
        <v>Twitter for Android</v>
      </c>
      <c r="J1546" s="2">
        <v>32444</v>
      </c>
      <c r="K1546" s="2">
        <v>67</v>
      </c>
      <c r="L1546" s="2">
        <v>161</v>
      </c>
      <c r="M1546" s="2"/>
      <c r="N1546" s="8">
        <v>42062.024768518517</v>
      </c>
      <c r="O1546" s="4" t="s">
        <v>34</v>
      </c>
      <c r="P1546" s="3" t="s">
        <v>6409</v>
      </c>
      <c r="Q1546" s="10" t="s">
        <v>6408</v>
      </c>
      <c r="R1546" s="4"/>
      <c r="S1546" s="9" t="str">
        <f>HYPERLINK("https://pbs.twimg.com/profile_images/760387216782848000/TS1QyYLo.jpg","View")</f>
        <v>View</v>
      </c>
    </row>
    <row r="1547" spans="1:19" ht="40">
      <c r="A1547" s="8">
        <v>43347.367141203707</v>
      </c>
      <c r="B1547" s="11" t="str">
        <f>HYPERLINK("https://twitter.com/haleh_zarepoor","@haleh_zarepoor")</f>
        <v>@haleh_zarepoor</v>
      </c>
      <c r="C1547" s="6" t="s">
        <v>12810</v>
      </c>
      <c r="D1547" s="5" t="s">
        <v>12809</v>
      </c>
      <c r="E1547" s="9" t="str">
        <f>HYPERLINK("https://twitter.com/haleh_zarepoor/status/1036830885449015296","1036830885449015296")</f>
        <v>1036830885449015296</v>
      </c>
      <c r="F1547" s="4"/>
      <c r="G1547" s="4"/>
      <c r="H1547" s="4"/>
      <c r="I1547" s="10" t="str">
        <f>HYPERLINK("http://twitter.com/download/android","Twitter for Android")</f>
        <v>Twitter for Android</v>
      </c>
      <c r="J1547" s="2">
        <v>117</v>
      </c>
      <c r="K1547" s="2">
        <v>451</v>
      </c>
      <c r="L1547" s="2">
        <v>0</v>
      </c>
      <c r="M1547" s="2"/>
      <c r="N1547" s="8">
        <v>43100.649236111116</v>
      </c>
      <c r="O1547" s="4"/>
      <c r="P1547" s="3" t="s">
        <v>12808</v>
      </c>
      <c r="Q1547" s="4"/>
      <c r="R1547" s="4"/>
      <c r="S1547" s="9" t="str">
        <f>HYPERLINK("https://pbs.twimg.com/profile_images/948995416712011776/SudmZCRY.jpg","View")</f>
        <v>View</v>
      </c>
    </row>
    <row r="1548" spans="1:19" ht="40">
      <c r="A1548" s="8">
        <v>43347.366678240738</v>
      </c>
      <c r="B1548" s="11" t="str">
        <f>HYPERLINK("https://twitter.com/morteza_da110","@morteza_da110")</f>
        <v>@morteza_da110</v>
      </c>
      <c r="C1548" s="6" t="s">
        <v>6088</v>
      </c>
      <c r="D1548" s="5" t="s">
        <v>12807</v>
      </c>
      <c r="E1548" s="9" t="str">
        <f>HYPERLINK("https://twitter.com/morteza_da110/status/1036830720726061056","1036830720726061056")</f>
        <v>1036830720726061056</v>
      </c>
      <c r="F1548" s="4"/>
      <c r="G1548" s="4"/>
      <c r="H1548" s="4"/>
      <c r="I1548" s="10" t="str">
        <f>HYPERLINK("http://twitter.com/download/android","Twitter for Android")</f>
        <v>Twitter for Android</v>
      </c>
      <c r="J1548" s="2">
        <v>22</v>
      </c>
      <c r="K1548" s="2">
        <v>58</v>
      </c>
      <c r="L1548" s="2">
        <v>0</v>
      </c>
      <c r="M1548" s="2"/>
      <c r="N1548" s="8">
        <v>43212.484756944439</v>
      </c>
      <c r="O1548" s="4"/>
      <c r="P1548" s="3" t="s">
        <v>12806</v>
      </c>
      <c r="Q1548" s="4"/>
      <c r="R1548" s="4"/>
      <c r="S1548" s="9" t="str">
        <f>HYPERLINK("https://pbs.twimg.com/profile_images/1033059759409250304/Nf9_4J2t.jpg","View")</f>
        <v>View</v>
      </c>
    </row>
    <row r="1549" spans="1:19" ht="60">
      <c r="A1549" s="8">
        <v>43347.358784722222</v>
      </c>
      <c r="B1549" s="11" t="str">
        <f>HYPERLINK("https://twitter.com/ata_afs","@ata_afs")</f>
        <v>@ata_afs</v>
      </c>
      <c r="C1549" s="6" t="s">
        <v>1217</v>
      </c>
      <c r="D1549" s="5" t="s">
        <v>12805</v>
      </c>
      <c r="E1549" s="9" t="str">
        <f>HYPERLINK("https://twitter.com/ata_afs/status/1036827858570698753","1036827858570698753")</f>
        <v>1036827858570698753</v>
      </c>
      <c r="F1549" s="10" t="s">
        <v>12804</v>
      </c>
      <c r="G1549" s="4"/>
      <c r="H1549" s="4"/>
      <c r="I1549" s="10" t="str">
        <f>HYPERLINK("http://twitter.com/download/iphone","Twitter for iPhone")</f>
        <v>Twitter for iPhone</v>
      </c>
      <c r="J1549" s="2">
        <v>381</v>
      </c>
      <c r="K1549" s="2">
        <v>697</v>
      </c>
      <c r="L1549" s="2">
        <v>0</v>
      </c>
      <c r="M1549" s="2"/>
      <c r="N1549" s="8">
        <v>41833.536099537036</v>
      </c>
      <c r="O1549" s="4" t="s">
        <v>34</v>
      </c>
      <c r="P1549" s="3" t="s">
        <v>1213</v>
      </c>
      <c r="Q1549" s="4"/>
      <c r="R1549" s="4"/>
      <c r="S1549" s="9" t="str">
        <f>HYPERLINK("https://pbs.twimg.com/profile_images/958374868008960000/IRXSv5-C.jpg","View")</f>
        <v>View</v>
      </c>
    </row>
    <row r="1550" spans="1:19" ht="20">
      <c r="A1550" s="8">
        <v>43347.349606481483</v>
      </c>
      <c r="B1550" s="11" t="str">
        <f>HYPERLINK("https://twitter.com/yVA4ATUfdofr2xS","@yVA4ATUfdofr2xS")</f>
        <v>@yVA4ATUfdofr2xS</v>
      </c>
      <c r="C1550" s="6" t="s">
        <v>27</v>
      </c>
      <c r="D1550" s="5" t="s">
        <v>12803</v>
      </c>
      <c r="E1550" s="9" t="str">
        <f>HYPERLINK("https://twitter.com/yVA4ATUfdofr2xS/status/1036824533771145217","1036824533771145217")</f>
        <v>1036824533771145217</v>
      </c>
      <c r="F1550" s="4"/>
      <c r="G1550" s="4"/>
      <c r="H1550" s="4"/>
      <c r="I1550" s="10" t="str">
        <f>HYPERLINK("http://twitter.com","Twitter Web Client")</f>
        <v>Twitter Web Client</v>
      </c>
      <c r="J1550" s="2">
        <v>203</v>
      </c>
      <c r="K1550" s="2">
        <v>311</v>
      </c>
      <c r="L1550" s="2">
        <v>0</v>
      </c>
      <c r="M1550" s="2"/>
      <c r="N1550" s="8">
        <v>43323.438252314816</v>
      </c>
      <c r="O1550" s="4" t="s">
        <v>25</v>
      </c>
      <c r="P1550" s="3" t="s">
        <v>24</v>
      </c>
      <c r="Q1550" s="4"/>
      <c r="R1550" s="4"/>
      <c r="S1550" s="9" t="str">
        <f>HYPERLINK("https://pbs.twimg.com/profile_images/1028178183206498305/b7usXKsw.jpg","View")</f>
        <v>View</v>
      </c>
    </row>
    <row r="1551" spans="1:19" ht="20">
      <c r="A1551" s="8">
        <v>43347.349236111113</v>
      </c>
      <c r="B1551" s="11" t="str">
        <f>HYPERLINK("https://twitter.com/icana_ir","@icana_ir")</f>
        <v>@icana_ir</v>
      </c>
      <c r="C1551" s="6" t="s">
        <v>12798</v>
      </c>
      <c r="D1551" s="5" t="s">
        <v>12802</v>
      </c>
      <c r="E1551" s="9" t="str">
        <f>HYPERLINK("https://twitter.com/icana_ir/status/1036824398102192128","1036824398102192128")</f>
        <v>1036824398102192128</v>
      </c>
      <c r="F1551" s="10" t="s">
        <v>12801</v>
      </c>
      <c r="G1551" s="10" t="s">
        <v>12800</v>
      </c>
      <c r="H1551" s="4"/>
      <c r="I1551" s="10" t="str">
        <f>HYPERLINK("http://twitter.com","Twitter Web Client")</f>
        <v>Twitter Web Client</v>
      </c>
      <c r="J1551" s="2">
        <v>2534</v>
      </c>
      <c r="K1551" s="2">
        <v>3</v>
      </c>
      <c r="L1551" s="2">
        <v>29</v>
      </c>
      <c r="M1551" s="2"/>
      <c r="N1551" s="8">
        <v>41937.766423611109</v>
      </c>
      <c r="O1551" s="4" t="s">
        <v>12794</v>
      </c>
      <c r="P1551" s="3" t="s">
        <v>12793</v>
      </c>
      <c r="Q1551" s="10" t="s">
        <v>12792</v>
      </c>
      <c r="R1551" s="4"/>
      <c r="S1551" s="9" t="str">
        <f>HYPERLINK("https://pbs.twimg.com/profile_images/1010418709343690752/zldgS7SC.jpg","View")</f>
        <v>View</v>
      </c>
    </row>
    <row r="1552" spans="1:19" ht="30">
      <c r="A1552" s="8">
        <v>43347.348182870366</v>
      </c>
      <c r="B1552" s="11" t="str">
        <f>HYPERLINK("https://twitter.com/mehrnews_fa","@mehrnews_fa")</f>
        <v>@mehrnews_fa</v>
      </c>
      <c r="C1552" s="6" t="s">
        <v>2447</v>
      </c>
      <c r="D1552" s="5" t="s">
        <v>12799</v>
      </c>
      <c r="E1552" s="9" t="str">
        <f>HYPERLINK("https://twitter.com/mehrnews_fa/status/1036824018408681472","1036824018408681472")</f>
        <v>1036824018408681472</v>
      </c>
      <c r="F1552" s="4"/>
      <c r="G1552" s="4"/>
      <c r="H1552" s="4"/>
      <c r="I1552" s="10" t="str">
        <f>HYPERLINK("http://twitter.com/download/iphone","Twitter for iPhone")</f>
        <v>Twitter for iPhone</v>
      </c>
      <c r="J1552" s="2">
        <v>24201</v>
      </c>
      <c r="K1552" s="2">
        <v>8</v>
      </c>
      <c r="L1552" s="2">
        <v>138</v>
      </c>
      <c r="M1552" s="2"/>
      <c r="N1552" s="8">
        <v>42113.452511574069</v>
      </c>
      <c r="O1552" s="4" t="s">
        <v>17</v>
      </c>
      <c r="P1552" s="3" t="s">
        <v>2444</v>
      </c>
      <c r="Q1552" s="10" t="s">
        <v>2443</v>
      </c>
      <c r="R1552" s="4"/>
      <c r="S1552" s="9" t="str">
        <f>HYPERLINK("https://pbs.twimg.com/profile_images/963011131404177408/MUZXzT7V.jpg","View")</f>
        <v>View</v>
      </c>
    </row>
    <row r="1553" spans="1:19" ht="30">
      <c r="A1553" s="8">
        <v>43347.345138888893</v>
      </c>
      <c r="B1553" s="11" t="str">
        <f>HYPERLINK("https://twitter.com/icana_ir","@icana_ir")</f>
        <v>@icana_ir</v>
      </c>
      <c r="C1553" s="6" t="s">
        <v>12798</v>
      </c>
      <c r="D1553" s="5" t="s">
        <v>12797</v>
      </c>
      <c r="E1553" s="9" t="str">
        <f>HYPERLINK("https://twitter.com/icana_ir/status/1036822914639831046","1036822914639831046")</f>
        <v>1036822914639831046</v>
      </c>
      <c r="F1553" s="10" t="s">
        <v>12796</v>
      </c>
      <c r="G1553" s="10" t="s">
        <v>12795</v>
      </c>
      <c r="H1553" s="4"/>
      <c r="I1553" s="10" t="str">
        <f>HYPERLINK("http://twitter.com","Twitter Web Client")</f>
        <v>Twitter Web Client</v>
      </c>
      <c r="J1553" s="2">
        <v>2534</v>
      </c>
      <c r="K1553" s="2">
        <v>3</v>
      </c>
      <c r="L1553" s="2">
        <v>29</v>
      </c>
      <c r="M1553" s="2"/>
      <c r="N1553" s="8">
        <v>41937.766423611109</v>
      </c>
      <c r="O1553" s="4" t="s">
        <v>12794</v>
      </c>
      <c r="P1553" s="3" t="s">
        <v>12793</v>
      </c>
      <c r="Q1553" s="10" t="s">
        <v>12792</v>
      </c>
      <c r="R1553" s="4"/>
      <c r="S1553" s="9" t="str">
        <f>HYPERLINK("https://pbs.twimg.com/profile_images/1010418709343690752/zldgS7SC.jpg","View")</f>
        <v>View</v>
      </c>
    </row>
    <row r="1554" spans="1:19" ht="90">
      <c r="A1554" s="8">
        <v>43347.339606481481</v>
      </c>
      <c r="B1554" s="11" t="str">
        <f>HYPERLINK("https://twitter.com/Mahdi25783774","@Mahdi25783774")</f>
        <v>@Mahdi25783774</v>
      </c>
      <c r="C1554" s="6" t="s">
        <v>5469</v>
      </c>
      <c r="D1554" s="5" t="s">
        <v>12791</v>
      </c>
      <c r="E1554" s="9" t="str">
        <f>HYPERLINK("https://twitter.com/Mahdi25783774/status/1036820907497541632","1036820907497541632")</f>
        <v>1036820907497541632</v>
      </c>
      <c r="F1554" s="10" t="s">
        <v>12790</v>
      </c>
      <c r="G1554" s="10" t="s">
        <v>12789</v>
      </c>
      <c r="H1554" s="4"/>
      <c r="I1554" s="10" t="str">
        <f>HYPERLINK("http://twitter.com/download/android","Twitter for Android")</f>
        <v>Twitter for Android</v>
      </c>
      <c r="J1554" s="2">
        <v>706</v>
      </c>
      <c r="K1554" s="2">
        <v>899</v>
      </c>
      <c r="L1554" s="2">
        <v>1</v>
      </c>
      <c r="M1554" s="2"/>
      <c r="N1554" s="8">
        <v>43233.519814814819</v>
      </c>
      <c r="O1554" s="4" t="s">
        <v>133</v>
      </c>
      <c r="P1554" s="3" t="s">
        <v>5466</v>
      </c>
      <c r="Q1554" s="4"/>
      <c r="R1554" s="4"/>
      <c r="S1554" s="9" t="str">
        <f>HYPERLINK("https://pbs.twimg.com/profile_images/1033642102679318528/4lBWskrd.jpg","View")</f>
        <v>View</v>
      </c>
    </row>
    <row r="1555" spans="1:19" ht="20">
      <c r="A1555" s="8">
        <v>43347.336875000001</v>
      </c>
      <c r="B1555" s="11" t="str">
        <f>HYPERLINK("https://twitter.com/siamaksarmad","@siamaksarmad")</f>
        <v>@siamaksarmad</v>
      </c>
      <c r="C1555" s="6" t="s">
        <v>12788</v>
      </c>
      <c r="D1555" s="5" t="s">
        <v>12787</v>
      </c>
      <c r="E1555" s="9" t="str">
        <f>HYPERLINK("https://twitter.com/siamaksarmad/status/1036819919470567425","1036819919470567425")</f>
        <v>1036819919470567425</v>
      </c>
      <c r="F1555" s="4"/>
      <c r="G1555" s="4"/>
      <c r="H1555" s="4"/>
      <c r="I1555" s="10" t="str">
        <f>HYPERLINK("https://mobile.twitter.com","Twitter Lite")</f>
        <v>Twitter Lite</v>
      </c>
      <c r="J1555" s="2">
        <v>0</v>
      </c>
      <c r="K1555" s="2">
        <v>7</v>
      </c>
      <c r="L1555" s="2">
        <v>0</v>
      </c>
      <c r="M1555" s="2"/>
      <c r="N1555" s="8">
        <v>43307.373576388884</v>
      </c>
      <c r="O1555" s="4"/>
      <c r="P1555" s="3"/>
      <c r="Q1555" s="4"/>
      <c r="R1555" s="4"/>
      <c r="S1555" s="2" t="s">
        <v>155</v>
      </c>
    </row>
    <row r="1556" spans="1:19" ht="20">
      <c r="A1556" s="8">
        <v>43347.335763888885</v>
      </c>
      <c r="B1556" s="11" t="str">
        <f>HYPERLINK("https://twitter.com/hoda_seyfii","@hoda_seyfii")</f>
        <v>@hoda_seyfii</v>
      </c>
      <c r="C1556" s="6" t="s">
        <v>12786</v>
      </c>
      <c r="D1556" s="5" t="s">
        <v>12785</v>
      </c>
      <c r="E1556" s="9" t="str">
        <f>HYPERLINK("https://twitter.com/hoda_seyfii/status/1036819515722608640","1036819515722608640")</f>
        <v>1036819515722608640</v>
      </c>
      <c r="F1556" s="4"/>
      <c r="G1556" s="4"/>
      <c r="H1556" s="4"/>
      <c r="I1556" s="10" t="str">
        <f>HYPERLINK("http://twitter.com/download/android","Twitter for Android")</f>
        <v>Twitter for Android</v>
      </c>
      <c r="J1556" s="2">
        <v>375</v>
      </c>
      <c r="K1556" s="2">
        <v>98</v>
      </c>
      <c r="L1556" s="2">
        <v>0</v>
      </c>
      <c r="M1556" s="2"/>
      <c r="N1556" s="8">
        <v>43221.015810185185</v>
      </c>
      <c r="O1556" s="4" t="s">
        <v>12784</v>
      </c>
      <c r="P1556" s="3" t="s">
        <v>12783</v>
      </c>
      <c r="Q1556" s="10" t="s">
        <v>12782</v>
      </c>
      <c r="R1556" s="4"/>
      <c r="S1556" s="9" t="str">
        <f>HYPERLINK("https://pbs.twimg.com/profile_images/1010146489685987328/mQ9iPx7H.jpg","View")</f>
        <v>View</v>
      </c>
    </row>
    <row r="1557" spans="1:19" ht="30">
      <c r="A1557" s="8">
        <v>43347.319965277777</v>
      </c>
      <c r="B1557" s="11" t="str">
        <f>HYPERLINK("https://twitter.com/yja1326","@yja1326")</f>
        <v>@yja1326</v>
      </c>
      <c r="C1557" s="6" t="s">
        <v>12781</v>
      </c>
      <c r="D1557" s="5" t="s">
        <v>12780</v>
      </c>
      <c r="E1557" s="9" t="str">
        <f>HYPERLINK("https://twitter.com/yja1326/status/1036813792573710336","1036813792573710336")</f>
        <v>1036813792573710336</v>
      </c>
      <c r="F1557" s="4"/>
      <c r="G1557" s="4"/>
      <c r="H1557" s="4"/>
      <c r="I1557" s="10" t="str">
        <f>HYPERLINK("http://twitter.com","Twitter Web Client")</f>
        <v>Twitter Web Client</v>
      </c>
      <c r="J1557" s="2">
        <v>0</v>
      </c>
      <c r="K1557" s="2">
        <v>3</v>
      </c>
      <c r="L1557" s="2">
        <v>1</v>
      </c>
      <c r="M1557" s="2"/>
      <c r="N1557" s="8">
        <v>40781.381990740745</v>
      </c>
      <c r="O1557" s="4"/>
      <c r="P1557" s="3" t="s">
        <v>12779</v>
      </c>
      <c r="Q1557" s="4"/>
      <c r="R1557" s="4"/>
      <c r="S1557" s="9" t="str">
        <f>HYPERLINK("https://pbs.twimg.com/profile_images/853180693270204416/an8twxkZ.jpg","View")</f>
        <v>View</v>
      </c>
    </row>
    <row r="1558" spans="1:19" ht="30">
      <c r="A1558" s="8">
        <v>43347.317754629628</v>
      </c>
      <c r="B1558" s="11" t="str">
        <f>HYPERLINK("https://twitter.com/nbiLSSbA5SFZXs5","@nbiLSSbA5SFZXs5")</f>
        <v>@nbiLSSbA5SFZXs5</v>
      </c>
      <c r="C1558" s="6" t="s">
        <v>12778</v>
      </c>
      <c r="D1558" s="5" t="s">
        <v>12777</v>
      </c>
      <c r="E1558" s="9" t="str">
        <f>HYPERLINK("https://twitter.com/nbiLSSbA5SFZXs5/status/1036812991579267073","1036812991579267073")</f>
        <v>1036812991579267073</v>
      </c>
      <c r="F1558" s="4"/>
      <c r="G1558" s="4"/>
      <c r="H1558" s="4"/>
      <c r="I1558" s="10" t="str">
        <f>HYPERLINK("http://twitter.com/download/android","Twitter for Android")</f>
        <v>Twitter for Android</v>
      </c>
      <c r="J1558" s="2">
        <v>1</v>
      </c>
      <c r="K1558" s="2">
        <v>8</v>
      </c>
      <c r="L1558" s="2">
        <v>0</v>
      </c>
      <c r="M1558" s="2"/>
      <c r="N1558" s="8">
        <v>43336.633912037039</v>
      </c>
      <c r="O1558" s="4"/>
      <c r="P1558" s="3"/>
      <c r="Q1558" s="4"/>
      <c r="R1558" s="4"/>
      <c r="S1558" s="2" t="s">
        <v>155</v>
      </c>
    </row>
    <row r="1559" spans="1:19" ht="12.5">
      <c r="A1559" s="8">
        <v>43347.310648148152</v>
      </c>
      <c r="B1559" s="11" t="str">
        <f>HYPERLINK("https://twitter.com/Htcarc","@Htcarc")</f>
        <v>@Htcarc</v>
      </c>
      <c r="C1559" s="6" t="s">
        <v>10651</v>
      </c>
      <c r="D1559" s="5" t="s">
        <v>12776</v>
      </c>
      <c r="E1559" s="9" t="str">
        <f>HYPERLINK("https://twitter.com/Htcarc/status/1036810416310165504","1036810416310165504")</f>
        <v>1036810416310165504</v>
      </c>
      <c r="F1559" s="10" t="s">
        <v>12775</v>
      </c>
      <c r="G1559" s="10" t="s">
        <v>12774</v>
      </c>
      <c r="H1559" s="4"/>
      <c r="I1559" s="10" t="str">
        <f>HYPERLINK("http://twitter.com/download/iphone","Twitter for iPhone")</f>
        <v>Twitter for iPhone</v>
      </c>
      <c r="J1559" s="2">
        <v>462</v>
      </c>
      <c r="K1559" s="2">
        <v>1866</v>
      </c>
      <c r="L1559" s="2">
        <v>1</v>
      </c>
      <c r="M1559" s="2"/>
      <c r="N1559" s="8">
        <v>40573.577118055553</v>
      </c>
      <c r="O1559" s="4" t="s">
        <v>10649</v>
      </c>
      <c r="P1559" s="3" t="s">
        <v>10648</v>
      </c>
      <c r="Q1559" s="4"/>
      <c r="R1559" s="4"/>
      <c r="S1559" s="9" t="str">
        <f>HYPERLINK("https://pbs.twimg.com/profile_images/1009074827293069312/Z84R5-LL.jpg","View")</f>
        <v>View</v>
      </c>
    </row>
    <row r="1560" spans="1:19" ht="40">
      <c r="A1560" s="8">
        <v>43347.287349537037</v>
      </c>
      <c r="B1560" s="11" t="str">
        <f>HYPERLINK("https://twitter.com/Revman10","@Revman10")</f>
        <v>@Revman10</v>
      </c>
      <c r="C1560" s="6" t="s">
        <v>4403</v>
      </c>
      <c r="D1560" s="5" t="s">
        <v>12773</v>
      </c>
      <c r="E1560" s="9" t="str">
        <f>HYPERLINK("https://twitter.com/Revman10/status/1036801973180350464","1036801973180350464")</f>
        <v>1036801973180350464</v>
      </c>
      <c r="F1560" s="4"/>
      <c r="G1560" s="4"/>
      <c r="H1560" s="4"/>
      <c r="I1560" s="10" t="str">
        <f>HYPERLINK("http://twitter.com/download/android","Twitter for Android")</f>
        <v>Twitter for Android</v>
      </c>
      <c r="J1560" s="2">
        <v>74</v>
      </c>
      <c r="K1560" s="2">
        <v>96</v>
      </c>
      <c r="L1560" s="2">
        <v>0</v>
      </c>
      <c r="M1560" s="2"/>
      <c r="N1560" s="8">
        <v>43271.257766203707</v>
      </c>
      <c r="O1560" s="4" t="s">
        <v>324</v>
      </c>
      <c r="P1560" s="3" t="s">
        <v>4401</v>
      </c>
      <c r="Q1560" s="4"/>
      <c r="R1560" s="4"/>
      <c r="S1560" s="9" t="str">
        <f>HYPERLINK("https://pbs.twimg.com/profile_images/1027487813896429568/Gbn1h0z3.jpg","View")</f>
        <v>View</v>
      </c>
    </row>
    <row r="1561" spans="1:19" ht="20">
      <c r="A1561" s="8">
        <v>43347.281574074077</v>
      </c>
      <c r="B1561" s="11" t="str">
        <f>HYPERLINK("https://twitter.com/Babajanallen","@Babajanallen")</f>
        <v>@Babajanallen</v>
      </c>
      <c r="C1561" s="6" t="s">
        <v>8656</v>
      </c>
      <c r="D1561" s="5" t="s">
        <v>12772</v>
      </c>
      <c r="E1561" s="9" t="str">
        <f>HYPERLINK("https://twitter.com/Babajanallen/status/1036799879237066752","1036799879237066752")</f>
        <v>1036799879237066752</v>
      </c>
      <c r="F1561" s="4"/>
      <c r="G1561" s="4"/>
      <c r="H1561" s="4"/>
      <c r="I1561" s="10" t="str">
        <f>HYPERLINK("http://twitter.com/download/iphone","Twitter for iPhone")</f>
        <v>Twitter for iPhone</v>
      </c>
      <c r="J1561" s="2">
        <v>12</v>
      </c>
      <c r="K1561" s="2">
        <v>135</v>
      </c>
      <c r="L1561" s="2">
        <v>0</v>
      </c>
      <c r="M1561" s="2"/>
      <c r="N1561" s="8">
        <v>42760.961331018523</v>
      </c>
      <c r="O1561" s="4" t="s">
        <v>3647</v>
      </c>
      <c r="P1561" s="3" t="s">
        <v>8654</v>
      </c>
      <c r="Q1561" s="4"/>
      <c r="R1561" s="4"/>
      <c r="S1561" s="9" t="str">
        <f>HYPERLINK("https://pbs.twimg.com/profile_images/1021462190723928065/clCPyAGe.jpg","View")</f>
        <v>View</v>
      </c>
    </row>
    <row r="1562" spans="1:19" ht="40">
      <c r="A1562" s="8">
        <v>43347.265601851846</v>
      </c>
      <c r="B1562" s="11" t="str">
        <f>HYPERLINK("https://twitter.com/Caveman100000BC","@Caveman100000BC")</f>
        <v>@Caveman100000BC</v>
      </c>
      <c r="C1562" s="6" t="s">
        <v>12771</v>
      </c>
      <c r="D1562" s="5" t="s">
        <v>12770</v>
      </c>
      <c r="E1562" s="9" t="str">
        <f>HYPERLINK("https://twitter.com/Caveman100000BC/status/1036794091571499008","1036794091571499008")</f>
        <v>1036794091571499008</v>
      </c>
      <c r="F1562" s="4"/>
      <c r="G1562" s="10" t="s">
        <v>12769</v>
      </c>
      <c r="H1562" s="4"/>
      <c r="I1562" s="10" t="str">
        <f>HYPERLINK("http://twitter.com","Twitter Web Client")</f>
        <v>Twitter Web Client</v>
      </c>
      <c r="J1562" s="2">
        <v>120</v>
      </c>
      <c r="K1562" s="2">
        <v>77</v>
      </c>
      <c r="L1562" s="2">
        <v>3</v>
      </c>
      <c r="M1562" s="2"/>
      <c r="N1562" s="8">
        <v>40547.13653935185</v>
      </c>
      <c r="O1562" s="4" t="s">
        <v>894</v>
      </c>
      <c r="P1562" s="3" t="s">
        <v>12768</v>
      </c>
      <c r="Q1562" s="4"/>
      <c r="R1562" s="4"/>
      <c r="S1562" s="9" t="str">
        <f>HYPERLINK("https://pbs.twimg.com/profile_images/1021550785375739905/wntZvH6e.jpg","View")</f>
        <v>View</v>
      </c>
    </row>
    <row r="1563" spans="1:19" ht="20">
      <c r="A1563" s="8">
        <v>43347.264803240745</v>
      </c>
      <c r="B1563" s="11" t="str">
        <f>HYPERLINK("https://twitter.com/mmajid_moradi","@mmajid_moradi")</f>
        <v>@mmajid_moradi</v>
      </c>
      <c r="C1563" s="6" t="s">
        <v>12767</v>
      </c>
      <c r="D1563" s="5" t="s">
        <v>12766</v>
      </c>
      <c r="E1563" s="9" t="str">
        <f>HYPERLINK("https://twitter.com/mmajid_moradi/status/1036793799823876096","1036793799823876096")</f>
        <v>1036793799823876096</v>
      </c>
      <c r="F1563" s="4"/>
      <c r="G1563" s="10" t="s">
        <v>12765</v>
      </c>
      <c r="H1563" s="4"/>
      <c r="I1563" s="10" t="str">
        <f>HYPERLINK("http://twitter.com/download/android","Twitter for Android")</f>
        <v>Twitter for Android</v>
      </c>
      <c r="J1563" s="2">
        <v>5</v>
      </c>
      <c r="K1563" s="2">
        <v>3</v>
      </c>
      <c r="L1563" s="2">
        <v>0</v>
      </c>
      <c r="M1563" s="2"/>
      <c r="N1563" s="8">
        <v>42932.628923611112</v>
      </c>
      <c r="O1563" s="4" t="s">
        <v>12764</v>
      </c>
      <c r="P1563" s="3"/>
      <c r="Q1563" s="10" t="s">
        <v>12763</v>
      </c>
      <c r="R1563" s="4"/>
      <c r="S1563" s="9" t="str">
        <f>HYPERLINK("https://pbs.twimg.com/profile_images/1031179558085644290/vTrtBNZu.jpg","View")</f>
        <v>View</v>
      </c>
    </row>
    <row r="1564" spans="1:19" ht="20">
      <c r="A1564" s="8">
        <v>43347.249421296292</v>
      </c>
      <c r="B1564" s="11" t="str">
        <f>HYPERLINK("https://twitter.com/Ali_Maleki_110","@Ali_Maleki_110")</f>
        <v>@Ali_Maleki_110</v>
      </c>
      <c r="C1564" s="6" t="s">
        <v>12762</v>
      </c>
      <c r="D1564" s="5" t="s">
        <v>12761</v>
      </c>
      <c r="E1564" s="9" t="str">
        <f>HYPERLINK("https://twitter.com/Ali_Maleki_110/status/1036788224935514112","1036788224935514112")</f>
        <v>1036788224935514112</v>
      </c>
      <c r="F1564" s="4"/>
      <c r="G1564" s="4"/>
      <c r="H1564" s="4"/>
      <c r="I1564" s="10" t="str">
        <f>HYPERLINK("http://twitter.com/download/android","Twitter for Android")</f>
        <v>Twitter for Android</v>
      </c>
      <c r="J1564" s="2">
        <v>224</v>
      </c>
      <c r="K1564" s="2">
        <v>351</v>
      </c>
      <c r="L1564" s="2">
        <v>0</v>
      </c>
      <c r="M1564" s="2"/>
      <c r="N1564" s="8">
        <v>42897.448923611111</v>
      </c>
      <c r="O1564" s="4"/>
      <c r="P1564" s="3" t="s">
        <v>12760</v>
      </c>
      <c r="Q1564" s="4"/>
      <c r="R1564" s="4"/>
      <c r="S1564" s="9" t="str">
        <f>HYPERLINK("https://pbs.twimg.com/profile_images/969944941559296000/mFdO8NWQ.jpg","View")</f>
        <v>View</v>
      </c>
    </row>
    <row r="1565" spans="1:19" ht="30">
      <c r="A1565" s="8">
        <v>43347.246608796297</v>
      </c>
      <c r="B1565" s="11" t="str">
        <f>HYPERLINK("https://twitter.com/aliparsi11","@aliparsi11")</f>
        <v>@aliparsi11</v>
      </c>
      <c r="C1565" s="6" t="s">
        <v>12759</v>
      </c>
      <c r="D1565" s="5" t="s">
        <v>12758</v>
      </c>
      <c r="E1565" s="9" t="str">
        <f>HYPERLINK("https://twitter.com/aliparsi11/status/1036787205417717761","1036787205417717761")</f>
        <v>1036787205417717761</v>
      </c>
      <c r="F1565" s="4"/>
      <c r="G1565" s="4"/>
      <c r="H1565" s="4"/>
      <c r="I1565" s="10" t="str">
        <f>HYPERLINK("http://twitter.com/download/android","Twitter for Android")</f>
        <v>Twitter for Android</v>
      </c>
      <c r="J1565" s="2">
        <v>3</v>
      </c>
      <c r="K1565" s="2">
        <v>9</v>
      </c>
      <c r="L1565" s="2">
        <v>0</v>
      </c>
      <c r="M1565" s="2"/>
      <c r="N1565" s="8">
        <v>43329.55846064815</v>
      </c>
      <c r="O1565" s="4" t="s">
        <v>17</v>
      </c>
      <c r="P1565" s="3"/>
      <c r="Q1565" s="4"/>
      <c r="R1565" s="4"/>
      <c r="S1565" s="2" t="s">
        <v>155</v>
      </c>
    </row>
    <row r="1566" spans="1:19" ht="12.5">
      <c r="A1566" s="8">
        <v>43347.206643518519</v>
      </c>
      <c r="B1566" s="11" t="str">
        <f>HYPERLINK("https://twitter.com/alivahidi6","@alivahidi6")</f>
        <v>@alivahidi6</v>
      </c>
      <c r="C1566" s="6" t="s">
        <v>12757</v>
      </c>
      <c r="D1566" s="5" t="s">
        <v>12756</v>
      </c>
      <c r="E1566" s="9" t="str">
        <f>HYPERLINK("https://twitter.com/alivahidi6/status/1036772723786219521","1036772723786219521")</f>
        <v>1036772723786219521</v>
      </c>
      <c r="F1566" s="4"/>
      <c r="G1566" s="10" t="s">
        <v>12755</v>
      </c>
      <c r="H1566" s="4"/>
      <c r="I1566" s="10" t="str">
        <f>HYPERLINK("http://twitter.com/download/iphone","Twitter for iPhone")</f>
        <v>Twitter for iPhone</v>
      </c>
      <c r="J1566" s="2">
        <v>1</v>
      </c>
      <c r="K1566" s="2">
        <v>7</v>
      </c>
      <c r="L1566" s="2">
        <v>0</v>
      </c>
      <c r="M1566" s="2"/>
      <c r="N1566" s="8">
        <v>43314.683819444443</v>
      </c>
      <c r="O1566" s="4" t="s">
        <v>9039</v>
      </c>
      <c r="P1566" s="3" t="s">
        <v>12754</v>
      </c>
      <c r="Q1566" s="4"/>
      <c r="R1566" s="4"/>
      <c r="S1566" s="9" t="str">
        <f>HYPERLINK("https://pbs.twimg.com/profile_images/1035451268897153024/105rWCec.jpg","View")</f>
        <v>View</v>
      </c>
    </row>
    <row r="1567" spans="1:19" ht="50">
      <c r="A1567" s="8">
        <v>43347.195706018523</v>
      </c>
      <c r="B1567" s="11" t="str">
        <f>HYPERLINK("https://twitter.com/lawftd","@lawftd")</f>
        <v>@lawftd</v>
      </c>
      <c r="C1567" s="6" t="s">
        <v>12753</v>
      </c>
      <c r="D1567" s="5" t="s">
        <v>12752</v>
      </c>
      <c r="E1567" s="9" t="str">
        <f>HYPERLINK("https://twitter.com/lawftd/status/1036768762010238976","1036768762010238976")</f>
        <v>1036768762010238976</v>
      </c>
      <c r="F1567" s="4"/>
      <c r="G1567" s="4"/>
      <c r="H1567" s="4"/>
      <c r="I1567" s="10" t="str">
        <f>HYPERLINK("http://twitter.com","Twitter Web Client")</f>
        <v>Twitter Web Client</v>
      </c>
      <c r="J1567" s="2">
        <v>41</v>
      </c>
      <c r="K1567" s="2">
        <v>77</v>
      </c>
      <c r="L1567" s="2">
        <v>0</v>
      </c>
      <c r="M1567" s="2"/>
      <c r="N1567" s="8">
        <v>43311.262013888889</v>
      </c>
      <c r="O1567" s="4" t="s">
        <v>12751</v>
      </c>
      <c r="P1567" s="3" t="s">
        <v>12750</v>
      </c>
      <c r="Q1567" s="4"/>
      <c r="R1567" s="4"/>
      <c r="S1567" s="2" t="s">
        <v>155</v>
      </c>
    </row>
    <row r="1568" spans="1:19" ht="50">
      <c r="A1568" s="8">
        <v>43347.152847222227</v>
      </c>
      <c r="B1568" s="11" t="str">
        <f>HYPERLINK("https://twitter.com/Tsar1905","@Tsar1905")</f>
        <v>@Tsar1905</v>
      </c>
      <c r="C1568" s="6" t="s">
        <v>12749</v>
      </c>
      <c r="D1568" s="5" t="s">
        <v>12748</v>
      </c>
      <c r="E1568" s="9" t="str">
        <f>HYPERLINK("https://twitter.com/Tsar1905/status/1036753230741598208","1036753230741598208")</f>
        <v>1036753230741598208</v>
      </c>
      <c r="F1568" s="4"/>
      <c r="G1568" s="4"/>
      <c r="H1568" s="4"/>
      <c r="I1568" s="10" t="str">
        <f>HYPERLINK("http://twitter.com/download/android","Twitter for Android")</f>
        <v>Twitter for Android</v>
      </c>
      <c r="J1568" s="2">
        <v>2850</v>
      </c>
      <c r="K1568" s="2">
        <v>4959</v>
      </c>
      <c r="L1568" s="2">
        <v>2</v>
      </c>
      <c r="M1568" s="2"/>
      <c r="N1568" s="8">
        <v>43093.934548611112</v>
      </c>
      <c r="O1568" s="4" t="s">
        <v>17</v>
      </c>
      <c r="P1568" s="3" t="s">
        <v>12747</v>
      </c>
      <c r="Q1568" s="4"/>
      <c r="R1568" s="4"/>
      <c r="S1568" s="9" t="str">
        <f>HYPERLINK("https://pbs.twimg.com/profile_images/1026840236708352001/jYgNGkBf.jpg","View")</f>
        <v>View</v>
      </c>
    </row>
    <row r="1569" spans="1:19" ht="40">
      <c r="A1569" s="8">
        <v>43347.129062499997</v>
      </c>
      <c r="B1569" s="11" t="str">
        <f>HYPERLINK("https://twitter.com/kisepaare","@kisepaare")</f>
        <v>@kisepaare</v>
      </c>
      <c r="C1569" s="6" t="s">
        <v>12746</v>
      </c>
      <c r="D1569" s="5" t="s">
        <v>12745</v>
      </c>
      <c r="E1569" s="9" t="str">
        <f>HYPERLINK("https://twitter.com/kisepaare/status/1036744609899196416","1036744609899196416")</f>
        <v>1036744609899196416</v>
      </c>
      <c r="F1569" s="4"/>
      <c r="G1569" s="4"/>
      <c r="H1569" s="4"/>
      <c r="I1569" s="10" t="str">
        <f>HYPERLINK("http://twitter.com/download/android","Twitter for Android")</f>
        <v>Twitter for Android</v>
      </c>
      <c r="J1569" s="2">
        <v>9</v>
      </c>
      <c r="K1569" s="2">
        <v>0</v>
      </c>
      <c r="L1569" s="2">
        <v>0</v>
      </c>
      <c r="M1569" s="2"/>
      <c r="N1569" s="8">
        <v>43313.091249999998</v>
      </c>
      <c r="O1569" s="4"/>
      <c r="P1569" s="3"/>
      <c r="Q1569" s="4"/>
      <c r="R1569" s="4"/>
      <c r="S1569" s="9" t="str">
        <f>HYPERLINK("https://pbs.twimg.com/profile_images/1024419237664710656/ZnLBKiVv.jpg","View")</f>
        <v>View</v>
      </c>
    </row>
    <row r="1570" spans="1:19" ht="20">
      <c r="A1570" s="8">
        <v>43347.123599537037</v>
      </c>
      <c r="B1570" s="11" t="str">
        <f>HYPERLINK("https://twitter.com/Rezaz7197","@Rezaz7197")</f>
        <v>@Rezaz7197</v>
      </c>
      <c r="C1570" s="6" t="s">
        <v>3577</v>
      </c>
      <c r="D1570" s="5" t="s">
        <v>12744</v>
      </c>
      <c r="E1570" s="9" t="str">
        <f>HYPERLINK("https://twitter.com/Rezaz7197/status/1036742629982175232","1036742629982175232")</f>
        <v>1036742629982175232</v>
      </c>
      <c r="F1570" s="4"/>
      <c r="G1570" s="4"/>
      <c r="H1570" s="4"/>
      <c r="I1570" s="10" t="str">
        <f>HYPERLINK("http://twitter.com/download/iphone","Twitter for iPhone")</f>
        <v>Twitter for iPhone</v>
      </c>
      <c r="J1570" s="2">
        <v>112</v>
      </c>
      <c r="K1570" s="2">
        <v>131</v>
      </c>
      <c r="L1570" s="2">
        <v>0</v>
      </c>
      <c r="M1570" s="2"/>
      <c r="N1570" s="8">
        <v>43312.732569444444</v>
      </c>
      <c r="O1570" s="4"/>
      <c r="P1570" s="3" t="s">
        <v>3575</v>
      </c>
      <c r="Q1570" s="4"/>
      <c r="R1570" s="4"/>
      <c r="S1570" s="9" t="str">
        <f>HYPERLINK("https://pbs.twimg.com/profile_images/1024290322015125505/wjbMghxa.jpg","View")</f>
        <v>View</v>
      </c>
    </row>
    <row r="1571" spans="1:19" ht="20">
      <c r="A1571" s="8">
        <v>43347.112719907411</v>
      </c>
      <c r="B1571" s="11" t="str">
        <f>HYPERLINK("https://twitter.com/MFiruzmand","@MFiruzmand")</f>
        <v>@MFiruzmand</v>
      </c>
      <c r="C1571" s="6" t="s">
        <v>12743</v>
      </c>
      <c r="D1571" s="5" t="s">
        <v>12742</v>
      </c>
      <c r="E1571" s="9" t="str">
        <f>HYPERLINK("https://twitter.com/MFiruzmand/status/1036738687101493248","1036738687101493248")</f>
        <v>1036738687101493248</v>
      </c>
      <c r="F1571" s="4"/>
      <c r="G1571" s="4"/>
      <c r="H1571" s="4"/>
      <c r="I1571" s="10" t="str">
        <f>HYPERLINK("http://twitter.com/download/android","Twitter for Android")</f>
        <v>Twitter for Android</v>
      </c>
      <c r="J1571" s="2">
        <v>891</v>
      </c>
      <c r="K1571" s="2">
        <v>1428</v>
      </c>
      <c r="L1571" s="2">
        <v>7</v>
      </c>
      <c r="M1571" s="2"/>
      <c r="N1571" s="8">
        <v>42649.945243055554</v>
      </c>
      <c r="O1571" s="4" t="s">
        <v>34</v>
      </c>
      <c r="P1571" s="3" t="s">
        <v>12741</v>
      </c>
      <c r="Q1571" s="4"/>
      <c r="R1571" s="4"/>
      <c r="S1571" s="9" t="str">
        <f>HYPERLINK("https://pbs.twimg.com/profile_images/950716809304530949/f8GIGzzI.jpg","View")</f>
        <v>View</v>
      </c>
    </row>
    <row r="1572" spans="1:19" ht="30">
      <c r="A1572" s="8">
        <v>43347.106851851851</v>
      </c>
      <c r="B1572" s="11" t="str">
        <f>HYPERLINK("https://twitter.com/Rezaz7197","@Rezaz7197")</f>
        <v>@Rezaz7197</v>
      </c>
      <c r="C1572" s="6" t="s">
        <v>3577</v>
      </c>
      <c r="D1572" s="5" t="s">
        <v>12740</v>
      </c>
      <c r="E1572" s="9" t="str">
        <f>HYPERLINK("https://twitter.com/Rezaz7197/status/1036736561973522432","1036736561973522432")</f>
        <v>1036736561973522432</v>
      </c>
      <c r="F1572" s="4"/>
      <c r="G1572" s="4"/>
      <c r="H1572" s="4"/>
      <c r="I1572" s="10" t="str">
        <f>HYPERLINK("http://twitter.com/download/iphone","Twitter for iPhone")</f>
        <v>Twitter for iPhone</v>
      </c>
      <c r="J1572" s="2">
        <v>112</v>
      </c>
      <c r="K1572" s="2">
        <v>131</v>
      </c>
      <c r="L1572" s="2">
        <v>0</v>
      </c>
      <c r="M1572" s="2"/>
      <c r="N1572" s="8">
        <v>43312.732569444444</v>
      </c>
      <c r="O1572" s="4"/>
      <c r="P1572" s="3" t="s">
        <v>3575</v>
      </c>
      <c r="Q1572" s="4"/>
      <c r="R1572" s="4"/>
      <c r="S1572" s="9" t="str">
        <f>HYPERLINK("https://pbs.twimg.com/profile_images/1024290322015125505/wjbMghxa.jpg","View")</f>
        <v>View</v>
      </c>
    </row>
    <row r="1573" spans="1:19" ht="20">
      <c r="A1573" s="8">
        <v>43347.106388888889</v>
      </c>
      <c r="B1573" s="11" t="str">
        <f>HYPERLINK("https://twitter.com/azadi_shiva","@azadi_shiva")</f>
        <v>@azadi_shiva</v>
      </c>
      <c r="C1573" s="6" t="s">
        <v>12739</v>
      </c>
      <c r="D1573" s="5" t="s">
        <v>12738</v>
      </c>
      <c r="E1573" s="9" t="str">
        <f>HYPERLINK("https://twitter.com/azadi_shiva/status/1036736393924542465","1036736393924542465")</f>
        <v>1036736393924542465</v>
      </c>
      <c r="F1573" s="4"/>
      <c r="G1573" s="4"/>
      <c r="H1573" s="4"/>
      <c r="I1573" s="10" t="str">
        <f>HYPERLINK("http://twitter.com/download/android","Twitter for Android")</f>
        <v>Twitter for Android</v>
      </c>
      <c r="J1573" s="2">
        <v>1190</v>
      </c>
      <c r="K1573" s="2">
        <v>1158</v>
      </c>
      <c r="L1573" s="2">
        <v>1</v>
      </c>
      <c r="M1573" s="2"/>
      <c r="N1573" s="8">
        <v>42961.648055555561</v>
      </c>
      <c r="O1573" s="4" t="s">
        <v>9464</v>
      </c>
      <c r="P1573" s="3" t="s">
        <v>12737</v>
      </c>
      <c r="Q1573" s="4"/>
      <c r="R1573" s="4"/>
      <c r="S1573" s="9" t="str">
        <f>HYPERLINK("https://pbs.twimg.com/profile_images/1015697896946225152/Q2FlTPe1.jpg","View")</f>
        <v>View</v>
      </c>
    </row>
    <row r="1574" spans="1:19" ht="20">
      <c r="A1574" s="8">
        <v>43347.10324074074</v>
      </c>
      <c r="B1574" s="11" t="str">
        <f>HYPERLINK("https://twitter.com/Mr_Ardalani","@Mr_Ardalani")</f>
        <v>@Mr_Ardalani</v>
      </c>
      <c r="C1574" s="6" t="s">
        <v>7715</v>
      </c>
      <c r="D1574" s="5" t="s">
        <v>12736</v>
      </c>
      <c r="E1574" s="9" t="str">
        <f>HYPERLINK("https://twitter.com/Mr_Ardalani/status/1036735252474068993","1036735252474068993")</f>
        <v>1036735252474068993</v>
      </c>
      <c r="F1574" s="4"/>
      <c r="G1574" s="4"/>
      <c r="H1574" s="4"/>
      <c r="I1574" s="10" t="str">
        <f>HYPERLINK("http://twitter.com/download/android","Twitter for Android")</f>
        <v>Twitter for Android</v>
      </c>
      <c r="J1574" s="2">
        <v>31</v>
      </c>
      <c r="K1574" s="2">
        <v>103</v>
      </c>
      <c r="L1574" s="2">
        <v>0</v>
      </c>
      <c r="M1574" s="2"/>
      <c r="N1574" s="8">
        <v>43302.104062500002</v>
      </c>
      <c r="O1574" s="4"/>
      <c r="P1574" s="3"/>
      <c r="Q1574" s="4"/>
      <c r="R1574" s="4"/>
      <c r="S1574" s="9" t="str">
        <f>HYPERLINK("https://pbs.twimg.com/profile_images/1034724850009600001/kAfuGgIw.jpg","View")</f>
        <v>View</v>
      </c>
    </row>
    <row r="1575" spans="1:19" ht="50">
      <c r="A1575" s="8">
        <v>43347.099178240736</v>
      </c>
      <c r="B1575" s="11" t="str">
        <f>HYPERLINK("https://twitter.com/SeyedAli_1992","@SeyedAli_1992")</f>
        <v>@SeyedAli_1992</v>
      </c>
      <c r="C1575" s="6" t="s">
        <v>4200</v>
      </c>
      <c r="D1575" s="5" t="s">
        <v>12735</v>
      </c>
      <c r="E1575" s="9" t="str">
        <f>HYPERLINK("https://twitter.com/SeyedAli_1992/status/1036733781468749824","1036733781468749824")</f>
        <v>1036733781468749824</v>
      </c>
      <c r="F1575" s="10" t="s">
        <v>12734</v>
      </c>
      <c r="G1575" s="4"/>
      <c r="H1575" s="4"/>
      <c r="I1575" s="10" t="str">
        <f>HYPERLINK("http://twitter.com/download/android","Twitter for Android")</f>
        <v>Twitter for Android</v>
      </c>
      <c r="J1575" s="2">
        <v>323</v>
      </c>
      <c r="K1575" s="2">
        <v>320</v>
      </c>
      <c r="L1575" s="2">
        <v>1</v>
      </c>
      <c r="M1575" s="2"/>
      <c r="N1575" s="8">
        <v>43175.711261574077</v>
      </c>
      <c r="O1575" s="4" t="s">
        <v>4198</v>
      </c>
      <c r="P1575" s="3" t="s">
        <v>4197</v>
      </c>
      <c r="Q1575" s="4"/>
      <c r="R1575" s="4"/>
      <c r="S1575" s="9" t="str">
        <f>HYPERLINK("https://pbs.twimg.com/profile_images/994963828168384512/bA_KwOkE.jpg","View")</f>
        <v>View</v>
      </c>
    </row>
    <row r="1576" spans="1:19" ht="30">
      <c r="A1576" s="8">
        <v>43347.07512731482</v>
      </c>
      <c r="B1576" s="11" t="str">
        <f>HYPERLINK("https://twitter.com/hecomes1992","@hecomes1992")</f>
        <v>@hecomes1992</v>
      </c>
      <c r="C1576" s="6" t="s">
        <v>9243</v>
      </c>
      <c r="D1576" s="5" t="s">
        <v>12733</v>
      </c>
      <c r="E1576" s="9" t="str">
        <f>HYPERLINK("https://twitter.com/hecomes1992/status/1036725065415569409","1036725065415569409")</f>
        <v>1036725065415569409</v>
      </c>
      <c r="F1576" s="4"/>
      <c r="G1576" s="4"/>
      <c r="H1576" s="4"/>
      <c r="I1576" s="10" t="str">
        <f>HYPERLINK("http://twitter.com/download/android","Twitter for Android")</f>
        <v>Twitter for Android</v>
      </c>
      <c r="J1576" s="2">
        <v>346</v>
      </c>
      <c r="K1576" s="2">
        <v>386</v>
      </c>
      <c r="L1576" s="2">
        <v>0</v>
      </c>
      <c r="M1576" s="2"/>
      <c r="N1576" s="8">
        <v>42922.714907407411</v>
      </c>
      <c r="O1576" s="4" t="s">
        <v>34</v>
      </c>
      <c r="P1576" s="3" t="s">
        <v>9241</v>
      </c>
      <c r="Q1576" s="4"/>
      <c r="R1576" s="4"/>
      <c r="S1576" s="9" t="str">
        <f>HYPERLINK("https://pbs.twimg.com/profile_images/1029019243399073792/vpo_Lo3p.jpg","View")</f>
        <v>View</v>
      </c>
    </row>
    <row r="1577" spans="1:19" ht="40">
      <c r="A1577" s="8">
        <v>43347.072719907403</v>
      </c>
      <c r="B1577" s="11" t="str">
        <f>HYPERLINK("https://twitter.com/imilad__","@imilad__")</f>
        <v>@imilad__</v>
      </c>
      <c r="C1577" s="6" t="s">
        <v>8935</v>
      </c>
      <c r="D1577" s="5" t="s">
        <v>12732</v>
      </c>
      <c r="E1577" s="9" t="str">
        <f>HYPERLINK("https://twitter.com/imilad__/status/1036724194208358400","1036724194208358400")</f>
        <v>1036724194208358400</v>
      </c>
      <c r="F1577" s="4"/>
      <c r="G1577" s="4"/>
      <c r="H1577" s="4"/>
      <c r="I1577" s="10" t="str">
        <f>HYPERLINK("http://twitter.com/download/iphone","Twitter for iPhone")</f>
        <v>Twitter for iPhone</v>
      </c>
      <c r="J1577" s="2">
        <v>4</v>
      </c>
      <c r="K1577" s="2">
        <v>29</v>
      </c>
      <c r="L1577" s="2">
        <v>0</v>
      </c>
      <c r="M1577" s="2"/>
      <c r="N1577" s="8">
        <v>41703.809803240743</v>
      </c>
      <c r="O1577" s="4" t="s">
        <v>133</v>
      </c>
      <c r="P1577" s="3" t="s">
        <v>12731</v>
      </c>
      <c r="Q1577" s="4"/>
      <c r="R1577" s="4"/>
      <c r="S1577" s="9" t="str">
        <f>HYPERLINK("https://pbs.twimg.com/profile_images/1032665174627561473/JsimbW1S.jpg","View")</f>
        <v>View</v>
      </c>
    </row>
    <row r="1578" spans="1:19" ht="30">
      <c r="A1578" s="8">
        <v>43347.071099537032</v>
      </c>
      <c r="B1578" s="11" t="str">
        <f>HYPERLINK("https://twitter.com/EbiEskafi","@EbiEskafi")</f>
        <v>@EbiEskafi</v>
      </c>
      <c r="C1578" s="6" t="s">
        <v>7392</v>
      </c>
      <c r="D1578" s="5" t="s">
        <v>12730</v>
      </c>
      <c r="E1578" s="9" t="str">
        <f>HYPERLINK("https://twitter.com/EbiEskafi/status/1036723606305337344","1036723606305337344")</f>
        <v>1036723606305337344</v>
      </c>
      <c r="F1578" s="4"/>
      <c r="G1578" s="4"/>
      <c r="H1578" s="4"/>
      <c r="I1578" s="10" t="str">
        <f>HYPERLINK("http://twitter.com/download/android","Twitter for Android")</f>
        <v>Twitter for Android</v>
      </c>
      <c r="J1578" s="2">
        <v>1118</v>
      </c>
      <c r="K1578" s="2">
        <v>368</v>
      </c>
      <c r="L1578" s="2">
        <v>8</v>
      </c>
      <c r="M1578" s="2"/>
      <c r="N1578" s="8">
        <v>39979.613275462965</v>
      </c>
      <c r="O1578" s="4" t="s">
        <v>34</v>
      </c>
      <c r="P1578" s="3" t="s">
        <v>7390</v>
      </c>
      <c r="Q1578" s="10" t="s">
        <v>7389</v>
      </c>
      <c r="R1578" s="4"/>
      <c r="S1578" s="9" t="str">
        <f>HYPERLINK("https://pbs.twimg.com/profile_images/977982014933667840/KQrMFN8e.jpg","View")</f>
        <v>View</v>
      </c>
    </row>
    <row r="1579" spans="1:19" ht="30">
      <c r="A1579" s="8">
        <v>43347.070856481485</v>
      </c>
      <c r="B1579" s="11" t="str">
        <f>HYPERLINK("https://twitter.com/PemiAhmady","@PemiAhmady")</f>
        <v>@PemiAhmady</v>
      </c>
      <c r="C1579" s="6" t="s">
        <v>12729</v>
      </c>
      <c r="D1579" s="5" t="s">
        <v>12728</v>
      </c>
      <c r="E1579" s="9" t="str">
        <f>HYPERLINK("https://twitter.com/PemiAhmady/status/1036723515389566978","1036723515389566978")</f>
        <v>1036723515389566978</v>
      </c>
      <c r="F1579" s="4"/>
      <c r="G1579" s="4"/>
      <c r="H1579" s="4"/>
      <c r="I1579" s="10" t="str">
        <f>HYPERLINK("http://twitter.com/download/android","Twitter for Android")</f>
        <v>Twitter for Android</v>
      </c>
      <c r="J1579" s="2">
        <v>19</v>
      </c>
      <c r="K1579" s="2">
        <v>36</v>
      </c>
      <c r="L1579" s="2">
        <v>0</v>
      </c>
      <c r="M1579" s="2"/>
      <c r="N1579" s="8">
        <v>42378.593622685185</v>
      </c>
      <c r="O1579" s="4"/>
      <c r="P1579" s="3"/>
      <c r="Q1579" s="10" t="s">
        <v>12727</v>
      </c>
      <c r="R1579" s="4"/>
      <c r="S1579" s="9" t="str">
        <f>HYPERLINK("https://pbs.twimg.com/profile_images/1024283033921351680/hRgwnx2N.jpg","View")</f>
        <v>View</v>
      </c>
    </row>
    <row r="1580" spans="1:19" ht="20">
      <c r="A1580" s="8">
        <v>43347.066643518519</v>
      </c>
      <c r="B1580" s="11" t="str">
        <f>HYPERLINK("https://twitter.com/srvmsf","@srvmsf")</f>
        <v>@srvmsf</v>
      </c>
      <c r="C1580" s="6" t="s">
        <v>12726</v>
      </c>
      <c r="D1580" s="5" t="s">
        <v>12725</v>
      </c>
      <c r="E1580" s="9" t="str">
        <f>HYPERLINK("https://twitter.com/srvmsf/status/1036721989602426880","1036721989602426880")</f>
        <v>1036721989602426880</v>
      </c>
      <c r="F1580" s="4"/>
      <c r="G1580" s="4"/>
      <c r="H1580" s="4"/>
      <c r="I1580" s="10" t="str">
        <f>HYPERLINK("http://twitter.com/download/android","Twitter for Android")</f>
        <v>Twitter for Android</v>
      </c>
      <c r="J1580" s="2">
        <v>364</v>
      </c>
      <c r="K1580" s="2">
        <v>305</v>
      </c>
      <c r="L1580" s="2">
        <v>0</v>
      </c>
      <c r="M1580" s="2"/>
      <c r="N1580" s="8">
        <v>41935.850601851853</v>
      </c>
      <c r="O1580" s="4"/>
      <c r="P1580" s="3" t="s">
        <v>12724</v>
      </c>
      <c r="Q1580" s="4"/>
      <c r="R1580" s="4"/>
      <c r="S1580" s="9" t="str">
        <f>HYPERLINK("https://pbs.twimg.com/profile_images/1034535290982072321/wVEXunhL.jpg","View")</f>
        <v>View</v>
      </c>
    </row>
    <row r="1581" spans="1:19" ht="20">
      <c r="A1581" s="8">
        <v>43347.065682870365</v>
      </c>
      <c r="B1581" s="11" t="str">
        <f>HYPERLINK("https://twitter.com/nazokbin_ir","@nazokbin_ir")</f>
        <v>@nazokbin_ir</v>
      </c>
      <c r="C1581" s="6" t="s">
        <v>3320</v>
      </c>
      <c r="D1581" s="5" t="s">
        <v>12723</v>
      </c>
      <c r="E1581" s="9" t="str">
        <f>HYPERLINK("https://twitter.com/nazokbin_ir/status/1036721640875413510","1036721640875413510")</f>
        <v>1036721640875413510</v>
      </c>
      <c r="F1581" s="4"/>
      <c r="G1581" s="4"/>
      <c r="H1581" s="4"/>
      <c r="I1581" s="10" t="str">
        <f>HYPERLINK("http://twitter.com/download/android","Twitter for Android")</f>
        <v>Twitter for Android</v>
      </c>
      <c r="J1581" s="2">
        <v>1213</v>
      </c>
      <c r="K1581" s="2">
        <v>376</v>
      </c>
      <c r="L1581" s="2">
        <v>8</v>
      </c>
      <c r="M1581" s="2"/>
      <c r="N1581" s="8">
        <v>42611.051342592589</v>
      </c>
      <c r="O1581" s="4" t="s">
        <v>3318</v>
      </c>
      <c r="P1581" s="3" t="s">
        <v>3317</v>
      </c>
      <c r="Q1581" s="10" t="s">
        <v>3316</v>
      </c>
      <c r="R1581" s="4"/>
      <c r="S1581" s="9" t="str">
        <f>HYPERLINK("https://pbs.twimg.com/profile_images/1036527843835080704/IGEdZZJ5.jpg","View")</f>
        <v>View</v>
      </c>
    </row>
    <row r="1582" spans="1:19" ht="40">
      <c r="A1582" s="8">
        <v>43347.065636574072</v>
      </c>
      <c r="B1582" s="11" t="str">
        <f>HYPERLINK("https://twitter.com/MiladMsd","@MiladMsd")</f>
        <v>@MiladMsd</v>
      </c>
      <c r="C1582" s="6" t="s">
        <v>10887</v>
      </c>
      <c r="D1582" s="5" t="s">
        <v>12722</v>
      </c>
      <c r="E1582" s="9" t="str">
        <f>HYPERLINK("https://twitter.com/MiladMsd/status/1036721623565365248","1036721623565365248")</f>
        <v>1036721623565365248</v>
      </c>
      <c r="F1582" s="4"/>
      <c r="G1582" s="4"/>
      <c r="H1582" s="4"/>
      <c r="I1582" s="10" t="str">
        <f>HYPERLINK("http://twitter.com/download/android","Twitter for Android")</f>
        <v>Twitter for Android</v>
      </c>
      <c r="J1582" s="2">
        <v>661</v>
      </c>
      <c r="K1582" s="2">
        <v>653</v>
      </c>
      <c r="L1582" s="2">
        <v>0</v>
      </c>
      <c r="M1582" s="2"/>
      <c r="N1582" s="8">
        <v>43104.586631944447</v>
      </c>
      <c r="O1582" s="4" t="s">
        <v>34</v>
      </c>
      <c r="P1582" s="3" t="s">
        <v>3461</v>
      </c>
      <c r="Q1582" s="4"/>
      <c r="R1582" s="4"/>
      <c r="S1582" s="9" t="str">
        <f>HYPERLINK("https://pbs.twimg.com/profile_images/948876064801087489/FoEydx8p.jpg","View")</f>
        <v>View</v>
      </c>
    </row>
    <row r="1583" spans="1:19" ht="20">
      <c r="A1583" s="8">
        <v>43347.064444444448</v>
      </c>
      <c r="B1583" s="11" t="str">
        <f>HYPERLINK("https://twitter.com/Azadmher","@Azadmher")</f>
        <v>@Azadmher</v>
      </c>
      <c r="C1583" s="6" t="s">
        <v>9993</v>
      </c>
      <c r="D1583" s="5" t="s">
        <v>12436</v>
      </c>
      <c r="E1583" s="9" t="str">
        <f>HYPERLINK("https://twitter.com/Azadmher/status/1036721194693787649","1036721194693787649")</f>
        <v>1036721194693787649</v>
      </c>
      <c r="F1583" s="4"/>
      <c r="G1583" s="10" t="s">
        <v>12721</v>
      </c>
      <c r="H1583" s="4"/>
      <c r="I1583" s="10" t="str">
        <f>HYPERLINK("http://twitter.com/download/android","Twitter for Android")</f>
        <v>Twitter for Android</v>
      </c>
      <c r="J1583" s="2">
        <v>92</v>
      </c>
      <c r="K1583" s="2">
        <v>99</v>
      </c>
      <c r="L1583" s="2">
        <v>0</v>
      </c>
      <c r="M1583" s="2"/>
      <c r="N1583" s="8">
        <v>43303.591041666667</v>
      </c>
      <c r="O1583" s="4"/>
      <c r="P1583" s="3"/>
      <c r="Q1583" s="4"/>
      <c r="R1583" s="4"/>
      <c r="S1583" s="9" t="str">
        <f>HYPERLINK("https://pbs.twimg.com/profile_images/1030382750996602881/dztOX7qz.jpg","View")</f>
        <v>View</v>
      </c>
    </row>
    <row r="1584" spans="1:19" ht="30">
      <c r="A1584" s="8">
        <v>43347.056111111116</v>
      </c>
      <c r="B1584" s="11" t="str">
        <f>HYPERLINK("https://twitter.com/fatemehsadigi69","@fatemehsadigi69")</f>
        <v>@fatemehsadigi69</v>
      </c>
      <c r="C1584" s="6" t="s">
        <v>12720</v>
      </c>
      <c r="D1584" s="5" t="s">
        <v>12719</v>
      </c>
      <c r="E1584" s="9" t="str">
        <f>HYPERLINK("https://twitter.com/fatemehsadigi69/status/1036718173192704000","1036718173192704000")</f>
        <v>1036718173192704000</v>
      </c>
      <c r="F1584" s="4"/>
      <c r="G1584" s="10" t="s">
        <v>12718</v>
      </c>
      <c r="H1584" s="4"/>
      <c r="I1584" s="10" t="str">
        <f>HYPERLINK("http://twitter.com/download/android","Twitter for Android")</f>
        <v>Twitter for Android</v>
      </c>
      <c r="J1584" s="2">
        <v>135</v>
      </c>
      <c r="K1584" s="2">
        <v>184</v>
      </c>
      <c r="L1584" s="2">
        <v>1</v>
      </c>
      <c r="M1584" s="2"/>
      <c r="N1584" s="8">
        <v>43326.427245370374</v>
      </c>
      <c r="O1584" s="4"/>
      <c r="P1584" s="3" t="s">
        <v>12717</v>
      </c>
      <c r="Q1584" s="4"/>
      <c r="R1584" s="4"/>
      <c r="S1584" s="9" t="str">
        <f>HYPERLINK("https://pbs.twimg.com/profile_images/1029244197423996928/lhmnrKJa.jpg","View")</f>
        <v>View</v>
      </c>
    </row>
    <row r="1585" spans="1:19" ht="30">
      <c r="A1585" s="8">
        <v>43347.055162037039</v>
      </c>
      <c r="B1585" s="11" t="str">
        <f>HYPERLINK("https://twitter.com/ali__yazdani","@ali__yazdani")</f>
        <v>@ali__yazdani</v>
      </c>
      <c r="C1585" s="6" t="s">
        <v>12716</v>
      </c>
      <c r="D1585" s="5" t="s">
        <v>12715</v>
      </c>
      <c r="E1585" s="9" t="str">
        <f>HYPERLINK("https://twitter.com/ali__yazdani/status/1036717828026449921","1036717828026449921")</f>
        <v>1036717828026449921</v>
      </c>
      <c r="F1585" s="4"/>
      <c r="G1585" s="4"/>
      <c r="H1585" s="4"/>
      <c r="I1585" s="10" t="str">
        <f>HYPERLINK("http://twitter.com/download/android","Twitter for Android")</f>
        <v>Twitter for Android</v>
      </c>
      <c r="J1585" s="2">
        <v>10</v>
      </c>
      <c r="K1585" s="2">
        <v>25</v>
      </c>
      <c r="L1585" s="2">
        <v>0</v>
      </c>
      <c r="M1585" s="2"/>
      <c r="N1585" s="8">
        <v>42770.726736111115</v>
      </c>
      <c r="O1585" s="4" t="s">
        <v>17</v>
      </c>
      <c r="P1585" s="3" t="s">
        <v>12714</v>
      </c>
      <c r="Q1585" s="4"/>
      <c r="R1585" s="4"/>
      <c r="S1585" s="9" t="str">
        <f>HYPERLINK("https://pbs.twimg.com/profile_images/942305501450301440/F0a2yC2l.jpg","View")</f>
        <v>View</v>
      </c>
    </row>
    <row r="1586" spans="1:19" ht="40">
      <c r="A1586" s="8">
        <v>43347.052118055552</v>
      </c>
      <c r="B1586" s="11" t="str">
        <f>HYPERLINK("https://twitter.com/mforooghii","@mforooghii")</f>
        <v>@mforooghii</v>
      </c>
      <c r="C1586" s="6" t="s">
        <v>12713</v>
      </c>
      <c r="D1586" s="5" t="s">
        <v>12712</v>
      </c>
      <c r="E1586" s="9" t="str">
        <f>HYPERLINK("https://twitter.com/mforooghii/status/1036716727386689536","1036716727386689536")</f>
        <v>1036716727386689536</v>
      </c>
      <c r="F1586" s="4"/>
      <c r="G1586" s="4"/>
      <c r="H1586" s="4"/>
      <c r="I1586" s="10" t="str">
        <f>HYPERLINK("http://twitter.com/download/android","Twitter for Android")</f>
        <v>Twitter for Android</v>
      </c>
      <c r="J1586" s="2">
        <v>224</v>
      </c>
      <c r="K1586" s="2">
        <v>334</v>
      </c>
      <c r="L1586" s="2">
        <v>3</v>
      </c>
      <c r="M1586" s="2"/>
      <c r="N1586" s="8">
        <v>41529.804259259261</v>
      </c>
      <c r="O1586" s="4" t="s">
        <v>3589</v>
      </c>
      <c r="P1586" s="3" t="s">
        <v>12711</v>
      </c>
      <c r="Q1586" s="10" t="s">
        <v>12710</v>
      </c>
      <c r="R1586" s="4"/>
      <c r="S1586" s="9" t="str">
        <f>HYPERLINK("https://pbs.twimg.com/profile_images/882831062254198786/kwPDhH-U.jpg","View")</f>
        <v>View</v>
      </c>
    </row>
    <row r="1587" spans="1:19" ht="30">
      <c r="A1587" s="8">
        <v>43347.051747685182</v>
      </c>
      <c r="B1587" s="11" t="str">
        <f>HYPERLINK("https://twitter.com/h_hamidirad","@h_hamidirad")</f>
        <v>@h_hamidirad</v>
      </c>
      <c r="C1587" s="6" t="s">
        <v>4970</v>
      </c>
      <c r="D1587" s="5" t="s">
        <v>12709</v>
      </c>
      <c r="E1587" s="9" t="str">
        <f>HYPERLINK("https://twitter.com/h_hamidirad/status/1036716591671595009","1036716591671595009")</f>
        <v>1036716591671595009</v>
      </c>
      <c r="F1587" s="4"/>
      <c r="G1587" s="4"/>
      <c r="H1587" s="4"/>
      <c r="I1587" s="10" t="str">
        <f>HYPERLINK("http://twitter.com/download/android","Twitter for Android")</f>
        <v>Twitter for Android</v>
      </c>
      <c r="J1587" s="2">
        <v>643</v>
      </c>
      <c r="K1587" s="2">
        <v>1186</v>
      </c>
      <c r="L1587" s="2">
        <v>0</v>
      </c>
      <c r="M1587" s="2"/>
      <c r="N1587" s="8">
        <v>43315.978831018518</v>
      </c>
      <c r="O1587" s="4"/>
      <c r="P1587" s="3" t="s">
        <v>4968</v>
      </c>
      <c r="Q1587" s="10" t="s">
        <v>4967</v>
      </c>
      <c r="R1587" s="4"/>
      <c r="S1587" s="9" t="str">
        <f>HYPERLINK("https://pbs.twimg.com/profile_images/1035254113091633154/THOBeKr6.jpg","View")</f>
        <v>View</v>
      </c>
    </row>
    <row r="1588" spans="1:19" ht="30">
      <c r="A1588" s="8">
        <v>43347.049537037034</v>
      </c>
      <c r="B1588" s="11" t="str">
        <f>HYPERLINK("https://twitter.com/mahdii_58","@mahdii_58")</f>
        <v>@mahdii_58</v>
      </c>
      <c r="C1588" s="6" t="s">
        <v>395</v>
      </c>
      <c r="D1588" s="5" t="s">
        <v>12708</v>
      </c>
      <c r="E1588" s="9" t="str">
        <f>HYPERLINK("https://twitter.com/mahdii_58/status/1036715789817004032","1036715789817004032")</f>
        <v>1036715789817004032</v>
      </c>
      <c r="F1588" s="4"/>
      <c r="G1588" s="4"/>
      <c r="H1588" s="4"/>
      <c r="I1588" s="10" t="str">
        <f>HYPERLINK("http://twitter.com","Twitter Web Client")</f>
        <v>Twitter Web Client</v>
      </c>
      <c r="J1588" s="2">
        <v>348</v>
      </c>
      <c r="K1588" s="2">
        <v>642</v>
      </c>
      <c r="L1588" s="2">
        <v>2</v>
      </c>
      <c r="M1588" s="2"/>
      <c r="N1588" s="8">
        <v>42894.222337962958</v>
      </c>
      <c r="O1588" s="4" t="s">
        <v>34</v>
      </c>
      <c r="P1588" s="3"/>
      <c r="Q1588" s="4"/>
      <c r="R1588" s="4"/>
      <c r="S1588" s="9" t="str">
        <f>HYPERLINK("https://pbs.twimg.com/profile_images/948614670155329537/GlFbvBfd.jpg","View")</f>
        <v>View</v>
      </c>
    </row>
    <row r="1589" spans="1:19" ht="40">
      <c r="A1589" s="8">
        <v>43347.047291666662</v>
      </c>
      <c r="B1589" s="11" t="str">
        <f>HYPERLINK("https://twitter.com/a_jafari76","@a_jafari76")</f>
        <v>@a_jafari76</v>
      </c>
      <c r="C1589" s="6" t="s">
        <v>12707</v>
      </c>
      <c r="D1589" s="5" t="s">
        <v>12706</v>
      </c>
      <c r="E1589" s="9" t="str">
        <f>HYPERLINK("https://twitter.com/a_jafari76/status/1036714975434293248","1036714975434293248")</f>
        <v>1036714975434293248</v>
      </c>
      <c r="F1589" s="4"/>
      <c r="G1589" s="4"/>
      <c r="H1589" s="4"/>
      <c r="I1589" s="10" t="str">
        <f>HYPERLINK("http://twitter.com/download/android","Twitter for Android")</f>
        <v>Twitter for Android</v>
      </c>
      <c r="J1589" s="2">
        <v>36</v>
      </c>
      <c r="K1589" s="2">
        <v>28</v>
      </c>
      <c r="L1589" s="2">
        <v>0</v>
      </c>
      <c r="M1589" s="2"/>
      <c r="N1589" s="8">
        <v>43106.523217592592</v>
      </c>
      <c r="O1589" s="4" t="s">
        <v>17</v>
      </c>
      <c r="P1589" s="3" t="s">
        <v>12705</v>
      </c>
      <c r="Q1589" s="4"/>
      <c r="R1589" s="4"/>
      <c r="S1589" s="9" t="str">
        <f>HYPERLINK("https://pbs.twimg.com/profile_images/1030844265688117248/V_IltP8M.jpg","View")</f>
        <v>View</v>
      </c>
    </row>
    <row r="1590" spans="1:19" ht="30">
      <c r="A1590" s="8">
        <v>43347.045810185184</v>
      </c>
      <c r="B1590" s="11" t="str">
        <f>HYPERLINK("https://twitter.com/Abuali_313","@Abuali_313")</f>
        <v>@Abuali_313</v>
      </c>
      <c r="C1590" s="6" t="s">
        <v>46</v>
      </c>
      <c r="D1590" s="5" t="s">
        <v>12704</v>
      </c>
      <c r="E1590" s="9" t="str">
        <f>HYPERLINK("https://twitter.com/Abuali_313/status/1036714442472472576","1036714442472472576")</f>
        <v>1036714442472472576</v>
      </c>
      <c r="F1590" s="4"/>
      <c r="G1590" s="4"/>
      <c r="H1590" s="4"/>
      <c r="I1590" s="10" t="str">
        <f>HYPERLINK("http://twitter.com/download/android","Twitter for Android")</f>
        <v>Twitter for Android</v>
      </c>
      <c r="J1590" s="2">
        <v>501</v>
      </c>
      <c r="K1590" s="2">
        <v>489</v>
      </c>
      <c r="L1590" s="2">
        <v>0</v>
      </c>
      <c r="M1590" s="2"/>
      <c r="N1590" s="8">
        <v>43081.298576388886</v>
      </c>
      <c r="O1590" s="4" t="s">
        <v>34</v>
      </c>
      <c r="P1590" s="3" t="s">
        <v>44</v>
      </c>
      <c r="Q1590" s="10" t="s">
        <v>43</v>
      </c>
      <c r="R1590" s="4"/>
      <c r="S1590" s="9" t="str">
        <f>HYPERLINK("https://pbs.twimg.com/profile_images/941006636113637378/T--iAnqV.jpg","View")</f>
        <v>View</v>
      </c>
    </row>
    <row r="1591" spans="1:19" ht="30">
      <c r="A1591" s="8">
        <v>43347.042696759258</v>
      </c>
      <c r="B1591" s="11" t="str">
        <f>HYPERLINK("https://twitter.com/Omiderfanmanesh","@Omiderfanmanesh")</f>
        <v>@Omiderfanmanesh</v>
      </c>
      <c r="C1591" s="6" t="s">
        <v>11280</v>
      </c>
      <c r="D1591" s="5" t="s">
        <v>12703</v>
      </c>
      <c r="E1591" s="9" t="str">
        <f>HYPERLINK("https://twitter.com/Omiderfanmanesh/status/1036713312304746496","1036713312304746496")</f>
        <v>1036713312304746496</v>
      </c>
      <c r="F1591" s="4"/>
      <c r="G1591" s="4"/>
      <c r="H1591" s="4"/>
      <c r="I1591" s="10" t="str">
        <f>HYPERLINK("http://twitter.com/download/android","Twitter for Android")</f>
        <v>Twitter for Android</v>
      </c>
      <c r="J1591" s="2">
        <v>952</v>
      </c>
      <c r="K1591" s="2">
        <v>1124</v>
      </c>
      <c r="L1591" s="2">
        <v>2</v>
      </c>
      <c r="M1591" s="2"/>
      <c r="N1591" s="8">
        <v>42701.033217592594</v>
      </c>
      <c r="O1591" s="4" t="s">
        <v>11277</v>
      </c>
      <c r="P1591" s="3" t="s">
        <v>11276</v>
      </c>
      <c r="Q1591" s="4"/>
      <c r="R1591" s="4"/>
      <c r="S1591" s="9" t="str">
        <f>HYPERLINK("https://pbs.twimg.com/profile_images/1028990298305658880/JAdUYLZr.jpg","View")</f>
        <v>View</v>
      </c>
    </row>
    <row r="1592" spans="1:19" ht="40">
      <c r="A1592" s="8">
        <v>43347.042662037042</v>
      </c>
      <c r="B1592" s="11" t="str">
        <f>HYPERLINK("https://twitter.com/AminSabeti","@AminSabeti")</f>
        <v>@AminSabeti</v>
      </c>
      <c r="C1592" s="6" t="s">
        <v>9077</v>
      </c>
      <c r="D1592" s="5" t="s">
        <v>12702</v>
      </c>
      <c r="E1592" s="9" t="str">
        <f>HYPERLINK("https://twitter.com/AminSabeti/status/1036713299524689921","1036713299524689921")</f>
        <v>1036713299524689921</v>
      </c>
      <c r="F1592" s="4"/>
      <c r="G1592" s="4"/>
      <c r="H1592" s="4"/>
      <c r="I1592" s="10" t="str">
        <f>HYPERLINK("http://twitter.com/download/android","Twitter for Android")</f>
        <v>Twitter for Android</v>
      </c>
      <c r="J1592" s="2">
        <v>48239</v>
      </c>
      <c r="K1592" s="2">
        <v>1306</v>
      </c>
      <c r="L1592" s="2">
        <v>295</v>
      </c>
      <c r="M1592" s="2"/>
      <c r="N1592" s="8">
        <v>39124.692881944444</v>
      </c>
      <c r="O1592" s="4" t="s">
        <v>9074</v>
      </c>
      <c r="P1592" s="3" t="s">
        <v>9073</v>
      </c>
      <c r="Q1592" s="10" t="s">
        <v>9072</v>
      </c>
      <c r="R1592" s="4"/>
      <c r="S1592" s="9" t="str">
        <f>HYPERLINK("https://pbs.twimg.com/profile_images/54854187/avatar.jpg","View")</f>
        <v>View</v>
      </c>
    </row>
    <row r="1593" spans="1:19" ht="60">
      <c r="A1593" s="8">
        <v>43347.042627314819</v>
      </c>
      <c r="B1593" s="11" t="str">
        <f>HYPERLINK("https://twitter.com/xorpex","@xorpex")</f>
        <v>@xorpex</v>
      </c>
      <c r="C1593" s="6" t="s">
        <v>12701</v>
      </c>
      <c r="D1593" s="5" t="s">
        <v>12700</v>
      </c>
      <c r="E1593" s="9" t="str">
        <f>HYPERLINK("https://twitter.com/xorpex/status/1036713286912421888","1036713286912421888")</f>
        <v>1036713286912421888</v>
      </c>
      <c r="F1593" s="10" t="s">
        <v>12256</v>
      </c>
      <c r="G1593" s="10" t="s">
        <v>12255</v>
      </c>
      <c r="H1593" s="4"/>
      <c r="I1593" s="10" t="str">
        <f>HYPERLINK("http://twitter.com/download/android","Twitter for Android")</f>
        <v>Twitter for Android</v>
      </c>
      <c r="J1593" s="2">
        <v>1417</v>
      </c>
      <c r="K1593" s="2">
        <v>1781</v>
      </c>
      <c r="L1593" s="2">
        <v>202</v>
      </c>
      <c r="M1593" s="2"/>
      <c r="N1593" s="8">
        <v>40193.023344907408</v>
      </c>
      <c r="O1593" s="4"/>
      <c r="P1593" s="3" t="s">
        <v>12699</v>
      </c>
      <c r="Q1593" s="4"/>
      <c r="R1593" s="4"/>
      <c r="S1593" s="9" t="str">
        <f>HYPERLINK("https://pbs.twimg.com/profile_images/1029385073731227648/oDp38Us4.jpg","View")</f>
        <v>View</v>
      </c>
    </row>
    <row r="1594" spans="1:19" ht="40">
      <c r="A1594" s="8">
        <v>43347.040567129632</v>
      </c>
      <c r="B1594" s="11" t="str">
        <f>HYPERLINK("https://twitter.com/fateme44gh","@fateme44gh")</f>
        <v>@fateme44gh</v>
      </c>
      <c r="C1594" s="6" t="s">
        <v>12698</v>
      </c>
      <c r="D1594" s="5" t="s">
        <v>12697</v>
      </c>
      <c r="E1594" s="9" t="str">
        <f>HYPERLINK("https://twitter.com/fateme44gh/status/1036712538543673349","1036712538543673349")</f>
        <v>1036712538543673349</v>
      </c>
      <c r="F1594" s="10" t="s">
        <v>12696</v>
      </c>
      <c r="G1594" s="10" t="s">
        <v>12695</v>
      </c>
      <c r="H1594" s="4"/>
      <c r="I1594" s="10" t="str">
        <f>HYPERLINK("http://twitter.com","Twitter Web Client")</f>
        <v>Twitter Web Client</v>
      </c>
      <c r="J1594" s="2">
        <v>2262</v>
      </c>
      <c r="K1594" s="2">
        <v>4020</v>
      </c>
      <c r="L1594" s="2">
        <v>2</v>
      </c>
      <c r="M1594" s="2"/>
      <c r="N1594" s="8">
        <v>42846.643530092595</v>
      </c>
      <c r="O1594" s="4"/>
      <c r="P1594" s="3" t="s">
        <v>12694</v>
      </c>
      <c r="Q1594" s="4"/>
      <c r="R1594" s="4"/>
      <c r="S1594" s="9" t="str">
        <f>HYPERLINK("https://pbs.twimg.com/profile_images/996023599663276032/pqoFDpWR.jpg","View")</f>
        <v>View</v>
      </c>
    </row>
    <row r="1595" spans="1:19" ht="20">
      <c r="A1595" s="8">
        <v>43347.040486111116</v>
      </c>
      <c r="B1595" s="11" t="str">
        <f>HYPERLINK("https://twitter.com/vatan_emrooz","@vatan_emrooz")</f>
        <v>@vatan_emrooz</v>
      </c>
      <c r="C1595" s="6" t="s">
        <v>4839</v>
      </c>
      <c r="D1595" s="5" t="s">
        <v>12693</v>
      </c>
      <c r="E1595" s="9" t="str">
        <f>HYPERLINK("https://twitter.com/vatan_emrooz/status/1036712511222030336","1036712511222030336")</f>
        <v>1036712511222030336</v>
      </c>
      <c r="F1595" s="10" t="s">
        <v>4837</v>
      </c>
      <c r="G1595" s="10" t="s">
        <v>12692</v>
      </c>
      <c r="H1595" s="4"/>
      <c r="I1595" s="10" t="str">
        <f>HYPERLINK("http://twitter.com/download/android","Twitter for Android")</f>
        <v>Twitter for Android</v>
      </c>
      <c r="J1595" s="2">
        <v>34285</v>
      </c>
      <c r="K1595" s="2">
        <v>6</v>
      </c>
      <c r="L1595" s="2">
        <v>149</v>
      </c>
      <c r="M1595" s="2"/>
      <c r="N1595" s="8">
        <v>41674.692928240736</v>
      </c>
      <c r="O1595" s="4" t="s">
        <v>17</v>
      </c>
      <c r="P1595" s="3" t="s">
        <v>4835</v>
      </c>
      <c r="Q1595" s="10" t="s">
        <v>4834</v>
      </c>
      <c r="R1595" s="4"/>
      <c r="S1595" s="9" t="str">
        <f>HYPERLINK("https://pbs.twimg.com/profile_images/430690734371389440/nTTwj_SD.jpeg","View")</f>
        <v>View</v>
      </c>
    </row>
    <row r="1596" spans="1:19" ht="20">
      <c r="A1596" s="8">
        <v>43347.03974537037</v>
      </c>
      <c r="B1596" s="11" t="str">
        <f>HYPERLINK("https://twitter.com/scafildSA","@scafildSA")</f>
        <v>@scafildSA</v>
      </c>
      <c r="C1596" s="6" t="s">
        <v>12582</v>
      </c>
      <c r="D1596" s="5" t="s">
        <v>12691</v>
      </c>
      <c r="E1596" s="9" t="str">
        <f>HYPERLINK("https://twitter.com/scafildSA/status/1036712244032221189","1036712244032221189")</f>
        <v>1036712244032221189</v>
      </c>
      <c r="F1596" s="4"/>
      <c r="G1596" s="4"/>
      <c r="H1596" s="4"/>
      <c r="I1596" s="10" t="str">
        <f>HYPERLINK("http://twitter.com/download/android","Twitter for Android")</f>
        <v>Twitter for Android</v>
      </c>
      <c r="J1596" s="2">
        <v>8</v>
      </c>
      <c r="K1596" s="2">
        <v>26</v>
      </c>
      <c r="L1596" s="2">
        <v>0</v>
      </c>
      <c r="M1596" s="2"/>
      <c r="N1596" s="8">
        <v>43342.061377314814</v>
      </c>
      <c r="O1596" s="4" t="s">
        <v>34</v>
      </c>
      <c r="P1596" s="3" t="s">
        <v>12580</v>
      </c>
      <c r="Q1596" s="4"/>
      <c r="R1596" s="4"/>
      <c r="S1596" s="9" t="str">
        <f>HYPERLINK("https://pbs.twimg.com/profile_images/1035247518764998657/c2K56Jo7.jpg","View")</f>
        <v>View</v>
      </c>
    </row>
    <row r="1597" spans="1:19" ht="50">
      <c r="A1597" s="8">
        <v>43347.039155092592</v>
      </c>
      <c r="B1597" s="11" t="str">
        <f>HYPERLINK("https://twitter.com/d_w_wolf","@d_w_wolf")</f>
        <v>@d_w_wolf</v>
      </c>
      <c r="C1597" s="6" t="s">
        <v>12690</v>
      </c>
      <c r="D1597" s="5" t="s">
        <v>12689</v>
      </c>
      <c r="E1597" s="9" t="str">
        <f>HYPERLINK("https://twitter.com/d_w_wolf/status/1036712030198263808","1036712030198263808")</f>
        <v>1036712030198263808</v>
      </c>
      <c r="F1597" s="10" t="s">
        <v>12688</v>
      </c>
      <c r="G1597" s="4"/>
      <c r="H1597" s="4"/>
      <c r="I1597" s="10" t="str">
        <f>HYPERLINK("http://twitter.com/download/android","Twitter for Android")</f>
        <v>Twitter for Android</v>
      </c>
      <c r="J1597" s="2">
        <v>733</v>
      </c>
      <c r="K1597" s="2">
        <v>578</v>
      </c>
      <c r="L1597" s="2">
        <v>0</v>
      </c>
      <c r="M1597" s="2"/>
      <c r="N1597" s="8">
        <v>42404.035115740742</v>
      </c>
      <c r="O1597" s="4" t="s">
        <v>12687</v>
      </c>
      <c r="P1597" s="3" t="s">
        <v>12686</v>
      </c>
      <c r="Q1597" s="4"/>
      <c r="R1597" s="4"/>
      <c r="S1597" s="9" t="str">
        <f>HYPERLINK("https://pbs.twimg.com/profile_images/913892091901685762/JtrJeM3Z.jpg","View")</f>
        <v>View</v>
      </c>
    </row>
    <row r="1598" spans="1:19" ht="30">
      <c r="A1598" s="8">
        <v>43347.039085648154</v>
      </c>
      <c r="B1598" s="11" t="str">
        <f>HYPERLINK("https://twitter.com/doostdoostan93","@doostdoostan93")</f>
        <v>@doostdoostan93</v>
      </c>
      <c r="C1598" s="6" t="s">
        <v>12685</v>
      </c>
      <c r="D1598" s="5" t="s">
        <v>12684</v>
      </c>
      <c r="E1598" s="9" t="str">
        <f>HYPERLINK("https://twitter.com/doostdoostan93/status/1036712005451825152","1036712005451825152")</f>
        <v>1036712005451825152</v>
      </c>
      <c r="F1598" s="4"/>
      <c r="G1598" s="4"/>
      <c r="H1598" s="4"/>
      <c r="I1598" s="10" t="str">
        <f>HYPERLINK("http://twitter.com/download/android","Twitter for Android")</f>
        <v>Twitter for Android</v>
      </c>
      <c r="J1598" s="2">
        <v>132</v>
      </c>
      <c r="K1598" s="2">
        <v>245</v>
      </c>
      <c r="L1598" s="2">
        <v>0</v>
      </c>
      <c r="M1598" s="2"/>
      <c r="N1598" s="8">
        <v>42888.646608796298</v>
      </c>
      <c r="O1598" s="4"/>
      <c r="P1598" s="3"/>
      <c r="Q1598" s="4"/>
      <c r="R1598" s="4"/>
      <c r="S1598" s="9" t="str">
        <f>HYPERLINK("https://pbs.twimg.com/profile_images/870599013514530816/Oy_H_8mg.jpg","View")</f>
        <v>View</v>
      </c>
    </row>
    <row r="1599" spans="1:19" ht="40">
      <c r="A1599" s="8">
        <v>43347.038946759261</v>
      </c>
      <c r="B1599" s="11" t="str">
        <f>HYPERLINK("https://twitter.com/vadegah","@vadegah")</f>
        <v>@vadegah</v>
      </c>
      <c r="C1599" s="6" t="s">
        <v>12683</v>
      </c>
      <c r="D1599" s="5" t="s">
        <v>12682</v>
      </c>
      <c r="E1599" s="9" t="str">
        <f>HYPERLINK("https://twitter.com/vadegah/status/1036711953752842240","1036711953752842240")</f>
        <v>1036711953752842240</v>
      </c>
      <c r="F1599" s="4"/>
      <c r="G1599" s="4"/>
      <c r="H1599" s="4"/>
      <c r="I1599" s="10" t="str">
        <f>HYPERLINK("http://twitter.com/download/android","Twitter for Android")</f>
        <v>Twitter for Android</v>
      </c>
      <c r="J1599" s="2">
        <v>68</v>
      </c>
      <c r="K1599" s="2">
        <v>38</v>
      </c>
      <c r="L1599" s="2">
        <v>0</v>
      </c>
      <c r="M1599" s="2"/>
      <c r="N1599" s="8">
        <v>41526.969236111108</v>
      </c>
      <c r="O1599" s="4" t="s">
        <v>17</v>
      </c>
      <c r="P1599" s="3" t="s">
        <v>12681</v>
      </c>
      <c r="Q1599" s="4"/>
      <c r="R1599" s="4"/>
      <c r="S1599" s="9" t="str">
        <f>HYPERLINK("https://pbs.twimg.com/profile_images/1005340734982119424/jNdTyrTX.jpg","View")</f>
        <v>View</v>
      </c>
    </row>
    <row r="1600" spans="1:19" ht="20">
      <c r="A1600" s="8">
        <v>43347.036875000005</v>
      </c>
      <c r="B1600" s="11" t="str">
        <f>HYPERLINK("https://twitter.com/Amir_075","@Amir_075")</f>
        <v>@Amir_075</v>
      </c>
      <c r="C1600" s="6" t="s">
        <v>11391</v>
      </c>
      <c r="D1600" s="5" t="s">
        <v>12680</v>
      </c>
      <c r="E1600" s="9" t="str">
        <f>HYPERLINK("https://twitter.com/Amir_075/status/1036711201491890176","1036711201491890176")</f>
        <v>1036711201491890176</v>
      </c>
      <c r="F1600" s="4"/>
      <c r="G1600" s="4"/>
      <c r="H1600" s="4"/>
      <c r="I1600" s="10" t="str">
        <f>HYPERLINK("http://twitter.com/download/android","Twitter for Android")</f>
        <v>Twitter for Android</v>
      </c>
      <c r="J1600" s="2">
        <v>132</v>
      </c>
      <c r="K1600" s="2">
        <v>136</v>
      </c>
      <c r="L1600" s="2">
        <v>0</v>
      </c>
      <c r="M1600" s="2"/>
      <c r="N1600" s="8">
        <v>43165.530914351853</v>
      </c>
      <c r="O1600" s="4"/>
      <c r="P1600" s="3" t="s">
        <v>11389</v>
      </c>
      <c r="Q1600" s="4"/>
      <c r="R1600" s="4"/>
      <c r="S1600" s="9" t="str">
        <f>HYPERLINK("https://pbs.twimg.com/profile_images/1012994051614834688/fGIlvWtu.jpg","View")</f>
        <v>View</v>
      </c>
    </row>
    <row r="1601" spans="1:19" ht="30">
      <c r="A1601" s="8">
        <v>43347.036412037036</v>
      </c>
      <c r="B1601" s="11" t="str">
        <f>HYPERLINK("https://twitter.com/mahdii_58","@mahdii_58")</f>
        <v>@mahdii_58</v>
      </c>
      <c r="C1601" s="6" t="s">
        <v>395</v>
      </c>
      <c r="D1601" s="5" t="s">
        <v>12679</v>
      </c>
      <c r="E1601" s="9" t="str">
        <f>HYPERLINK("https://twitter.com/mahdii_58/status/1036711035137273856","1036711035137273856")</f>
        <v>1036711035137273856</v>
      </c>
      <c r="F1601" s="4"/>
      <c r="G1601" s="10" t="s">
        <v>12678</v>
      </c>
      <c r="H1601" s="4"/>
      <c r="I1601" s="10" t="str">
        <f>HYPERLINK("http://twitter.com","Twitter Web Client")</f>
        <v>Twitter Web Client</v>
      </c>
      <c r="J1601" s="2">
        <v>348</v>
      </c>
      <c r="K1601" s="2">
        <v>642</v>
      </c>
      <c r="L1601" s="2">
        <v>2</v>
      </c>
      <c r="M1601" s="2"/>
      <c r="N1601" s="8">
        <v>42894.222337962958</v>
      </c>
      <c r="O1601" s="4" t="s">
        <v>34</v>
      </c>
      <c r="P1601" s="3"/>
      <c r="Q1601" s="4"/>
      <c r="R1601" s="4"/>
      <c r="S1601" s="9" t="str">
        <f>HYPERLINK("https://pbs.twimg.com/profile_images/948614670155329537/GlFbvBfd.jpg","View")</f>
        <v>View</v>
      </c>
    </row>
    <row r="1602" spans="1:19" ht="20">
      <c r="A1602" s="8">
        <v>43347.035868055551</v>
      </c>
      <c r="B1602" s="11" t="str">
        <f>HYPERLINK("https://twitter.com/IntermilanIran","@IntermilanIran")</f>
        <v>@IntermilanIran</v>
      </c>
      <c r="C1602" s="6" t="s">
        <v>12677</v>
      </c>
      <c r="D1602" s="5" t="s">
        <v>12676</v>
      </c>
      <c r="E1602" s="9" t="str">
        <f>HYPERLINK("https://twitter.com/IntermilanIran/status/1036710837002661889","1036710837002661889")</f>
        <v>1036710837002661889</v>
      </c>
      <c r="F1602" s="4"/>
      <c r="G1602" s="4"/>
      <c r="H1602" s="4"/>
      <c r="I1602" s="10" t="str">
        <f>HYPERLINK("http://twitter.com/download/iphone","Twitter for iPhone")</f>
        <v>Twitter for iPhone</v>
      </c>
      <c r="J1602" s="2">
        <v>285</v>
      </c>
      <c r="K1602" s="2">
        <v>288</v>
      </c>
      <c r="L1602" s="2">
        <v>0</v>
      </c>
      <c r="M1602" s="2"/>
      <c r="N1602" s="8">
        <v>43325.367280092592</v>
      </c>
      <c r="O1602" s="4"/>
      <c r="P1602" s="3" t="s">
        <v>12675</v>
      </c>
      <c r="Q1602" s="4"/>
      <c r="R1602" s="4"/>
      <c r="S1602" s="9" t="str">
        <f>HYPERLINK("https://pbs.twimg.com/profile_images/1029324091466162182/Rx0XZmBR.jpg","View")</f>
        <v>View</v>
      </c>
    </row>
    <row r="1603" spans="1:19" ht="40">
      <c r="A1603" s="8">
        <v>43347.035578703704</v>
      </c>
      <c r="B1603" s="11" t="str">
        <f>HYPERLINK("https://twitter.com/roshanfekr3","@roshanfekr3")</f>
        <v>@roshanfekr3</v>
      </c>
      <c r="C1603" s="6" t="s">
        <v>12674</v>
      </c>
      <c r="D1603" s="5" t="s">
        <v>12673</v>
      </c>
      <c r="E1603" s="9" t="str">
        <f>HYPERLINK("https://twitter.com/roshanfekr3/status/1036710730832269313","1036710730832269313")</f>
        <v>1036710730832269313</v>
      </c>
      <c r="F1603" s="4"/>
      <c r="G1603" s="4"/>
      <c r="H1603" s="4"/>
      <c r="I1603" s="10" t="str">
        <f>HYPERLINK("http://twitter.com","Twitter Web Client")</f>
        <v>Twitter Web Client</v>
      </c>
      <c r="J1603" s="2">
        <v>0</v>
      </c>
      <c r="K1603" s="2">
        <v>0</v>
      </c>
      <c r="L1603" s="2">
        <v>0</v>
      </c>
      <c r="M1603" s="2"/>
      <c r="N1603" s="8">
        <v>43347.008055555554</v>
      </c>
      <c r="O1603" s="4"/>
      <c r="P1603" s="3" t="s">
        <v>12672</v>
      </c>
      <c r="Q1603" s="4"/>
      <c r="R1603" s="4"/>
      <c r="S1603" s="9" t="str">
        <f>HYPERLINK("https://pbs.twimg.com/profile_images/1036705771722104838/Er7sJiVZ.jpg","View")</f>
        <v>View</v>
      </c>
    </row>
    <row r="1604" spans="1:19" ht="20">
      <c r="A1604" s="8">
        <v>43347.033645833333</v>
      </c>
      <c r="B1604" s="11" t="str">
        <f>HYPERLINK("https://twitter.com/Milad_9776","@Milad_9776")</f>
        <v>@Milad_9776</v>
      </c>
      <c r="C1604" s="6" t="s">
        <v>12671</v>
      </c>
      <c r="D1604" s="5" t="s">
        <v>12670</v>
      </c>
      <c r="E1604" s="9" t="str">
        <f>HYPERLINK("https://twitter.com/Milad_9776/status/1036710030224052224","1036710030224052224")</f>
        <v>1036710030224052224</v>
      </c>
      <c r="F1604" s="4"/>
      <c r="G1604" s="4"/>
      <c r="H1604" s="4"/>
      <c r="I1604" s="10" t="str">
        <f>HYPERLINK("http://twitter.com/download/android","Twitter for Android")</f>
        <v>Twitter for Android</v>
      </c>
      <c r="J1604" s="2">
        <v>1169</v>
      </c>
      <c r="K1604" s="2">
        <v>725</v>
      </c>
      <c r="L1604" s="2">
        <v>2</v>
      </c>
      <c r="M1604" s="2"/>
      <c r="N1604" s="8">
        <v>42941.705763888887</v>
      </c>
      <c r="O1604" s="4" t="s">
        <v>17</v>
      </c>
      <c r="P1604" s="3" t="s">
        <v>12669</v>
      </c>
      <c r="Q1604" s="4"/>
      <c r="R1604" s="4"/>
      <c r="S1604" s="9" t="str">
        <f>HYPERLINK("https://pbs.twimg.com/profile_images/1000918482110861313/nuSQIU6Z.jpg","View")</f>
        <v>View</v>
      </c>
    </row>
    <row r="1605" spans="1:19" ht="40">
      <c r="A1605" s="8">
        <v>43347.030787037038</v>
      </c>
      <c r="B1605" s="11" t="str">
        <f>HYPERLINK("https://twitter.com/shojaeiam","@shojaeiam")</f>
        <v>@shojaeiam</v>
      </c>
      <c r="C1605" s="6" t="s">
        <v>3278</v>
      </c>
      <c r="D1605" s="5" t="s">
        <v>12668</v>
      </c>
      <c r="E1605" s="9" t="str">
        <f>HYPERLINK("https://twitter.com/shojaeiam/status/1036708997066383361","1036708997066383361")</f>
        <v>1036708997066383361</v>
      </c>
      <c r="F1605" s="4"/>
      <c r="G1605" s="10" t="s">
        <v>12667</v>
      </c>
      <c r="H1605" s="4"/>
      <c r="I1605" s="10" t="str">
        <f>HYPERLINK("http://twitter.com/download/iphone","Twitter for iPhone")</f>
        <v>Twitter for iPhone</v>
      </c>
      <c r="J1605" s="2">
        <v>660</v>
      </c>
      <c r="K1605" s="2">
        <v>262</v>
      </c>
      <c r="L1605" s="2">
        <v>6</v>
      </c>
      <c r="M1605" s="2"/>
      <c r="N1605" s="8">
        <v>42477.377928240741</v>
      </c>
      <c r="O1605" s="4"/>
      <c r="P1605" s="3" t="s">
        <v>12666</v>
      </c>
      <c r="Q1605" s="4"/>
      <c r="R1605" s="4"/>
      <c r="S1605" s="9" t="str">
        <f>HYPERLINK("https://pbs.twimg.com/profile_images/805125726345326592/fIH-aLcs.jpg","View")</f>
        <v>View</v>
      </c>
    </row>
    <row r="1606" spans="1:19" ht="40">
      <c r="A1606" s="8">
        <v>43347.028449074074</v>
      </c>
      <c r="B1606" s="11" t="str">
        <f>HYPERLINK("https://twitter.com/IranTehran313","@IranTehran313")</f>
        <v>@IranTehran313</v>
      </c>
      <c r="C1606" s="6">
        <v>13</v>
      </c>
      <c r="D1606" s="5" t="s">
        <v>12665</v>
      </c>
      <c r="E1606" s="9" t="str">
        <f>HYPERLINK("https://twitter.com/IranTehran313/status/1036708151020724224","1036708151020724224")</f>
        <v>1036708151020724224</v>
      </c>
      <c r="F1606" s="4"/>
      <c r="G1606" s="4"/>
      <c r="H1606" s="4"/>
      <c r="I1606" s="10" t="str">
        <f>HYPERLINK("http://twitter.com/download/iphone","Twitter for iPhone")</f>
        <v>Twitter for iPhone</v>
      </c>
      <c r="J1606" s="2">
        <v>4</v>
      </c>
      <c r="K1606" s="2">
        <v>0</v>
      </c>
      <c r="L1606" s="2">
        <v>0</v>
      </c>
      <c r="M1606" s="2"/>
      <c r="N1606" s="8">
        <v>41757.120173611111</v>
      </c>
      <c r="O1606" s="4"/>
      <c r="P1606" s="3"/>
      <c r="Q1606" s="4"/>
      <c r="R1606" s="4"/>
      <c r="S1606" s="9" t="str">
        <f>HYPERLINK("https://pbs.twimg.com/profile_images/461247865600221184/SdwNsg8d.jpeg","View")</f>
        <v>View</v>
      </c>
    </row>
    <row r="1607" spans="1:19" ht="20">
      <c r="A1607" s="8">
        <v>43347.02444444444</v>
      </c>
      <c r="B1607" s="11" t="str">
        <f>HYPERLINK("https://twitter.com/bidelparwaz","@bidelparwaz")</f>
        <v>@bidelparwaz</v>
      </c>
      <c r="C1607" s="6" t="s">
        <v>12664</v>
      </c>
      <c r="D1607" s="5" t="s">
        <v>12663</v>
      </c>
      <c r="E1607" s="9" t="str">
        <f>HYPERLINK("https://twitter.com/bidelparwaz/status/1036706695899164672","1036706695899164672")</f>
        <v>1036706695899164672</v>
      </c>
      <c r="F1607" s="4"/>
      <c r="G1607" s="4"/>
      <c r="H1607" s="4"/>
      <c r="I1607" s="10" t="str">
        <f>HYPERLINK("https://mobile.twitter.com","Twitter Lite")</f>
        <v>Twitter Lite</v>
      </c>
      <c r="J1607" s="2">
        <v>471</v>
      </c>
      <c r="K1607" s="2">
        <v>1285</v>
      </c>
      <c r="L1607" s="2">
        <v>0</v>
      </c>
      <c r="M1607" s="2"/>
      <c r="N1607" s="8">
        <v>41362.729085648149</v>
      </c>
      <c r="O1607" s="4"/>
      <c r="P1607" s="3"/>
      <c r="Q1607" s="4"/>
      <c r="R1607" s="4"/>
      <c r="S1607" s="9" t="str">
        <f>HYPERLINK("https://pbs.twimg.com/profile_images/3447034949/e8cf38722bbd1c4be8a1a450911927ce.jpeg","View")</f>
        <v>View</v>
      </c>
    </row>
    <row r="1608" spans="1:19" ht="20">
      <c r="A1608" s="8">
        <v>43347.022662037038</v>
      </c>
      <c r="B1608" s="11" t="str">
        <f>HYPERLINK("https://twitter.com/Javadrahimi123","@Javadrahimi123")</f>
        <v>@Javadrahimi123</v>
      </c>
      <c r="C1608" s="6" t="s">
        <v>6813</v>
      </c>
      <c r="D1608" s="5" t="s">
        <v>12662</v>
      </c>
      <c r="E1608" s="9" t="str">
        <f>HYPERLINK("https://twitter.com/Javadrahimi123/status/1036706053235335168","1036706053235335168")</f>
        <v>1036706053235335168</v>
      </c>
      <c r="F1608" s="4"/>
      <c r="G1608" s="4"/>
      <c r="H1608" s="4"/>
      <c r="I1608" s="10" t="str">
        <f>HYPERLINK("https://mobile.twitter.com","Twitter Lite")</f>
        <v>Twitter Lite</v>
      </c>
      <c r="J1608" s="2">
        <v>1</v>
      </c>
      <c r="K1608" s="2">
        <v>7</v>
      </c>
      <c r="L1608" s="2">
        <v>0</v>
      </c>
      <c r="M1608" s="2"/>
      <c r="N1608" s="8">
        <v>43340.648541666669</v>
      </c>
      <c r="O1608" s="4"/>
      <c r="P1608" s="3"/>
      <c r="Q1608" s="4"/>
      <c r="R1608" s="4"/>
      <c r="S1608" s="9" t="str">
        <f>HYPERLINK("https://pbs.twimg.com/profile_images/1034648705603915778/-48-rHy6.jpg","View")</f>
        <v>View</v>
      </c>
    </row>
    <row r="1609" spans="1:19" ht="30">
      <c r="A1609" s="8">
        <v>43347.022141203706</v>
      </c>
      <c r="B1609" s="11" t="str">
        <f>HYPERLINK("https://twitter.com/mohamadsalimi69","@mohamadsalimi69")</f>
        <v>@mohamadsalimi69</v>
      </c>
      <c r="C1609" s="6" t="s">
        <v>2858</v>
      </c>
      <c r="D1609" s="5" t="s">
        <v>12661</v>
      </c>
      <c r="E1609" s="9" t="str">
        <f>HYPERLINK("https://twitter.com/mohamadsalimi69/status/1036705863774478338","1036705863774478338")</f>
        <v>1036705863774478338</v>
      </c>
      <c r="F1609" s="4"/>
      <c r="G1609" s="4"/>
      <c r="H1609" s="4"/>
      <c r="I1609" s="10" t="str">
        <f>HYPERLINK("http://twitter.com/download/android","Twitter for Android")</f>
        <v>Twitter for Android</v>
      </c>
      <c r="J1609" s="2">
        <v>261</v>
      </c>
      <c r="K1609" s="2">
        <v>222</v>
      </c>
      <c r="L1609" s="2">
        <v>0</v>
      </c>
      <c r="M1609" s="2"/>
      <c r="N1609" s="8">
        <v>42471.547812500001</v>
      </c>
      <c r="O1609" s="4"/>
      <c r="P1609" s="3" t="s">
        <v>2855</v>
      </c>
      <c r="Q1609" s="4"/>
      <c r="R1609" s="4"/>
      <c r="S1609" s="9" t="str">
        <f>HYPERLINK("https://pbs.twimg.com/profile_images/1011262089216823296/oKIeknpo.jpg","View")</f>
        <v>View</v>
      </c>
    </row>
    <row r="1610" spans="1:19" ht="20">
      <c r="A1610" s="8">
        <v>43347.02143518519</v>
      </c>
      <c r="B1610" s="11" t="str">
        <f>HYPERLINK("https://twitter.com/Javadrahimi123","@Javadrahimi123")</f>
        <v>@Javadrahimi123</v>
      </c>
      <c r="C1610" s="6" t="s">
        <v>6813</v>
      </c>
      <c r="D1610" s="5" t="s">
        <v>12660</v>
      </c>
      <c r="E1610" s="9" t="str">
        <f>HYPERLINK("https://twitter.com/Javadrahimi123/status/1036705606227382277","1036705606227382277")</f>
        <v>1036705606227382277</v>
      </c>
      <c r="F1610" s="4"/>
      <c r="G1610" s="4"/>
      <c r="H1610" s="4"/>
      <c r="I1610" s="10" t="str">
        <f>HYPERLINK("https://mobile.twitter.com","Twitter Lite")</f>
        <v>Twitter Lite</v>
      </c>
      <c r="J1610" s="2">
        <v>1</v>
      </c>
      <c r="K1610" s="2">
        <v>7</v>
      </c>
      <c r="L1610" s="2">
        <v>0</v>
      </c>
      <c r="M1610" s="2"/>
      <c r="N1610" s="8">
        <v>43340.648541666669</v>
      </c>
      <c r="O1610" s="4"/>
      <c r="P1610" s="3"/>
      <c r="Q1610" s="4"/>
      <c r="R1610" s="4"/>
      <c r="S1610" s="9" t="str">
        <f>HYPERLINK("https://pbs.twimg.com/profile_images/1034648705603915778/-48-rHy6.jpg","View")</f>
        <v>View</v>
      </c>
    </row>
    <row r="1611" spans="1:19" ht="30">
      <c r="A1611" s="8">
        <v>43347.021226851852</v>
      </c>
      <c r="B1611" s="11" t="str">
        <f>HYPERLINK("https://twitter.com/ReeeeeezzzzzzA","@ReeeeeezzzzzzA")</f>
        <v>@ReeeeeezzzzzzA</v>
      </c>
      <c r="C1611" s="6" t="s">
        <v>12659</v>
      </c>
      <c r="D1611" s="5" t="s">
        <v>12658</v>
      </c>
      <c r="E1611" s="9" t="str">
        <f>HYPERLINK("https://twitter.com/ReeeeeezzzzzzA/status/1036705530738225152","1036705530738225152")</f>
        <v>1036705530738225152</v>
      </c>
      <c r="F1611" s="4"/>
      <c r="G1611" s="4"/>
      <c r="H1611" s="4"/>
      <c r="I1611" s="10" t="str">
        <f>HYPERLINK("http://twitter.com/download/android","Twitter for Android")</f>
        <v>Twitter for Android</v>
      </c>
      <c r="J1611" s="2">
        <v>252</v>
      </c>
      <c r="K1611" s="2">
        <v>325</v>
      </c>
      <c r="L1611" s="2">
        <v>2</v>
      </c>
      <c r="M1611" s="2"/>
      <c r="N1611" s="8">
        <v>42853.983194444445</v>
      </c>
      <c r="O1611" s="4" t="s">
        <v>34</v>
      </c>
      <c r="P1611" s="3"/>
      <c r="Q1611" s="4"/>
      <c r="R1611" s="4"/>
      <c r="S1611" s="9" t="str">
        <f>HYPERLINK("https://pbs.twimg.com/profile_images/1018622863207817217/ZYWeVmjA.jpg","View")</f>
        <v>View</v>
      </c>
    </row>
    <row r="1612" spans="1:19" ht="40">
      <c r="A1612" s="8">
        <v>43347.020740740743</v>
      </c>
      <c r="B1612" s="11" t="str">
        <f>HYPERLINK("https://twitter.com/m_m1364","@m_m1364")</f>
        <v>@m_m1364</v>
      </c>
      <c r="C1612" s="6" t="s">
        <v>12657</v>
      </c>
      <c r="D1612" s="5" t="s">
        <v>12656</v>
      </c>
      <c r="E1612" s="9" t="str">
        <f>HYPERLINK("https://twitter.com/m_m1364/status/1036705356360036355","1036705356360036355")</f>
        <v>1036705356360036355</v>
      </c>
      <c r="F1612" s="4"/>
      <c r="G1612" s="4"/>
      <c r="H1612" s="4"/>
      <c r="I1612" s="10" t="str">
        <f>HYPERLINK("http://twitter.com/download/android","Twitter for Android")</f>
        <v>Twitter for Android</v>
      </c>
      <c r="J1612" s="2">
        <v>2151</v>
      </c>
      <c r="K1612" s="2">
        <v>2200</v>
      </c>
      <c r="L1612" s="2">
        <v>3</v>
      </c>
      <c r="M1612" s="2"/>
      <c r="N1612" s="8">
        <v>42985.488888888889</v>
      </c>
      <c r="O1612" s="4" t="s">
        <v>12655</v>
      </c>
      <c r="P1612" s="3" t="s">
        <v>12654</v>
      </c>
      <c r="Q1612" s="4"/>
      <c r="R1612" s="4"/>
      <c r="S1612" s="9" t="str">
        <f>HYPERLINK("https://pbs.twimg.com/profile_images/989969125949825025/57segn7Q.jpg","View")</f>
        <v>View</v>
      </c>
    </row>
    <row r="1613" spans="1:19" ht="40">
      <c r="A1613" s="8">
        <v>43347.020162037035</v>
      </c>
      <c r="B1613" s="11" t="str">
        <f>HYPERLINK("https://twitter.com/Omiderfanmanesh","@Omiderfanmanesh")</f>
        <v>@Omiderfanmanesh</v>
      </c>
      <c r="C1613" s="6" t="s">
        <v>11280</v>
      </c>
      <c r="D1613" s="5" t="s">
        <v>12653</v>
      </c>
      <c r="E1613" s="9" t="str">
        <f>HYPERLINK("https://twitter.com/Omiderfanmanesh/status/1036705145663500288","1036705145663500288")</f>
        <v>1036705145663500288</v>
      </c>
      <c r="F1613" s="4"/>
      <c r="G1613" s="4"/>
      <c r="H1613" s="4"/>
      <c r="I1613" s="10" t="str">
        <f>HYPERLINK("http://twitter.com/download/android","Twitter for Android")</f>
        <v>Twitter for Android</v>
      </c>
      <c r="J1613" s="2">
        <v>952</v>
      </c>
      <c r="K1613" s="2">
        <v>1124</v>
      </c>
      <c r="L1613" s="2">
        <v>2</v>
      </c>
      <c r="M1613" s="2"/>
      <c r="N1613" s="8">
        <v>42701.033217592594</v>
      </c>
      <c r="O1613" s="4" t="s">
        <v>11277</v>
      </c>
      <c r="P1613" s="3" t="s">
        <v>11276</v>
      </c>
      <c r="Q1613" s="4"/>
      <c r="R1613" s="4"/>
      <c r="S1613" s="9" t="str">
        <f>HYPERLINK("https://pbs.twimg.com/profile_images/1028990298305658880/JAdUYLZr.jpg","View")</f>
        <v>View</v>
      </c>
    </row>
    <row r="1614" spans="1:19" ht="20">
      <c r="A1614" s="8">
        <v>43347.019745370373</v>
      </c>
      <c r="B1614" s="11" t="str">
        <f>HYPERLINK("https://twitter.com/Javadrahimi123","@Javadrahimi123")</f>
        <v>@Javadrahimi123</v>
      </c>
      <c r="C1614" s="6" t="s">
        <v>6813</v>
      </c>
      <c r="D1614" s="5" t="s">
        <v>12652</v>
      </c>
      <c r="E1614" s="9" t="str">
        <f>HYPERLINK("https://twitter.com/Javadrahimi123/status/1036704996878938113","1036704996878938113")</f>
        <v>1036704996878938113</v>
      </c>
      <c r="F1614" s="4"/>
      <c r="G1614" s="4"/>
      <c r="H1614" s="4"/>
      <c r="I1614" s="10" t="str">
        <f>HYPERLINK("https://mobile.twitter.com","Twitter Lite")</f>
        <v>Twitter Lite</v>
      </c>
      <c r="J1614" s="2">
        <v>1</v>
      </c>
      <c r="K1614" s="2">
        <v>7</v>
      </c>
      <c r="L1614" s="2">
        <v>0</v>
      </c>
      <c r="M1614" s="2"/>
      <c r="N1614" s="8">
        <v>43340.648541666669</v>
      </c>
      <c r="O1614" s="4"/>
      <c r="P1614" s="3"/>
      <c r="Q1614" s="4"/>
      <c r="R1614" s="4"/>
      <c r="S1614" s="9" t="str">
        <f>HYPERLINK("https://pbs.twimg.com/profile_images/1034648705603915778/-48-rHy6.jpg","View")</f>
        <v>View</v>
      </c>
    </row>
    <row r="1615" spans="1:19" ht="20">
      <c r="A1615" s="8">
        <v>43347.018761574072</v>
      </c>
      <c r="B1615" s="11" t="str">
        <f>HYPERLINK("https://twitter.com/Javadrahimi123","@Javadrahimi123")</f>
        <v>@Javadrahimi123</v>
      </c>
      <c r="C1615" s="6" t="s">
        <v>6813</v>
      </c>
      <c r="D1615" s="5" t="s">
        <v>12651</v>
      </c>
      <c r="E1615" s="9" t="str">
        <f>HYPERLINK("https://twitter.com/Javadrahimi123/status/1036704640023310342","1036704640023310342")</f>
        <v>1036704640023310342</v>
      </c>
      <c r="F1615" s="4"/>
      <c r="G1615" s="4"/>
      <c r="H1615" s="4"/>
      <c r="I1615" s="10" t="str">
        <f>HYPERLINK("https://mobile.twitter.com","Twitter Lite")</f>
        <v>Twitter Lite</v>
      </c>
      <c r="J1615" s="2">
        <v>1</v>
      </c>
      <c r="K1615" s="2">
        <v>7</v>
      </c>
      <c r="L1615" s="2">
        <v>0</v>
      </c>
      <c r="M1615" s="2"/>
      <c r="N1615" s="8">
        <v>43340.648541666669</v>
      </c>
      <c r="O1615" s="4"/>
      <c r="P1615" s="3"/>
      <c r="Q1615" s="4"/>
      <c r="R1615" s="4"/>
      <c r="S1615" s="9" t="str">
        <f>HYPERLINK("https://pbs.twimg.com/profile_images/1034648705603915778/-48-rHy6.jpg","View")</f>
        <v>View</v>
      </c>
    </row>
    <row r="1616" spans="1:19" ht="20">
      <c r="A1616" s="8">
        <v>43347.017939814818</v>
      </c>
      <c r="B1616" s="11" t="str">
        <f>HYPERLINK("https://twitter.com/alishaeri89","@alishaeri89")</f>
        <v>@alishaeri89</v>
      </c>
      <c r="C1616" s="6" t="s">
        <v>1787</v>
      </c>
      <c r="D1616" s="5" t="s">
        <v>12650</v>
      </c>
      <c r="E1616" s="9" t="str">
        <f>HYPERLINK("https://twitter.com/alishaeri89/status/1036704341665701888","1036704341665701888")</f>
        <v>1036704341665701888</v>
      </c>
      <c r="F1616" s="4"/>
      <c r="G1616" s="4"/>
      <c r="H1616" s="4"/>
      <c r="I1616" s="10" t="str">
        <f>HYPERLINK("http://twitter.com/download/android","Twitter for Android")</f>
        <v>Twitter for Android</v>
      </c>
      <c r="J1616" s="2">
        <v>1269</v>
      </c>
      <c r="K1616" s="2">
        <v>1254</v>
      </c>
      <c r="L1616" s="2">
        <v>2</v>
      </c>
      <c r="M1616" s="2"/>
      <c r="N1616" s="8">
        <v>43248.747106481482</v>
      </c>
      <c r="O1616" s="4" t="s">
        <v>17</v>
      </c>
      <c r="P1616" s="3" t="s">
        <v>1784</v>
      </c>
      <c r="Q1616" s="4"/>
      <c r="R1616" s="4"/>
      <c r="S1616" s="9" t="str">
        <f>HYPERLINK("https://pbs.twimg.com/profile_images/1019917938999070720/VqHRCseB.jpg","View")</f>
        <v>View</v>
      </c>
    </row>
    <row r="1617" spans="1:19" ht="20">
      <c r="A1617" s="8">
        <v>43347.017361111109</v>
      </c>
      <c r="B1617" s="11" t="str">
        <f>HYPERLINK("https://twitter.com/karen_argavan","@karen_argavan")</f>
        <v>@karen_argavan</v>
      </c>
      <c r="C1617" s="6" t="s">
        <v>12649</v>
      </c>
      <c r="D1617" s="5" t="s">
        <v>12648</v>
      </c>
      <c r="E1617" s="9" t="str">
        <f>HYPERLINK("https://twitter.com/karen_argavan/status/1036704130490880002","1036704130490880002")</f>
        <v>1036704130490880002</v>
      </c>
      <c r="F1617" s="4"/>
      <c r="G1617" s="4"/>
      <c r="H1617" s="4"/>
      <c r="I1617" s="10" t="str">
        <f>HYPERLINK("http://twitter.com/download/android","Twitter for Android")</f>
        <v>Twitter for Android</v>
      </c>
      <c r="J1617" s="2">
        <v>121</v>
      </c>
      <c r="K1617" s="2">
        <v>119</v>
      </c>
      <c r="L1617" s="2">
        <v>0</v>
      </c>
      <c r="M1617" s="2"/>
      <c r="N1617" s="8">
        <v>42634.225057870368</v>
      </c>
      <c r="O1617" s="4"/>
      <c r="P1617" s="3"/>
      <c r="Q1617" s="4"/>
      <c r="R1617" s="4"/>
      <c r="S1617" s="9" t="str">
        <f>HYPERLINK("https://pbs.twimg.com/profile_images/1012411038480961536/W4I098oa.jpg","View")</f>
        <v>View</v>
      </c>
    </row>
    <row r="1618" spans="1:19" ht="40">
      <c r="A1618" s="8">
        <v>43347.016655092593</v>
      </c>
      <c r="B1618" s="11" t="str">
        <f>HYPERLINK("https://twitter.com/hadisaame","@hadisaame")</f>
        <v>@hadisaame</v>
      </c>
      <c r="C1618" s="6" t="s">
        <v>6242</v>
      </c>
      <c r="D1618" s="5" t="s">
        <v>12647</v>
      </c>
      <c r="E1618" s="9" t="str">
        <f>HYPERLINK("https://twitter.com/hadisaame/status/1036703876983017472","1036703876983017472")</f>
        <v>1036703876983017472</v>
      </c>
      <c r="F1618" s="4"/>
      <c r="G1618" s="4"/>
      <c r="H1618" s="4"/>
      <c r="I1618" s="10" t="str">
        <f>HYPERLINK("http://twitter.com/download/android","Twitter for Android")</f>
        <v>Twitter for Android</v>
      </c>
      <c r="J1618" s="2">
        <v>653</v>
      </c>
      <c r="K1618" s="2">
        <v>366</v>
      </c>
      <c r="L1618" s="2">
        <v>9</v>
      </c>
      <c r="M1618" s="2"/>
      <c r="N1618" s="8">
        <v>42875.730694444443</v>
      </c>
      <c r="O1618" s="4"/>
      <c r="P1618" s="3" t="s">
        <v>6239</v>
      </c>
      <c r="Q1618" s="4"/>
      <c r="R1618" s="4"/>
      <c r="S1618" s="9" t="str">
        <f>HYPERLINK("https://pbs.twimg.com/profile_images/865940033144066049/7XjArPNt.jpg","View")</f>
        <v>View</v>
      </c>
    </row>
    <row r="1619" spans="1:19" ht="20">
      <c r="A1619" s="8">
        <v>43347.012465277774</v>
      </c>
      <c r="B1619" s="11" t="str">
        <f>HYPERLINK("https://twitter.com/Omiderfanmanesh","@Omiderfanmanesh")</f>
        <v>@Omiderfanmanesh</v>
      </c>
      <c r="C1619" s="6" t="s">
        <v>11280</v>
      </c>
      <c r="D1619" s="5" t="s">
        <v>12646</v>
      </c>
      <c r="E1619" s="9" t="str">
        <f>HYPERLINK("https://twitter.com/Omiderfanmanesh/status/1036702355184648192","1036702355184648192")</f>
        <v>1036702355184648192</v>
      </c>
      <c r="F1619" s="4"/>
      <c r="G1619" s="4"/>
      <c r="H1619" s="4"/>
      <c r="I1619" s="10" t="str">
        <f>HYPERLINK("http://twitter.com/download/android","Twitter for Android")</f>
        <v>Twitter for Android</v>
      </c>
      <c r="J1619" s="2">
        <v>952</v>
      </c>
      <c r="K1619" s="2">
        <v>1124</v>
      </c>
      <c r="L1619" s="2">
        <v>2</v>
      </c>
      <c r="M1619" s="2"/>
      <c r="N1619" s="8">
        <v>42701.033217592594</v>
      </c>
      <c r="O1619" s="4" t="s">
        <v>11277</v>
      </c>
      <c r="P1619" s="3" t="s">
        <v>11276</v>
      </c>
      <c r="Q1619" s="4"/>
      <c r="R1619" s="4"/>
      <c r="S1619" s="9" t="str">
        <f>HYPERLINK("https://pbs.twimg.com/profile_images/1028990298305658880/JAdUYLZr.jpg","View")</f>
        <v>View</v>
      </c>
    </row>
    <row r="1620" spans="1:19" ht="30">
      <c r="A1620" s="8">
        <v>43347.012326388889</v>
      </c>
      <c r="B1620" s="11" t="str">
        <f>HYPERLINK("https://twitter.com/Shabani_na","@Shabani_na")</f>
        <v>@Shabani_na</v>
      </c>
      <c r="C1620" s="6" t="s">
        <v>12645</v>
      </c>
      <c r="D1620" s="5" t="s">
        <v>12644</v>
      </c>
      <c r="E1620" s="9" t="str">
        <f>HYPERLINK("https://twitter.com/Shabani_na/status/1036702306102923264","1036702306102923264")</f>
        <v>1036702306102923264</v>
      </c>
      <c r="F1620" s="4"/>
      <c r="G1620" s="4"/>
      <c r="H1620" s="4"/>
      <c r="I1620" s="10" t="str">
        <f>HYPERLINK("http://twitter.com","Twitter Web Client")</f>
        <v>Twitter Web Client</v>
      </c>
      <c r="J1620" s="2">
        <v>176</v>
      </c>
      <c r="K1620" s="2">
        <v>184</v>
      </c>
      <c r="L1620" s="2">
        <v>0</v>
      </c>
      <c r="M1620" s="2"/>
      <c r="N1620" s="8">
        <v>42779.013333333336</v>
      </c>
      <c r="O1620" s="4" t="s">
        <v>1631</v>
      </c>
      <c r="P1620" s="3" t="s">
        <v>12643</v>
      </c>
      <c r="Q1620" s="4"/>
      <c r="R1620" s="4"/>
      <c r="S1620" s="9" t="str">
        <f>HYPERLINK("https://pbs.twimg.com/profile_images/830883379683979265/3TR7F42K.jpg","View")</f>
        <v>View</v>
      </c>
    </row>
    <row r="1621" spans="1:19" ht="30">
      <c r="A1621" s="8">
        <v>43347.011597222227</v>
      </c>
      <c r="B1621" s="11" t="str">
        <f>HYPERLINK("https://twitter.com/bentolnajaf","@bentolnajaf")</f>
        <v>@bentolnajaf</v>
      </c>
      <c r="C1621" s="6" t="s">
        <v>12642</v>
      </c>
      <c r="D1621" s="5" t="s">
        <v>12641</v>
      </c>
      <c r="E1621" s="9" t="str">
        <f>HYPERLINK("https://twitter.com/bentolnajaf/status/1036702042713214978","1036702042713214978")</f>
        <v>1036702042713214978</v>
      </c>
      <c r="F1621" s="4"/>
      <c r="G1621" s="10" t="s">
        <v>12640</v>
      </c>
      <c r="H1621" s="4"/>
      <c r="I1621" s="10" t="str">
        <f>HYPERLINK("http://twitter.com/download/android","Twitter for Android")</f>
        <v>Twitter for Android</v>
      </c>
      <c r="J1621" s="2">
        <v>846</v>
      </c>
      <c r="K1621" s="2">
        <v>1781</v>
      </c>
      <c r="L1621" s="2">
        <v>1</v>
      </c>
      <c r="M1621" s="2"/>
      <c r="N1621" s="8">
        <v>43216.969050925924</v>
      </c>
      <c r="O1621" s="4" t="s">
        <v>17</v>
      </c>
      <c r="P1621" s="3" t="s">
        <v>12639</v>
      </c>
      <c r="Q1621" s="4"/>
      <c r="R1621" s="4"/>
      <c r="S1621" s="9" t="str">
        <f>HYPERLINK("https://pbs.twimg.com/profile_images/1031012349686292480/CFffNFXO.jpg","View")</f>
        <v>View</v>
      </c>
    </row>
    <row r="1622" spans="1:19" ht="40">
      <c r="A1622" s="8">
        <v>43347.006747685184</v>
      </c>
      <c r="B1622" s="11" t="str">
        <f>HYPERLINK("https://twitter.com/Mojtabakhorama1","@Mojtabakhorama1")</f>
        <v>@Mojtabakhorama1</v>
      </c>
      <c r="C1622" s="6" t="s">
        <v>12638</v>
      </c>
      <c r="D1622" s="5" t="s">
        <v>12637</v>
      </c>
      <c r="E1622" s="9" t="str">
        <f>HYPERLINK("https://twitter.com/Mojtabakhorama1/status/1036700286742605825","1036700286742605825")</f>
        <v>1036700286742605825</v>
      </c>
      <c r="F1622" s="4"/>
      <c r="G1622" s="4"/>
      <c r="H1622" s="4"/>
      <c r="I1622" s="10" t="str">
        <f>HYPERLINK("http://twitter.com/download/android","Twitter for Android")</f>
        <v>Twitter for Android</v>
      </c>
      <c r="J1622" s="2">
        <v>17</v>
      </c>
      <c r="K1622" s="2">
        <v>158</v>
      </c>
      <c r="L1622" s="2">
        <v>0</v>
      </c>
      <c r="M1622" s="2"/>
      <c r="N1622" s="8">
        <v>43342.115393518514</v>
      </c>
      <c r="O1622" s="4"/>
      <c r="P1622" s="3"/>
      <c r="Q1622" s="4"/>
      <c r="R1622" s="4"/>
      <c r="S1622" s="9" t="str">
        <f>HYPERLINK("https://pbs.twimg.com/profile_images/1034929204201177089/Ui35UQFV.jpg","View")</f>
        <v>View</v>
      </c>
    </row>
    <row r="1623" spans="1:19" ht="20">
      <c r="A1623" s="8">
        <v>43347.005902777775</v>
      </c>
      <c r="B1623" s="11" t="str">
        <f>HYPERLINK("https://twitter.com/shari_jana","@shari_jana")</f>
        <v>@shari_jana</v>
      </c>
      <c r="C1623" s="6" t="s">
        <v>12636</v>
      </c>
      <c r="D1623" s="5" t="s">
        <v>12635</v>
      </c>
      <c r="E1623" s="9" t="str">
        <f>HYPERLINK("https://twitter.com/shari_jana/status/1036699980541571072","1036699980541571072")</f>
        <v>1036699980541571072</v>
      </c>
      <c r="F1623" s="4"/>
      <c r="G1623" s="4"/>
      <c r="H1623" s="4"/>
      <c r="I1623" s="10" t="str">
        <f>HYPERLINK("http://twitter.com/download/android","Twitter for Android")</f>
        <v>Twitter for Android</v>
      </c>
      <c r="J1623" s="2">
        <v>186</v>
      </c>
      <c r="K1623" s="2">
        <v>249</v>
      </c>
      <c r="L1623" s="2">
        <v>0</v>
      </c>
      <c r="M1623" s="2"/>
      <c r="N1623" s="8">
        <v>43101.52579861111</v>
      </c>
      <c r="O1623" s="4"/>
      <c r="P1623" s="3" t="s">
        <v>12634</v>
      </c>
      <c r="Q1623" s="4"/>
      <c r="R1623" s="4"/>
      <c r="S1623" s="9" t="str">
        <f>HYPERLINK("https://pbs.twimg.com/profile_images/997539456151240705/XONlF0Bf.jpg","View")</f>
        <v>View</v>
      </c>
    </row>
    <row r="1624" spans="1:19" ht="20">
      <c r="A1624" s="8">
        <v>43347.005405092597</v>
      </c>
      <c r="B1624" s="11" t="str">
        <f>HYPERLINK("https://twitter.com/lvlash_4li","@lvlash_4li")</f>
        <v>@lvlash_4li</v>
      </c>
      <c r="C1624" s="6" t="s">
        <v>12633</v>
      </c>
      <c r="D1624" s="5" t="s">
        <v>12632</v>
      </c>
      <c r="E1624" s="9" t="str">
        <f>HYPERLINK("https://twitter.com/lvlash_4li/status/1036699797166743552","1036699797166743552")</f>
        <v>1036699797166743552</v>
      </c>
      <c r="F1624" s="4"/>
      <c r="G1624" s="4"/>
      <c r="H1624" s="4"/>
      <c r="I1624" s="10" t="str">
        <f>HYPERLINK("http://twitter.com/download/android","Twitter for Android")</f>
        <v>Twitter for Android</v>
      </c>
      <c r="J1624" s="2">
        <v>19</v>
      </c>
      <c r="K1624" s="2">
        <v>52</v>
      </c>
      <c r="L1624" s="2">
        <v>0</v>
      </c>
      <c r="M1624" s="2"/>
      <c r="N1624" s="8">
        <v>43325.986388888894</v>
      </c>
      <c r="O1624" s="4" t="s">
        <v>12631</v>
      </c>
      <c r="P1624" s="3" t="s">
        <v>12630</v>
      </c>
      <c r="Q1624" s="4"/>
      <c r="R1624" s="4"/>
      <c r="S1624" s="9" t="str">
        <f>HYPERLINK("https://pbs.twimg.com/profile_images/1030387576950206464/CrgUo31T.jpg","View")</f>
        <v>View</v>
      </c>
    </row>
    <row r="1625" spans="1:19" ht="40">
      <c r="A1625" s="8">
        <v>43347.004745370374</v>
      </c>
      <c r="B1625" s="11" t="str">
        <f>HYPERLINK("https://twitter.com/a_eshaghi","@a_eshaghi")</f>
        <v>@a_eshaghi</v>
      </c>
      <c r="C1625" s="6" t="s">
        <v>2144</v>
      </c>
      <c r="D1625" s="5" t="s">
        <v>12629</v>
      </c>
      <c r="E1625" s="9" t="str">
        <f>HYPERLINK("https://twitter.com/a_eshaghi/status/1036699557801943040","1036699557801943040")</f>
        <v>1036699557801943040</v>
      </c>
      <c r="F1625" s="4"/>
      <c r="G1625" s="4"/>
      <c r="H1625" s="4"/>
      <c r="I1625" s="10" t="str">
        <f>HYPERLINK("http://twitter.com/download/iphone","Twitter for iPhone")</f>
        <v>Twitter for iPhone</v>
      </c>
      <c r="J1625" s="2">
        <v>56</v>
      </c>
      <c r="K1625" s="2">
        <v>41</v>
      </c>
      <c r="L1625" s="2">
        <v>1</v>
      </c>
      <c r="M1625" s="2"/>
      <c r="N1625" s="8">
        <v>43200.026365740741</v>
      </c>
      <c r="O1625" s="4" t="s">
        <v>324</v>
      </c>
      <c r="P1625" s="3" t="s">
        <v>2142</v>
      </c>
      <c r="Q1625" s="4"/>
      <c r="R1625" s="4"/>
      <c r="S1625" s="9" t="str">
        <f>HYPERLINK("https://pbs.twimg.com/profile_images/1036262842494791681/kKgQqI2h.jpg","View")</f>
        <v>View</v>
      </c>
    </row>
    <row r="1626" spans="1:19" ht="40">
      <c r="A1626" s="8">
        <v>43347.002951388888</v>
      </c>
      <c r="B1626" s="11" t="str">
        <f>HYPERLINK("https://twitter.com/bodaghi_rz","@bodaghi_rz")</f>
        <v>@bodaghi_rz</v>
      </c>
      <c r="C1626" s="6" t="s">
        <v>12628</v>
      </c>
      <c r="D1626" s="5" t="s">
        <v>12627</v>
      </c>
      <c r="E1626" s="9" t="str">
        <f>HYPERLINK("https://twitter.com/bodaghi_rz/status/1036698908435652611","1036698908435652611")</f>
        <v>1036698908435652611</v>
      </c>
      <c r="F1626" s="4"/>
      <c r="G1626" s="4"/>
      <c r="H1626" s="4"/>
      <c r="I1626" s="10" t="str">
        <f>HYPERLINK("http://twitter.com/download/android","Twitter for Android")</f>
        <v>Twitter for Android</v>
      </c>
      <c r="J1626" s="2">
        <v>1567</v>
      </c>
      <c r="K1626" s="2">
        <v>1649</v>
      </c>
      <c r="L1626" s="2">
        <v>7</v>
      </c>
      <c r="M1626" s="2"/>
      <c r="N1626" s="8">
        <v>42769.771597222221</v>
      </c>
      <c r="O1626" s="4"/>
      <c r="P1626" s="3" t="s">
        <v>12626</v>
      </c>
      <c r="Q1626" s="4"/>
      <c r="R1626" s="4"/>
      <c r="S1626" s="9" t="str">
        <f>HYPERLINK("https://pbs.twimg.com/profile_images/968885422188351490/gcW4Z2zL.jpg","View")</f>
        <v>View</v>
      </c>
    </row>
    <row r="1627" spans="1:19" ht="30">
      <c r="A1627" s="8">
        <v>43347.002592592587</v>
      </c>
      <c r="B1627" s="11" t="str">
        <f>HYPERLINK("https://twitter.com/steinway_world","@steinway_world")</f>
        <v>@steinway_world</v>
      </c>
      <c r="C1627" s="6" t="s">
        <v>12625</v>
      </c>
      <c r="D1627" s="5" t="s">
        <v>12624</v>
      </c>
      <c r="E1627" s="9" t="str">
        <f>HYPERLINK("https://twitter.com/steinway_world/status/1036698779200761856","1036698779200761856")</f>
        <v>1036698779200761856</v>
      </c>
      <c r="F1627" s="4"/>
      <c r="G1627" s="4"/>
      <c r="H1627" s="4"/>
      <c r="I1627" s="10" t="str">
        <f>HYPERLINK("http://twitter.com","Twitter Web Client")</f>
        <v>Twitter Web Client</v>
      </c>
      <c r="J1627" s="2">
        <v>302</v>
      </c>
      <c r="K1627" s="2">
        <v>747</v>
      </c>
      <c r="L1627" s="2">
        <v>3</v>
      </c>
      <c r="M1627" s="2"/>
      <c r="N1627" s="8">
        <v>43121.969560185185</v>
      </c>
      <c r="O1627" s="4"/>
      <c r="P1627" s="3" t="s">
        <v>12623</v>
      </c>
      <c r="Q1627" s="4"/>
      <c r="R1627" s="4"/>
      <c r="S1627" s="9" t="str">
        <f>HYPERLINK("https://pbs.twimg.com/profile_images/955166867739627521/F1FvmyAN.jpg","View")</f>
        <v>View</v>
      </c>
    </row>
    <row r="1628" spans="1:19" ht="20">
      <c r="A1628" s="8">
        <v>43347.002384259264</v>
      </c>
      <c r="B1628" s="11" t="str">
        <f>HYPERLINK("https://twitter.com/alireza9321","@alireza9321")</f>
        <v>@alireza9321</v>
      </c>
      <c r="C1628" s="6" t="s">
        <v>12622</v>
      </c>
      <c r="D1628" s="5" t="s">
        <v>12621</v>
      </c>
      <c r="E1628" s="9" t="str">
        <f>HYPERLINK("https://twitter.com/alireza9321/status/1036698701992022016","1036698701992022016")</f>
        <v>1036698701992022016</v>
      </c>
      <c r="F1628" s="4"/>
      <c r="G1628" s="4"/>
      <c r="H1628" s="4"/>
      <c r="I1628" s="10" t="str">
        <f>HYPERLINK("http://twitter.com/download/iphone","Twitter for iPhone")</f>
        <v>Twitter for iPhone</v>
      </c>
      <c r="J1628" s="2">
        <v>645</v>
      </c>
      <c r="K1628" s="2">
        <v>1008</v>
      </c>
      <c r="L1628" s="2">
        <v>1</v>
      </c>
      <c r="M1628" s="2"/>
      <c r="N1628" s="8">
        <v>41484.545474537037</v>
      </c>
      <c r="O1628" s="4" t="s">
        <v>12620</v>
      </c>
      <c r="P1628" s="3" t="s">
        <v>12619</v>
      </c>
      <c r="Q1628" s="10" t="s">
        <v>12618</v>
      </c>
      <c r="R1628" s="4"/>
      <c r="S1628" s="9" t="str">
        <f>HYPERLINK("https://pbs.twimg.com/profile_images/844102994266374144/wh4suNkp.jpg","View")</f>
        <v>View</v>
      </c>
    </row>
    <row r="1629" spans="1:19" ht="30">
      <c r="A1629" s="8">
        <v>43347.001666666663</v>
      </c>
      <c r="B1629" s="11" t="str">
        <f>HYPERLINK("https://twitter.com/ehsan_jadidi","@ehsan_jadidi")</f>
        <v>@ehsan_jadidi</v>
      </c>
      <c r="C1629" s="6" t="s">
        <v>12617</v>
      </c>
      <c r="D1629" s="5" t="s">
        <v>12616</v>
      </c>
      <c r="E1629" s="9" t="str">
        <f>HYPERLINK("https://twitter.com/ehsan_jadidi/status/1036698444105228288","1036698444105228288")</f>
        <v>1036698444105228288</v>
      </c>
      <c r="F1629" s="4"/>
      <c r="G1629" s="10" t="s">
        <v>12615</v>
      </c>
      <c r="H1629" s="4"/>
      <c r="I1629" s="10" t="str">
        <f>HYPERLINK("http://twitter.com/download/android","Twitter for Android")</f>
        <v>Twitter for Android</v>
      </c>
      <c r="J1629" s="2">
        <v>655</v>
      </c>
      <c r="K1629" s="2">
        <v>608</v>
      </c>
      <c r="L1629" s="2">
        <v>2</v>
      </c>
      <c r="M1629" s="2"/>
      <c r="N1629" s="8">
        <v>42947.595393518517</v>
      </c>
      <c r="O1629" s="4" t="s">
        <v>12614</v>
      </c>
      <c r="P1629" s="3" t="s">
        <v>12613</v>
      </c>
      <c r="Q1629" s="10" t="s">
        <v>12612</v>
      </c>
      <c r="R1629" s="4"/>
      <c r="S1629" s="9" t="str">
        <f>HYPERLINK("https://pbs.twimg.com/profile_images/1036248665764048897/vRsCPmG0.jpg","View")</f>
        <v>View</v>
      </c>
    </row>
    <row r="1630" spans="1:19" ht="30">
      <c r="A1630" s="8">
        <v>43347.000740740739</v>
      </c>
      <c r="B1630" s="11" t="str">
        <f>HYPERLINK("https://twitter.com/hamidsafaei1","@hamidsafaei1")</f>
        <v>@hamidsafaei1</v>
      </c>
      <c r="C1630" s="6" t="s">
        <v>12611</v>
      </c>
      <c r="D1630" s="5" t="s">
        <v>12610</v>
      </c>
      <c r="E1630" s="9" t="str">
        <f>HYPERLINK("https://twitter.com/hamidsafaei1/status/1036698106375667713","1036698106375667713")</f>
        <v>1036698106375667713</v>
      </c>
      <c r="F1630" s="4"/>
      <c r="G1630" s="4"/>
      <c r="H1630" s="4"/>
      <c r="I1630" s="10" t="str">
        <f>HYPERLINK("http://twitter.com/download/iphone","Twitter for iPhone")</f>
        <v>Twitter for iPhone</v>
      </c>
      <c r="J1630" s="2">
        <v>9</v>
      </c>
      <c r="K1630" s="2">
        <v>27</v>
      </c>
      <c r="L1630" s="2">
        <v>0</v>
      </c>
      <c r="M1630" s="2"/>
      <c r="N1630" s="8">
        <v>43220.870439814811</v>
      </c>
      <c r="O1630" s="4" t="s">
        <v>5808</v>
      </c>
      <c r="P1630" s="3"/>
      <c r="Q1630" s="4"/>
      <c r="R1630" s="4"/>
      <c r="S1630" s="9" t="str">
        <f>HYPERLINK("https://pbs.twimg.com/profile_images/990990546054340608/UURmd_ZU.jpg","View")</f>
        <v>View</v>
      </c>
    </row>
    <row r="1631" spans="1:19" ht="50">
      <c r="A1631" s="8">
        <v>43347.00063657407</v>
      </c>
      <c r="B1631" s="11" t="str">
        <f>HYPERLINK("https://twitter.com/dariushjavid18","@dariushjavid18")</f>
        <v>@dariushjavid18</v>
      </c>
      <c r="C1631" s="6" t="s">
        <v>12609</v>
      </c>
      <c r="D1631" s="5" t="s">
        <v>12608</v>
      </c>
      <c r="E1631" s="9" t="str">
        <f>HYPERLINK("https://twitter.com/dariushjavid18/status/1036698072141705218","1036698072141705218")</f>
        <v>1036698072141705218</v>
      </c>
      <c r="F1631" s="4" t="s">
        <v>12607</v>
      </c>
      <c r="G1631" s="4"/>
      <c r="H1631" s="4"/>
      <c r="I1631" s="10" t="str">
        <f>HYPERLINK("http://twitter.com","Twitter Web Client")</f>
        <v>Twitter Web Client</v>
      </c>
      <c r="J1631" s="2">
        <v>116</v>
      </c>
      <c r="K1631" s="2">
        <v>57</v>
      </c>
      <c r="L1631" s="2">
        <v>0</v>
      </c>
      <c r="M1631" s="2"/>
      <c r="N1631" s="8">
        <v>43106.182222222225</v>
      </c>
      <c r="O1631" s="4"/>
      <c r="P1631" s="3"/>
      <c r="Q1631" s="4"/>
      <c r="R1631" s="4"/>
      <c r="S1631" s="9" t="str">
        <f>HYPERLINK("https://pbs.twimg.com/profile_images/1008599806959210496/0lTh-hlw.png","View")</f>
        <v>View</v>
      </c>
    </row>
    <row r="1632" spans="1:19" ht="30">
      <c r="A1632" s="8">
        <v>43347.000243055554</v>
      </c>
      <c r="B1632" s="11" t="str">
        <f>HYPERLINK("https://twitter.com/Meghdad_ba67","@Meghdad_ba67")</f>
        <v>@Meghdad_ba67</v>
      </c>
      <c r="C1632" s="6" t="s">
        <v>11186</v>
      </c>
      <c r="D1632" s="5" t="s">
        <v>12606</v>
      </c>
      <c r="E1632" s="9" t="str">
        <f>HYPERLINK("https://twitter.com/Meghdad_ba67/status/1036697926293172224","1036697926293172224")</f>
        <v>1036697926293172224</v>
      </c>
      <c r="F1632" s="4"/>
      <c r="G1632" s="4"/>
      <c r="H1632" s="4"/>
      <c r="I1632" s="10" t="str">
        <f>HYPERLINK("http://twitter.com/download/android","Twitter for Android")</f>
        <v>Twitter for Android</v>
      </c>
      <c r="J1632" s="2">
        <v>95</v>
      </c>
      <c r="K1632" s="2">
        <v>44</v>
      </c>
      <c r="L1632" s="2">
        <v>0</v>
      </c>
      <c r="M1632" s="2"/>
      <c r="N1632" s="8">
        <v>43046.50204861111</v>
      </c>
      <c r="O1632" s="4"/>
      <c r="P1632" s="3" t="s">
        <v>11184</v>
      </c>
      <c r="Q1632" s="4"/>
      <c r="R1632" s="4"/>
      <c r="S1632" s="9" t="str">
        <f>HYPERLINK("https://pbs.twimg.com/profile_images/995028607943741440/ivH9sFxg.jpg","View")</f>
        <v>View</v>
      </c>
    </row>
    <row r="1633" spans="1:19" ht="30">
      <c r="A1633" s="8">
        <v>43346.997916666667</v>
      </c>
      <c r="B1633" s="11" t="str">
        <f>HYPERLINK("https://twitter.com/kchachkola","@kchachkola")</f>
        <v>@kchachkola</v>
      </c>
      <c r="C1633" s="6" t="s">
        <v>12605</v>
      </c>
      <c r="D1633" s="5" t="s">
        <v>12604</v>
      </c>
      <c r="E1633" s="9" t="str">
        <f>HYPERLINK("https://twitter.com/kchachkola/status/1036697085159112704","1036697085159112704")</f>
        <v>1036697085159112704</v>
      </c>
      <c r="F1633" s="4"/>
      <c r="G1633" s="4"/>
      <c r="H1633" s="4"/>
      <c r="I1633" s="10" t="str">
        <f>HYPERLINK("http://twitter.com/download/android","Twitter for Android")</f>
        <v>Twitter for Android</v>
      </c>
      <c r="J1633" s="2">
        <v>1054</v>
      </c>
      <c r="K1633" s="2">
        <v>327</v>
      </c>
      <c r="L1633" s="2">
        <v>3</v>
      </c>
      <c r="M1633" s="2"/>
      <c r="N1633" s="8">
        <v>42595.602025462962</v>
      </c>
      <c r="O1633" s="4" t="s">
        <v>12603</v>
      </c>
      <c r="P1633" s="3" t="s">
        <v>12602</v>
      </c>
      <c r="Q1633" s="4"/>
      <c r="R1633" s="4"/>
      <c r="S1633" s="9" t="str">
        <f>HYPERLINK("https://pbs.twimg.com/profile_images/1036676064217583616/HYRlO46y.jpg","View")</f>
        <v>View</v>
      </c>
    </row>
    <row r="1634" spans="1:19" ht="20">
      <c r="A1634" s="8">
        <v>43346.997604166667</v>
      </c>
      <c r="B1634" s="11" t="str">
        <f>HYPERLINK("https://twitter.com/M_gh_z","@M_gh_z")</f>
        <v>@M_gh_z</v>
      </c>
      <c r="C1634" s="11" t="s">
        <v>3595</v>
      </c>
      <c r="D1634" s="5" t="s">
        <v>12601</v>
      </c>
      <c r="E1634" s="9" t="str">
        <f>HYPERLINK("https://twitter.com/M_gh_z/status/1036696971006885893","1036696971006885893")</f>
        <v>1036696971006885893</v>
      </c>
      <c r="F1634" s="4"/>
      <c r="G1634" s="4"/>
      <c r="H1634" s="4"/>
      <c r="I1634" s="10" t="str">
        <f>HYPERLINK("http://twitter.com/download/android","Twitter for Android")</f>
        <v>Twitter for Android</v>
      </c>
      <c r="J1634" s="2">
        <v>107</v>
      </c>
      <c r="K1634" s="2">
        <v>74</v>
      </c>
      <c r="L1634" s="2">
        <v>1</v>
      </c>
      <c r="M1634" s="2"/>
      <c r="N1634" s="8">
        <v>43318.3903125</v>
      </c>
      <c r="O1634" s="4" t="s">
        <v>17</v>
      </c>
      <c r="P1634" s="3" t="s">
        <v>3593</v>
      </c>
      <c r="Q1634" s="4"/>
      <c r="R1634" s="4"/>
      <c r="S1634" s="9" t="str">
        <f>HYPERLINK("https://pbs.twimg.com/profile_images/1026337971367239680/sAi7k4n6.jpg","View")</f>
        <v>View</v>
      </c>
    </row>
    <row r="1635" spans="1:19" ht="20">
      <c r="A1635" s="8">
        <v>43346.995648148149</v>
      </c>
      <c r="B1635" s="11" t="str">
        <f>HYPERLINK("https://twitter.com/President_bakh","@President_bakh")</f>
        <v>@President_bakh</v>
      </c>
      <c r="C1635" s="6" t="s">
        <v>12600</v>
      </c>
      <c r="D1635" s="5" t="s">
        <v>12599</v>
      </c>
      <c r="E1635" s="9" t="str">
        <f>HYPERLINK("https://twitter.com/President_bakh/status/1036696262094008323","1036696262094008323")</f>
        <v>1036696262094008323</v>
      </c>
      <c r="F1635" s="4"/>
      <c r="G1635" s="10" t="s">
        <v>12598</v>
      </c>
      <c r="H1635" s="4"/>
      <c r="I1635" s="10" t="str">
        <f>HYPERLINK("http://twitter.com/download/android","Twitter for Android")</f>
        <v>Twitter for Android</v>
      </c>
      <c r="J1635" s="2">
        <v>5747</v>
      </c>
      <c r="K1635" s="2">
        <v>5951</v>
      </c>
      <c r="L1635" s="2">
        <v>10</v>
      </c>
      <c r="M1635" s="2"/>
      <c r="N1635" s="8">
        <v>42740.447025462963</v>
      </c>
      <c r="O1635" s="4" t="s">
        <v>9673</v>
      </c>
      <c r="P1635" s="3" t="s">
        <v>12597</v>
      </c>
      <c r="Q1635" s="4"/>
      <c r="R1635" s="4"/>
      <c r="S1635" s="9" t="str">
        <f>HYPERLINK("https://pbs.twimg.com/profile_images/1022158380377493504/Q5RnCHuK.jpg","View")</f>
        <v>View</v>
      </c>
    </row>
    <row r="1636" spans="1:19" ht="40">
      <c r="A1636" s="8">
        <v>43346.994895833333</v>
      </c>
      <c r="B1636" s="11" t="str">
        <f>HYPERLINK("https://twitter.com/haniftayarani","@haniftayarani")</f>
        <v>@haniftayarani</v>
      </c>
      <c r="C1636" s="6" t="s">
        <v>12596</v>
      </c>
      <c r="D1636" s="5" t="s">
        <v>12595</v>
      </c>
      <c r="E1636" s="9" t="str">
        <f>HYPERLINK("https://twitter.com/haniftayarani/status/1036695989544001536","1036695989544001536")</f>
        <v>1036695989544001536</v>
      </c>
      <c r="F1636" s="4"/>
      <c r="G1636" s="10" t="s">
        <v>12594</v>
      </c>
      <c r="H1636" s="4"/>
      <c r="I1636" s="10" t="str">
        <f>HYPERLINK("http://twitter.com/download/iphone","Twitter for iPhone")</f>
        <v>Twitter for iPhone</v>
      </c>
      <c r="J1636" s="2">
        <v>239</v>
      </c>
      <c r="K1636" s="2">
        <v>234</v>
      </c>
      <c r="L1636" s="2">
        <v>1</v>
      </c>
      <c r="M1636" s="2"/>
      <c r="N1636" s="8">
        <v>40940.590486111112</v>
      </c>
      <c r="O1636" s="4" t="s">
        <v>34</v>
      </c>
      <c r="P1636" s="3" t="s">
        <v>12593</v>
      </c>
      <c r="Q1636" s="10" t="s">
        <v>12592</v>
      </c>
      <c r="R1636" s="4"/>
      <c r="S1636" s="9" t="str">
        <f>HYPERLINK("https://pbs.twimg.com/profile_images/896811375460196352/qvh9pSnS.jpg","View")</f>
        <v>View</v>
      </c>
    </row>
    <row r="1637" spans="1:19" ht="40">
      <c r="A1637" s="8">
        <v>43346.994745370372</v>
      </c>
      <c r="B1637" s="11" t="str">
        <f>HYPERLINK("https://twitter.com/mohsenaahmadi","@mohsenaahmadi")</f>
        <v>@mohsenaahmadi</v>
      </c>
      <c r="C1637" s="6" t="s">
        <v>12591</v>
      </c>
      <c r="D1637" s="5" t="s">
        <v>12590</v>
      </c>
      <c r="E1637" s="9" t="str">
        <f>HYPERLINK("https://twitter.com/mohsenaahmadi/status/1036695936855142401","1036695936855142401")</f>
        <v>1036695936855142401</v>
      </c>
      <c r="F1637" s="4"/>
      <c r="G1637" s="4"/>
      <c r="H1637" s="4"/>
      <c r="I1637" s="10" t="str">
        <f>HYPERLINK("http://twitter.com/download/android","Twitter for Android")</f>
        <v>Twitter for Android</v>
      </c>
      <c r="J1637" s="2">
        <v>379</v>
      </c>
      <c r="K1637" s="2">
        <v>281</v>
      </c>
      <c r="L1637" s="2">
        <v>3</v>
      </c>
      <c r="M1637" s="2"/>
      <c r="N1637" s="8">
        <v>42664.896631944444</v>
      </c>
      <c r="O1637" s="4" t="s">
        <v>34</v>
      </c>
      <c r="P1637" s="3" t="s">
        <v>12589</v>
      </c>
      <c r="Q1637" s="10" t="s">
        <v>12588</v>
      </c>
      <c r="R1637" s="4"/>
      <c r="S1637" s="9" t="str">
        <f>HYPERLINK("https://pbs.twimg.com/profile_images/1029090440946114561/EE99VKx_.jpg","View")</f>
        <v>View</v>
      </c>
    </row>
    <row r="1638" spans="1:19" ht="30">
      <c r="A1638" s="8">
        <v>43346.993761574078</v>
      </c>
      <c r="B1638" s="11" t="str">
        <f>HYPERLINK("https://twitter.com/Soheilfa1","@Soheilfa1")</f>
        <v>@Soheilfa1</v>
      </c>
      <c r="C1638" s="11" t="s">
        <v>5447</v>
      </c>
      <c r="D1638" s="5" t="s">
        <v>12587</v>
      </c>
      <c r="E1638" s="9" t="str">
        <f>HYPERLINK("https://twitter.com/Soheilfa1/status/1036695578573500416","1036695578573500416")</f>
        <v>1036695578573500416</v>
      </c>
      <c r="F1638" s="4"/>
      <c r="G1638" s="4"/>
      <c r="H1638" s="4"/>
      <c r="I1638" s="10" t="str">
        <f>HYPERLINK("http://twitter.com/download/iphone","Twitter for iPhone")</f>
        <v>Twitter for iPhone</v>
      </c>
      <c r="J1638" s="2">
        <v>47</v>
      </c>
      <c r="K1638" s="2">
        <v>72</v>
      </c>
      <c r="L1638" s="2">
        <v>0</v>
      </c>
      <c r="M1638" s="2"/>
      <c r="N1638" s="8">
        <v>43327.368263888886</v>
      </c>
      <c r="O1638" s="4" t="s">
        <v>34</v>
      </c>
      <c r="P1638" s="3" t="s">
        <v>5445</v>
      </c>
      <c r="Q1638" s="4"/>
      <c r="R1638" s="4"/>
      <c r="S1638" s="9" t="str">
        <f>HYPERLINK("https://pbs.twimg.com/profile_images/1030046678278189056/jS8QKsqn.jpg","View")</f>
        <v>View</v>
      </c>
    </row>
    <row r="1639" spans="1:19" ht="40">
      <c r="A1639" s="8">
        <v>43346.992696759262</v>
      </c>
      <c r="B1639" s="11" t="str">
        <f>HYPERLINK("https://twitter.com/MarjanTohidi","@MarjanTohidi")</f>
        <v>@MarjanTohidi</v>
      </c>
      <c r="C1639" s="6" t="s">
        <v>12586</v>
      </c>
      <c r="D1639" s="5" t="s">
        <v>12585</v>
      </c>
      <c r="E1639" s="9" t="str">
        <f>HYPERLINK("https://twitter.com/MarjanTohidi/status/1036695192357822465","1036695192357822465")</f>
        <v>1036695192357822465</v>
      </c>
      <c r="F1639" s="4"/>
      <c r="G1639" s="4"/>
      <c r="H1639" s="4"/>
      <c r="I1639" s="10" t="str">
        <f>HYPERLINK("http://twitter.com/download/android","Twitter for Android")</f>
        <v>Twitter for Android</v>
      </c>
      <c r="J1639" s="2">
        <v>12964</v>
      </c>
      <c r="K1639" s="2">
        <v>382</v>
      </c>
      <c r="L1639" s="2">
        <v>72</v>
      </c>
      <c r="M1639" s="2"/>
      <c r="N1639" s="8">
        <v>41817.648495370369</v>
      </c>
      <c r="O1639" s="4" t="s">
        <v>894</v>
      </c>
      <c r="P1639" s="3" t="s">
        <v>12584</v>
      </c>
      <c r="Q1639" s="10" t="s">
        <v>12583</v>
      </c>
      <c r="R1639" s="4"/>
      <c r="S1639" s="9" t="str">
        <f>HYPERLINK("https://pbs.twimg.com/profile_images/964567261074935809/pYhFDJHH.jpg","View")</f>
        <v>View</v>
      </c>
    </row>
    <row r="1640" spans="1:19" ht="20">
      <c r="A1640" s="8">
        <v>43346.991249999999</v>
      </c>
      <c r="B1640" s="11" t="str">
        <f>HYPERLINK("https://twitter.com/scafildSA","@scafildSA")</f>
        <v>@scafildSA</v>
      </c>
      <c r="C1640" s="6" t="s">
        <v>12582</v>
      </c>
      <c r="D1640" s="5" t="s">
        <v>12581</v>
      </c>
      <c r="E1640" s="9" t="str">
        <f>HYPERLINK("https://twitter.com/scafildSA/status/1036694670133403648","1036694670133403648")</f>
        <v>1036694670133403648</v>
      </c>
      <c r="F1640" s="4"/>
      <c r="G1640" s="4"/>
      <c r="H1640" s="4"/>
      <c r="I1640" s="10" t="str">
        <f>HYPERLINK("http://twitter.com/download/android","Twitter for Android")</f>
        <v>Twitter for Android</v>
      </c>
      <c r="J1640" s="2">
        <v>6</v>
      </c>
      <c r="K1640" s="2">
        <v>25</v>
      </c>
      <c r="L1640" s="2">
        <v>0</v>
      </c>
      <c r="M1640" s="2"/>
      <c r="N1640" s="8">
        <v>43342.061377314814</v>
      </c>
      <c r="O1640" s="4" t="s">
        <v>34</v>
      </c>
      <c r="P1640" s="3" t="s">
        <v>12580</v>
      </c>
      <c r="Q1640" s="4"/>
      <c r="R1640" s="4"/>
      <c r="S1640" s="9" t="str">
        <f>HYPERLINK("https://pbs.twimg.com/profile_images/1035247518764998657/c2K56Jo7.jpg","View")</f>
        <v>View</v>
      </c>
    </row>
    <row r="1641" spans="1:19" ht="40">
      <c r="A1641" s="8">
        <v>43346.990995370375</v>
      </c>
      <c r="B1641" s="11" t="str">
        <f>HYPERLINK("https://twitter.com/Farzad_US","@Farzad_US")</f>
        <v>@Farzad_US</v>
      </c>
      <c r="C1641" s="6" t="s">
        <v>12579</v>
      </c>
      <c r="D1641" s="5" t="s">
        <v>12578</v>
      </c>
      <c r="E1641" s="9" t="str">
        <f>HYPERLINK("https://twitter.com/Farzad_US/status/1036694576432463872","1036694576432463872")</f>
        <v>1036694576432463872</v>
      </c>
      <c r="F1641" s="4"/>
      <c r="G1641" s="4"/>
      <c r="H1641" s="4"/>
      <c r="I1641" s="10" t="str">
        <f>HYPERLINK("http://twitter.com/download/android","Twitter for Android")</f>
        <v>Twitter for Android</v>
      </c>
      <c r="J1641" s="2">
        <v>155</v>
      </c>
      <c r="K1641" s="2">
        <v>202</v>
      </c>
      <c r="L1641" s="2">
        <v>0</v>
      </c>
      <c r="M1641" s="2"/>
      <c r="N1641" s="8">
        <v>42868.304189814815</v>
      </c>
      <c r="O1641" s="4" t="s">
        <v>6099</v>
      </c>
      <c r="P1641" s="3" t="s">
        <v>12577</v>
      </c>
      <c r="Q1641" s="4"/>
      <c r="R1641" s="4"/>
      <c r="S1641" s="9" t="str">
        <f>HYPERLINK("https://pbs.twimg.com/profile_images/1027455978097106944/2djtXDj6.jpg","View")</f>
        <v>View</v>
      </c>
    </row>
    <row r="1642" spans="1:19" ht="20">
      <c r="A1642" s="8">
        <v>43346.990312499998</v>
      </c>
      <c r="B1642" s="11" t="str">
        <f>HYPERLINK("https://twitter.com/rof4el","@rof4el")</f>
        <v>@rof4el</v>
      </c>
      <c r="C1642" s="6" t="s">
        <v>12576</v>
      </c>
      <c r="D1642" s="5" t="s">
        <v>12575</v>
      </c>
      <c r="E1642" s="9" t="str">
        <f>HYPERLINK("https://twitter.com/rof4el/status/1036694328360529921","1036694328360529921")</f>
        <v>1036694328360529921</v>
      </c>
      <c r="F1642" s="4"/>
      <c r="G1642" s="4"/>
      <c r="H1642" s="4"/>
      <c r="I1642" s="10" t="str">
        <f>HYPERLINK("http://twitter.com","Twitter Web Client")</f>
        <v>Twitter Web Client</v>
      </c>
      <c r="J1642" s="2">
        <v>2228</v>
      </c>
      <c r="K1642" s="2">
        <v>1782</v>
      </c>
      <c r="L1642" s="2">
        <v>3</v>
      </c>
      <c r="M1642" s="2"/>
      <c r="N1642" s="8">
        <v>42897.364155092597</v>
      </c>
      <c r="O1642" s="4" t="s">
        <v>12574</v>
      </c>
      <c r="P1642" s="3" t="s">
        <v>12573</v>
      </c>
      <c r="Q1642" s="4"/>
      <c r="R1642" s="4"/>
      <c r="S1642" s="9" t="str">
        <f>HYPERLINK("https://pbs.twimg.com/profile_images/940719839475355648/dRDBBs-P.jpg","View")</f>
        <v>View</v>
      </c>
    </row>
    <row r="1643" spans="1:19" ht="30">
      <c r="A1643" s="8">
        <v>43346.990289351852</v>
      </c>
      <c r="B1643" s="11" t="str">
        <f>HYPERLINK("https://twitter.com/AfsanehDadrah","@AfsanehDadrah")</f>
        <v>@AfsanehDadrah</v>
      </c>
      <c r="C1643" s="6" t="s">
        <v>12572</v>
      </c>
      <c r="D1643" s="5" t="s">
        <v>12571</v>
      </c>
      <c r="E1643" s="9" t="str">
        <f>HYPERLINK("https://twitter.com/AfsanehDadrah/status/1036694318768160768","1036694318768160768")</f>
        <v>1036694318768160768</v>
      </c>
      <c r="F1643" s="4"/>
      <c r="G1643" s="4"/>
      <c r="H1643" s="4"/>
      <c r="I1643" s="10" t="str">
        <f>HYPERLINK("http://twitter.com/download/android","Twitter for Android")</f>
        <v>Twitter for Android</v>
      </c>
      <c r="J1643" s="2">
        <v>1392</v>
      </c>
      <c r="K1643" s="2">
        <v>2372</v>
      </c>
      <c r="L1643" s="2">
        <v>0</v>
      </c>
      <c r="M1643" s="2"/>
      <c r="N1643" s="8">
        <v>42948.829895833333</v>
      </c>
      <c r="O1643" s="4"/>
      <c r="P1643" s="3" t="s">
        <v>12570</v>
      </c>
      <c r="Q1643" s="4"/>
      <c r="R1643" s="4"/>
      <c r="S1643" s="9" t="str">
        <f>HYPERLINK("https://pbs.twimg.com/profile_images/896280339680776194/GnpfMvyw.jpg","View")</f>
        <v>View</v>
      </c>
    </row>
    <row r="1644" spans="1:19" ht="30">
      <c r="A1644" s="8">
        <v>43346.989895833336</v>
      </c>
      <c r="B1644" s="11" t="str">
        <f>HYPERLINK("https://twitter.com/Ahmadd63458248","@Ahmadd63458248")</f>
        <v>@Ahmadd63458248</v>
      </c>
      <c r="C1644" s="6" t="s">
        <v>12569</v>
      </c>
      <c r="D1644" s="5" t="s">
        <v>12568</v>
      </c>
      <c r="E1644" s="9" t="str">
        <f>HYPERLINK("https://twitter.com/Ahmadd63458248/status/1036694176077934592","1036694176077934592")</f>
        <v>1036694176077934592</v>
      </c>
      <c r="F1644" s="4"/>
      <c r="G1644" s="10" t="s">
        <v>12567</v>
      </c>
      <c r="H1644" s="4"/>
      <c r="I1644" s="10" t="str">
        <f>HYPERLINK("http://twitter.com/download/android","Twitter for Android")</f>
        <v>Twitter for Android</v>
      </c>
      <c r="J1644" s="2">
        <v>30</v>
      </c>
      <c r="K1644" s="2">
        <v>71</v>
      </c>
      <c r="L1644" s="2">
        <v>0</v>
      </c>
      <c r="M1644" s="2"/>
      <c r="N1644" s="8">
        <v>43341.905752314815</v>
      </c>
      <c r="O1644" s="4"/>
      <c r="P1644" s="3"/>
      <c r="Q1644" s="4"/>
      <c r="R1644" s="4"/>
      <c r="S1644" s="9" t="str">
        <f>HYPERLINK("https://pbs.twimg.com/profile_images/1035589781797986306/vOZEVIvi.jpg","View")</f>
        <v>View</v>
      </c>
    </row>
    <row r="1645" spans="1:19" ht="40">
      <c r="A1645" s="8">
        <v>43346.988437499997</v>
      </c>
      <c r="B1645" s="11" t="str">
        <f>HYPERLINK("https://twitter.com/amir_i_ho","@amir_i_ho")</f>
        <v>@amir_i_ho</v>
      </c>
      <c r="C1645" s="6" t="s">
        <v>12566</v>
      </c>
      <c r="D1645" s="5" t="s">
        <v>12565</v>
      </c>
      <c r="E1645" s="9" t="str">
        <f>HYPERLINK("https://twitter.com/amir_i_ho/status/1036693647473954819","1036693647473954819")</f>
        <v>1036693647473954819</v>
      </c>
      <c r="F1645" s="4"/>
      <c r="G1645" s="4"/>
      <c r="H1645" s="4"/>
      <c r="I1645" s="10" t="str">
        <f>HYPERLINK("http://twitter.com/download/android","Twitter for Android")</f>
        <v>Twitter for Android</v>
      </c>
      <c r="J1645" s="2">
        <v>1498</v>
      </c>
      <c r="K1645" s="2">
        <v>1617</v>
      </c>
      <c r="L1645" s="2">
        <v>1</v>
      </c>
      <c r="M1645" s="2"/>
      <c r="N1645" s="8">
        <v>42743.896469907406</v>
      </c>
      <c r="O1645" s="4"/>
      <c r="P1645" s="3" t="s">
        <v>12564</v>
      </c>
      <c r="Q1645" s="4"/>
      <c r="R1645" s="4"/>
      <c r="S1645" s="9" t="str">
        <f>HYPERLINK("https://pbs.twimg.com/profile_images/979423645176094720/jtW2l58I.jpg","View")</f>
        <v>View</v>
      </c>
    </row>
    <row r="1646" spans="1:19" ht="20">
      <c r="A1646" s="8">
        <v>43346.988159722227</v>
      </c>
      <c r="B1646" s="11" t="str">
        <f>HYPERLINK("https://twitter.com/saeedataeei","@saeedataeei")</f>
        <v>@saeedataeei</v>
      </c>
      <c r="C1646" s="6" t="s">
        <v>12563</v>
      </c>
      <c r="D1646" s="5" t="s">
        <v>12562</v>
      </c>
      <c r="E1646" s="9" t="str">
        <f>HYPERLINK("https://twitter.com/saeedataeei/status/1036693549356666882","1036693549356666882")</f>
        <v>1036693549356666882</v>
      </c>
      <c r="F1646" s="4"/>
      <c r="G1646" s="4"/>
      <c r="H1646" s="4"/>
      <c r="I1646" s="10" t="str">
        <f>HYPERLINK("http://twitter.com/download/android","Twitter for Android")</f>
        <v>Twitter for Android</v>
      </c>
      <c r="J1646" s="2">
        <v>2419</v>
      </c>
      <c r="K1646" s="2">
        <v>2470</v>
      </c>
      <c r="L1646" s="2">
        <v>2</v>
      </c>
      <c r="M1646" s="2"/>
      <c r="N1646" s="8">
        <v>42902.960902777777</v>
      </c>
      <c r="O1646" s="4" t="s">
        <v>17</v>
      </c>
      <c r="P1646" s="3" t="s">
        <v>12561</v>
      </c>
      <c r="Q1646" s="4"/>
      <c r="R1646" s="4"/>
      <c r="S1646" s="9" t="str">
        <f>HYPERLINK("https://pbs.twimg.com/profile_images/1026704086295609344/nE7D7vpc.jpg","View")</f>
        <v>View</v>
      </c>
    </row>
    <row r="1647" spans="1:19" ht="20">
      <c r="A1647" s="8">
        <v>43346.987986111111</v>
      </c>
      <c r="B1647" s="11" t="str">
        <f>HYPERLINK("https://twitter.com/sarch24","@sarch24")</f>
        <v>@sarch24</v>
      </c>
      <c r="C1647" s="6" t="s">
        <v>4782</v>
      </c>
      <c r="D1647" s="5" t="s">
        <v>12560</v>
      </c>
      <c r="E1647" s="9" t="str">
        <f>HYPERLINK("https://twitter.com/sarch24/status/1036693485267693568","1036693485267693568")</f>
        <v>1036693485267693568</v>
      </c>
      <c r="F1647" s="4"/>
      <c r="G1647" s="4"/>
      <c r="H1647" s="4"/>
      <c r="I1647" s="10" t="str">
        <f>HYPERLINK("http://twitter.com/download/android","Twitter for Android")</f>
        <v>Twitter for Android</v>
      </c>
      <c r="J1647" s="2">
        <v>384</v>
      </c>
      <c r="K1647" s="2">
        <v>508</v>
      </c>
      <c r="L1647" s="2">
        <v>0</v>
      </c>
      <c r="M1647" s="2"/>
      <c r="N1647" s="8">
        <v>42907.126701388886</v>
      </c>
      <c r="O1647" s="4" t="s">
        <v>4780</v>
      </c>
      <c r="P1647" s="3" t="s">
        <v>4779</v>
      </c>
      <c r="Q1647" s="4"/>
      <c r="R1647" s="4"/>
      <c r="S1647" s="9" t="str">
        <f>HYPERLINK("https://pbs.twimg.com/profile_images/994305637193535488/EUxGDSsQ.jpg","View")</f>
        <v>View</v>
      </c>
    </row>
    <row r="1648" spans="1:19" ht="20">
      <c r="A1648" s="8">
        <v>43346.987766203703</v>
      </c>
      <c r="B1648" s="11" t="str">
        <f>HYPERLINK("https://twitter.com/QueenElizabethA","@QueenElizabethA")</f>
        <v>@QueenElizabethA</v>
      </c>
      <c r="C1648" s="6" t="s">
        <v>12559</v>
      </c>
      <c r="D1648" s="5" t="s">
        <v>12558</v>
      </c>
      <c r="E1648" s="9" t="str">
        <f>HYPERLINK("https://twitter.com/QueenElizabethA/status/1036693404963495936","1036693404963495936")</f>
        <v>1036693404963495936</v>
      </c>
      <c r="F1648" s="4"/>
      <c r="G1648" s="4"/>
      <c r="H1648" s="4"/>
      <c r="I1648" s="10" t="str">
        <f>HYPERLINK("http://twitter.com/download/android","Twitter for Android")</f>
        <v>Twitter for Android</v>
      </c>
      <c r="J1648" s="2">
        <v>398</v>
      </c>
      <c r="K1648" s="2">
        <v>2411</v>
      </c>
      <c r="L1648" s="2">
        <v>2</v>
      </c>
      <c r="M1648" s="2"/>
      <c r="N1648" s="8">
        <v>43325.974479166667</v>
      </c>
      <c r="O1648" s="4"/>
      <c r="P1648" s="3" t="s">
        <v>12557</v>
      </c>
      <c r="Q1648" s="4"/>
      <c r="R1648" s="4"/>
      <c r="S1648" s="9" t="str">
        <f>HYPERLINK("https://pbs.twimg.com/profile_images/1029082388066910208/GMnljlGm.jpg","View")</f>
        <v>View</v>
      </c>
    </row>
    <row r="1649" spans="1:19" ht="20">
      <c r="A1649" s="8">
        <v>43346.984930555554</v>
      </c>
      <c r="B1649" s="11" t="str">
        <f>HYPERLINK("https://twitter.com/kasra0000","@kasra0000")</f>
        <v>@kasra0000</v>
      </c>
      <c r="C1649" s="6" t="s">
        <v>12556</v>
      </c>
      <c r="D1649" s="5" t="s">
        <v>12555</v>
      </c>
      <c r="E1649" s="9" t="str">
        <f>HYPERLINK("https://twitter.com/kasra0000/status/1036692378000613376","1036692378000613376")</f>
        <v>1036692378000613376</v>
      </c>
      <c r="F1649" s="4"/>
      <c r="G1649" s="4"/>
      <c r="H1649" s="4"/>
      <c r="I1649" s="10" t="str">
        <f>HYPERLINK("http://twitter.com","Twitter Web Client")</f>
        <v>Twitter Web Client</v>
      </c>
      <c r="J1649" s="2">
        <v>45</v>
      </c>
      <c r="K1649" s="2">
        <v>83</v>
      </c>
      <c r="L1649" s="2">
        <v>0</v>
      </c>
      <c r="M1649" s="2"/>
      <c r="N1649" s="8">
        <v>41803.486840277779</v>
      </c>
      <c r="O1649" s="4" t="s">
        <v>1363</v>
      </c>
      <c r="P1649" s="3" t="s">
        <v>12554</v>
      </c>
      <c r="Q1649" s="4"/>
      <c r="R1649" s="4"/>
      <c r="S1649" s="9" t="str">
        <f>HYPERLINK("https://pbs.twimg.com/profile_images/867876788587855873/7pKxJb1U.jpg","View")</f>
        <v>View</v>
      </c>
    </row>
    <row r="1650" spans="1:19" ht="30">
      <c r="A1650" s="8">
        <v>43346.984432870369</v>
      </c>
      <c r="B1650" s="11" t="str">
        <f>HYPERLINK("https://twitter.com/mehdikia","@mehdikia")</f>
        <v>@mehdikia</v>
      </c>
      <c r="C1650" s="6" t="s">
        <v>12553</v>
      </c>
      <c r="D1650" s="5" t="s">
        <v>12552</v>
      </c>
      <c r="E1650" s="9" t="str">
        <f>HYPERLINK("https://twitter.com/mehdikia/status/1036692199830953984","1036692199830953984")</f>
        <v>1036692199830953984</v>
      </c>
      <c r="F1650" s="4"/>
      <c r="G1650" s="4"/>
      <c r="H1650" s="4"/>
      <c r="I1650" s="10" t="str">
        <f>HYPERLINK("http://twitter.com/download/android","Twitter for Android")</f>
        <v>Twitter for Android</v>
      </c>
      <c r="J1650" s="2">
        <v>398</v>
      </c>
      <c r="K1650" s="2">
        <v>630</v>
      </c>
      <c r="L1650" s="2">
        <v>1</v>
      </c>
      <c r="M1650" s="2"/>
      <c r="N1650" s="8">
        <v>39686.530694444446</v>
      </c>
      <c r="O1650" s="4" t="s">
        <v>17</v>
      </c>
      <c r="P1650" s="3" t="s">
        <v>12551</v>
      </c>
      <c r="Q1650" s="4"/>
      <c r="R1650" s="4"/>
      <c r="S1650" s="9" t="str">
        <f>HYPERLINK("https://pbs.twimg.com/profile_images/877501280616361985/QDmTPLyz.jpg","View")</f>
        <v>View</v>
      </c>
    </row>
    <row r="1651" spans="1:19" ht="40">
      <c r="A1651" s="8">
        <v>43346.980138888888</v>
      </c>
      <c r="B1651" s="11" t="str">
        <f>HYPERLINK("https://twitter.com/yasinrasafee","@yasinrasafee")</f>
        <v>@yasinrasafee</v>
      </c>
      <c r="C1651" s="6" t="s">
        <v>12550</v>
      </c>
      <c r="D1651" s="5" t="s">
        <v>12549</v>
      </c>
      <c r="E1651" s="9" t="str">
        <f>HYPERLINK("https://twitter.com/yasinrasafee/status/1036690640615219201","1036690640615219201")</f>
        <v>1036690640615219201</v>
      </c>
      <c r="F1651" s="4"/>
      <c r="G1651" s="4"/>
      <c r="H1651" s="4"/>
      <c r="I1651" s="10" t="str">
        <f>HYPERLINK("http://twitter.com/download/android","Twitter for Android")</f>
        <v>Twitter for Android</v>
      </c>
      <c r="J1651" s="2">
        <v>8</v>
      </c>
      <c r="K1651" s="2">
        <v>12</v>
      </c>
      <c r="L1651" s="2">
        <v>0</v>
      </c>
      <c r="M1651" s="2"/>
      <c r="N1651" s="8">
        <v>43265.606747685189</v>
      </c>
      <c r="O1651" s="4"/>
      <c r="P1651" s="3" t="s">
        <v>12548</v>
      </c>
      <c r="Q1651" s="4"/>
      <c r="R1651" s="4"/>
      <c r="S1651" s="9" t="str">
        <f>HYPERLINK("https://pbs.twimg.com/profile_images/1032923003418488833/PI3YxhtL.jpg","View")</f>
        <v>View</v>
      </c>
    </row>
    <row r="1652" spans="1:19" ht="12.5">
      <c r="A1652" s="8">
        <v>43346.97923611111</v>
      </c>
      <c r="B1652" s="11" t="str">
        <f>HYPERLINK("https://twitter.com/az_tabar","@az_tabar")</f>
        <v>@az_tabar</v>
      </c>
      <c r="C1652" s="6" t="s">
        <v>12547</v>
      </c>
      <c r="D1652" s="5" t="s">
        <v>12546</v>
      </c>
      <c r="E1652" s="9" t="str">
        <f>HYPERLINK("https://twitter.com/az_tabar/status/1036690313472102400","1036690313472102400")</f>
        <v>1036690313472102400</v>
      </c>
      <c r="F1652" s="4"/>
      <c r="G1652" s="4"/>
      <c r="H1652" s="4"/>
      <c r="I1652" s="10" t="str">
        <f>HYPERLINK("http://twitter.com/download/android","Twitter for Android")</f>
        <v>Twitter for Android</v>
      </c>
      <c r="J1652" s="2">
        <v>856</v>
      </c>
      <c r="K1652" s="2">
        <v>368</v>
      </c>
      <c r="L1652" s="2">
        <v>1</v>
      </c>
      <c r="M1652" s="2"/>
      <c r="N1652" s="8">
        <v>42990.997060185182</v>
      </c>
      <c r="O1652" s="4" t="s">
        <v>3123</v>
      </c>
      <c r="P1652" s="3" t="s">
        <v>12545</v>
      </c>
      <c r="Q1652" s="4"/>
      <c r="R1652" s="4"/>
      <c r="S1652" s="9" t="str">
        <f>HYPERLINK("https://pbs.twimg.com/profile_images/1035401113158205440/KjKyA4Oa.jpg","View")</f>
        <v>View</v>
      </c>
    </row>
    <row r="1653" spans="1:19" ht="20">
      <c r="A1653" s="8">
        <v>43346.979120370372</v>
      </c>
      <c r="B1653" s="11" t="str">
        <f>HYPERLINK("https://twitter.com/M_gh_z","@M_gh_z")</f>
        <v>@M_gh_z</v>
      </c>
      <c r="C1653" s="11" t="s">
        <v>3595</v>
      </c>
      <c r="D1653" s="5" t="s">
        <v>12544</v>
      </c>
      <c r="E1653" s="9" t="str">
        <f>HYPERLINK("https://twitter.com/M_gh_z/status/1036690272913186816","1036690272913186816")</f>
        <v>1036690272913186816</v>
      </c>
      <c r="F1653" s="4"/>
      <c r="G1653" s="4"/>
      <c r="H1653" s="4"/>
      <c r="I1653" s="10" t="str">
        <f>HYPERLINK("http://twitter.com/download/android","Twitter for Android")</f>
        <v>Twitter for Android</v>
      </c>
      <c r="J1653" s="2">
        <v>107</v>
      </c>
      <c r="K1653" s="2">
        <v>74</v>
      </c>
      <c r="L1653" s="2">
        <v>1</v>
      </c>
      <c r="M1653" s="2"/>
      <c r="N1653" s="8">
        <v>43318.3903125</v>
      </c>
      <c r="O1653" s="4" t="s">
        <v>17</v>
      </c>
      <c r="P1653" s="3" t="s">
        <v>3593</v>
      </c>
      <c r="Q1653" s="4"/>
      <c r="R1653" s="4"/>
      <c r="S1653" s="9" t="str">
        <f>HYPERLINK("https://pbs.twimg.com/profile_images/1026337971367239680/sAi7k4n6.jpg","View")</f>
        <v>View</v>
      </c>
    </row>
    <row r="1654" spans="1:19" ht="40">
      <c r="A1654" s="8">
        <v>43346.977731481486</v>
      </c>
      <c r="B1654" s="11" t="str">
        <f>HYPERLINK("https://twitter.com/AfshinEsmaily","@AfshinEsmaily")</f>
        <v>@AfshinEsmaily</v>
      </c>
      <c r="C1654" s="6" t="s">
        <v>12543</v>
      </c>
      <c r="D1654" s="5" t="s">
        <v>12542</v>
      </c>
      <c r="E1654" s="9" t="str">
        <f>HYPERLINK("https://twitter.com/AfshinEsmaily/status/1036689771463159808","1036689771463159808")</f>
        <v>1036689771463159808</v>
      </c>
      <c r="F1654" s="4"/>
      <c r="G1654" s="10" t="s">
        <v>12541</v>
      </c>
      <c r="H1654" s="4"/>
      <c r="I1654" s="10" t="str">
        <f>HYPERLINK("http://twitter.com/download/iphone","Twitter for iPhone")</f>
        <v>Twitter for iPhone</v>
      </c>
      <c r="J1654" s="2">
        <v>9</v>
      </c>
      <c r="K1654" s="2">
        <v>17</v>
      </c>
      <c r="L1654" s="2">
        <v>0</v>
      </c>
      <c r="M1654" s="2"/>
      <c r="N1654" s="8">
        <v>41313.961446759262</v>
      </c>
      <c r="O1654" s="4"/>
      <c r="P1654" s="3"/>
      <c r="Q1654" s="4"/>
      <c r="R1654" s="4"/>
      <c r="S1654" s="9" t="str">
        <f>HYPERLINK("https://pbs.twimg.com/profile_images/1019697684427542529/CXnLn5m6.jpg","View")</f>
        <v>View</v>
      </c>
    </row>
    <row r="1655" spans="1:19" ht="20">
      <c r="A1655" s="8">
        <v>43346.977592592593</v>
      </c>
      <c r="B1655" s="11" t="str">
        <f>HYPERLINK("https://twitter.com/HosseinFadhil","@HosseinFadhil")</f>
        <v>@HosseinFadhil</v>
      </c>
      <c r="C1655" s="6" t="s">
        <v>10386</v>
      </c>
      <c r="D1655" s="5" t="s">
        <v>12540</v>
      </c>
      <c r="E1655" s="9" t="str">
        <f>HYPERLINK("https://twitter.com/HosseinFadhil/status/1036689720913346566","1036689720913346566")</f>
        <v>1036689720913346566</v>
      </c>
      <c r="F1655" s="4"/>
      <c r="G1655" s="4"/>
      <c r="H1655" s="4"/>
      <c r="I1655" s="10" t="str">
        <f>HYPERLINK("http://twitter.com/download/android","Twitter for Android")</f>
        <v>Twitter for Android</v>
      </c>
      <c r="J1655" s="2">
        <v>279</v>
      </c>
      <c r="K1655" s="2">
        <v>18</v>
      </c>
      <c r="L1655" s="2">
        <v>0</v>
      </c>
      <c r="M1655" s="2"/>
      <c r="N1655" s="8">
        <v>42903.941041666665</v>
      </c>
      <c r="O1655" s="4" t="s">
        <v>34</v>
      </c>
      <c r="P1655" s="3"/>
      <c r="Q1655" s="10" t="s">
        <v>12539</v>
      </c>
      <c r="R1655" s="4"/>
      <c r="S1655" s="9" t="str">
        <f>HYPERLINK("https://pbs.twimg.com/profile_images/1036681188243582976/QIgpppro.jpg","View")</f>
        <v>View</v>
      </c>
    </row>
    <row r="1656" spans="1:19" ht="20">
      <c r="A1656" s="8">
        <v>43346.975752314815</v>
      </c>
      <c r="B1656" s="11" t="str">
        <f>HYPERLINK("https://twitter.com/mshia14","@mshia14")</f>
        <v>@mshia14</v>
      </c>
      <c r="C1656" s="6" t="s">
        <v>12538</v>
      </c>
      <c r="D1656" s="5" t="s">
        <v>12537</v>
      </c>
      <c r="E1656" s="9" t="str">
        <f>HYPERLINK("https://twitter.com/mshia14/status/1036689050680401921","1036689050680401921")</f>
        <v>1036689050680401921</v>
      </c>
      <c r="F1656" s="4"/>
      <c r="G1656" s="10" t="s">
        <v>12536</v>
      </c>
      <c r="H1656" s="4"/>
      <c r="I1656" s="10" t="str">
        <f>HYPERLINK("http://twitter.com","Twitter Web Client")</f>
        <v>Twitter Web Client</v>
      </c>
      <c r="J1656" s="2">
        <v>59</v>
      </c>
      <c r="K1656" s="2">
        <v>57</v>
      </c>
      <c r="L1656" s="2">
        <v>0</v>
      </c>
      <c r="M1656" s="2"/>
      <c r="N1656" s="8">
        <v>43219.559942129628</v>
      </c>
      <c r="O1656" s="4" t="s">
        <v>34</v>
      </c>
      <c r="P1656" s="3" t="s">
        <v>12535</v>
      </c>
      <c r="Q1656" s="4"/>
      <c r="R1656" s="4"/>
      <c r="S1656" s="9" t="str">
        <f>HYPERLINK("https://pbs.twimg.com/profile_images/1014581119717597184/X5GSPLYV.jpg","View")</f>
        <v>View</v>
      </c>
    </row>
    <row r="1657" spans="1:19" ht="30">
      <c r="A1657" s="8">
        <v>43346.974189814813</v>
      </c>
      <c r="B1657" s="11" t="str">
        <f>HYPERLINK("https://twitter.com/ahmadhakimi77","@ahmadhakimi77")</f>
        <v>@ahmadhakimi77</v>
      </c>
      <c r="C1657" s="6" t="s">
        <v>12534</v>
      </c>
      <c r="D1657" s="5" t="s">
        <v>12533</v>
      </c>
      <c r="E1657" s="9" t="str">
        <f>HYPERLINK("https://twitter.com/ahmadhakimi77/status/1036688488257728513","1036688488257728513")</f>
        <v>1036688488257728513</v>
      </c>
      <c r="F1657" s="4"/>
      <c r="G1657" s="4"/>
      <c r="H1657" s="4"/>
      <c r="I1657" s="10" t="str">
        <f>HYPERLINK("http://twitter.com/download/android","Twitter for Android")</f>
        <v>Twitter for Android</v>
      </c>
      <c r="J1657" s="2">
        <v>8</v>
      </c>
      <c r="K1657" s="2">
        <v>2</v>
      </c>
      <c r="L1657" s="2">
        <v>0</v>
      </c>
      <c r="M1657" s="2"/>
      <c r="N1657" s="8">
        <v>43337.599456018521</v>
      </c>
      <c r="O1657" s="4"/>
      <c r="P1657" s="3" t="s">
        <v>12532</v>
      </c>
      <c r="Q1657" s="4"/>
      <c r="R1657" s="4"/>
      <c r="S1657" s="9" t="str">
        <f>HYPERLINK("https://pbs.twimg.com/profile_images/1036170904118681601/wom-psfO.jpg","View")</f>
        <v>View</v>
      </c>
    </row>
    <row r="1658" spans="1:19" ht="40">
      <c r="A1658" s="8">
        <v>43346.969965277778</v>
      </c>
      <c r="B1658" s="11" t="str">
        <f>HYPERLINK("https://twitter.com/ln_saeed","@ln_saeed")</f>
        <v>@ln_saeed</v>
      </c>
      <c r="C1658" s="6" t="s">
        <v>7670</v>
      </c>
      <c r="D1658" s="5" t="s">
        <v>12531</v>
      </c>
      <c r="E1658" s="9" t="str">
        <f>HYPERLINK("https://twitter.com/ln_saeed/status/1036686956812480512","1036686956812480512")</f>
        <v>1036686956812480512</v>
      </c>
      <c r="F1658" s="4"/>
      <c r="G1658" s="4"/>
      <c r="H1658" s="4"/>
      <c r="I1658" s="10" t="str">
        <f>HYPERLINK("http://twitter.com/download/iphone","Twitter for iPhone")</f>
        <v>Twitter for iPhone</v>
      </c>
      <c r="J1658" s="2">
        <v>92</v>
      </c>
      <c r="K1658" s="2">
        <v>85</v>
      </c>
      <c r="L1658" s="2">
        <v>0</v>
      </c>
      <c r="M1658" s="2"/>
      <c r="N1658" s="8">
        <v>41240.891203703708</v>
      </c>
      <c r="O1658" s="4" t="s">
        <v>34</v>
      </c>
      <c r="P1658" s="3" t="s">
        <v>7668</v>
      </c>
      <c r="Q1658" s="4"/>
      <c r="R1658" s="4"/>
      <c r="S1658" s="9" t="str">
        <f>HYPERLINK("https://pbs.twimg.com/profile_images/910935932437659648/BJS054e3.jpg","View")</f>
        <v>View</v>
      </c>
    </row>
    <row r="1659" spans="1:19" ht="30">
      <c r="A1659" s="8">
        <v>43346.969085648147</v>
      </c>
      <c r="B1659" s="11" t="str">
        <f>HYPERLINK("https://twitter.com/Verrraaaj","@Verrraaaj")</f>
        <v>@Verrraaaj</v>
      </c>
      <c r="C1659" s="6" t="s">
        <v>12530</v>
      </c>
      <c r="D1659" s="5" t="s">
        <v>12529</v>
      </c>
      <c r="E1659" s="9" t="str">
        <f>HYPERLINK("https://twitter.com/Verrraaaj/status/1036686636262809600","1036686636262809600")</f>
        <v>1036686636262809600</v>
      </c>
      <c r="F1659" s="10" t="s">
        <v>12528</v>
      </c>
      <c r="G1659" s="4"/>
      <c r="H1659" s="4"/>
      <c r="I1659" s="10" t="str">
        <f>HYPERLINK("http://twitter.com/download/android","Twitter for Android")</f>
        <v>Twitter for Android</v>
      </c>
      <c r="J1659" s="2">
        <v>615</v>
      </c>
      <c r="K1659" s="2">
        <v>1774</v>
      </c>
      <c r="L1659" s="2">
        <v>0</v>
      </c>
      <c r="M1659" s="2"/>
      <c r="N1659" s="8">
        <v>43308.02342592593</v>
      </c>
      <c r="O1659" s="4" t="s">
        <v>12527</v>
      </c>
      <c r="P1659" s="3" t="s">
        <v>12526</v>
      </c>
      <c r="Q1659" s="4"/>
      <c r="R1659" s="4"/>
      <c r="S1659" s="9" t="str">
        <f>HYPERLINK("https://pbs.twimg.com/profile_images/1022576883374927872/bfaG-kIR.jpg","View")</f>
        <v>View</v>
      </c>
    </row>
    <row r="1660" spans="1:19" ht="30">
      <c r="A1660" s="8">
        <v>43346.968958333338</v>
      </c>
      <c r="B1660" s="11" t="str">
        <f>HYPERLINK("https://twitter.com/redrose7635","@redrose7635")</f>
        <v>@redrose7635</v>
      </c>
      <c r="C1660" s="6" t="s">
        <v>3129</v>
      </c>
      <c r="D1660" s="5" t="s">
        <v>12525</v>
      </c>
      <c r="E1660" s="9" t="str">
        <f>HYPERLINK("https://twitter.com/redrose7635/status/1036686591719350272","1036686591719350272")</f>
        <v>1036686591719350272</v>
      </c>
      <c r="F1660" s="4"/>
      <c r="G1660" s="4"/>
      <c r="H1660" s="4"/>
      <c r="I1660" s="10" t="str">
        <f>HYPERLINK("http://twitter.com","Twitter Web Client")</f>
        <v>Twitter Web Client</v>
      </c>
      <c r="J1660" s="2">
        <v>117</v>
      </c>
      <c r="K1660" s="2">
        <v>100</v>
      </c>
      <c r="L1660" s="2">
        <v>0</v>
      </c>
      <c r="M1660" s="2"/>
      <c r="N1660" s="8">
        <v>43108.635057870371</v>
      </c>
      <c r="O1660" s="4" t="s">
        <v>3127</v>
      </c>
      <c r="P1660" s="3" t="s">
        <v>3126</v>
      </c>
      <c r="Q1660" s="4"/>
      <c r="R1660" s="4"/>
      <c r="S1660" s="9" t="str">
        <f>HYPERLINK("https://pbs.twimg.com/profile_images/1035021190656606208/cNuV_5WH.jpg","View")</f>
        <v>View</v>
      </c>
    </row>
    <row r="1661" spans="1:19" ht="30">
      <c r="A1661" s="8">
        <v>43346.967638888891</v>
      </c>
      <c r="B1661" s="11" t="str">
        <f>HYPERLINK("https://twitter.com/t_b_110","@t_b_110")</f>
        <v>@t_b_110</v>
      </c>
      <c r="C1661" s="6" t="s">
        <v>12524</v>
      </c>
      <c r="D1661" s="5" t="s">
        <v>12523</v>
      </c>
      <c r="E1661" s="9" t="str">
        <f>HYPERLINK("https://twitter.com/t_b_110/status/1036686111605747713","1036686111605747713")</f>
        <v>1036686111605747713</v>
      </c>
      <c r="F1661" s="4"/>
      <c r="G1661" s="4"/>
      <c r="H1661" s="4"/>
      <c r="I1661" s="10" t="str">
        <f>HYPERLINK("http://twitter.com/download/android","Twitter for Android")</f>
        <v>Twitter for Android</v>
      </c>
      <c r="J1661" s="2">
        <v>101</v>
      </c>
      <c r="K1661" s="2">
        <v>269</v>
      </c>
      <c r="L1661" s="2">
        <v>0</v>
      </c>
      <c r="M1661" s="2"/>
      <c r="N1661" s="8">
        <v>43250.651192129633</v>
      </c>
      <c r="O1661" s="4" t="s">
        <v>17</v>
      </c>
      <c r="P1661" s="3" t="s">
        <v>12522</v>
      </c>
      <c r="Q1661" s="4"/>
      <c r="R1661" s="4"/>
      <c r="S1661" s="9" t="str">
        <f>HYPERLINK("https://pbs.twimg.com/profile_images/1001814425156890624/QZTcIIVM.jpg","View")</f>
        <v>View</v>
      </c>
    </row>
    <row r="1662" spans="1:19" ht="40">
      <c r="A1662" s="8">
        <v>43346.96711805556</v>
      </c>
      <c r="B1662" s="11" t="str">
        <f>HYPERLINK("https://twitter.com/mohsenrezaei_","@mohsenrezaei_")</f>
        <v>@mohsenrezaei_</v>
      </c>
      <c r="C1662" s="6" t="s">
        <v>12521</v>
      </c>
      <c r="D1662" s="5" t="s">
        <v>12520</v>
      </c>
      <c r="E1662" s="9" t="str">
        <f>HYPERLINK("https://twitter.com/mohsenrezaei_/status/1036685925345050624","1036685925345050624")</f>
        <v>1036685925345050624</v>
      </c>
      <c r="F1662" s="4"/>
      <c r="G1662" s="4"/>
      <c r="H1662" s="4"/>
      <c r="I1662" s="10" t="str">
        <f>HYPERLINK("http://twitter.com/download/android","Twitter for Android")</f>
        <v>Twitter for Android</v>
      </c>
      <c r="J1662" s="2">
        <v>326</v>
      </c>
      <c r="K1662" s="2">
        <v>231</v>
      </c>
      <c r="L1662" s="2">
        <v>1</v>
      </c>
      <c r="M1662" s="2"/>
      <c r="N1662" s="8">
        <v>43179.03188657407</v>
      </c>
      <c r="O1662" s="4" t="s">
        <v>12519</v>
      </c>
      <c r="P1662" s="3" t="s">
        <v>12518</v>
      </c>
      <c r="Q1662" s="4"/>
      <c r="R1662" s="4"/>
      <c r="S1662" s="9" t="str">
        <f>HYPERLINK("https://pbs.twimg.com/profile_images/1013568545135976448/JqDmR_tC.jpg","View")</f>
        <v>View</v>
      </c>
    </row>
    <row r="1663" spans="1:19" ht="40">
      <c r="A1663" s="8">
        <v>43346.966273148151</v>
      </c>
      <c r="B1663" s="11" t="str">
        <f>HYPERLINK("https://twitter.com/toomadj","@toomadj")</f>
        <v>@toomadj</v>
      </c>
      <c r="C1663" s="6" t="s">
        <v>6069</v>
      </c>
      <c r="D1663" s="5" t="s">
        <v>12517</v>
      </c>
      <c r="E1663" s="9" t="str">
        <f>HYPERLINK("https://twitter.com/toomadj/status/1036685619295084547","1036685619295084547")</f>
        <v>1036685619295084547</v>
      </c>
      <c r="F1663" s="4"/>
      <c r="G1663" s="4"/>
      <c r="H1663" s="4"/>
      <c r="I1663" s="10" t="str">
        <f>HYPERLINK("http://twitter.com/download/android","Twitter for Android")</f>
        <v>Twitter for Android</v>
      </c>
      <c r="J1663" s="2">
        <v>2005</v>
      </c>
      <c r="K1663" s="2">
        <v>1135</v>
      </c>
      <c r="L1663" s="2">
        <v>14</v>
      </c>
      <c r="M1663" s="2"/>
      <c r="N1663" s="8">
        <v>39884.637615740743</v>
      </c>
      <c r="O1663" s="4"/>
      <c r="P1663" s="3" t="s">
        <v>6067</v>
      </c>
      <c r="Q1663" s="4"/>
      <c r="R1663" s="4"/>
      <c r="S1663" s="9" t="str">
        <f>HYPERLINK("https://pbs.twimg.com/profile_images/824277971456376832/I941WXSV.jpg","View")</f>
        <v>View</v>
      </c>
    </row>
    <row r="1664" spans="1:19" ht="40">
      <c r="A1664" s="8">
        <v>43346.965648148151</v>
      </c>
      <c r="B1664" s="11" t="str">
        <f>HYPERLINK("https://twitter.com/sajad0740","@sajad0740")</f>
        <v>@sajad0740</v>
      </c>
      <c r="C1664" s="6" t="s">
        <v>8821</v>
      </c>
      <c r="D1664" s="5" t="s">
        <v>12516</v>
      </c>
      <c r="E1664" s="9" t="str">
        <f>HYPERLINK("https://twitter.com/sajad0740/status/1036685388868284417","1036685388868284417")</f>
        <v>1036685388868284417</v>
      </c>
      <c r="F1664" s="4"/>
      <c r="G1664" s="4"/>
      <c r="H1664" s="4"/>
      <c r="I1664" s="10" t="str">
        <f>HYPERLINK("http://twitter.com","Twitter Web Client")</f>
        <v>Twitter Web Client</v>
      </c>
      <c r="J1664" s="2">
        <v>1</v>
      </c>
      <c r="K1664" s="2">
        <v>0</v>
      </c>
      <c r="L1664" s="2">
        <v>0</v>
      </c>
      <c r="M1664" s="2"/>
      <c r="N1664" s="8">
        <v>43335.526076388887</v>
      </c>
      <c r="O1664" s="4"/>
      <c r="P1664" s="3"/>
      <c r="Q1664" s="4"/>
      <c r="R1664" s="4"/>
      <c r="S1664" s="9" t="str">
        <f>HYPERLINK("https://pbs.twimg.com/profile_images/1032548242926391296/p471Ob5L.jpg","View")</f>
        <v>View</v>
      </c>
    </row>
    <row r="1665" spans="1:19" ht="30">
      <c r="A1665" s="8">
        <v>43346.965451388889</v>
      </c>
      <c r="B1665" s="11" t="str">
        <f>HYPERLINK("https://twitter.com/B_taraj","@B_taraj")</f>
        <v>@B_taraj</v>
      </c>
      <c r="C1665" s="6" t="s">
        <v>10290</v>
      </c>
      <c r="D1665" s="5" t="s">
        <v>12515</v>
      </c>
      <c r="E1665" s="9" t="str">
        <f>HYPERLINK("https://twitter.com/B_taraj/status/1036685318991294464","1036685318991294464")</f>
        <v>1036685318991294464</v>
      </c>
      <c r="F1665" s="4"/>
      <c r="G1665" s="4"/>
      <c r="H1665" s="4"/>
      <c r="I1665" s="10" t="str">
        <f>HYPERLINK("http://twitter.com/download/android","Twitter for Android")</f>
        <v>Twitter for Android</v>
      </c>
      <c r="J1665" s="2">
        <v>4507</v>
      </c>
      <c r="K1665" s="2">
        <v>4844</v>
      </c>
      <c r="L1665" s="2">
        <v>4</v>
      </c>
      <c r="M1665" s="2"/>
      <c r="N1665" s="8">
        <v>43166.631643518514</v>
      </c>
      <c r="O1665" s="4"/>
      <c r="P1665" s="3" t="s">
        <v>10287</v>
      </c>
      <c r="Q1665" s="4"/>
      <c r="R1665" s="4"/>
      <c r="S1665" s="9" t="str">
        <f>HYPERLINK("https://pbs.twimg.com/profile_images/971360003679506432/0fRwcVIL.jpg","View")</f>
        <v>View</v>
      </c>
    </row>
    <row r="1666" spans="1:19" ht="20">
      <c r="A1666" s="8">
        <v>43346.965104166666</v>
      </c>
      <c r="B1666" s="11" t="str">
        <f>HYPERLINK("https://twitter.com/hchamran1","@hchamran1")</f>
        <v>@hchamran1</v>
      </c>
      <c r="C1666" s="6" t="s">
        <v>12514</v>
      </c>
      <c r="D1666" s="5" t="s">
        <v>12513</v>
      </c>
      <c r="E1666" s="9" t="str">
        <f>HYPERLINK("https://twitter.com/hchamran1/status/1036685194852487168","1036685194852487168")</f>
        <v>1036685194852487168</v>
      </c>
      <c r="F1666" s="4"/>
      <c r="G1666" s="4"/>
      <c r="H1666" s="4"/>
      <c r="I1666" s="10" t="str">
        <f>HYPERLINK("http://twitter.com/download/android","Twitter for Android")</f>
        <v>Twitter for Android</v>
      </c>
      <c r="J1666" s="2">
        <v>3</v>
      </c>
      <c r="K1666" s="2">
        <v>14</v>
      </c>
      <c r="L1666" s="2">
        <v>0</v>
      </c>
      <c r="M1666" s="2"/>
      <c r="N1666" s="8">
        <v>43302.046226851853</v>
      </c>
      <c r="O1666" s="4" t="s">
        <v>34</v>
      </c>
      <c r="P1666" s="3" t="s">
        <v>12512</v>
      </c>
      <c r="Q1666" s="4"/>
      <c r="R1666" s="4"/>
      <c r="S1666" s="9" t="str">
        <f>HYPERLINK("https://pbs.twimg.com/profile_images/1020409577093730304/nh8KLiD8.jpg","View")</f>
        <v>View</v>
      </c>
    </row>
    <row r="1667" spans="1:19" ht="30">
      <c r="A1667" s="8">
        <v>43346.964143518519</v>
      </c>
      <c r="B1667" s="11" t="str">
        <f>HYPERLINK("https://twitter.com/B_taraj","@B_taraj")</f>
        <v>@B_taraj</v>
      </c>
      <c r="C1667" s="6" t="s">
        <v>10290</v>
      </c>
      <c r="D1667" s="5" t="s">
        <v>12511</v>
      </c>
      <c r="E1667" s="9" t="str">
        <f>HYPERLINK("https://twitter.com/B_taraj/status/1036684843441111040","1036684843441111040")</f>
        <v>1036684843441111040</v>
      </c>
      <c r="F1667" s="4"/>
      <c r="G1667" s="4"/>
      <c r="H1667" s="4"/>
      <c r="I1667" s="10" t="str">
        <f>HYPERLINK("http://twitter.com/download/android","Twitter for Android")</f>
        <v>Twitter for Android</v>
      </c>
      <c r="J1667" s="2">
        <v>4507</v>
      </c>
      <c r="K1667" s="2">
        <v>4844</v>
      </c>
      <c r="L1667" s="2">
        <v>4</v>
      </c>
      <c r="M1667" s="2"/>
      <c r="N1667" s="8">
        <v>43166.631643518514</v>
      </c>
      <c r="O1667" s="4"/>
      <c r="P1667" s="3" t="s">
        <v>10287</v>
      </c>
      <c r="Q1667" s="4"/>
      <c r="R1667" s="4"/>
      <c r="S1667" s="9" t="str">
        <f>HYPERLINK("https://pbs.twimg.com/profile_images/971360003679506432/0fRwcVIL.jpg","View")</f>
        <v>View</v>
      </c>
    </row>
    <row r="1668" spans="1:19" ht="12.5">
      <c r="A1668" s="8">
        <v>43346.962141203709</v>
      </c>
      <c r="B1668" s="11" t="str">
        <f>HYPERLINK("https://twitter.com/sobhe_no","@sobhe_no")</f>
        <v>@sobhe_no</v>
      </c>
      <c r="C1668" s="6" t="s">
        <v>4185</v>
      </c>
      <c r="D1668" s="5" t="s">
        <v>12509</v>
      </c>
      <c r="E1668" s="9" t="str">
        <f>HYPERLINK("https://twitter.com/sobhe_no/status/1036684120204750849","1036684120204750849")</f>
        <v>1036684120204750849</v>
      </c>
      <c r="F1668" s="4"/>
      <c r="G1668" s="10" t="s">
        <v>12510</v>
      </c>
      <c r="H1668" s="4"/>
      <c r="I1668" s="10" t="str">
        <f>HYPERLINK("http://twitter.com/download/iphone","Twitter for iPhone")</f>
        <v>Twitter for iPhone</v>
      </c>
      <c r="J1668" s="2">
        <v>10681</v>
      </c>
      <c r="K1668" s="2">
        <v>31</v>
      </c>
      <c r="L1668" s="2">
        <v>73</v>
      </c>
      <c r="M1668" s="2"/>
      <c r="N1668" s="8">
        <v>42471.601400462961</v>
      </c>
      <c r="O1668" s="4" t="s">
        <v>34</v>
      </c>
      <c r="P1668" s="3" t="s">
        <v>4182</v>
      </c>
      <c r="Q1668" s="10" t="s">
        <v>4181</v>
      </c>
      <c r="R1668" s="4"/>
      <c r="S1668" s="9" t="str">
        <f>HYPERLINK("https://pbs.twimg.com/profile_images/737719828429963265/nghJhp_N.jpg","View")</f>
        <v>View</v>
      </c>
    </row>
    <row r="1669" spans="1:19" ht="20">
      <c r="A1669" s="8">
        <v>43346.962060185186</v>
      </c>
      <c r="B1669" s="11" t="str">
        <f>HYPERLINK("https://twitter.com/rouydad24","@rouydad24")</f>
        <v>@rouydad24</v>
      </c>
      <c r="C1669" s="6" t="s">
        <v>5989</v>
      </c>
      <c r="D1669" s="5" t="s">
        <v>12509</v>
      </c>
      <c r="E1669" s="9" t="str">
        <f>HYPERLINK("https://twitter.com/rouydad24/status/1036684088458047488","1036684088458047488")</f>
        <v>1036684088458047488</v>
      </c>
      <c r="F1669" s="4"/>
      <c r="G1669" s="10" t="s">
        <v>12508</v>
      </c>
      <c r="H1669" s="4"/>
      <c r="I1669" s="10" t="str">
        <f>HYPERLINK("http://twitter.com/download/iphone","Twitter for iPhone")</f>
        <v>Twitter for iPhone</v>
      </c>
      <c r="J1669" s="2">
        <v>633</v>
      </c>
      <c r="K1669" s="2">
        <v>3143</v>
      </c>
      <c r="L1669" s="2">
        <v>5</v>
      </c>
      <c r="M1669" s="2"/>
      <c r="N1669" s="8">
        <v>42919.631469907406</v>
      </c>
      <c r="O1669" s="4" t="s">
        <v>133</v>
      </c>
      <c r="P1669" s="3" t="s">
        <v>5988</v>
      </c>
      <c r="Q1669" s="10" t="s">
        <v>5987</v>
      </c>
      <c r="R1669" s="4"/>
      <c r="S1669" s="9" t="str">
        <f>HYPERLINK("https://pbs.twimg.com/profile_images/881825939713282048/o2O6cC6w.jpg","View")</f>
        <v>View</v>
      </c>
    </row>
    <row r="1670" spans="1:19" ht="20">
      <c r="A1670" s="8">
        <v>43346.961215277777</v>
      </c>
      <c r="B1670" s="11" t="str">
        <f>HYPERLINK("https://twitter.com/mmasiha","@mmasiha")</f>
        <v>@mmasiha</v>
      </c>
      <c r="C1670" s="6" t="s">
        <v>246</v>
      </c>
      <c r="D1670" s="5" t="s">
        <v>12507</v>
      </c>
      <c r="E1670" s="9" t="str">
        <f>HYPERLINK("https://twitter.com/mmasiha/status/1036683786149421056","1036683786149421056")</f>
        <v>1036683786149421056</v>
      </c>
      <c r="F1670" s="4"/>
      <c r="G1670" s="4"/>
      <c r="H1670" s="4"/>
      <c r="I1670" s="10" t="str">
        <f>HYPERLINK("http://twitter.com/download/android","Twitter for Android")</f>
        <v>Twitter for Android</v>
      </c>
      <c r="J1670" s="2">
        <v>3251</v>
      </c>
      <c r="K1670" s="2">
        <v>539</v>
      </c>
      <c r="L1670" s="2">
        <v>52</v>
      </c>
      <c r="M1670" s="2"/>
      <c r="N1670" s="8">
        <v>39983.288252314815</v>
      </c>
      <c r="O1670" s="4" t="s">
        <v>244</v>
      </c>
      <c r="P1670" s="3" t="s">
        <v>243</v>
      </c>
      <c r="Q1670" s="10" t="s">
        <v>242</v>
      </c>
      <c r="R1670" s="4"/>
      <c r="S1670" s="9" t="str">
        <f>HYPERLINK("https://pbs.twimg.com/profile_images/756187596447940610/3aUNxTLs.jpg","View")</f>
        <v>View</v>
      </c>
    </row>
    <row r="1671" spans="1:19" ht="20">
      <c r="A1671" s="8">
        <v>43346.960613425923</v>
      </c>
      <c r="B1671" s="11" t="str">
        <f>HYPERLINK("https://twitter.com/masoudsahraey","@masoudsahraey")</f>
        <v>@masoudsahraey</v>
      </c>
      <c r="C1671" s="6" t="s">
        <v>12433</v>
      </c>
      <c r="D1671" s="5" t="s">
        <v>12506</v>
      </c>
      <c r="E1671" s="9" t="str">
        <f>HYPERLINK("https://twitter.com/masoudsahraey/status/1036683566556618752","1036683566556618752")</f>
        <v>1036683566556618752</v>
      </c>
      <c r="F1671" s="4"/>
      <c r="G1671" s="10" t="s">
        <v>12505</v>
      </c>
      <c r="H1671" s="4"/>
      <c r="I1671" s="10" t="str">
        <f>HYPERLINK("http://twitter.com/download/android","Twitter for Android")</f>
        <v>Twitter for Android</v>
      </c>
      <c r="J1671" s="2">
        <v>1</v>
      </c>
      <c r="K1671" s="2">
        <v>5</v>
      </c>
      <c r="L1671" s="2">
        <v>0</v>
      </c>
      <c r="M1671" s="2"/>
      <c r="N1671" s="8">
        <v>43222.990624999999</v>
      </c>
      <c r="O1671" s="4" t="s">
        <v>17</v>
      </c>
      <c r="P1671" s="3" t="s">
        <v>12431</v>
      </c>
      <c r="Q1671" s="4"/>
      <c r="R1671" s="4"/>
      <c r="S1671" s="9" t="str">
        <f>HYPERLINK("https://pbs.twimg.com/profile_images/991760575150657536/fnISlhYJ.jpg","View")</f>
        <v>View</v>
      </c>
    </row>
    <row r="1672" spans="1:19" ht="20">
      <c r="A1672" s="8">
        <v>43346.96056712963</v>
      </c>
      <c r="B1672" s="11" t="str">
        <f>HYPERLINK("https://twitter.com/Nobody_1361","@Nobody_1361")</f>
        <v>@Nobody_1361</v>
      </c>
      <c r="C1672" s="6" t="s">
        <v>12504</v>
      </c>
      <c r="D1672" s="5" t="s">
        <v>12503</v>
      </c>
      <c r="E1672" s="9" t="str">
        <f>HYPERLINK("https://twitter.com/Nobody_1361/status/1036683547422208003","1036683547422208003")</f>
        <v>1036683547422208003</v>
      </c>
      <c r="F1672" s="4"/>
      <c r="G1672" s="10" t="s">
        <v>12502</v>
      </c>
      <c r="H1672" s="4"/>
      <c r="I1672" s="10" t="str">
        <f>HYPERLINK("http://twitter.com/download/android","Twitter for Android")</f>
        <v>Twitter for Android</v>
      </c>
      <c r="J1672" s="2">
        <v>2821</v>
      </c>
      <c r="K1672" s="2">
        <v>1913</v>
      </c>
      <c r="L1672" s="2">
        <v>2</v>
      </c>
      <c r="M1672" s="2"/>
      <c r="N1672" s="8">
        <v>42756.579907407402</v>
      </c>
      <c r="O1672" s="4" t="s">
        <v>34</v>
      </c>
      <c r="P1672" s="3" t="s">
        <v>12501</v>
      </c>
      <c r="Q1672" s="10" t="s">
        <v>12500</v>
      </c>
      <c r="R1672" s="4"/>
      <c r="S1672" s="9" t="str">
        <f>HYPERLINK("https://pbs.twimg.com/profile_images/962803226717442050/Q90YMXOA.jpg","View")</f>
        <v>View</v>
      </c>
    </row>
    <row r="1673" spans="1:19" ht="20">
      <c r="A1673" s="8">
        <v>43346.95993055556</v>
      </c>
      <c r="B1673" s="11" t="str">
        <f>HYPERLINK("https://twitter.com/Mmariixx__","@Mmariixx__")</f>
        <v>@Mmariixx__</v>
      </c>
      <c r="C1673" s="6" t="s">
        <v>12499</v>
      </c>
      <c r="D1673" s="5" t="s">
        <v>12498</v>
      </c>
      <c r="E1673" s="9" t="str">
        <f>HYPERLINK("https://twitter.com/Mmariixx__/status/1036683317058387968","1036683317058387968")</f>
        <v>1036683317058387968</v>
      </c>
      <c r="F1673" s="4"/>
      <c r="G1673" s="4"/>
      <c r="H1673" s="4"/>
      <c r="I1673" s="10" t="str">
        <f>HYPERLINK("http://twitter.com/download/iphone","Twitter for iPhone")</f>
        <v>Twitter for iPhone</v>
      </c>
      <c r="J1673" s="2">
        <v>11</v>
      </c>
      <c r="K1673" s="2">
        <v>14</v>
      </c>
      <c r="L1673" s="2">
        <v>0</v>
      </c>
      <c r="M1673" s="2"/>
      <c r="N1673" s="8">
        <v>43163.567685185189</v>
      </c>
      <c r="O1673" s="4"/>
      <c r="P1673" s="3" t="s">
        <v>12497</v>
      </c>
      <c r="Q1673" s="4"/>
      <c r="R1673" s="4"/>
      <c r="S1673" s="9" t="str">
        <f>HYPERLINK("https://pbs.twimg.com/profile_images/1025740002528034821/cfaXHMb6.jpg","View")</f>
        <v>View</v>
      </c>
    </row>
    <row r="1674" spans="1:19" ht="30">
      <c r="A1674" s="8">
        <v>43346.959479166668</v>
      </c>
      <c r="B1674" s="11" t="str">
        <f>HYPERLINK("https://twitter.com/kalaghkhan","@kalaghkhan")</f>
        <v>@kalaghkhan</v>
      </c>
      <c r="C1674" s="6" t="s">
        <v>12496</v>
      </c>
      <c r="D1674" s="5" t="s">
        <v>12495</v>
      </c>
      <c r="E1674" s="9" t="str">
        <f>HYPERLINK("https://twitter.com/kalaghkhan/status/1036683155581927425","1036683155581927425")</f>
        <v>1036683155581927425</v>
      </c>
      <c r="F1674" s="4"/>
      <c r="G1674" s="4"/>
      <c r="H1674" s="4"/>
      <c r="I1674" s="10" t="str">
        <f>HYPERLINK("http://twitter.com/download/android","Twitter for Android")</f>
        <v>Twitter for Android</v>
      </c>
      <c r="J1674" s="2">
        <v>622</v>
      </c>
      <c r="K1674" s="2">
        <v>1120</v>
      </c>
      <c r="L1674" s="2">
        <v>0</v>
      </c>
      <c r="M1674" s="2"/>
      <c r="N1674" s="8">
        <v>41691.865983796299</v>
      </c>
      <c r="O1674" s="4" t="s">
        <v>25</v>
      </c>
      <c r="P1674" s="3" t="s">
        <v>12494</v>
      </c>
      <c r="Q1674" s="4"/>
      <c r="R1674" s="4"/>
      <c r="S1674" s="9" t="str">
        <f>HYPERLINK("https://pbs.twimg.com/profile_images/1016405524739448833/1ik6cU3s.jpg","View")</f>
        <v>View</v>
      </c>
    </row>
    <row r="1675" spans="1:19" ht="30">
      <c r="A1675" s="8">
        <v>43346.95417824074</v>
      </c>
      <c r="B1675" s="11" t="str">
        <f>HYPERLINK("https://twitter.com/davood274","@davood274")</f>
        <v>@davood274</v>
      </c>
      <c r="C1675" s="6" t="s">
        <v>1575</v>
      </c>
      <c r="D1675" s="5" t="s">
        <v>12493</v>
      </c>
      <c r="E1675" s="9" t="str">
        <f>HYPERLINK("https://twitter.com/davood274/status/1036681234334793728","1036681234334793728")</f>
        <v>1036681234334793728</v>
      </c>
      <c r="F1675" s="4"/>
      <c r="G1675" s="4"/>
      <c r="H1675" s="4"/>
      <c r="I1675" s="10" t="str">
        <f>HYPERLINK("https://mobile.twitter.com","Mobile Web (M2)")</f>
        <v>Mobile Web (M2)</v>
      </c>
      <c r="J1675" s="2">
        <v>293</v>
      </c>
      <c r="K1675" s="2">
        <v>643</v>
      </c>
      <c r="L1675" s="2">
        <v>0</v>
      </c>
      <c r="M1675" s="2"/>
      <c r="N1675" s="8">
        <v>41805.405289351853</v>
      </c>
      <c r="O1675" s="4" t="s">
        <v>17</v>
      </c>
      <c r="P1675" s="3" t="s">
        <v>6663</v>
      </c>
      <c r="Q1675" s="4"/>
      <c r="R1675" s="4"/>
      <c r="S1675" s="9" t="str">
        <f>HYPERLINK("https://pbs.twimg.com/profile_images/1005366993006936067/F_JGdASe.jpg","View")</f>
        <v>View</v>
      </c>
    </row>
    <row r="1676" spans="1:19" ht="20">
      <c r="A1676" s="8">
        <v>43346.94840277778</v>
      </c>
      <c r="B1676" s="11" t="str">
        <f>HYPERLINK("https://twitter.com/targetman77","@targetman77")</f>
        <v>@targetman77</v>
      </c>
      <c r="C1676" s="6" t="s">
        <v>8058</v>
      </c>
      <c r="D1676" s="5" t="s">
        <v>12492</v>
      </c>
      <c r="E1676" s="9" t="str">
        <f>HYPERLINK("https://twitter.com/targetman77/status/1036679139250581505","1036679139250581505")</f>
        <v>1036679139250581505</v>
      </c>
      <c r="F1676" s="10" t="s">
        <v>12224</v>
      </c>
      <c r="G1676" s="4"/>
      <c r="H1676" s="4"/>
      <c r="I1676" s="10" t="str">
        <f>HYPERLINK("http://twitter.com/download/android","Twitter for Android")</f>
        <v>Twitter for Android</v>
      </c>
      <c r="J1676" s="2">
        <v>276</v>
      </c>
      <c r="K1676" s="2">
        <v>528</v>
      </c>
      <c r="L1676" s="2">
        <v>0</v>
      </c>
      <c r="M1676" s="2"/>
      <c r="N1676" s="8">
        <v>42704.392789351856</v>
      </c>
      <c r="O1676" s="4" t="s">
        <v>8055</v>
      </c>
      <c r="P1676" s="3" t="s">
        <v>8054</v>
      </c>
      <c r="Q1676" s="4"/>
      <c r="R1676" s="4"/>
      <c r="S1676" s="9" t="str">
        <f>HYPERLINK("https://pbs.twimg.com/profile_images/1004375683206991872/T-h63g7P.jpg","View")</f>
        <v>View</v>
      </c>
    </row>
    <row r="1677" spans="1:19" ht="20">
      <c r="A1677" s="8">
        <v>43346.947939814811</v>
      </c>
      <c r="B1677" s="11" t="str">
        <f>HYPERLINK("https://twitter.com/Alibozorgkhoo","@Alibozorgkhoo")</f>
        <v>@Alibozorgkhoo</v>
      </c>
      <c r="C1677" s="6" t="s">
        <v>584</v>
      </c>
      <c r="D1677" s="5" t="s">
        <v>12491</v>
      </c>
      <c r="E1677" s="9" t="str">
        <f>HYPERLINK("https://twitter.com/Alibozorgkhoo/status/1036678973130977280","1036678973130977280")</f>
        <v>1036678973130977280</v>
      </c>
      <c r="F1677" s="4"/>
      <c r="G1677" s="10" t="s">
        <v>12490</v>
      </c>
      <c r="H1677" s="4"/>
      <c r="I1677" s="10" t="str">
        <f>HYPERLINK("http://twitter.com/download/android","Twitter for Android")</f>
        <v>Twitter for Android</v>
      </c>
      <c r="J1677" s="2">
        <v>31</v>
      </c>
      <c r="K1677" s="2">
        <v>72</v>
      </c>
      <c r="L1677" s="2">
        <v>0</v>
      </c>
      <c r="M1677" s="2"/>
      <c r="N1677" s="8">
        <v>43303.489432870367</v>
      </c>
      <c r="O1677" s="4" t="s">
        <v>894</v>
      </c>
      <c r="P1677" s="3" t="s">
        <v>12489</v>
      </c>
      <c r="Q1677" s="4"/>
      <c r="R1677" s="4"/>
      <c r="S1677" s="9" t="str">
        <f>HYPERLINK("https://pbs.twimg.com/profile_images/1020947074613989376/ap-4bqww.jpg","View")</f>
        <v>View</v>
      </c>
    </row>
    <row r="1678" spans="1:19" ht="30">
      <c r="A1678" s="8">
        <v>43346.947881944448</v>
      </c>
      <c r="B1678" s="11" t="str">
        <f>HYPERLINK("https://twitter.com/TaghvayiZ","@TaghvayiZ")</f>
        <v>@TaghvayiZ</v>
      </c>
      <c r="C1678" s="6" t="s">
        <v>12488</v>
      </c>
      <c r="D1678" s="5" t="s">
        <v>12487</v>
      </c>
      <c r="E1678" s="9" t="str">
        <f>HYPERLINK("https://twitter.com/TaghvayiZ/status/1036678953853956098","1036678953853956098")</f>
        <v>1036678953853956098</v>
      </c>
      <c r="F1678" s="4"/>
      <c r="G1678" s="4"/>
      <c r="H1678" s="4"/>
      <c r="I1678" s="10" t="str">
        <f>HYPERLINK("http://twitter.com/download/iphone","Twitter for iPhone")</f>
        <v>Twitter for iPhone</v>
      </c>
      <c r="J1678" s="2">
        <v>330</v>
      </c>
      <c r="K1678" s="2">
        <v>241</v>
      </c>
      <c r="L1678" s="2">
        <v>1</v>
      </c>
      <c r="M1678" s="2"/>
      <c r="N1678" s="8">
        <v>43160.826874999999</v>
      </c>
      <c r="O1678" s="4" t="s">
        <v>34</v>
      </c>
      <c r="P1678" s="3" t="s">
        <v>12486</v>
      </c>
      <c r="Q1678" s="4"/>
      <c r="R1678" s="4"/>
      <c r="S1678" s="9" t="str">
        <f>HYPERLINK("https://pbs.twimg.com/profile_images/989556304925593601/q3N_ciTi.jpg","View")</f>
        <v>View</v>
      </c>
    </row>
    <row r="1679" spans="1:19" ht="30">
      <c r="A1679" s="8">
        <v>43346.946493055555</v>
      </c>
      <c r="B1679" s="11" t="str">
        <f>HYPERLINK("https://twitter.com/Mj01726355","@Mj01726355")</f>
        <v>@Mj01726355</v>
      </c>
      <c r="C1679" s="6" t="s">
        <v>12260</v>
      </c>
      <c r="D1679" s="5" t="s">
        <v>12485</v>
      </c>
      <c r="E1679" s="9" t="str">
        <f>HYPERLINK("https://twitter.com/Mj01726355/status/1036678447626633216","1036678447626633216")</f>
        <v>1036678447626633216</v>
      </c>
      <c r="F1679" s="4"/>
      <c r="G1679" s="10" t="s">
        <v>12484</v>
      </c>
      <c r="H1679" s="4"/>
      <c r="I1679" s="10" t="str">
        <f>HYPERLINK("http://twitter.com/download/android","Twitter for Android")</f>
        <v>Twitter for Android</v>
      </c>
      <c r="J1679" s="2">
        <v>0</v>
      </c>
      <c r="K1679" s="2">
        <v>1</v>
      </c>
      <c r="L1679" s="2">
        <v>0</v>
      </c>
      <c r="M1679" s="2"/>
      <c r="N1679" s="8">
        <v>43340.826006944444</v>
      </c>
      <c r="O1679" s="4"/>
      <c r="P1679" s="3"/>
      <c r="Q1679" s="4"/>
      <c r="R1679" s="4"/>
      <c r="S1679" s="2" t="s">
        <v>155</v>
      </c>
    </row>
    <row r="1680" spans="1:19" ht="40">
      <c r="A1680" s="8">
        <v>43346.945659722223</v>
      </c>
      <c r="B1680" s="11" t="str">
        <f>HYPERLINK("https://twitter.com/K2xnW9Bj5s8Ialc","@K2xnW9Bj5s8Ialc")</f>
        <v>@K2xnW9Bj5s8Ialc</v>
      </c>
      <c r="C1680" s="6" t="s">
        <v>12483</v>
      </c>
      <c r="D1680" s="5" t="s">
        <v>12482</v>
      </c>
      <c r="E1680" s="9" t="str">
        <f>HYPERLINK("https://twitter.com/K2xnW9Bj5s8Ialc/status/1036678145485750272","1036678145485750272")</f>
        <v>1036678145485750272</v>
      </c>
      <c r="F1680" s="4"/>
      <c r="G1680" s="10" t="s">
        <v>12481</v>
      </c>
      <c r="H1680" s="4"/>
      <c r="I1680" s="10" t="str">
        <f>HYPERLINK("http://twitter.com/download/android","Twitter for Android")</f>
        <v>Twitter for Android</v>
      </c>
      <c r="J1680" s="2">
        <v>85</v>
      </c>
      <c r="K1680" s="2">
        <v>208</v>
      </c>
      <c r="L1680" s="2">
        <v>0</v>
      </c>
      <c r="M1680" s="2"/>
      <c r="N1680" s="8">
        <v>43102.146539351852</v>
      </c>
      <c r="O1680" s="4"/>
      <c r="P1680" s="3"/>
      <c r="Q1680" s="4"/>
      <c r="R1680" s="4"/>
      <c r="S1680" s="9" t="str">
        <f>HYPERLINK("https://pbs.twimg.com/profile_images/1006442294449442816/QF0HtyLG.jpg","View")</f>
        <v>View</v>
      </c>
    </row>
    <row r="1681" spans="1:19" ht="50">
      <c r="A1681" s="8">
        <v>43346.944236111114</v>
      </c>
      <c r="B1681" s="11" t="str">
        <f>HYPERLINK("https://twitter.com/alisoltanivash","@alisoltanivash")</f>
        <v>@alisoltanivash</v>
      </c>
      <c r="C1681" s="6" t="s">
        <v>12317</v>
      </c>
      <c r="D1681" s="5" t="s">
        <v>12480</v>
      </c>
      <c r="E1681" s="9" t="str">
        <f>HYPERLINK("https://twitter.com/alisoltanivash/status/1036677632300142594","1036677632300142594")</f>
        <v>1036677632300142594</v>
      </c>
      <c r="F1681" s="4"/>
      <c r="G1681" s="4"/>
      <c r="H1681" s="4"/>
      <c r="I1681" s="10" t="str">
        <f>HYPERLINK("http://twitter.com/download/iphone","Twitter for iPhone")</f>
        <v>Twitter for iPhone</v>
      </c>
      <c r="J1681" s="2">
        <v>762</v>
      </c>
      <c r="K1681" s="2">
        <v>1391</v>
      </c>
      <c r="L1681" s="2">
        <v>0</v>
      </c>
      <c r="M1681" s="2"/>
      <c r="N1681" s="8">
        <v>41025.640729166669</v>
      </c>
      <c r="O1681" s="4" t="s">
        <v>34</v>
      </c>
      <c r="P1681" s="3" t="s">
        <v>12315</v>
      </c>
      <c r="Q1681" s="10" t="s">
        <v>12314</v>
      </c>
      <c r="R1681" s="4"/>
      <c r="S1681" s="9" t="str">
        <f>HYPERLINK("https://pbs.twimg.com/profile_images/893576655293296640/nLZn-AiI.jpg","View")</f>
        <v>View</v>
      </c>
    </row>
    <row r="1682" spans="1:19" ht="20">
      <c r="A1682" s="8">
        <v>43346.942974537036</v>
      </c>
      <c r="B1682" s="11" t="str">
        <f>HYPERLINK("https://twitter.com/masoudsahraey","@masoudsahraey")</f>
        <v>@masoudsahraey</v>
      </c>
      <c r="C1682" s="6" t="s">
        <v>12433</v>
      </c>
      <c r="D1682" s="5" t="s">
        <v>12479</v>
      </c>
      <c r="E1682" s="9" t="str">
        <f>HYPERLINK("https://twitter.com/masoudsahraey/status/1036677174055579648","1036677174055579648")</f>
        <v>1036677174055579648</v>
      </c>
      <c r="F1682" s="4"/>
      <c r="G1682" s="4"/>
      <c r="H1682" s="4"/>
      <c r="I1682" s="10" t="str">
        <f>HYPERLINK("http://twitter.com/download/android","Twitter for Android")</f>
        <v>Twitter for Android</v>
      </c>
      <c r="J1682" s="2">
        <v>1</v>
      </c>
      <c r="K1682" s="2">
        <v>5</v>
      </c>
      <c r="L1682" s="2">
        <v>0</v>
      </c>
      <c r="M1682" s="2"/>
      <c r="N1682" s="8">
        <v>43222.990624999999</v>
      </c>
      <c r="O1682" s="4" t="s">
        <v>17</v>
      </c>
      <c r="P1682" s="3" t="s">
        <v>12431</v>
      </c>
      <c r="Q1682" s="4"/>
      <c r="R1682" s="4"/>
      <c r="S1682" s="9" t="str">
        <f>HYPERLINK("https://pbs.twimg.com/profile_images/991760575150657536/fnISlhYJ.jpg","View")</f>
        <v>View</v>
      </c>
    </row>
    <row r="1683" spans="1:19" ht="40">
      <c r="A1683" s="8">
        <v>43346.942662037036</v>
      </c>
      <c r="B1683" s="11" t="str">
        <f>HYPERLINK("https://twitter.com/JamilehKarimi","@JamilehKarimi")</f>
        <v>@JamilehKarimi</v>
      </c>
      <c r="C1683" s="6" t="s">
        <v>12478</v>
      </c>
      <c r="D1683" s="5" t="s">
        <v>12477</v>
      </c>
      <c r="E1683" s="9" t="str">
        <f>HYPERLINK("https://twitter.com/JamilehKarimi/status/1036677060297744384","1036677060297744384")</f>
        <v>1036677060297744384</v>
      </c>
      <c r="F1683" s="4"/>
      <c r="G1683" s="10" t="s">
        <v>12476</v>
      </c>
      <c r="H1683" s="4"/>
      <c r="I1683" s="10" t="str">
        <f>HYPERLINK("http://twitter.com/download/iphone","Twitter for iPhone")</f>
        <v>Twitter for iPhone</v>
      </c>
      <c r="J1683" s="2">
        <v>1200</v>
      </c>
      <c r="K1683" s="2">
        <v>753</v>
      </c>
      <c r="L1683" s="2">
        <v>6</v>
      </c>
      <c r="M1683" s="2"/>
      <c r="N1683" s="8">
        <v>42749.810185185182</v>
      </c>
      <c r="O1683" s="4"/>
      <c r="P1683" s="3" t="s">
        <v>12475</v>
      </c>
      <c r="Q1683" s="4"/>
      <c r="R1683" s="4"/>
      <c r="S1683" s="9" t="str">
        <f>HYPERLINK("https://pbs.twimg.com/profile_images/923496052946358273/XZgJ-HoA.jpg","View")</f>
        <v>View</v>
      </c>
    </row>
    <row r="1684" spans="1:19" ht="30">
      <c r="A1684" s="8">
        <v>43346.940578703703</v>
      </c>
      <c r="B1684" s="11" t="str">
        <f>HYPERLINK("https://twitter.com/Salmansaljoogh","@Salmansaljoogh")</f>
        <v>@Salmansaljoogh</v>
      </c>
      <c r="C1684" s="6" t="s">
        <v>10341</v>
      </c>
      <c r="D1684" s="5" t="s">
        <v>12474</v>
      </c>
      <c r="E1684" s="9" t="str">
        <f>HYPERLINK("https://twitter.com/Salmansaljoogh/status/1036676306107334656","1036676306107334656")</f>
        <v>1036676306107334656</v>
      </c>
      <c r="F1684" s="4"/>
      <c r="G1684" s="10" t="s">
        <v>12473</v>
      </c>
      <c r="H1684" s="4"/>
      <c r="I1684" s="10" t="str">
        <f>HYPERLINK("http://twitter.com/download/android","Twitter for Android")</f>
        <v>Twitter for Android</v>
      </c>
      <c r="J1684" s="2">
        <v>32</v>
      </c>
      <c r="K1684" s="2">
        <v>68</v>
      </c>
      <c r="L1684" s="2">
        <v>0</v>
      </c>
      <c r="M1684" s="2"/>
      <c r="N1684" s="8">
        <v>43076.066527777773</v>
      </c>
      <c r="O1684" s="4"/>
      <c r="P1684" s="3"/>
      <c r="Q1684" s="4"/>
      <c r="R1684" s="4"/>
      <c r="S1684" s="9" t="str">
        <f>HYPERLINK("https://pbs.twimg.com/profile_images/938532140739854336/JpNG_GvD.jpg","View")</f>
        <v>View</v>
      </c>
    </row>
    <row r="1685" spans="1:19" ht="20">
      <c r="A1685" s="8">
        <v>43346.939189814817</v>
      </c>
      <c r="B1685" s="11" t="str">
        <f>HYPERLINK("https://twitter.com/AhmadrezaKzmi","@AhmadrezaKzmi")</f>
        <v>@AhmadrezaKzmi</v>
      </c>
      <c r="C1685" s="6" t="s">
        <v>12472</v>
      </c>
      <c r="D1685" s="5" t="s">
        <v>12471</v>
      </c>
      <c r="E1685" s="9" t="str">
        <f>HYPERLINK("https://twitter.com/AhmadrezaKzmi/status/1036675800647512064","1036675800647512064")</f>
        <v>1036675800647512064</v>
      </c>
      <c r="F1685" s="4"/>
      <c r="G1685" s="10" t="s">
        <v>12470</v>
      </c>
      <c r="H1685" s="4"/>
      <c r="I1685" s="10" t="str">
        <f>HYPERLINK("http://twitter.com/download/android","Twitter for Android")</f>
        <v>Twitter for Android</v>
      </c>
      <c r="J1685" s="2">
        <v>6390</v>
      </c>
      <c r="K1685" s="2">
        <v>54</v>
      </c>
      <c r="L1685" s="2">
        <v>24</v>
      </c>
      <c r="M1685" s="2"/>
      <c r="N1685" s="8">
        <v>41967.980428240742</v>
      </c>
      <c r="O1685" s="4"/>
      <c r="P1685" s="3" t="s">
        <v>12469</v>
      </c>
      <c r="Q1685" s="10" t="s">
        <v>12468</v>
      </c>
      <c r="R1685" s="4"/>
      <c r="S1685" s="9" t="str">
        <f>HYPERLINK("https://pbs.twimg.com/profile_images/929369434288021505/QWcIUH0I.jpg","View")</f>
        <v>View</v>
      </c>
    </row>
    <row r="1686" spans="1:19" ht="40">
      <c r="A1686" s="8">
        <v>43346.937847222223</v>
      </c>
      <c r="B1686" s="11" t="str">
        <f>HYPERLINK("https://twitter.com/AminSabeti","@AminSabeti")</f>
        <v>@AminSabeti</v>
      </c>
      <c r="C1686" s="6" t="s">
        <v>9077</v>
      </c>
      <c r="D1686" s="5" t="s">
        <v>12467</v>
      </c>
      <c r="E1686" s="9" t="str">
        <f>HYPERLINK("https://twitter.com/AminSabeti/status/1036675317597986819","1036675317597986819")</f>
        <v>1036675317597986819</v>
      </c>
      <c r="F1686" s="4"/>
      <c r="G1686" s="4"/>
      <c r="H1686" s="4"/>
      <c r="I1686" s="10" t="str">
        <f>HYPERLINK("http://twitter.com/download/android","Twitter for Android")</f>
        <v>Twitter for Android</v>
      </c>
      <c r="J1686" s="2">
        <v>48237</v>
      </c>
      <c r="K1686" s="2">
        <v>1306</v>
      </c>
      <c r="L1686" s="2">
        <v>294</v>
      </c>
      <c r="M1686" s="2"/>
      <c r="N1686" s="8">
        <v>39124.692881944444</v>
      </c>
      <c r="O1686" s="4" t="s">
        <v>9074</v>
      </c>
      <c r="P1686" s="3" t="s">
        <v>9073</v>
      </c>
      <c r="Q1686" s="10" t="s">
        <v>9072</v>
      </c>
      <c r="R1686" s="4"/>
      <c r="S1686" s="9" t="str">
        <f>HYPERLINK("https://pbs.twimg.com/profile_images/54854187/avatar.jpg","View")</f>
        <v>View</v>
      </c>
    </row>
    <row r="1687" spans="1:19" ht="20">
      <c r="A1687" s="8">
        <v>43346.937546296293</v>
      </c>
      <c r="B1687" s="11" t="str">
        <f>HYPERLINK("https://twitter.com/masoudsahraey","@masoudsahraey")</f>
        <v>@masoudsahraey</v>
      </c>
      <c r="C1687" s="6" t="s">
        <v>12433</v>
      </c>
      <c r="D1687" s="5" t="s">
        <v>12466</v>
      </c>
      <c r="E1687" s="9" t="str">
        <f>HYPERLINK("https://twitter.com/masoudsahraey/status/1036675208256610304","1036675208256610304")</f>
        <v>1036675208256610304</v>
      </c>
      <c r="F1687" s="4"/>
      <c r="G1687" s="4"/>
      <c r="H1687" s="4"/>
      <c r="I1687" s="10" t="str">
        <f>HYPERLINK("http://twitter.com/download/android","Twitter for Android")</f>
        <v>Twitter for Android</v>
      </c>
      <c r="J1687" s="2">
        <v>1</v>
      </c>
      <c r="K1687" s="2">
        <v>5</v>
      </c>
      <c r="L1687" s="2">
        <v>0</v>
      </c>
      <c r="M1687" s="2"/>
      <c r="N1687" s="8">
        <v>43222.990624999999</v>
      </c>
      <c r="O1687" s="4" t="s">
        <v>17</v>
      </c>
      <c r="P1687" s="3" t="s">
        <v>12431</v>
      </c>
      <c r="Q1687" s="4"/>
      <c r="R1687" s="4"/>
      <c r="S1687" s="9" t="str">
        <f>HYPERLINK("https://pbs.twimg.com/profile_images/991760575150657536/fnISlhYJ.jpg","View")</f>
        <v>View</v>
      </c>
    </row>
    <row r="1688" spans="1:19" ht="30">
      <c r="A1688" s="8">
        <v>43346.93577546296</v>
      </c>
      <c r="B1688" s="11" t="str">
        <f>HYPERLINK("https://twitter.com/bibandobar","@bibandobar")</f>
        <v>@bibandobar</v>
      </c>
      <c r="C1688" s="6" t="s">
        <v>4771</v>
      </c>
      <c r="D1688" s="5" t="s">
        <v>12465</v>
      </c>
      <c r="E1688" s="9" t="str">
        <f>HYPERLINK("https://twitter.com/bibandobar/status/1036674565550878720","1036674565550878720")</f>
        <v>1036674565550878720</v>
      </c>
      <c r="F1688" s="4"/>
      <c r="G1688" s="10" t="s">
        <v>12464</v>
      </c>
      <c r="H1688" s="4"/>
      <c r="I1688" s="10" t="str">
        <f>HYPERLINK("http://twitter.com/download/iphone","Twitter for iPhone")</f>
        <v>Twitter for iPhone</v>
      </c>
      <c r="J1688" s="2">
        <v>996</v>
      </c>
      <c r="K1688" s="2">
        <v>743</v>
      </c>
      <c r="L1688" s="2">
        <v>0</v>
      </c>
      <c r="M1688" s="2"/>
      <c r="N1688" s="8">
        <v>43250.819965277777</v>
      </c>
      <c r="O1688" s="4" t="s">
        <v>4769</v>
      </c>
      <c r="P1688" s="3" t="s">
        <v>4768</v>
      </c>
      <c r="Q1688" s="4"/>
      <c r="R1688" s="4"/>
      <c r="S1688" s="9" t="str">
        <f>HYPERLINK("https://pbs.twimg.com/profile_images/1025000299981889538/-koeTqrN.jpg","View")</f>
        <v>View</v>
      </c>
    </row>
    <row r="1689" spans="1:19" ht="40">
      <c r="A1689" s="8">
        <v>43346.934895833328</v>
      </c>
      <c r="B1689" s="11" t="str">
        <f>HYPERLINK("https://twitter.com/samyram65","@samyram65")</f>
        <v>@samyram65</v>
      </c>
      <c r="C1689" s="6" t="s">
        <v>11933</v>
      </c>
      <c r="D1689" s="5" t="s">
        <v>12463</v>
      </c>
      <c r="E1689" s="9" t="str">
        <f>HYPERLINK("https://twitter.com/samyram65/status/1036674247488430081","1036674247488430081")</f>
        <v>1036674247488430081</v>
      </c>
      <c r="F1689" s="4"/>
      <c r="G1689" s="10" t="s">
        <v>12462</v>
      </c>
      <c r="H1689" s="4"/>
      <c r="I1689" s="10" t="str">
        <f>HYPERLINK("http://twitter.com/download/iphone","Twitter for iPhone")</f>
        <v>Twitter for iPhone</v>
      </c>
      <c r="J1689" s="2">
        <v>50</v>
      </c>
      <c r="K1689" s="2">
        <v>139</v>
      </c>
      <c r="L1689" s="2">
        <v>0</v>
      </c>
      <c r="M1689" s="2"/>
      <c r="N1689" s="8">
        <v>41759.722407407404</v>
      </c>
      <c r="O1689" s="4" t="s">
        <v>9540</v>
      </c>
      <c r="P1689" s="3" t="s">
        <v>11930</v>
      </c>
      <c r="Q1689" s="4"/>
      <c r="R1689" s="4"/>
      <c r="S1689" s="9" t="str">
        <f>HYPERLINK("https://pbs.twimg.com/profile_images/1035466775079596033/sAXqlkz_.jpg","View")</f>
        <v>View</v>
      </c>
    </row>
    <row r="1690" spans="1:19" ht="20">
      <c r="A1690" s="8">
        <v>43346.934282407412</v>
      </c>
      <c r="B1690" s="11" t="str">
        <f>HYPERLINK("https://twitter.com/aa_persian","@aa_persian")</f>
        <v>@aa_persian</v>
      </c>
      <c r="C1690" s="6" t="s">
        <v>7471</v>
      </c>
      <c r="D1690" s="5" t="s">
        <v>12461</v>
      </c>
      <c r="E1690" s="9" t="str">
        <f>HYPERLINK("https://twitter.com/aa_persian/status/1036674022984048640","1036674022984048640")</f>
        <v>1036674022984048640</v>
      </c>
      <c r="F1690" s="10" t="s">
        <v>12460</v>
      </c>
      <c r="G1690" s="10" t="s">
        <v>12459</v>
      </c>
      <c r="H1690" s="4"/>
      <c r="I1690" s="10" t="str">
        <f>HYPERLINK("http://twitter.com","Twitter Web Client")</f>
        <v>Twitter Web Client</v>
      </c>
      <c r="J1690" s="2">
        <v>2747</v>
      </c>
      <c r="K1690" s="2">
        <v>16</v>
      </c>
      <c r="L1690" s="2">
        <v>38</v>
      </c>
      <c r="M1690" s="2"/>
      <c r="N1690" s="8">
        <v>42131.811759259261</v>
      </c>
      <c r="O1690" s="4" t="s">
        <v>7467</v>
      </c>
      <c r="P1690" s="3" t="s">
        <v>7466</v>
      </c>
      <c r="Q1690" s="10" t="s">
        <v>7465</v>
      </c>
      <c r="R1690" s="4"/>
      <c r="S1690" s="9" t="str">
        <f>HYPERLINK("https://pbs.twimg.com/profile_images/946457310867738626/CzW4oqyO.jpg","View")</f>
        <v>View</v>
      </c>
    </row>
    <row r="1691" spans="1:19" ht="20">
      <c r="A1691" s="8">
        <v>43346.933124999996</v>
      </c>
      <c r="B1691" s="11" t="str">
        <f>HYPERLINK("https://twitter.com/masoudsahraey","@masoudsahraey")</f>
        <v>@masoudsahraey</v>
      </c>
      <c r="C1691" s="6" t="s">
        <v>12433</v>
      </c>
      <c r="D1691" s="5" t="s">
        <v>12458</v>
      </c>
      <c r="E1691" s="9" t="str">
        <f>HYPERLINK("https://twitter.com/masoudsahraey/status/1036673605235560449","1036673605235560449")</f>
        <v>1036673605235560449</v>
      </c>
      <c r="F1691" s="4"/>
      <c r="G1691" s="4"/>
      <c r="H1691" s="4"/>
      <c r="I1691" s="10" t="str">
        <f>HYPERLINK("http://twitter.com/download/android","Twitter for Android")</f>
        <v>Twitter for Android</v>
      </c>
      <c r="J1691" s="2">
        <v>1</v>
      </c>
      <c r="K1691" s="2">
        <v>5</v>
      </c>
      <c r="L1691" s="2">
        <v>0</v>
      </c>
      <c r="M1691" s="2"/>
      <c r="N1691" s="8">
        <v>43222.990624999999</v>
      </c>
      <c r="O1691" s="4" t="s">
        <v>17</v>
      </c>
      <c r="P1691" s="3" t="s">
        <v>12431</v>
      </c>
      <c r="Q1691" s="4"/>
      <c r="R1691" s="4"/>
      <c r="S1691" s="9" t="str">
        <f>HYPERLINK("https://pbs.twimg.com/profile_images/991760575150657536/fnISlhYJ.jpg","View")</f>
        <v>View</v>
      </c>
    </row>
    <row r="1692" spans="1:19" ht="20">
      <c r="A1692" s="8">
        <v>43346.929293981477</v>
      </c>
      <c r="B1692" s="11" t="str">
        <f>HYPERLINK("https://twitter.com/masoudsahraey","@masoudsahraey")</f>
        <v>@masoudsahraey</v>
      </c>
      <c r="C1692" s="6" t="s">
        <v>12433</v>
      </c>
      <c r="D1692" s="5" t="s">
        <v>12457</v>
      </c>
      <c r="E1692" s="9" t="str">
        <f>HYPERLINK("https://twitter.com/masoudsahraey/status/1036672218397401088","1036672218397401088")</f>
        <v>1036672218397401088</v>
      </c>
      <c r="F1692" s="4"/>
      <c r="G1692" s="4"/>
      <c r="H1692" s="4"/>
      <c r="I1692" s="10" t="str">
        <f>HYPERLINK("http://twitter.com/download/android","Twitter for Android")</f>
        <v>Twitter for Android</v>
      </c>
      <c r="J1692" s="2">
        <v>1</v>
      </c>
      <c r="K1692" s="2">
        <v>5</v>
      </c>
      <c r="L1692" s="2">
        <v>0</v>
      </c>
      <c r="M1692" s="2"/>
      <c r="N1692" s="8">
        <v>43222.990624999999</v>
      </c>
      <c r="O1692" s="4" t="s">
        <v>17</v>
      </c>
      <c r="P1692" s="3" t="s">
        <v>12431</v>
      </c>
      <c r="Q1692" s="4"/>
      <c r="R1692" s="4"/>
      <c r="S1692" s="9" t="str">
        <f>HYPERLINK("https://pbs.twimg.com/profile_images/991760575150657536/fnISlhYJ.jpg","View")</f>
        <v>View</v>
      </c>
    </row>
    <row r="1693" spans="1:19" ht="40">
      <c r="A1693" s="8">
        <v>43346.929097222222</v>
      </c>
      <c r="B1693" s="11" t="str">
        <f>HYPERLINK("https://twitter.com/alisoltanivash","@alisoltanivash")</f>
        <v>@alisoltanivash</v>
      </c>
      <c r="C1693" s="6" t="s">
        <v>12317</v>
      </c>
      <c r="D1693" s="5" t="s">
        <v>12456</v>
      </c>
      <c r="E1693" s="9" t="str">
        <f>HYPERLINK("https://twitter.com/alisoltanivash/status/1036672145689067521","1036672145689067521")</f>
        <v>1036672145689067521</v>
      </c>
      <c r="F1693" s="4"/>
      <c r="G1693" s="4"/>
      <c r="H1693" s="4"/>
      <c r="I1693" s="10" t="str">
        <f>HYPERLINK("http://twitter.com/download/iphone","Twitter for iPhone")</f>
        <v>Twitter for iPhone</v>
      </c>
      <c r="J1693" s="2">
        <v>762</v>
      </c>
      <c r="K1693" s="2">
        <v>1392</v>
      </c>
      <c r="L1693" s="2">
        <v>0</v>
      </c>
      <c r="M1693" s="2"/>
      <c r="N1693" s="8">
        <v>41025.640729166669</v>
      </c>
      <c r="O1693" s="4" t="s">
        <v>34</v>
      </c>
      <c r="P1693" s="3" t="s">
        <v>12315</v>
      </c>
      <c r="Q1693" s="10" t="s">
        <v>12314</v>
      </c>
      <c r="R1693" s="4"/>
      <c r="S1693" s="9" t="str">
        <f>HYPERLINK("https://pbs.twimg.com/profile_images/893576655293296640/nLZn-AiI.jpg","View")</f>
        <v>View</v>
      </c>
    </row>
    <row r="1694" spans="1:19" ht="30">
      <c r="A1694" s="8">
        <v>43346.928576388891</v>
      </c>
      <c r="B1694" s="11" t="str">
        <f>HYPERLINK("https://twitter.com/yar73vom","@yar73vom")</f>
        <v>@yar73vom</v>
      </c>
      <c r="C1694" s="6" t="s">
        <v>12455</v>
      </c>
      <c r="D1694" s="5" t="s">
        <v>12454</v>
      </c>
      <c r="E1694" s="9" t="str">
        <f>HYPERLINK("https://twitter.com/yar73vom/status/1036671954781200384","1036671954781200384")</f>
        <v>1036671954781200384</v>
      </c>
      <c r="F1694" s="4"/>
      <c r="G1694" s="4"/>
      <c r="H1694" s="4"/>
      <c r="I1694" s="10" t="str">
        <f>HYPERLINK("http://twitter.com/download/android","Twitter for Android")</f>
        <v>Twitter for Android</v>
      </c>
      <c r="J1694" s="2">
        <v>50</v>
      </c>
      <c r="K1694" s="2">
        <v>30</v>
      </c>
      <c r="L1694" s="2">
        <v>1</v>
      </c>
      <c r="M1694" s="2"/>
      <c r="N1694" s="8">
        <v>43100.515729166669</v>
      </c>
      <c r="O1694" s="4" t="s">
        <v>104</v>
      </c>
      <c r="P1694" s="3" t="s">
        <v>12453</v>
      </c>
      <c r="Q1694" s="4"/>
      <c r="R1694" s="4"/>
      <c r="S1694" s="9" t="str">
        <f>HYPERLINK("https://pbs.twimg.com/profile_images/947397292486742016/0mDypapN.jpg","View")</f>
        <v>View</v>
      </c>
    </row>
    <row r="1695" spans="1:19" ht="20">
      <c r="A1695" s="8">
        <v>43346.928518518514</v>
      </c>
      <c r="B1695" s="11" t="str">
        <f>HYPERLINK("https://twitter.com/javad_sharifian","@javad_sharifian")</f>
        <v>@javad_sharifian</v>
      </c>
      <c r="C1695" s="6" t="s">
        <v>12452</v>
      </c>
      <c r="D1695" s="5" t="s">
        <v>12451</v>
      </c>
      <c r="E1695" s="9" t="str">
        <f>HYPERLINK("https://twitter.com/javad_sharifian/status/1036671934321356801","1036671934321356801")</f>
        <v>1036671934321356801</v>
      </c>
      <c r="F1695" s="4"/>
      <c r="G1695" s="4"/>
      <c r="H1695" s="4"/>
      <c r="I1695" s="10" t="str">
        <f>HYPERLINK("http://twitter.com/download/android","Twitter for Android")</f>
        <v>Twitter for Android</v>
      </c>
      <c r="J1695" s="2">
        <v>43</v>
      </c>
      <c r="K1695" s="2">
        <v>101</v>
      </c>
      <c r="L1695" s="2">
        <v>0</v>
      </c>
      <c r="M1695" s="2"/>
      <c r="N1695" s="8">
        <v>41655.367291666669</v>
      </c>
      <c r="O1695" s="4" t="s">
        <v>12450</v>
      </c>
      <c r="P1695" s="3" t="s">
        <v>12449</v>
      </c>
      <c r="Q1695" s="10" t="s">
        <v>12448</v>
      </c>
      <c r="R1695" s="4"/>
      <c r="S1695" s="9" t="str">
        <f>HYPERLINK("https://pbs.twimg.com/profile_images/1017073560874049536/wSxA91Fo.jpg","View")</f>
        <v>View</v>
      </c>
    </row>
    <row r="1696" spans="1:19" ht="20">
      <c r="A1696" s="8">
        <v>43346.928078703699</v>
      </c>
      <c r="B1696" s="11" t="str">
        <f>HYPERLINK("https://twitter.com/hamedfakhri1","@hamedfakhri1")</f>
        <v>@hamedfakhri1</v>
      </c>
      <c r="C1696" s="6" t="s">
        <v>12447</v>
      </c>
      <c r="D1696" s="5" t="s">
        <v>12417</v>
      </c>
      <c r="E1696" s="9" t="str">
        <f>HYPERLINK("https://twitter.com/hamedfakhri1/status/1036671774350602242","1036671774350602242")</f>
        <v>1036671774350602242</v>
      </c>
      <c r="F1696" s="4"/>
      <c r="G1696" s="4"/>
      <c r="H1696" s="4"/>
      <c r="I1696" s="10" t="str">
        <f>HYPERLINK("http://twitter.com/download/iphone","Twitter for iPhone")</f>
        <v>Twitter for iPhone</v>
      </c>
      <c r="J1696" s="2">
        <v>207</v>
      </c>
      <c r="K1696" s="2">
        <v>339</v>
      </c>
      <c r="L1696" s="2">
        <v>0</v>
      </c>
      <c r="M1696" s="2"/>
      <c r="N1696" s="8">
        <v>43254.690104166672</v>
      </c>
      <c r="O1696" s="4"/>
      <c r="P1696" s="3" t="s">
        <v>12446</v>
      </c>
      <c r="Q1696" s="4"/>
      <c r="R1696" s="4"/>
      <c r="S1696" s="9" t="str">
        <f>HYPERLINK("https://pbs.twimg.com/profile_images/1031472930423750657/fsZXG0gR.jpg","View")</f>
        <v>View</v>
      </c>
    </row>
    <row r="1697" spans="1:19" ht="30">
      <c r="A1697" s="8">
        <v>43346.927476851852</v>
      </c>
      <c r="B1697" s="11" t="str">
        <f>HYPERLINK("https://twitter.com/MJamaly1","@MJamaly1")</f>
        <v>@MJamaly1</v>
      </c>
      <c r="C1697" s="6" t="s">
        <v>12445</v>
      </c>
      <c r="D1697" s="5" t="s">
        <v>12444</v>
      </c>
      <c r="E1697" s="9" t="str">
        <f>HYPERLINK("https://twitter.com/MJamaly1/status/1036671557542797312","1036671557542797312")</f>
        <v>1036671557542797312</v>
      </c>
      <c r="F1697" s="4"/>
      <c r="G1697" s="4"/>
      <c r="H1697" s="4"/>
      <c r="I1697" s="10" t="str">
        <f>HYPERLINK("http://twitter.com/download/android","Twitter for Android")</f>
        <v>Twitter for Android</v>
      </c>
      <c r="J1697" s="2">
        <v>129</v>
      </c>
      <c r="K1697" s="2">
        <v>132</v>
      </c>
      <c r="L1697" s="2">
        <v>0</v>
      </c>
      <c r="M1697" s="2"/>
      <c r="N1697" s="8">
        <v>42474.010717592595</v>
      </c>
      <c r="O1697" s="4" t="s">
        <v>25</v>
      </c>
      <c r="P1697" s="3" t="s">
        <v>12443</v>
      </c>
      <c r="Q1697" s="4"/>
      <c r="R1697" s="4"/>
      <c r="S1697" s="9" t="str">
        <f>HYPERLINK("https://pbs.twimg.com/profile_images/1019996860948377603/qdjrlfk2.jpg","View")</f>
        <v>View</v>
      </c>
    </row>
    <row r="1698" spans="1:19" ht="20">
      <c r="A1698" s="8">
        <v>43346.926828703705</v>
      </c>
      <c r="B1698" s="11" t="str">
        <f>HYPERLINK("https://twitter.com/masoudsahraey","@masoudsahraey")</f>
        <v>@masoudsahraey</v>
      </c>
      <c r="C1698" s="6" t="s">
        <v>12433</v>
      </c>
      <c r="D1698" s="5" t="s">
        <v>12442</v>
      </c>
      <c r="E1698" s="9" t="str">
        <f>HYPERLINK("https://twitter.com/masoudsahraey/status/1036671321181179904","1036671321181179904")</f>
        <v>1036671321181179904</v>
      </c>
      <c r="F1698" s="4"/>
      <c r="G1698" s="4"/>
      <c r="H1698" s="4"/>
      <c r="I1698" s="10" t="str">
        <f>HYPERLINK("http://twitter.com/download/android","Twitter for Android")</f>
        <v>Twitter for Android</v>
      </c>
      <c r="J1698" s="2">
        <v>1</v>
      </c>
      <c r="K1698" s="2">
        <v>5</v>
      </c>
      <c r="L1698" s="2">
        <v>0</v>
      </c>
      <c r="M1698" s="2"/>
      <c r="N1698" s="8">
        <v>43222.990624999999</v>
      </c>
      <c r="O1698" s="4" t="s">
        <v>17</v>
      </c>
      <c r="P1698" s="3" t="s">
        <v>12431</v>
      </c>
      <c r="Q1698" s="4"/>
      <c r="R1698" s="4"/>
      <c r="S1698" s="9" t="str">
        <f>HYPERLINK("https://pbs.twimg.com/profile_images/991760575150657536/fnISlhYJ.jpg","View")</f>
        <v>View</v>
      </c>
    </row>
    <row r="1699" spans="1:19" ht="40">
      <c r="A1699" s="8">
        <v>43346.926516203705</v>
      </c>
      <c r="B1699" s="11" t="str">
        <f>HYPERLINK("https://twitter.com/iranazadi1395","@iranazadi1395")</f>
        <v>@iranazadi1395</v>
      </c>
      <c r="C1699" s="6" t="s">
        <v>6787</v>
      </c>
      <c r="D1699" s="5" t="s">
        <v>12441</v>
      </c>
      <c r="E1699" s="9" t="str">
        <f>HYPERLINK("https://twitter.com/iranazadi1395/status/1036671208807440384","1036671208807440384")</f>
        <v>1036671208807440384</v>
      </c>
      <c r="F1699" s="10" t="s">
        <v>12440</v>
      </c>
      <c r="G1699" s="4"/>
      <c r="H1699" s="4"/>
      <c r="I1699" s="10" t="str">
        <f>HYPERLINK("http://twitter.com","Twitter Web Client")</f>
        <v>Twitter Web Client</v>
      </c>
      <c r="J1699" s="2">
        <v>11239</v>
      </c>
      <c r="K1699" s="2">
        <v>529</v>
      </c>
      <c r="L1699" s="2">
        <v>218</v>
      </c>
      <c r="M1699" s="2"/>
      <c r="N1699" s="8">
        <v>42252.595034722224</v>
      </c>
      <c r="O1699" s="4" t="s">
        <v>6784</v>
      </c>
      <c r="P1699" s="3" t="s">
        <v>6783</v>
      </c>
      <c r="Q1699" s="10" t="s">
        <v>6782</v>
      </c>
      <c r="R1699" s="4"/>
      <c r="S1699" s="9" t="str">
        <f>HYPERLINK("https://pbs.twimg.com/profile_images/963509098812600322/Te7cW6h8.jpg","View")</f>
        <v>View</v>
      </c>
    </row>
    <row r="1700" spans="1:19" ht="30">
      <c r="A1700" s="8">
        <v>43346.924837962964</v>
      </c>
      <c r="B1700" s="11" t="str">
        <f>HYPERLINK("https://twitter.com/HoseinKian","@HoseinKian")</f>
        <v>@HoseinKian</v>
      </c>
      <c r="C1700" s="6" t="s">
        <v>2165</v>
      </c>
      <c r="D1700" s="5" t="s">
        <v>12439</v>
      </c>
      <c r="E1700" s="9" t="str">
        <f>HYPERLINK("https://twitter.com/HoseinKian/status/1036670600809467906","1036670600809467906")</f>
        <v>1036670600809467906</v>
      </c>
      <c r="F1700" s="4"/>
      <c r="G1700" s="4"/>
      <c r="H1700" s="4"/>
      <c r="I1700" s="10" t="str">
        <f>HYPERLINK("http://twitter.com","Twitter Web Client")</f>
        <v>Twitter Web Client</v>
      </c>
      <c r="J1700" s="2">
        <v>19</v>
      </c>
      <c r="K1700" s="2">
        <v>156</v>
      </c>
      <c r="L1700" s="2">
        <v>0</v>
      </c>
      <c r="M1700" s="2"/>
      <c r="N1700" s="8">
        <v>41936.759143518517</v>
      </c>
      <c r="O1700" s="4" t="s">
        <v>34</v>
      </c>
      <c r="P1700" s="3" t="s">
        <v>12438</v>
      </c>
      <c r="Q1700" s="4"/>
      <c r="R1700" s="4"/>
      <c r="S1700" s="9" t="str">
        <f>HYPERLINK("https://pbs.twimg.com/profile_images/948137620298715136/C3kbmGdb.jpg","View")</f>
        <v>View</v>
      </c>
    </row>
    <row r="1701" spans="1:19" ht="30">
      <c r="A1701" s="8">
        <v>43346.924062499995</v>
      </c>
      <c r="B1701" s="11" t="str">
        <f>HYPERLINK("https://twitter.com/shabaninonnda","@shabaninonnda")</f>
        <v>@shabaninonnda</v>
      </c>
      <c r="C1701" s="6" t="s">
        <v>12437</v>
      </c>
      <c r="D1701" s="5" t="s">
        <v>12436</v>
      </c>
      <c r="E1701" s="9" t="str">
        <f>HYPERLINK("https://twitter.com/shabaninonnda/status/1036670321540165635","1036670321540165635")</f>
        <v>1036670321540165635</v>
      </c>
      <c r="F1701" s="4"/>
      <c r="G1701" s="10" t="s">
        <v>12435</v>
      </c>
      <c r="H1701" s="4"/>
      <c r="I1701" s="10" t="str">
        <f>HYPERLINK("http://twitter.com/download/android","Twitter for Android")</f>
        <v>Twitter for Android</v>
      </c>
      <c r="J1701" s="2">
        <v>3725</v>
      </c>
      <c r="K1701" s="2">
        <v>3968</v>
      </c>
      <c r="L1701" s="2">
        <v>2</v>
      </c>
      <c r="M1701" s="2"/>
      <c r="N1701" s="8">
        <v>43101.491018518514</v>
      </c>
      <c r="O1701" s="4" t="s">
        <v>34</v>
      </c>
      <c r="P1701" s="3" t="s">
        <v>12434</v>
      </c>
      <c r="Q1701" s="4"/>
      <c r="R1701" s="4"/>
      <c r="S1701" s="9" t="str">
        <f>HYPERLINK("https://pbs.twimg.com/profile_images/947745379688296448/bdc2SDmz.jpg","View")</f>
        <v>View</v>
      </c>
    </row>
    <row r="1702" spans="1:19" ht="20">
      <c r="A1702" s="8">
        <v>43346.923425925925</v>
      </c>
      <c r="B1702" s="11" t="str">
        <f>HYPERLINK("https://twitter.com/masoudsahraey","@masoudsahraey")</f>
        <v>@masoudsahraey</v>
      </c>
      <c r="C1702" s="6" t="s">
        <v>12433</v>
      </c>
      <c r="D1702" s="5" t="s">
        <v>12432</v>
      </c>
      <c r="E1702" s="9" t="str">
        <f>HYPERLINK("https://twitter.com/masoudsahraey/status/1036670091209990146","1036670091209990146")</f>
        <v>1036670091209990146</v>
      </c>
      <c r="F1702" s="4"/>
      <c r="G1702" s="4"/>
      <c r="H1702" s="4"/>
      <c r="I1702" s="10" t="str">
        <f>HYPERLINK("http://twitter.com/download/android","Twitter for Android")</f>
        <v>Twitter for Android</v>
      </c>
      <c r="J1702" s="2">
        <v>1</v>
      </c>
      <c r="K1702" s="2">
        <v>5</v>
      </c>
      <c r="L1702" s="2">
        <v>0</v>
      </c>
      <c r="M1702" s="2"/>
      <c r="N1702" s="8">
        <v>43222.990624999999</v>
      </c>
      <c r="O1702" s="4" t="s">
        <v>17</v>
      </c>
      <c r="P1702" s="3" t="s">
        <v>12431</v>
      </c>
      <c r="Q1702" s="4"/>
      <c r="R1702" s="4"/>
      <c r="S1702" s="9" t="str">
        <f>HYPERLINK("https://pbs.twimg.com/profile_images/991760575150657536/fnISlhYJ.jpg","View")</f>
        <v>View</v>
      </c>
    </row>
    <row r="1703" spans="1:19" ht="20">
      <c r="A1703" s="8">
        <v>43346.9215162037</v>
      </c>
      <c r="B1703" s="11" t="str">
        <f>HYPERLINK("https://twitter.com/Charkhzarrin","@Charkhzarrin")</f>
        <v>@Charkhzarrin</v>
      </c>
      <c r="C1703" s="6" t="s">
        <v>12430</v>
      </c>
      <c r="D1703" s="5" t="s">
        <v>12429</v>
      </c>
      <c r="E1703" s="9" t="str">
        <f>HYPERLINK("https://twitter.com/Charkhzarrin/status/1036669399137169408","1036669399137169408")</f>
        <v>1036669399137169408</v>
      </c>
      <c r="F1703" s="4"/>
      <c r="G1703" s="4"/>
      <c r="H1703" s="4"/>
      <c r="I1703" s="10" t="str">
        <f>HYPERLINK("http://twitter.com/download/android","Twitter for Android")</f>
        <v>Twitter for Android</v>
      </c>
      <c r="J1703" s="2">
        <v>197</v>
      </c>
      <c r="K1703" s="2">
        <v>103</v>
      </c>
      <c r="L1703" s="2">
        <v>1</v>
      </c>
      <c r="M1703" s="2"/>
      <c r="N1703" s="8">
        <v>40302.304826388892</v>
      </c>
      <c r="O1703" s="4" t="s">
        <v>133</v>
      </c>
      <c r="P1703" s="3" t="s">
        <v>12428</v>
      </c>
      <c r="Q1703" s="10" t="s">
        <v>12427</v>
      </c>
      <c r="R1703" s="4"/>
      <c r="S1703" s="9" t="str">
        <f>HYPERLINK("https://pbs.twimg.com/profile_images/1031424935074254849/3bMdwZzA.jpg","View")</f>
        <v>View</v>
      </c>
    </row>
    <row r="1704" spans="1:19" ht="12.5">
      <c r="A1704" s="8">
        <v>43346.920127314814</v>
      </c>
      <c r="B1704" s="11" t="str">
        <f>HYPERLINK("https://twitter.com/25sal_ziad_nist","@25sal_ziad_nist")</f>
        <v>@25sal_ziad_nist</v>
      </c>
      <c r="C1704" s="6" t="s">
        <v>12426</v>
      </c>
      <c r="D1704" s="5" t="s">
        <v>12425</v>
      </c>
      <c r="E1704" s="9" t="str">
        <f>HYPERLINK("https://twitter.com/25sal_ziad_nist/status/1036668892851126272","1036668892851126272")</f>
        <v>1036668892851126272</v>
      </c>
      <c r="F1704" s="4"/>
      <c r="G1704" s="10" t="s">
        <v>12424</v>
      </c>
      <c r="H1704" s="4"/>
      <c r="I1704" s="10" t="str">
        <f>HYPERLINK("http://twitter.com/download/android","Twitter for Android")</f>
        <v>Twitter for Android</v>
      </c>
      <c r="J1704" s="2">
        <v>131</v>
      </c>
      <c r="K1704" s="2">
        <v>293</v>
      </c>
      <c r="L1704" s="2">
        <v>0</v>
      </c>
      <c r="M1704" s="2"/>
      <c r="N1704" s="8">
        <v>43177.889722222222</v>
      </c>
      <c r="O1704" s="4" t="s">
        <v>17</v>
      </c>
      <c r="P1704" s="3" t="s">
        <v>12423</v>
      </c>
      <c r="Q1704" s="4"/>
      <c r="R1704" s="4"/>
      <c r="S1704" s="9" t="str">
        <f>HYPERLINK("https://pbs.twimg.com/profile_images/1008055927503839232/fATDRSWd.jpg","View")</f>
        <v>View</v>
      </c>
    </row>
    <row r="1705" spans="1:19" ht="40">
      <c r="A1705" s="8">
        <v>43346.919479166667</v>
      </c>
      <c r="B1705" s="11" t="str">
        <f>HYPERLINK("https://twitter.com/fa_ksht","@fa_ksht")</f>
        <v>@fa_ksht</v>
      </c>
      <c r="C1705" s="6" t="s">
        <v>12422</v>
      </c>
      <c r="D1705" s="5" t="s">
        <v>12421</v>
      </c>
      <c r="E1705" s="9" t="str">
        <f>HYPERLINK("https://twitter.com/fa_ksht/status/1036668659928846338","1036668659928846338")</f>
        <v>1036668659928846338</v>
      </c>
      <c r="F1705" s="4"/>
      <c r="G1705" s="4"/>
      <c r="H1705" s="4"/>
      <c r="I1705" s="10" t="str">
        <f>HYPERLINK("http://twitter.com/download/iphone","Twitter for iPhone")</f>
        <v>Twitter for iPhone</v>
      </c>
      <c r="J1705" s="2">
        <v>1</v>
      </c>
      <c r="K1705" s="2">
        <v>22</v>
      </c>
      <c r="L1705" s="2">
        <v>0</v>
      </c>
      <c r="M1705" s="2"/>
      <c r="N1705" s="8">
        <v>43285.69667824074</v>
      </c>
      <c r="O1705" s="4"/>
      <c r="P1705" s="3" t="s">
        <v>1113</v>
      </c>
      <c r="Q1705" s="4"/>
      <c r="R1705" s="4"/>
      <c r="S1705" s="9" t="str">
        <f>HYPERLINK("https://pbs.twimg.com/profile_images/1016256932896747520/vp_UwlLn.jpg","View")</f>
        <v>View</v>
      </c>
    </row>
    <row r="1706" spans="1:19" ht="40">
      <c r="A1706" s="8">
        <v>43346.917199074072</v>
      </c>
      <c r="B1706" s="11" t="str">
        <f>HYPERLINK("https://twitter.com/RafatiSiavash","@RafatiSiavash")</f>
        <v>@RafatiSiavash</v>
      </c>
      <c r="C1706" s="6" t="s">
        <v>3226</v>
      </c>
      <c r="D1706" s="5" t="s">
        <v>12420</v>
      </c>
      <c r="E1706" s="9" t="str">
        <f>HYPERLINK("https://twitter.com/RafatiSiavash/status/1036667833537777665","1036667833537777665")</f>
        <v>1036667833537777665</v>
      </c>
      <c r="F1706" s="10" t="s">
        <v>12419</v>
      </c>
      <c r="G1706" s="4"/>
      <c r="H1706" s="4"/>
      <c r="I1706" s="10" t="str">
        <f>HYPERLINK("http://twitter.com","Twitter Web Client")</f>
        <v>Twitter Web Client</v>
      </c>
      <c r="J1706" s="2">
        <v>288</v>
      </c>
      <c r="K1706" s="2">
        <v>230</v>
      </c>
      <c r="L1706" s="2">
        <v>87</v>
      </c>
      <c r="M1706" s="2"/>
      <c r="N1706" s="8">
        <v>41050.769884259258</v>
      </c>
      <c r="O1706" s="4"/>
      <c r="P1706" s="3" t="s">
        <v>3223</v>
      </c>
      <c r="Q1706" s="10" t="s">
        <v>3222</v>
      </c>
      <c r="R1706" s="4"/>
      <c r="S1706" s="9" t="str">
        <f>HYPERLINK("https://pbs.twimg.com/profile_images/821385868690751488/Qqe0I1Bk.jpg","View")</f>
        <v>View</v>
      </c>
    </row>
    <row r="1707" spans="1:19" ht="20">
      <c r="A1707" s="8">
        <v>43346.914409722223</v>
      </c>
      <c r="B1707" s="11" t="str">
        <f>HYPERLINK("https://twitter.com/froid1366","@froid1366")</f>
        <v>@froid1366</v>
      </c>
      <c r="C1707" s="6" t="s">
        <v>12418</v>
      </c>
      <c r="D1707" s="5" t="s">
        <v>12417</v>
      </c>
      <c r="E1707" s="9" t="str">
        <f>HYPERLINK("https://twitter.com/froid1366/status/1036666822857289728","1036666822857289728")</f>
        <v>1036666822857289728</v>
      </c>
      <c r="F1707" s="4"/>
      <c r="G1707" s="4"/>
      <c r="H1707" s="4"/>
      <c r="I1707" s="10" t="str">
        <f>HYPERLINK("http://twitter.com/download/android","Twitter for Android")</f>
        <v>Twitter for Android</v>
      </c>
      <c r="J1707" s="2">
        <v>439</v>
      </c>
      <c r="K1707" s="2">
        <v>293</v>
      </c>
      <c r="L1707" s="2">
        <v>1</v>
      </c>
      <c r="M1707" s="2"/>
      <c r="N1707" s="8">
        <v>43231.140532407408</v>
      </c>
      <c r="O1707" s="4" t="s">
        <v>4643</v>
      </c>
      <c r="P1707" s="3" t="s">
        <v>12416</v>
      </c>
      <c r="Q1707" s="4"/>
      <c r="R1707" s="4"/>
      <c r="S1707" s="9" t="str">
        <f>HYPERLINK("https://pbs.twimg.com/profile_images/1035566181607002114/ZzaCoX2A.jpg","View")</f>
        <v>View</v>
      </c>
    </row>
    <row r="1708" spans="1:19" ht="40">
      <c r="A1708" s="8">
        <v>43346.909988425927</v>
      </c>
      <c r="B1708" s="11" t="str">
        <f>HYPERLINK("https://twitter.com/Seraj11_1","@Seraj11_1")</f>
        <v>@Seraj11_1</v>
      </c>
      <c r="C1708" s="6" t="s">
        <v>12415</v>
      </c>
      <c r="D1708" s="5" t="s">
        <v>12414</v>
      </c>
      <c r="E1708" s="9" t="str">
        <f>HYPERLINK("https://twitter.com/Seraj11_1/status/1036665222394769409","1036665222394769409")</f>
        <v>1036665222394769409</v>
      </c>
      <c r="F1708" s="10" t="s">
        <v>12413</v>
      </c>
      <c r="G1708" s="4"/>
      <c r="H1708" s="4"/>
      <c r="I1708" s="10" t="str">
        <f>HYPERLINK("http://twitter.com/download/android","Twitter for Android")</f>
        <v>Twitter for Android</v>
      </c>
      <c r="J1708" s="2">
        <v>161</v>
      </c>
      <c r="K1708" s="2">
        <v>235</v>
      </c>
      <c r="L1708" s="2">
        <v>4</v>
      </c>
      <c r="M1708" s="2"/>
      <c r="N1708" s="8">
        <v>43331.893449074079</v>
      </c>
      <c r="O1708" s="4" t="s">
        <v>17</v>
      </c>
      <c r="P1708" s="3" t="s">
        <v>12412</v>
      </c>
      <c r="Q1708" s="4"/>
      <c r="R1708" s="4"/>
      <c r="S1708" s="9" t="str">
        <f>HYPERLINK("https://pbs.twimg.com/profile_images/1031231301641273344/kchJwYZY.jpg","View")</f>
        <v>View</v>
      </c>
    </row>
    <row r="1709" spans="1:19" ht="12.5">
      <c r="A1709" s="8">
        <v>43346.90457175926</v>
      </c>
      <c r="B1709" s="11" t="str">
        <f>HYPERLINK("https://twitter.com/mr_rohani70","@mr_rohani70")</f>
        <v>@mr_rohani70</v>
      </c>
      <c r="C1709" s="6" t="s">
        <v>12411</v>
      </c>
      <c r="D1709" s="5" t="s">
        <v>12410</v>
      </c>
      <c r="E1709" s="9" t="str">
        <f>HYPERLINK("https://twitter.com/mr_rohani70/status/1036663259410001925","1036663259410001925")</f>
        <v>1036663259410001925</v>
      </c>
      <c r="F1709" s="4"/>
      <c r="G1709" s="10" t="s">
        <v>12409</v>
      </c>
      <c r="H1709" s="4"/>
      <c r="I1709" s="10" t="str">
        <f>HYPERLINK("http://twitter.com/download/android","Twitter for Android")</f>
        <v>Twitter for Android</v>
      </c>
      <c r="J1709" s="2">
        <v>602</v>
      </c>
      <c r="K1709" s="2">
        <v>673</v>
      </c>
      <c r="L1709" s="2">
        <v>0</v>
      </c>
      <c r="M1709" s="2"/>
      <c r="N1709" s="8">
        <v>41639.765810185185</v>
      </c>
      <c r="O1709" s="4" t="s">
        <v>12408</v>
      </c>
      <c r="P1709" s="3" t="s">
        <v>12407</v>
      </c>
      <c r="Q1709" s="10" t="s">
        <v>12406</v>
      </c>
      <c r="R1709" s="4"/>
      <c r="S1709" s="9" t="str">
        <f>HYPERLINK("https://pbs.twimg.com/profile_images/1028936416166903808/fyiL8a7q.jpg","View")</f>
        <v>View</v>
      </c>
    </row>
    <row r="1710" spans="1:19" ht="20">
      <c r="A1710" s="8">
        <v>43346.904317129629</v>
      </c>
      <c r="B1710" s="11" t="str">
        <f>HYPERLINK("https://twitter.com/shiiriiinn","@shiiriiinn")</f>
        <v>@shiiriiinn</v>
      </c>
      <c r="C1710" s="6" t="s">
        <v>2270</v>
      </c>
      <c r="D1710" s="5" t="s">
        <v>12405</v>
      </c>
      <c r="E1710" s="9" t="str">
        <f>HYPERLINK("https://twitter.com/shiiriiinn/status/1036663166053371904","1036663166053371904")</f>
        <v>1036663166053371904</v>
      </c>
      <c r="F1710" s="4"/>
      <c r="G1710" s="10" t="s">
        <v>12404</v>
      </c>
      <c r="H1710" s="4"/>
      <c r="I1710" s="10" t="str">
        <f>HYPERLINK("http://twitter.com/download/android","Twitter for Android")</f>
        <v>Twitter for Android</v>
      </c>
      <c r="J1710" s="2">
        <v>1026</v>
      </c>
      <c r="K1710" s="2">
        <v>729</v>
      </c>
      <c r="L1710" s="2">
        <v>6</v>
      </c>
      <c r="M1710" s="2"/>
      <c r="N1710" s="8">
        <v>43231.069965277777</v>
      </c>
      <c r="O1710" s="4" t="s">
        <v>324</v>
      </c>
      <c r="P1710" s="3" t="s">
        <v>2267</v>
      </c>
      <c r="Q1710" s="4"/>
      <c r="R1710" s="4"/>
      <c r="S1710" s="9" t="str">
        <f>HYPERLINK("https://pbs.twimg.com/profile_images/1001154802544513031/vy5K2CTb.jpg","View")</f>
        <v>View</v>
      </c>
    </row>
    <row r="1711" spans="1:19" ht="30">
      <c r="A1711" s="8">
        <v>43346.903055555551</v>
      </c>
      <c r="B1711" s="11" t="str">
        <f>HYPERLINK("https://twitter.com/hojat_mortaji","@hojat_mortaji")</f>
        <v>@hojat_mortaji</v>
      </c>
      <c r="C1711" s="6" t="s">
        <v>5547</v>
      </c>
      <c r="D1711" s="5" t="s">
        <v>12403</v>
      </c>
      <c r="E1711" s="9" t="str">
        <f>HYPERLINK("https://twitter.com/hojat_mortaji/status/1036662705946603520","1036662705946603520")</f>
        <v>1036662705946603520</v>
      </c>
      <c r="F1711" s="4"/>
      <c r="G1711" s="4"/>
      <c r="H1711" s="4"/>
      <c r="I1711" s="10" t="str">
        <f>HYPERLINK("https://mobile.twitter.com","Twitter Lite")</f>
        <v>Twitter Lite</v>
      </c>
      <c r="J1711" s="2">
        <v>499</v>
      </c>
      <c r="K1711" s="2">
        <v>1430</v>
      </c>
      <c r="L1711" s="2">
        <v>8</v>
      </c>
      <c r="M1711" s="2"/>
      <c r="N1711" s="8">
        <v>42995.431273148148</v>
      </c>
      <c r="O1711" s="4"/>
      <c r="P1711" s="3" t="s">
        <v>5544</v>
      </c>
      <c r="Q1711" s="4"/>
      <c r="R1711" s="4"/>
      <c r="S1711" s="9" t="str">
        <f>HYPERLINK("https://pbs.twimg.com/profile_images/909726781187424257/quSmnJsQ.jpg","View")</f>
        <v>View</v>
      </c>
    </row>
    <row r="1712" spans="1:19" ht="30">
      <c r="A1712" s="8">
        <v>43346.902777777781</v>
      </c>
      <c r="B1712" s="11" t="str">
        <f>HYPERLINK("https://twitter.com/sutedelan","@sutedelan")</f>
        <v>@sutedelan</v>
      </c>
      <c r="C1712" s="6" t="s">
        <v>12402</v>
      </c>
      <c r="D1712" s="5" t="s">
        <v>12401</v>
      </c>
      <c r="E1712" s="9" t="str">
        <f>HYPERLINK("https://twitter.com/sutedelan/status/1036662608630370305","1036662608630370305")</f>
        <v>1036662608630370305</v>
      </c>
      <c r="F1712" s="4"/>
      <c r="G1712" s="4"/>
      <c r="H1712" s="4"/>
      <c r="I1712" s="10" t="str">
        <f>HYPERLINK("http://twitter.com/download/iphone","Twitter for iPhone")</f>
        <v>Twitter for iPhone</v>
      </c>
      <c r="J1712" s="2">
        <v>32</v>
      </c>
      <c r="K1712" s="2">
        <v>44</v>
      </c>
      <c r="L1712" s="2">
        <v>0</v>
      </c>
      <c r="M1712" s="2"/>
      <c r="N1712" s="8">
        <v>41022.893425925926</v>
      </c>
      <c r="O1712" s="4"/>
      <c r="P1712" s="3"/>
      <c r="Q1712" s="4"/>
      <c r="R1712" s="4"/>
      <c r="S1712" s="9" t="str">
        <f>HYPERLINK("https://pbs.twimg.com/profile_images/994186308762337280/Iso_x7cx.jpg","View")</f>
        <v>View</v>
      </c>
    </row>
    <row r="1713" spans="1:19" ht="20">
      <c r="A1713" s="8">
        <v>43346.902696759258</v>
      </c>
      <c r="B1713" s="11" t="str">
        <f>HYPERLINK("https://twitter.com/0_Crayan_0","@0_Crayan_0")</f>
        <v>@0_Crayan_0</v>
      </c>
      <c r="C1713" s="6" t="s">
        <v>12400</v>
      </c>
      <c r="D1713" s="5" t="s">
        <v>12399</v>
      </c>
      <c r="E1713" s="9" t="str">
        <f>HYPERLINK("https://twitter.com/0_Crayan_0/status/1036662577953157120","1036662577953157120")</f>
        <v>1036662577953157120</v>
      </c>
      <c r="F1713" s="4"/>
      <c r="G1713" s="4"/>
      <c r="H1713" s="4"/>
      <c r="I1713" s="10" t="str">
        <f>HYPERLINK("http://twitter.com/download/android","Twitter for Android")</f>
        <v>Twitter for Android</v>
      </c>
      <c r="J1713" s="2">
        <v>42</v>
      </c>
      <c r="K1713" s="2">
        <v>159</v>
      </c>
      <c r="L1713" s="2">
        <v>0</v>
      </c>
      <c r="M1713" s="2"/>
      <c r="N1713" s="8">
        <v>42893.624351851853</v>
      </c>
      <c r="O1713" s="4" t="s">
        <v>34</v>
      </c>
      <c r="P1713" s="3" t="s">
        <v>12398</v>
      </c>
      <c r="Q1713" s="4"/>
      <c r="R1713" s="4"/>
      <c r="S1713" s="9" t="str">
        <f>HYPERLINK("https://pbs.twimg.com/profile_images/872403319674765312/QKNznqPJ.jpg","View")</f>
        <v>View</v>
      </c>
    </row>
    <row r="1714" spans="1:19" ht="30">
      <c r="A1714" s="8">
        <v>43346.900312500002</v>
      </c>
      <c r="B1714" s="11" t="str">
        <f>HYPERLINK("https://twitter.com/97neka97","@97neka97")</f>
        <v>@97neka97</v>
      </c>
      <c r="C1714" s="6" t="s">
        <v>12397</v>
      </c>
      <c r="D1714" s="5" t="s">
        <v>12396</v>
      </c>
      <c r="E1714" s="9" t="str">
        <f>HYPERLINK("https://twitter.com/97neka97/status/1036661713549099008","1036661713549099008")</f>
        <v>1036661713549099008</v>
      </c>
      <c r="F1714" s="4"/>
      <c r="G1714" s="4"/>
      <c r="H1714" s="4"/>
      <c r="I1714" s="10" t="str">
        <f>HYPERLINK("http://twitter.com/download/iphone","Twitter for iPhone")</f>
        <v>Twitter for iPhone</v>
      </c>
      <c r="J1714" s="2">
        <v>215</v>
      </c>
      <c r="K1714" s="2">
        <v>153</v>
      </c>
      <c r="L1714" s="2">
        <v>0</v>
      </c>
      <c r="M1714" s="2"/>
      <c r="N1714" s="8">
        <v>42849.653194444443</v>
      </c>
      <c r="O1714" s="4" t="s">
        <v>12395</v>
      </c>
      <c r="P1714" s="3" t="s">
        <v>12394</v>
      </c>
      <c r="Q1714" s="4"/>
      <c r="R1714" s="4"/>
      <c r="S1714" s="9" t="str">
        <f>HYPERLINK("https://pbs.twimg.com/profile_images/1015004307949793281/yiktVwSv.jpg","View")</f>
        <v>View</v>
      </c>
    </row>
    <row r="1715" spans="1:19" ht="20">
      <c r="A1715" s="8">
        <v>43346.896921296298</v>
      </c>
      <c r="B1715" s="11" t="str">
        <f>HYPERLINK("https://twitter.com/Soodeh39061147","@Soodeh39061147")</f>
        <v>@Soodeh39061147</v>
      </c>
      <c r="C1715" s="6" t="s">
        <v>12393</v>
      </c>
      <c r="D1715" s="5" t="s">
        <v>12392</v>
      </c>
      <c r="E1715" s="9" t="str">
        <f>HYPERLINK("https://twitter.com/Soodeh39061147/status/1036660485733658624","1036660485733658624")</f>
        <v>1036660485733658624</v>
      </c>
      <c r="F1715" s="4"/>
      <c r="G1715" s="10" t="s">
        <v>12391</v>
      </c>
      <c r="H1715" s="4"/>
      <c r="I1715" s="10" t="str">
        <f>HYPERLINK("http://twitter.com/download/android","Twitter for Android")</f>
        <v>Twitter for Android</v>
      </c>
      <c r="J1715" s="2">
        <v>6438</v>
      </c>
      <c r="K1715" s="2">
        <v>6026</v>
      </c>
      <c r="L1715" s="2">
        <v>13</v>
      </c>
      <c r="M1715" s="2"/>
      <c r="N1715" s="8">
        <v>42897.744687500002</v>
      </c>
      <c r="O1715" s="4"/>
      <c r="P1715" s="3"/>
      <c r="Q1715" s="4"/>
      <c r="R1715" s="4"/>
      <c r="S1715" s="9" t="str">
        <f>HYPERLINK("https://pbs.twimg.com/profile_images/954100360024657921/EgEXyHvk.jpg","View")</f>
        <v>View</v>
      </c>
    </row>
    <row r="1716" spans="1:19" ht="30">
      <c r="A1716" s="8">
        <v>43346.896793981483</v>
      </c>
      <c r="B1716" s="11" t="str">
        <f>HYPERLINK("https://twitter.com/ramin87mousavi","@ramin87mousavi")</f>
        <v>@ramin87mousavi</v>
      </c>
      <c r="C1716" s="6" t="s">
        <v>12390</v>
      </c>
      <c r="D1716" s="5" t="s">
        <v>12389</v>
      </c>
      <c r="E1716" s="9" t="str">
        <f>HYPERLINK("https://twitter.com/ramin87mousavi/status/1036660439168507904","1036660439168507904")</f>
        <v>1036660439168507904</v>
      </c>
      <c r="F1716" s="4"/>
      <c r="G1716" s="4"/>
      <c r="H1716" s="4"/>
      <c r="I1716" s="10" t="str">
        <f>HYPERLINK("http://twitter.com/download/iphone","Twitter for iPhone")</f>
        <v>Twitter for iPhone</v>
      </c>
      <c r="J1716" s="2">
        <v>156</v>
      </c>
      <c r="K1716" s="2">
        <v>38</v>
      </c>
      <c r="L1716" s="2">
        <v>0</v>
      </c>
      <c r="M1716" s="2"/>
      <c r="N1716" s="8">
        <v>41037.658692129626</v>
      </c>
      <c r="O1716" s="4" t="s">
        <v>133</v>
      </c>
      <c r="P1716" s="3"/>
      <c r="Q1716" s="4"/>
      <c r="R1716" s="4"/>
      <c r="S1716" s="9" t="str">
        <f>HYPERLINK("https://pbs.twimg.com/profile_images/1036661408753242112/PokRj6gV.jpg","View")</f>
        <v>View</v>
      </c>
    </row>
    <row r="1717" spans="1:19" ht="30">
      <c r="A1717" s="8">
        <v>43346.89576388889</v>
      </c>
      <c r="B1717" s="11" t="str">
        <f>HYPERLINK("https://twitter.com/StAlireza","@StAlireza")</f>
        <v>@StAlireza</v>
      </c>
      <c r="C1717" s="6" t="s">
        <v>12388</v>
      </c>
      <c r="D1717" s="5" t="s">
        <v>12387</v>
      </c>
      <c r="E1717" s="9" t="str">
        <f>HYPERLINK("https://twitter.com/StAlireza/status/1036660063988068353","1036660063988068353")</f>
        <v>1036660063988068353</v>
      </c>
      <c r="F1717" s="10" t="s">
        <v>12386</v>
      </c>
      <c r="G1717" s="4"/>
      <c r="H1717" s="4"/>
      <c r="I1717" s="10" t="str">
        <f>HYPERLINK("http://twitter.com/download/iphone","Twitter for iPhone")</f>
        <v>Twitter for iPhone</v>
      </c>
      <c r="J1717" s="2">
        <v>307</v>
      </c>
      <c r="K1717" s="2">
        <v>399</v>
      </c>
      <c r="L1717" s="2">
        <v>2</v>
      </c>
      <c r="M1717" s="2"/>
      <c r="N1717" s="8">
        <v>41977.048206018517</v>
      </c>
      <c r="O1717" s="4" t="s">
        <v>12385</v>
      </c>
      <c r="P1717" s="3"/>
      <c r="Q1717" s="4"/>
      <c r="R1717" s="4"/>
      <c r="S1717" s="9" t="str">
        <f>HYPERLINK("https://pbs.twimg.com/profile_images/1012281461637091328/BptJRxzO.jpg","View")</f>
        <v>View</v>
      </c>
    </row>
    <row r="1718" spans="1:19" ht="50">
      <c r="A1718" s="8">
        <v>43346.88826388889</v>
      </c>
      <c r="B1718" s="11" t="str">
        <f>HYPERLINK("https://twitter.com/RafatiSiavash","@RafatiSiavash")</f>
        <v>@RafatiSiavash</v>
      </c>
      <c r="C1718" s="6" t="s">
        <v>3226</v>
      </c>
      <c r="D1718" s="5" t="s">
        <v>12384</v>
      </c>
      <c r="E1718" s="9" t="str">
        <f>HYPERLINK("https://twitter.com/RafatiSiavash/status/1036657349505830912","1036657349505830912")</f>
        <v>1036657349505830912</v>
      </c>
      <c r="F1718" s="4" t="s">
        <v>12383</v>
      </c>
      <c r="G1718" s="10" t="s">
        <v>12382</v>
      </c>
      <c r="H1718" s="4"/>
      <c r="I1718" s="10" t="str">
        <f>HYPERLINK("http://twitter.com","Twitter Web Client")</f>
        <v>Twitter Web Client</v>
      </c>
      <c r="J1718" s="2">
        <v>288</v>
      </c>
      <c r="K1718" s="2">
        <v>230</v>
      </c>
      <c r="L1718" s="2">
        <v>87</v>
      </c>
      <c r="M1718" s="2"/>
      <c r="N1718" s="8">
        <v>41050.769884259258</v>
      </c>
      <c r="O1718" s="4"/>
      <c r="P1718" s="3" t="s">
        <v>3223</v>
      </c>
      <c r="Q1718" s="10" t="s">
        <v>3222</v>
      </c>
      <c r="R1718" s="4"/>
      <c r="S1718" s="9" t="str">
        <f>HYPERLINK("https://pbs.twimg.com/profile_images/821385868690751488/Qqe0I1Bk.jpg","View")</f>
        <v>View</v>
      </c>
    </row>
    <row r="1719" spans="1:19" ht="30">
      <c r="A1719" s="8">
        <v>43346.888009259259</v>
      </c>
      <c r="B1719" s="11" t="str">
        <f>HYPERLINK("https://twitter.com/MahdiAlanchari","@MahdiAlanchari")</f>
        <v>@MahdiAlanchari</v>
      </c>
      <c r="C1719" s="6" t="s">
        <v>12381</v>
      </c>
      <c r="D1719" s="5" t="s">
        <v>12380</v>
      </c>
      <c r="E1719" s="9" t="str">
        <f>HYPERLINK("https://twitter.com/MahdiAlanchari/status/1036657256572628992","1036657256572628992")</f>
        <v>1036657256572628992</v>
      </c>
      <c r="F1719" s="4"/>
      <c r="G1719" s="4"/>
      <c r="H1719" s="4"/>
      <c r="I1719" s="10" t="str">
        <f>HYPERLINK("http://twitter.com/download/iphone","Twitter for iPhone")</f>
        <v>Twitter for iPhone</v>
      </c>
      <c r="J1719" s="2">
        <v>522</v>
      </c>
      <c r="K1719" s="2">
        <v>300</v>
      </c>
      <c r="L1719" s="2">
        <v>4</v>
      </c>
      <c r="M1719" s="2"/>
      <c r="N1719" s="8">
        <v>42467.537650462968</v>
      </c>
      <c r="O1719" s="4" t="s">
        <v>12379</v>
      </c>
      <c r="P1719" s="3" t="s">
        <v>12378</v>
      </c>
      <c r="Q1719" s="4"/>
      <c r="R1719" s="4"/>
      <c r="S1719" s="9" t="str">
        <f>HYPERLINK("https://pbs.twimg.com/profile_images/1030882524891938818/3NsoSOFC.jpg","View")</f>
        <v>View</v>
      </c>
    </row>
    <row r="1720" spans="1:19" ht="30">
      <c r="A1720" s="8">
        <v>43346.885231481487</v>
      </c>
      <c r="B1720" s="11" t="str">
        <f>HYPERLINK("https://twitter.com/r_ghasemzadeh","@r_ghasemzadeh")</f>
        <v>@r_ghasemzadeh</v>
      </c>
      <c r="C1720" s="6" t="s">
        <v>12377</v>
      </c>
      <c r="D1720" s="5" t="s">
        <v>12376</v>
      </c>
      <c r="E1720" s="9" t="str">
        <f>HYPERLINK("https://twitter.com/r_ghasemzadeh/status/1036656249469841409","1036656249469841409")</f>
        <v>1036656249469841409</v>
      </c>
      <c r="F1720" s="4"/>
      <c r="G1720" s="4"/>
      <c r="H1720" s="4"/>
      <c r="I1720" s="10" t="str">
        <f>HYPERLINK("http://twitter.com/download/android","Twitter for Android")</f>
        <v>Twitter for Android</v>
      </c>
      <c r="J1720" s="2">
        <v>32</v>
      </c>
      <c r="K1720" s="2">
        <v>139</v>
      </c>
      <c r="L1720" s="2">
        <v>0</v>
      </c>
      <c r="M1720" s="2"/>
      <c r="N1720" s="8">
        <v>43343.732303240744</v>
      </c>
      <c r="O1720" s="4"/>
      <c r="P1720" s="3" t="s">
        <v>12375</v>
      </c>
      <c r="Q1720" s="4"/>
      <c r="R1720" s="4"/>
      <c r="S1720" s="9" t="str">
        <f>HYPERLINK("https://pbs.twimg.com/profile_images/1035760123094941697/mRgxaCs1.jpg","View")</f>
        <v>View</v>
      </c>
    </row>
    <row r="1721" spans="1:19" ht="40">
      <c r="A1721" s="8">
        <v>43346.884328703702</v>
      </c>
      <c r="B1721" s="11" t="str">
        <f>HYPERLINK("https://twitter.com/jahaneghtesad","@jahaneghtesad")</f>
        <v>@jahaneghtesad</v>
      </c>
      <c r="C1721" s="6" t="s">
        <v>3825</v>
      </c>
      <c r="D1721" s="5" t="s">
        <v>12374</v>
      </c>
      <c r="E1721" s="9" t="str">
        <f>HYPERLINK("https://twitter.com/jahaneghtesad/status/1036655922590957569","1036655922590957569")</f>
        <v>1036655922590957569</v>
      </c>
      <c r="F1721" s="10" t="s">
        <v>12373</v>
      </c>
      <c r="G1721" s="4"/>
      <c r="H1721" s="4"/>
      <c r="I1721" s="10" t="str">
        <f>HYPERLINK("http://www.facebook.com/twitter","Facebook")</f>
        <v>Facebook</v>
      </c>
      <c r="J1721" s="2">
        <v>4869</v>
      </c>
      <c r="K1721" s="2">
        <v>787</v>
      </c>
      <c r="L1721" s="2">
        <v>28</v>
      </c>
      <c r="M1721" s="2"/>
      <c r="N1721" s="8">
        <v>41545.644293981481</v>
      </c>
      <c r="O1721" s="4" t="s">
        <v>3822</v>
      </c>
      <c r="P1721" s="3" t="s">
        <v>3821</v>
      </c>
      <c r="Q1721" s="10" t="s">
        <v>3820</v>
      </c>
      <c r="R1721" s="4"/>
      <c r="S1721" s="9" t="str">
        <f>HYPERLINK("https://pbs.twimg.com/profile_images/811481297583570944/o_qyc9Hu.jpg","View")</f>
        <v>View</v>
      </c>
    </row>
    <row r="1722" spans="1:19" ht="30">
      <c r="A1722" s="8">
        <v>43346.882986111115</v>
      </c>
      <c r="B1722" s="11" t="str">
        <f>HYPERLINK("https://twitter.com/shib90daraje","@shib90daraje")</f>
        <v>@shib90daraje</v>
      </c>
      <c r="C1722" s="6" t="s">
        <v>12372</v>
      </c>
      <c r="D1722" s="5" t="s">
        <v>12371</v>
      </c>
      <c r="E1722" s="9" t="str">
        <f>HYPERLINK("https://twitter.com/shib90daraje/status/1036655436836077569","1036655436836077569")</f>
        <v>1036655436836077569</v>
      </c>
      <c r="F1722" s="4"/>
      <c r="G1722" s="4"/>
      <c r="H1722" s="4"/>
      <c r="I1722" s="10" t="str">
        <f>HYPERLINK("http://twitter.com/download/android","Twitter for Android")</f>
        <v>Twitter for Android</v>
      </c>
      <c r="J1722" s="2">
        <v>93</v>
      </c>
      <c r="K1722" s="2">
        <v>219</v>
      </c>
      <c r="L1722" s="2">
        <v>0</v>
      </c>
      <c r="M1722" s="2"/>
      <c r="N1722" s="8">
        <v>43318.939155092594</v>
      </c>
      <c r="O1722" s="4"/>
      <c r="P1722" s="3" t="s">
        <v>12370</v>
      </c>
      <c r="Q1722" s="4"/>
      <c r="R1722" s="4"/>
      <c r="S1722" s="9" t="str">
        <f>HYPERLINK("https://pbs.twimg.com/profile_images/1034299468320002048/k3DzLJj3.jpg","View")</f>
        <v>View</v>
      </c>
    </row>
    <row r="1723" spans="1:19" ht="40">
      <c r="A1723" s="8">
        <v>43346.882696759261</v>
      </c>
      <c r="B1723" s="11" t="str">
        <f>HYPERLINK("https://twitter.com/mrsarshar","@mrsarshar")</f>
        <v>@mrsarshar</v>
      </c>
      <c r="C1723" s="6" t="s">
        <v>11454</v>
      </c>
      <c r="D1723" s="5" t="s">
        <v>12369</v>
      </c>
      <c r="E1723" s="9" t="str">
        <f>HYPERLINK("https://twitter.com/mrsarshar/status/1036655328430120961","1036655328430120961")</f>
        <v>1036655328430120961</v>
      </c>
      <c r="F1723" s="4"/>
      <c r="G1723" s="4"/>
      <c r="H1723" s="4"/>
      <c r="I1723" s="10" t="str">
        <f>HYPERLINK("http://twitter.com/download/android","Twitter for Android")</f>
        <v>Twitter for Android</v>
      </c>
      <c r="J1723" s="2">
        <v>2212</v>
      </c>
      <c r="K1723" s="2">
        <v>15</v>
      </c>
      <c r="L1723" s="2">
        <v>17</v>
      </c>
      <c r="M1723" s="2"/>
      <c r="N1723" s="8">
        <v>42956.492384259254</v>
      </c>
      <c r="O1723" s="4" t="s">
        <v>17</v>
      </c>
      <c r="P1723" s="3" t="s">
        <v>11452</v>
      </c>
      <c r="Q1723" s="10" t="s">
        <v>11451</v>
      </c>
      <c r="R1723" s="4"/>
      <c r="S1723" s="9" t="str">
        <f>HYPERLINK("https://pbs.twimg.com/profile_images/902143079360200705/rJU5O4CZ.jpg","View")</f>
        <v>View</v>
      </c>
    </row>
    <row r="1724" spans="1:19" ht="30">
      <c r="A1724" s="8">
        <v>43346.88208333333</v>
      </c>
      <c r="B1724" s="11" t="str">
        <f>HYPERLINK("https://twitter.com/m4xRdlO5P3lGHMd","@m4xRdlO5P3lGHMd")</f>
        <v>@m4xRdlO5P3lGHMd</v>
      </c>
      <c r="C1724" s="6" t="s">
        <v>7764</v>
      </c>
      <c r="D1724" s="5" t="s">
        <v>12368</v>
      </c>
      <c r="E1724" s="9" t="str">
        <f>HYPERLINK("https://twitter.com/m4xRdlO5P3lGHMd/status/1036655108120109057","1036655108120109057")</f>
        <v>1036655108120109057</v>
      </c>
      <c r="F1724" s="4"/>
      <c r="G1724" s="4"/>
      <c r="H1724" s="4"/>
      <c r="I1724" s="10" t="str">
        <f>HYPERLINK("http://twitter.com/download/android","Twitter for Android")</f>
        <v>Twitter for Android</v>
      </c>
      <c r="J1724" s="2">
        <v>12</v>
      </c>
      <c r="K1724" s="2">
        <v>35</v>
      </c>
      <c r="L1724" s="2">
        <v>0</v>
      </c>
      <c r="M1724" s="2"/>
      <c r="N1724" s="8">
        <v>43003.582245370373</v>
      </c>
      <c r="O1724" s="4"/>
      <c r="P1724" s="3" t="s">
        <v>7762</v>
      </c>
      <c r="Q1724" s="4"/>
      <c r="R1724" s="4"/>
      <c r="S1724" s="9" t="str">
        <f>HYPERLINK("https://pbs.twimg.com/profile_images/953384392516358144/bP8nzLyq.jpg","View")</f>
        <v>View</v>
      </c>
    </row>
    <row r="1725" spans="1:19" ht="40">
      <c r="A1725" s="8">
        <v>43346.88076388889</v>
      </c>
      <c r="B1725" s="11" t="str">
        <f>HYPERLINK("https://twitter.com/miladalavii","@miladalavii")</f>
        <v>@miladalavii</v>
      </c>
      <c r="C1725" s="6" t="s">
        <v>12178</v>
      </c>
      <c r="D1725" s="5" t="s">
        <v>12367</v>
      </c>
      <c r="E1725" s="9" t="str">
        <f>HYPERLINK("https://twitter.com/miladalavii/status/1036654631676456960","1036654631676456960")</f>
        <v>1036654631676456960</v>
      </c>
      <c r="F1725" s="4"/>
      <c r="G1725" s="4"/>
      <c r="H1725" s="4"/>
      <c r="I1725" s="10" t="str">
        <f>HYPERLINK("http://twitter.com/download/android","Twitter for Android")</f>
        <v>Twitter for Android</v>
      </c>
      <c r="J1725" s="2">
        <v>2903</v>
      </c>
      <c r="K1725" s="2">
        <v>992</v>
      </c>
      <c r="L1725" s="2">
        <v>32</v>
      </c>
      <c r="M1725" s="2"/>
      <c r="N1725" s="8">
        <v>41236.042881944442</v>
      </c>
      <c r="O1725" s="4" t="s">
        <v>12176</v>
      </c>
      <c r="P1725" s="3" t="s">
        <v>12175</v>
      </c>
      <c r="Q1725" s="10" t="s">
        <v>12174</v>
      </c>
      <c r="R1725" s="4"/>
      <c r="S1725" s="9" t="str">
        <f>HYPERLINK("https://pbs.twimg.com/profile_images/1000047460151066626/eia1AxcP.jpg","View")</f>
        <v>View</v>
      </c>
    </row>
    <row r="1726" spans="1:19" ht="40">
      <c r="A1726" s="8">
        <v>43346.880439814813</v>
      </c>
      <c r="B1726" s="11" t="str">
        <f>HYPERLINK("https://twitter.com/vahiiiiiiiiid","@vahiiiiiiiiid")</f>
        <v>@vahiiiiiiiiid</v>
      </c>
      <c r="C1726" s="6" t="s">
        <v>488</v>
      </c>
      <c r="D1726" s="5" t="s">
        <v>12366</v>
      </c>
      <c r="E1726" s="9" t="str">
        <f>HYPERLINK("https://twitter.com/vahiiiiiiiiid/status/1036654512319213570","1036654512319213570")</f>
        <v>1036654512319213570</v>
      </c>
      <c r="F1726" s="4"/>
      <c r="G1726" s="4"/>
      <c r="H1726" s="4"/>
      <c r="I1726" s="10" t="str">
        <f>HYPERLINK("http://twitter.com/download/iphone","Twitter for iPhone")</f>
        <v>Twitter for iPhone</v>
      </c>
      <c r="J1726" s="2">
        <v>207</v>
      </c>
      <c r="K1726" s="2">
        <v>401</v>
      </c>
      <c r="L1726" s="2">
        <v>0</v>
      </c>
      <c r="M1726" s="2"/>
      <c r="N1726" s="8">
        <v>43104.862615740742</v>
      </c>
      <c r="O1726" s="4" t="s">
        <v>486</v>
      </c>
      <c r="P1726" s="3" t="s">
        <v>485</v>
      </c>
      <c r="Q1726" s="4"/>
      <c r="R1726" s="4"/>
      <c r="S1726" s="9" t="str">
        <f>HYPERLINK("https://pbs.twimg.com/profile_images/982648432627257346/NRiO0HKk.jpg","View")</f>
        <v>View</v>
      </c>
    </row>
    <row r="1727" spans="1:19" ht="40">
      <c r="A1727" s="8">
        <v>43346.877812499995</v>
      </c>
      <c r="B1727" s="11" t="str">
        <f>HYPERLINK("https://twitter.com/vahiiiiiiiiid","@vahiiiiiiiiid")</f>
        <v>@vahiiiiiiiiid</v>
      </c>
      <c r="C1727" s="6" t="s">
        <v>488</v>
      </c>
      <c r="D1727" s="5" t="s">
        <v>12365</v>
      </c>
      <c r="E1727" s="9" t="str">
        <f>HYPERLINK("https://twitter.com/vahiiiiiiiiid/status/1036653558538620928","1036653558538620928")</f>
        <v>1036653558538620928</v>
      </c>
      <c r="F1727" s="4"/>
      <c r="G1727" s="4"/>
      <c r="H1727" s="4"/>
      <c r="I1727" s="10" t="str">
        <f>HYPERLINK("http://twitter.com/download/iphone","Twitter for iPhone")</f>
        <v>Twitter for iPhone</v>
      </c>
      <c r="J1727" s="2">
        <v>207</v>
      </c>
      <c r="K1727" s="2">
        <v>401</v>
      </c>
      <c r="L1727" s="2">
        <v>0</v>
      </c>
      <c r="M1727" s="2"/>
      <c r="N1727" s="8">
        <v>43104.862615740742</v>
      </c>
      <c r="O1727" s="4" t="s">
        <v>486</v>
      </c>
      <c r="P1727" s="3" t="s">
        <v>485</v>
      </c>
      <c r="Q1727" s="4"/>
      <c r="R1727" s="4"/>
      <c r="S1727" s="9" t="str">
        <f>HYPERLINK("https://pbs.twimg.com/profile_images/982648432627257346/NRiO0HKk.jpg","View")</f>
        <v>View</v>
      </c>
    </row>
    <row r="1728" spans="1:19" ht="80">
      <c r="A1728" s="8">
        <v>43346.877500000002</v>
      </c>
      <c r="B1728" s="11" t="str">
        <f>HYPERLINK("https://twitter.com/Ashkanf96","@Ashkanf96")</f>
        <v>@Ashkanf96</v>
      </c>
      <c r="C1728" s="6" t="s">
        <v>12364</v>
      </c>
      <c r="D1728" s="5" t="s">
        <v>12363</v>
      </c>
      <c r="E1728" s="9" t="str">
        <f>HYPERLINK("https://twitter.com/Ashkanf96/status/1036653446882054146","1036653446882054146")</f>
        <v>1036653446882054146</v>
      </c>
      <c r="F1728" s="10" t="s">
        <v>12362</v>
      </c>
      <c r="G1728" s="10" t="s">
        <v>12361</v>
      </c>
      <c r="H1728" s="4"/>
      <c r="I1728" s="10" t="str">
        <f>HYPERLINK("http://twitter.com/download/android","Twitter for Android")</f>
        <v>Twitter for Android</v>
      </c>
      <c r="J1728" s="2">
        <v>137</v>
      </c>
      <c r="K1728" s="2">
        <v>139</v>
      </c>
      <c r="L1728" s="2">
        <v>0</v>
      </c>
      <c r="M1728" s="2"/>
      <c r="N1728" s="8">
        <v>42727.570162037038</v>
      </c>
      <c r="O1728" s="4" t="s">
        <v>12360</v>
      </c>
      <c r="P1728" s="3" t="s">
        <v>12359</v>
      </c>
      <c r="Q1728" s="4"/>
      <c r="R1728" s="4"/>
      <c r="S1728" s="9" t="str">
        <f>HYPERLINK("https://pbs.twimg.com/profile_images/1005435247142625280/lsRPkYD7.jpg","View")</f>
        <v>View</v>
      </c>
    </row>
    <row r="1729" spans="1:19" ht="50">
      <c r="A1729" s="8">
        <v>43346.876226851848</v>
      </c>
      <c r="B1729" s="11" t="str">
        <f>HYPERLINK("https://twitter.com/myfardamy","@myfardamy")</f>
        <v>@myfardamy</v>
      </c>
      <c r="C1729" s="6" t="s">
        <v>8923</v>
      </c>
      <c r="D1729" s="5" t="s">
        <v>12358</v>
      </c>
      <c r="E1729" s="9" t="str">
        <f>HYPERLINK("https://twitter.com/myfardamy/status/1036652984493662208","1036652984493662208")</f>
        <v>1036652984493662208</v>
      </c>
      <c r="F1729" s="4"/>
      <c r="G1729" s="4"/>
      <c r="H1729" s="4"/>
      <c r="I1729" s="10" t="str">
        <f>HYPERLINK("http://twitter.com/download/android","Twitter for Android")</f>
        <v>Twitter for Android</v>
      </c>
      <c r="J1729" s="2">
        <v>11</v>
      </c>
      <c r="K1729" s="2">
        <v>53</v>
      </c>
      <c r="L1729" s="2">
        <v>0</v>
      </c>
      <c r="M1729" s="2"/>
      <c r="N1729" s="8">
        <v>43343.319548611107</v>
      </c>
      <c r="O1729" s="4" t="s">
        <v>17</v>
      </c>
      <c r="P1729" s="3" t="s">
        <v>8921</v>
      </c>
      <c r="Q1729" s="4"/>
      <c r="R1729" s="4"/>
      <c r="S1729" s="9" t="str">
        <f>HYPERLINK("https://pbs.twimg.com/profile_images/1035916717808074752/b6qtXRZr.jpg","View")</f>
        <v>View</v>
      </c>
    </row>
    <row r="1730" spans="1:19" ht="20">
      <c r="A1730" s="8">
        <v>43346.870787037042</v>
      </c>
      <c r="B1730" s="11" t="str">
        <f>HYPERLINK("https://twitter.com/ata_afs","@ata_afs")</f>
        <v>@ata_afs</v>
      </c>
      <c r="C1730" s="6" t="s">
        <v>1217</v>
      </c>
      <c r="D1730" s="5" t="s">
        <v>12357</v>
      </c>
      <c r="E1730" s="9" t="str">
        <f>HYPERLINK("https://twitter.com/ata_afs/status/1036651014730932224","1036651014730932224")</f>
        <v>1036651014730932224</v>
      </c>
      <c r="F1730" s="4"/>
      <c r="G1730" s="4"/>
      <c r="H1730" s="4"/>
      <c r="I1730" s="10" t="str">
        <f>HYPERLINK("http://twitter.com/download/iphone","Twitter for iPhone")</f>
        <v>Twitter for iPhone</v>
      </c>
      <c r="J1730" s="2">
        <v>380</v>
      </c>
      <c r="K1730" s="2">
        <v>695</v>
      </c>
      <c r="L1730" s="2">
        <v>0</v>
      </c>
      <c r="M1730" s="2"/>
      <c r="N1730" s="8">
        <v>41833.536099537036</v>
      </c>
      <c r="O1730" s="4" t="s">
        <v>34</v>
      </c>
      <c r="P1730" s="3" t="s">
        <v>1213</v>
      </c>
      <c r="Q1730" s="4"/>
      <c r="R1730" s="4"/>
      <c r="S1730" s="9" t="str">
        <f>HYPERLINK("https://pbs.twimg.com/profile_images/958374868008960000/IRXSv5-C.jpg","View")</f>
        <v>View</v>
      </c>
    </row>
    <row r="1731" spans="1:19" ht="30">
      <c r="A1731" s="8">
        <v>43346.870555555557</v>
      </c>
      <c r="B1731" s="11" t="str">
        <f>HYPERLINK("https://twitter.com/jahaneghtesad","@jahaneghtesad")</f>
        <v>@jahaneghtesad</v>
      </c>
      <c r="C1731" s="6" t="s">
        <v>3825</v>
      </c>
      <c r="D1731" s="5" t="s">
        <v>12356</v>
      </c>
      <c r="E1731" s="9" t="str">
        <f>HYPERLINK("https://twitter.com/jahaneghtesad/status/1036650930362564609","1036650930362564609")</f>
        <v>1036650930362564609</v>
      </c>
      <c r="F1731" s="4"/>
      <c r="G1731" s="4"/>
      <c r="H1731" s="4"/>
      <c r="I1731" s="10" t="str">
        <f>HYPERLINK("http://twitter.com/download/iphone","Twitter for iPhone")</f>
        <v>Twitter for iPhone</v>
      </c>
      <c r="J1731" s="2">
        <v>4869</v>
      </c>
      <c r="K1731" s="2">
        <v>787</v>
      </c>
      <c r="L1731" s="2">
        <v>28</v>
      </c>
      <c r="M1731" s="2"/>
      <c r="N1731" s="8">
        <v>41545.644293981481</v>
      </c>
      <c r="O1731" s="4" t="s">
        <v>3822</v>
      </c>
      <c r="P1731" s="3" t="s">
        <v>3821</v>
      </c>
      <c r="Q1731" s="10" t="s">
        <v>3820</v>
      </c>
      <c r="R1731" s="4"/>
      <c r="S1731" s="9" t="str">
        <f>HYPERLINK("https://pbs.twimg.com/profile_images/811481297583570944/o_qyc9Hu.jpg","View")</f>
        <v>View</v>
      </c>
    </row>
    <row r="1732" spans="1:19" ht="40">
      <c r="A1732" s="8">
        <v>43346.870243055557</v>
      </c>
      <c r="B1732" s="11" t="str">
        <f>HYPERLINK("https://twitter.com/_Amirarsalan_","@_Amirarsalan_")</f>
        <v>@_Amirarsalan_</v>
      </c>
      <c r="C1732" s="6" t="s">
        <v>5485</v>
      </c>
      <c r="D1732" s="12" t="s">
        <v>12355</v>
      </c>
      <c r="E1732" s="9" t="str">
        <f>HYPERLINK("https://twitter.com/_Amirarsalan_/status/1036650818680827907","1036650818680827907")</f>
        <v>1036650818680827907</v>
      </c>
      <c r="F1732" s="4"/>
      <c r="G1732" s="10" t="s">
        <v>12354</v>
      </c>
      <c r="H1732" s="4"/>
      <c r="I1732" s="10" t="str">
        <f>HYPERLINK("http://twitter.com/download/android","Twitter for Android")</f>
        <v>Twitter for Android</v>
      </c>
      <c r="J1732" s="2">
        <v>316</v>
      </c>
      <c r="K1732" s="2">
        <v>97</v>
      </c>
      <c r="L1732" s="2">
        <v>0</v>
      </c>
      <c r="M1732" s="2"/>
      <c r="N1732" s="8">
        <v>43173.637569444443</v>
      </c>
      <c r="O1732" s="4" t="s">
        <v>5483</v>
      </c>
      <c r="P1732" s="3" t="s">
        <v>5482</v>
      </c>
      <c r="Q1732" s="4"/>
      <c r="R1732" s="4"/>
      <c r="S1732" s="9" t="str">
        <f>HYPERLINK("https://pbs.twimg.com/profile_images/973893248136642561/hWHwLBrJ.jpg","View")</f>
        <v>View</v>
      </c>
    </row>
    <row r="1733" spans="1:19" ht="20">
      <c r="A1733" s="8">
        <v>43346.869976851856</v>
      </c>
      <c r="B1733" s="11" t="str">
        <f>HYPERLINK("https://twitter.com/vetpars","@vetpars")</f>
        <v>@vetpars</v>
      </c>
      <c r="C1733" s="6" t="s">
        <v>12353</v>
      </c>
      <c r="D1733" s="5" t="s">
        <v>12352</v>
      </c>
      <c r="E1733" s="9" t="str">
        <f>HYPERLINK("https://twitter.com/vetpars/status/1036650720513204226","1036650720513204226")</f>
        <v>1036650720513204226</v>
      </c>
      <c r="F1733" s="10" t="s">
        <v>12351</v>
      </c>
      <c r="G1733" s="4"/>
      <c r="H1733" s="4"/>
      <c r="I1733" s="10" t="str">
        <f>HYPERLINK("http://twitter.com","Twitter Web Client")</f>
        <v>Twitter Web Client</v>
      </c>
      <c r="J1733" s="2">
        <v>522</v>
      </c>
      <c r="K1733" s="2">
        <v>1910</v>
      </c>
      <c r="L1733" s="2">
        <v>4</v>
      </c>
      <c r="M1733" s="2"/>
      <c r="N1733" s="8">
        <v>41201.526944444442</v>
      </c>
      <c r="O1733" s="4"/>
      <c r="P1733" s="3" t="s">
        <v>12350</v>
      </c>
      <c r="Q1733" s="10" t="s">
        <v>12349</v>
      </c>
      <c r="R1733" s="4"/>
      <c r="S1733" s="9" t="str">
        <f>HYPERLINK("https://pbs.twimg.com/profile_images/2736314013/9c0229b53706518d21c4469707b528c9.png","View")</f>
        <v>View</v>
      </c>
    </row>
    <row r="1734" spans="1:19" ht="40">
      <c r="A1734" s="8">
        <v>43346.868842592594</v>
      </c>
      <c r="B1734" s="11" t="str">
        <f>HYPERLINK("https://twitter.com/ata_afs","@ata_afs")</f>
        <v>@ata_afs</v>
      </c>
      <c r="C1734" s="6" t="s">
        <v>1217</v>
      </c>
      <c r="D1734" s="5" t="s">
        <v>12348</v>
      </c>
      <c r="E1734" s="9" t="str">
        <f>HYPERLINK("https://twitter.com/ata_afs/status/1036650309219639296","1036650309219639296")</f>
        <v>1036650309219639296</v>
      </c>
      <c r="F1734" s="4"/>
      <c r="G1734" s="4"/>
      <c r="H1734" s="4"/>
      <c r="I1734" s="10" t="str">
        <f>HYPERLINK("http://twitter.com/download/iphone","Twitter for iPhone")</f>
        <v>Twitter for iPhone</v>
      </c>
      <c r="J1734" s="2">
        <v>380</v>
      </c>
      <c r="K1734" s="2">
        <v>695</v>
      </c>
      <c r="L1734" s="2">
        <v>0</v>
      </c>
      <c r="M1734" s="2"/>
      <c r="N1734" s="8">
        <v>41833.536099537036</v>
      </c>
      <c r="O1734" s="4" t="s">
        <v>34</v>
      </c>
      <c r="P1734" s="3" t="s">
        <v>1213</v>
      </c>
      <c r="Q1734" s="4"/>
      <c r="R1734" s="4"/>
      <c r="S1734" s="9" t="str">
        <f>HYPERLINK("https://pbs.twimg.com/profile_images/958374868008960000/IRXSv5-C.jpg","View")</f>
        <v>View</v>
      </c>
    </row>
    <row r="1735" spans="1:19" ht="12.5">
      <c r="A1735" s="8">
        <v>43346.868090277778</v>
      </c>
      <c r="B1735" s="11" t="str">
        <f>HYPERLINK("https://twitter.com/RoozPortal","@RoozPortal")</f>
        <v>@RoozPortal</v>
      </c>
      <c r="C1735" s="6" t="s">
        <v>103</v>
      </c>
      <c r="D1735" s="5" t="s">
        <v>12347</v>
      </c>
      <c r="E1735" s="9" t="str">
        <f>HYPERLINK("https://twitter.com/RoozPortal/status/1036650038649413632","1036650038649413632")</f>
        <v>1036650038649413632</v>
      </c>
      <c r="F1735" s="10" t="s">
        <v>12346</v>
      </c>
      <c r="G1735" s="4"/>
      <c r="H1735" s="4"/>
      <c r="I1735" s="10" t="str">
        <f>HYPERLINK("http://twitter.com","Twitter Web Client")</f>
        <v>Twitter Web Client</v>
      </c>
      <c r="J1735" s="2">
        <v>711</v>
      </c>
      <c r="K1735" s="2">
        <v>66</v>
      </c>
      <c r="L1735" s="2">
        <v>0</v>
      </c>
      <c r="M1735" s="2"/>
      <c r="N1735" s="8">
        <v>42955.651608796295</v>
      </c>
      <c r="O1735" s="4"/>
      <c r="P1735" s="3" t="s">
        <v>100</v>
      </c>
      <c r="Q1735" s="10" t="s">
        <v>99</v>
      </c>
      <c r="R1735" s="4"/>
      <c r="S1735" s="9" t="str">
        <f>HYPERLINK("https://pbs.twimg.com/profile_images/894879327573114884/JSAl1mw-.jpg","View")</f>
        <v>View</v>
      </c>
    </row>
    <row r="1736" spans="1:19" ht="30">
      <c r="A1736" s="8">
        <v>43346.865960648152</v>
      </c>
      <c r="B1736" s="11" t="str">
        <f>HYPERLINK("https://twitter.com/Ava_mzz","@Ava_mzz")</f>
        <v>@Ava_mzz</v>
      </c>
      <c r="C1736" s="6" t="s">
        <v>12345</v>
      </c>
      <c r="D1736" s="5" t="s">
        <v>12344</v>
      </c>
      <c r="E1736" s="9" t="str">
        <f>HYPERLINK("https://twitter.com/Ava_mzz/status/1036649265148219392","1036649265148219392")</f>
        <v>1036649265148219392</v>
      </c>
      <c r="F1736" s="4"/>
      <c r="G1736" s="4"/>
      <c r="H1736" s="4"/>
      <c r="I1736" s="10" t="str">
        <f>HYPERLINK("https://mobile.twitter.com","Twitter Lite")</f>
        <v>Twitter Lite</v>
      </c>
      <c r="J1736" s="2">
        <v>1535</v>
      </c>
      <c r="K1736" s="2">
        <v>805</v>
      </c>
      <c r="L1736" s="2">
        <v>1</v>
      </c>
      <c r="M1736" s="2"/>
      <c r="N1736" s="8">
        <v>42930.631736111114</v>
      </c>
      <c r="O1736" s="4" t="s">
        <v>12343</v>
      </c>
      <c r="P1736" s="3" t="s">
        <v>12342</v>
      </c>
      <c r="Q1736" s="4"/>
      <c r="R1736" s="4"/>
      <c r="S1736" s="9" t="str">
        <f>HYPERLINK("https://pbs.twimg.com/profile_images/1022530243763097600/_JWjz0Kj.jpg","View")</f>
        <v>View</v>
      </c>
    </row>
    <row r="1737" spans="1:19" ht="12.5">
      <c r="A1737" s="8">
        <v>43346.865937499999</v>
      </c>
      <c r="B1737" s="11" t="str">
        <f>HYPERLINK("https://twitter.com/Beyraqam","@Beyraqam")</f>
        <v>@Beyraqam</v>
      </c>
      <c r="C1737" s="6" t="s">
        <v>2703</v>
      </c>
      <c r="D1737" s="5" t="s">
        <v>12341</v>
      </c>
      <c r="E1737" s="9" t="str">
        <f>HYPERLINK("https://twitter.com/Beyraqam/status/1036649256893997056","1036649256893997056")</f>
        <v>1036649256893997056</v>
      </c>
      <c r="F1737" s="4"/>
      <c r="G1737" s="4"/>
      <c r="H1737" s="4"/>
      <c r="I1737" s="10" t="str">
        <f>HYPERLINK("http://twitter.com/download/iphone","Twitter for iPhone")</f>
        <v>Twitter for iPhone</v>
      </c>
      <c r="J1737" s="2">
        <v>116</v>
      </c>
      <c r="K1737" s="2">
        <v>47</v>
      </c>
      <c r="L1737" s="2">
        <v>0</v>
      </c>
      <c r="M1737" s="2"/>
      <c r="N1737" s="8">
        <v>42737.223032407404</v>
      </c>
      <c r="O1737" s="4"/>
      <c r="P1737" s="3" t="s">
        <v>2701</v>
      </c>
      <c r="Q1737" s="4"/>
      <c r="R1737" s="4"/>
      <c r="S1737" s="9" t="str">
        <f>HYPERLINK("https://pbs.twimg.com/profile_images/1031268582779437057/vqushrbR.jpg","View")</f>
        <v>View</v>
      </c>
    </row>
    <row r="1738" spans="1:19" ht="70">
      <c r="A1738" s="8">
        <v>43346.865219907406</v>
      </c>
      <c r="B1738" s="11" t="str">
        <f>HYPERLINK("https://twitter.com/a_maghami","@a_maghami")</f>
        <v>@a_maghami</v>
      </c>
      <c r="C1738" s="6" t="s">
        <v>4332</v>
      </c>
      <c r="D1738" s="5" t="s">
        <v>12340</v>
      </c>
      <c r="E1738" s="9" t="str">
        <f>HYPERLINK("https://twitter.com/a_maghami/status/1036648998537375744","1036648998537375744")</f>
        <v>1036648998537375744</v>
      </c>
      <c r="F1738" s="10" t="s">
        <v>12339</v>
      </c>
      <c r="G1738" s="4"/>
      <c r="H1738" s="4"/>
      <c r="I1738" s="10" t="str">
        <f>HYPERLINK("http://twitter.com/download/android","Twitter for Android")</f>
        <v>Twitter for Android</v>
      </c>
      <c r="J1738" s="2">
        <v>138</v>
      </c>
      <c r="K1738" s="2">
        <v>265</v>
      </c>
      <c r="L1738" s="2">
        <v>1</v>
      </c>
      <c r="M1738" s="2"/>
      <c r="N1738" s="8">
        <v>41507.376886574071</v>
      </c>
      <c r="O1738" s="4" t="s">
        <v>324</v>
      </c>
      <c r="P1738" s="3" t="s">
        <v>4328</v>
      </c>
      <c r="Q1738" s="10" t="s">
        <v>4327</v>
      </c>
      <c r="R1738" s="4"/>
      <c r="S1738" s="9" t="str">
        <f>HYPERLINK("https://pbs.twimg.com/profile_images/378800000729051711/bd566e9e4ba7bff75d083188111793dc.jpeg","View")</f>
        <v>View</v>
      </c>
    </row>
    <row r="1739" spans="1:19" ht="12.5">
      <c r="A1739" s="8">
        <v>43346.865081018521</v>
      </c>
      <c r="B1739" s="11" t="str">
        <f>HYPERLINK("https://twitter.com/marmar22420002","@marmar22420002")</f>
        <v>@marmar22420002</v>
      </c>
      <c r="C1739" s="6" t="s">
        <v>12338</v>
      </c>
      <c r="D1739" s="5" t="s">
        <v>12337</v>
      </c>
      <c r="E1739" s="9" t="str">
        <f>HYPERLINK("https://twitter.com/marmar22420002/status/1036648945038983168","1036648945038983168")</f>
        <v>1036648945038983168</v>
      </c>
      <c r="F1739" s="4"/>
      <c r="G1739" s="4"/>
      <c r="H1739" s="4"/>
      <c r="I1739" s="10" t="str">
        <f>HYPERLINK("https://mobile.twitter.com","Twitter Lite")</f>
        <v>Twitter Lite</v>
      </c>
      <c r="J1739" s="2">
        <v>33</v>
      </c>
      <c r="K1739" s="2">
        <v>150</v>
      </c>
      <c r="L1739" s="2">
        <v>0</v>
      </c>
      <c r="M1739" s="2"/>
      <c r="N1739" s="8">
        <v>42906.485081018516</v>
      </c>
      <c r="O1739" s="4"/>
      <c r="P1739" s="3"/>
      <c r="Q1739" s="4"/>
      <c r="R1739" s="4"/>
      <c r="S1739" s="9" t="str">
        <f>HYPERLINK("https://pbs.twimg.com/profile_images/1035841405367865344/nD3szFhK.jpg","View")</f>
        <v>View</v>
      </c>
    </row>
    <row r="1740" spans="1:19" ht="20">
      <c r="A1740" s="8">
        <v>43346.863854166666</v>
      </c>
      <c r="B1740" s="11" t="str">
        <f>HYPERLINK("https://twitter.com/JafarHashemi7","@JafarHashemi7")</f>
        <v>@JafarHashemi7</v>
      </c>
      <c r="C1740" s="6" t="s">
        <v>12336</v>
      </c>
      <c r="D1740" s="5" t="s">
        <v>12335</v>
      </c>
      <c r="E1740" s="9" t="str">
        <f>HYPERLINK("https://twitter.com/JafarHashemi7/status/1036648500048457729","1036648500048457729")</f>
        <v>1036648500048457729</v>
      </c>
      <c r="F1740" s="4"/>
      <c r="G1740" s="4"/>
      <c r="H1740" s="4"/>
      <c r="I1740" s="10" t="str">
        <f>HYPERLINK("http://twitter.com/download/android","Twitter for Android")</f>
        <v>Twitter for Android</v>
      </c>
      <c r="J1740" s="2">
        <v>8</v>
      </c>
      <c r="K1740" s="2">
        <v>41</v>
      </c>
      <c r="L1740" s="2">
        <v>0</v>
      </c>
      <c r="M1740" s="2"/>
      <c r="N1740" s="8">
        <v>43343.683437500003</v>
      </c>
      <c r="O1740" s="4" t="s">
        <v>34</v>
      </c>
      <c r="P1740" s="3" t="s">
        <v>12334</v>
      </c>
      <c r="Q1740" s="4"/>
      <c r="R1740" s="4"/>
      <c r="S1740" s="9" t="str">
        <f>HYPERLINK("https://pbs.twimg.com/profile_images/1035497763558105088/r6d2R_5-.jpg","View")</f>
        <v>View</v>
      </c>
    </row>
    <row r="1741" spans="1:19" ht="30">
      <c r="A1741" s="8">
        <v>43346.863171296296</v>
      </c>
      <c r="B1741" s="11" t="str">
        <f>HYPERLINK("https://twitter.com/fresh_sadegh","@fresh_sadegh")</f>
        <v>@fresh_sadegh</v>
      </c>
      <c r="C1741" s="6" t="s">
        <v>10194</v>
      </c>
      <c r="D1741" s="5" t="s">
        <v>12333</v>
      </c>
      <c r="E1741" s="9" t="str">
        <f>HYPERLINK("https://twitter.com/fresh_sadegh/status/1036648254149193728","1036648254149193728")</f>
        <v>1036648254149193728</v>
      </c>
      <c r="F1741" s="4"/>
      <c r="G1741" s="4"/>
      <c r="H1741" s="4"/>
      <c r="I1741" s="10" t="str">
        <f>HYPERLINK("http://twitter.com","Twitter Web Client")</f>
        <v>Twitter Web Client</v>
      </c>
      <c r="J1741" s="2">
        <v>2927</v>
      </c>
      <c r="K1741" s="2">
        <v>1670</v>
      </c>
      <c r="L1741" s="2">
        <v>98</v>
      </c>
      <c r="M1741" s="2"/>
      <c r="N1741" s="8">
        <v>39914.736203703702</v>
      </c>
      <c r="O1741" s="4" t="s">
        <v>10192</v>
      </c>
      <c r="P1741" s="3" t="s">
        <v>10191</v>
      </c>
      <c r="Q1741" s="4"/>
      <c r="R1741" s="4"/>
      <c r="S1741" s="9" t="str">
        <f>HYPERLINK("https://pbs.twimg.com/profile_images/1013154559676608513/kngl2EPG.jpg","View")</f>
        <v>View</v>
      </c>
    </row>
    <row r="1742" spans="1:19" ht="40">
      <c r="A1742" s="8">
        <v>43346.862187499995</v>
      </c>
      <c r="B1742" s="11" t="str">
        <f>HYPERLINK("https://twitter.com/saman_313_ezad_","@saman_313_ezad_")</f>
        <v>@saman_313_ezad_</v>
      </c>
      <c r="C1742" s="6" t="s">
        <v>11404</v>
      </c>
      <c r="D1742" s="5" t="s">
        <v>12332</v>
      </c>
      <c r="E1742" s="9" t="str">
        <f>HYPERLINK("https://twitter.com/saman_313_ezad_/status/1036647896224083969","1036647896224083969")</f>
        <v>1036647896224083969</v>
      </c>
      <c r="F1742" s="4"/>
      <c r="G1742" s="10" t="s">
        <v>12331</v>
      </c>
      <c r="H1742" s="4"/>
      <c r="I1742" s="10" t="str">
        <f>HYPERLINK("http://twitter.com/download/android","Twitter for Android")</f>
        <v>Twitter for Android</v>
      </c>
      <c r="J1742" s="2">
        <v>575</v>
      </c>
      <c r="K1742" s="2">
        <v>1433</v>
      </c>
      <c r="L1742" s="2">
        <v>3</v>
      </c>
      <c r="M1742" s="2"/>
      <c r="N1742" s="8">
        <v>43316.025000000001</v>
      </c>
      <c r="O1742" s="4" t="s">
        <v>17</v>
      </c>
      <c r="P1742" s="3"/>
      <c r="Q1742" s="4"/>
      <c r="R1742" s="4"/>
      <c r="S1742" s="9" t="str">
        <f>HYPERLINK("https://pbs.twimg.com/profile_images/1026829741796585473/C6U1R3Sw.jpg","View")</f>
        <v>View</v>
      </c>
    </row>
    <row r="1743" spans="1:19" ht="50">
      <c r="A1743" s="8">
        <v>43346.861493055556</v>
      </c>
      <c r="B1743" s="11" t="str">
        <f>HYPERLINK("https://twitter.com/m_amoushahi","@m_amoushahi")</f>
        <v>@m_amoushahi</v>
      </c>
      <c r="C1743" s="6" t="s">
        <v>7401</v>
      </c>
      <c r="D1743" s="5" t="s">
        <v>12330</v>
      </c>
      <c r="E1743" s="9" t="str">
        <f>HYPERLINK("https://twitter.com/m_amoushahi/status/1036647644850937856","1036647644850937856")</f>
        <v>1036647644850937856</v>
      </c>
      <c r="F1743" s="4"/>
      <c r="G1743" s="4"/>
      <c r="H1743" s="4"/>
      <c r="I1743" s="10" t="str">
        <f>HYPERLINK("http://twitter.com/download/android","Twitter for Android")</f>
        <v>Twitter for Android</v>
      </c>
      <c r="J1743" s="2">
        <v>374</v>
      </c>
      <c r="K1743" s="2">
        <v>696</v>
      </c>
      <c r="L1743" s="2">
        <v>2</v>
      </c>
      <c r="M1743" s="2"/>
      <c r="N1743" s="8">
        <v>42747.863344907411</v>
      </c>
      <c r="O1743" s="4" t="s">
        <v>7399</v>
      </c>
      <c r="P1743" s="3" t="s">
        <v>7398</v>
      </c>
      <c r="Q1743" s="10" t="s">
        <v>7397</v>
      </c>
      <c r="R1743" s="4"/>
      <c r="S1743" s="9" t="str">
        <f>HYPERLINK("https://pbs.twimg.com/profile_images/819595131393339392/nm4tqg6q.jpg","View")</f>
        <v>View</v>
      </c>
    </row>
    <row r="1744" spans="1:19" ht="20">
      <c r="A1744" s="8">
        <v>43346.858981481477</v>
      </c>
      <c r="B1744" s="11" t="str">
        <f>HYPERLINK("https://twitter.com/m_bayatzanjani","@m_bayatzanjani")</f>
        <v>@m_bayatzanjani</v>
      </c>
      <c r="C1744" s="6" t="s">
        <v>484</v>
      </c>
      <c r="D1744" s="5" t="s">
        <v>12329</v>
      </c>
      <c r="E1744" s="9" t="str">
        <f>HYPERLINK("https://twitter.com/m_bayatzanjani/status/1036646737820172289","1036646737820172289")</f>
        <v>1036646737820172289</v>
      </c>
      <c r="F1744" s="4"/>
      <c r="G1744" s="4"/>
      <c r="H1744" s="4"/>
      <c r="I1744" s="10" t="str">
        <f>HYPERLINK("http://twitter.com/download/iphone","Twitter for iPhone")</f>
        <v>Twitter for iPhone</v>
      </c>
      <c r="J1744" s="2">
        <v>8885</v>
      </c>
      <c r="K1744" s="2">
        <v>219</v>
      </c>
      <c r="L1744" s="2">
        <v>55</v>
      </c>
      <c r="M1744" s="2"/>
      <c r="N1744" s="8">
        <v>41492.081261574072</v>
      </c>
      <c r="O1744" s="4" t="s">
        <v>482</v>
      </c>
      <c r="P1744" s="3" t="s">
        <v>12328</v>
      </c>
      <c r="Q1744" s="10" t="s">
        <v>480</v>
      </c>
      <c r="R1744" s="4"/>
      <c r="S1744" s="9" t="str">
        <f>HYPERLINK("https://pbs.twimg.com/profile_images/1016707041891627009/GAghAK2Y.jpg","View")</f>
        <v>View</v>
      </c>
    </row>
    <row r="1745" spans="1:19" ht="20">
      <c r="A1745" s="8">
        <v>43346.858425925922</v>
      </c>
      <c r="B1745" s="11" t="str">
        <f>HYPERLINK("https://twitter.com/73mikel70","@73mikel70")</f>
        <v>@73mikel70</v>
      </c>
      <c r="C1745" s="6" t="s">
        <v>12327</v>
      </c>
      <c r="D1745" s="5" t="s">
        <v>12326</v>
      </c>
      <c r="E1745" s="9" t="str">
        <f>HYPERLINK("https://twitter.com/73mikel70/status/1036646535004610560","1036646535004610560")</f>
        <v>1036646535004610560</v>
      </c>
      <c r="F1745" s="4"/>
      <c r="G1745" s="10" t="s">
        <v>12325</v>
      </c>
      <c r="H1745" s="4"/>
      <c r="I1745" s="10" t="str">
        <f>HYPERLINK("http://twitter.com/download/android","Twitter for Android")</f>
        <v>Twitter for Android</v>
      </c>
      <c r="J1745" s="2">
        <v>8011</v>
      </c>
      <c r="K1745" s="2">
        <v>8230</v>
      </c>
      <c r="L1745" s="2">
        <v>3</v>
      </c>
      <c r="M1745" s="2"/>
      <c r="N1745" s="8">
        <v>43220.928159722222</v>
      </c>
      <c r="O1745" s="4" t="s">
        <v>12324</v>
      </c>
      <c r="P1745" s="3" t="s">
        <v>12323</v>
      </c>
      <c r="Q1745" s="4"/>
      <c r="R1745" s="4"/>
      <c r="S1745" s="9" t="str">
        <f>HYPERLINK("https://pbs.twimg.com/profile_images/1031952698751504384/pu7j41Hq.jpg","View")</f>
        <v>View</v>
      </c>
    </row>
    <row r="1746" spans="1:19" ht="20">
      <c r="A1746" s="8">
        <v>43346.854398148149</v>
      </c>
      <c r="B1746" s="11" t="str">
        <f>HYPERLINK("https://twitter.com/somayeisf","@somayeisf")</f>
        <v>@somayeisf</v>
      </c>
      <c r="C1746" s="11" t="s">
        <v>12322</v>
      </c>
      <c r="D1746" s="5" t="s">
        <v>12321</v>
      </c>
      <c r="E1746" s="9" t="str">
        <f>HYPERLINK("https://twitter.com/somayeisf/status/1036645075109986304","1036645075109986304")</f>
        <v>1036645075109986304</v>
      </c>
      <c r="F1746" s="4"/>
      <c r="G1746" s="10" t="s">
        <v>12320</v>
      </c>
      <c r="H1746" s="4"/>
      <c r="I1746" s="10" t="str">
        <f>HYPERLINK("http://twitter.com/download/android","Twitter for Android")</f>
        <v>Twitter for Android</v>
      </c>
      <c r="J1746" s="2">
        <v>2692</v>
      </c>
      <c r="K1746" s="2">
        <v>2156</v>
      </c>
      <c r="L1746" s="2">
        <v>5</v>
      </c>
      <c r="M1746" s="2"/>
      <c r="N1746" s="8">
        <v>42685.996504629627</v>
      </c>
      <c r="O1746" s="4" t="s">
        <v>12319</v>
      </c>
      <c r="P1746" s="3" t="s">
        <v>12318</v>
      </c>
      <c r="Q1746" s="4"/>
      <c r="R1746" s="4"/>
      <c r="S1746" s="9" t="str">
        <f>HYPERLINK("https://pbs.twimg.com/profile_images/1036239290232127488/dnpgspJS.jpg","View")</f>
        <v>View</v>
      </c>
    </row>
    <row r="1747" spans="1:19" ht="20">
      <c r="A1747" s="8">
        <v>43346.854317129633</v>
      </c>
      <c r="B1747" s="11" t="str">
        <f>HYPERLINK("https://twitter.com/alisoltanivash","@alisoltanivash")</f>
        <v>@alisoltanivash</v>
      </c>
      <c r="C1747" s="6" t="s">
        <v>12317</v>
      </c>
      <c r="D1747" s="5" t="s">
        <v>12316</v>
      </c>
      <c r="E1747" s="9" t="str">
        <f>HYPERLINK("https://twitter.com/alisoltanivash/status/1036645045288554496","1036645045288554496")</f>
        <v>1036645045288554496</v>
      </c>
      <c r="F1747" s="4"/>
      <c r="G1747" s="4"/>
      <c r="H1747" s="4"/>
      <c r="I1747" s="10" t="str">
        <f>HYPERLINK("http://twitter.com/download/iphone","Twitter for iPhone")</f>
        <v>Twitter for iPhone</v>
      </c>
      <c r="J1747" s="2">
        <v>759</v>
      </c>
      <c r="K1747" s="2">
        <v>1392</v>
      </c>
      <c r="L1747" s="2">
        <v>0</v>
      </c>
      <c r="M1747" s="2"/>
      <c r="N1747" s="8">
        <v>41025.640729166669</v>
      </c>
      <c r="O1747" s="4" t="s">
        <v>34</v>
      </c>
      <c r="P1747" s="3" t="s">
        <v>12315</v>
      </c>
      <c r="Q1747" s="10" t="s">
        <v>12314</v>
      </c>
      <c r="R1747" s="4"/>
      <c r="S1747" s="9" t="str">
        <f>HYPERLINK("https://pbs.twimg.com/profile_images/893576655293296640/nLZn-AiI.jpg","View")</f>
        <v>View</v>
      </c>
    </row>
    <row r="1748" spans="1:19" ht="30">
      <c r="A1748" s="8">
        <v>43346.854004629626</v>
      </c>
      <c r="B1748" s="11" t="str">
        <f>HYPERLINK("https://twitter.com/jerkyduck","@jerkyduck")</f>
        <v>@jerkyduck</v>
      </c>
      <c r="C1748" s="6" t="s">
        <v>12313</v>
      </c>
      <c r="D1748" s="5" t="s">
        <v>12312</v>
      </c>
      <c r="E1748" s="9" t="str">
        <f>HYPERLINK("https://twitter.com/jerkyduck/status/1036644933447368704","1036644933447368704")</f>
        <v>1036644933447368704</v>
      </c>
      <c r="F1748" s="4"/>
      <c r="G1748" s="4"/>
      <c r="H1748" s="4"/>
      <c r="I1748" s="10" t="str">
        <f>HYPERLINK("http://twitter.com/download/iphone","Twitter for iPhone")</f>
        <v>Twitter for iPhone</v>
      </c>
      <c r="J1748" s="2">
        <v>136</v>
      </c>
      <c r="K1748" s="2">
        <v>88</v>
      </c>
      <c r="L1748" s="2">
        <v>0</v>
      </c>
      <c r="M1748" s="2"/>
      <c r="N1748" s="8">
        <v>39987.731817129628</v>
      </c>
      <c r="O1748" s="4" t="s">
        <v>6829</v>
      </c>
      <c r="P1748" s="3" t="s">
        <v>6828</v>
      </c>
      <c r="Q1748" s="10" t="s">
        <v>6827</v>
      </c>
      <c r="R1748" s="4"/>
      <c r="S1748" s="9" t="str">
        <f>HYPERLINK("https://pbs.twimg.com/profile_images/1020544897328254981/0GmssKBN.jpg","View")</f>
        <v>View</v>
      </c>
    </row>
    <row r="1749" spans="1:19" ht="20">
      <c r="A1749" s="8">
        <v>43346.853530092594</v>
      </c>
      <c r="B1749" s="11" t="str">
        <f>HYPERLINK("https://twitter.com/ArtRonas","@ArtRonas")</f>
        <v>@ArtRonas</v>
      </c>
      <c r="C1749" s="6" t="s">
        <v>12311</v>
      </c>
      <c r="D1749" s="5" t="s">
        <v>12310</v>
      </c>
      <c r="E1749" s="9" t="str">
        <f>HYPERLINK("https://twitter.com/ArtRonas/status/1036644760600104961","1036644760600104961")</f>
        <v>1036644760600104961</v>
      </c>
      <c r="F1749" s="4"/>
      <c r="G1749" s="10" t="s">
        <v>12309</v>
      </c>
      <c r="H1749" s="4"/>
      <c r="I1749" s="10" t="str">
        <f>HYPERLINK("http://twitter.com","Twitter Web Client")</f>
        <v>Twitter Web Client</v>
      </c>
      <c r="J1749" s="2">
        <v>1</v>
      </c>
      <c r="K1749" s="2">
        <v>5</v>
      </c>
      <c r="L1749" s="2">
        <v>0</v>
      </c>
      <c r="M1749" s="2"/>
      <c r="N1749" s="8">
        <v>43329.915300925924</v>
      </c>
      <c r="O1749" s="4" t="s">
        <v>8316</v>
      </c>
      <c r="P1749" s="3" t="s">
        <v>12308</v>
      </c>
      <c r="Q1749" s="10" t="s">
        <v>12307</v>
      </c>
      <c r="R1749" s="4"/>
      <c r="S1749" s="9" t="str">
        <f>HYPERLINK("https://pbs.twimg.com/profile_images/1030508693635457024/rXoDd1Yg.jpg","View")</f>
        <v>View</v>
      </c>
    </row>
    <row r="1750" spans="1:19" ht="30">
      <c r="A1750" s="8">
        <v>43346.853321759263</v>
      </c>
      <c r="B1750" s="11" t="str">
        <f>HYPERLINK("https://twitter.com/freedommesenger","@freedommesenger")</f>
        <v>@freedommesenger</v>
      </c>
      <c r="C1750" s="6" t="s">
        <v>808</v>
      </c>
      <c r="D1750" s="5" t="s">
        <v>12306</v>
      </c>
      <c r="E1750" s="9" t="str">
        <f>HYPERLINK("https://twitter.com/freedommesenger/status/1036644683043299329","1036644683043299329")</f>
        <v>1036644683043299329</v>
      </c>
      <c r="F1750" s="4"/>
      <c r="G1750" s="10" t="s">
        <v>12305</v>
      </c>
      <c r="H1750" s="4"/>
      <c r="I1750" s="10" t="str">
        <f>HYPERLINK("http://twitter.com/download/iphone","Twitter for iPhone")</f>
        <v>Twitter for iPhone</v>
      </c>
      <c r="J1750" s="2">
        <v>7824</v>
      </c>
      <c r="K1750" s="2">
        <v>32</v>
      </c>
      <c r="L1750" s="2">
        <v>262</v>
      </c>
      <c r="M1750" s="2"/>
      <c r="N1750" s="8">
        <v>40052.203796296293</v>
      </c>
      <c r="O1750" s="4" t="s">
        <v>805</v>
      </c>
      <c r="P1750" s="3" t="s">
        <v>804</v>
      </c>
      <c r="Q1750" s="10" t="s">
        <v>803</v>
      </c>
      <c r="R1750" s="4"/>
      <c r="S1750" s="9" t="str">
        <f>HYPERLINK("https://pbs.twimg.com/profile_images/756008327/youtube_icon_01.jpg","View")</f>
        <v>View</v>
      </c>
    </row>
    <row r="1751" spans="1:19" ht="30">
      <c r="A1751" s="8">
        <v>43346.851886574077</v>
      </c>
      <c r="B1751" s="11" t="str">
        <f>HYPERLINK("https://twitter.com/behroznaghdi1","@behroznaghdi1")</f>
        <v>@behroznaghdi1</v>
      </c>
      <c r="C1751" s="6" t="s">
        <v>12304</v>
      </c>
      <c r="D1751" s="5" t="s">
        <v>12303</v>
      </c>
      <c r="E1751" s="9" t="str">
        <f>HYPERLINK("https://twitter.com/behroznaghdi1/status/1036644165600399360","1036644165600399360")</f>
        <v>1036644165600399360</v>
      </c>
      <c r="F1751" s="4"/>
      <c r="G1751" s="10" t="s">
        <v>12302</v>
      </c>
      <c r="H1751" s="4"/>
      <c r="I1751" s="10" t="str">
        <f>HYPERLINK("http://twitter.com","Twitter Web Client")</f>
        <v>Twitter Web Client</v>
      </c>
      <c r="J1751" s="2">
        <v>1638</v>
      </c>
      <c r="K1751" s="2">
        <v>1226</v>
      </c>
      <c r="L1751" s="2">
        <v>2</v>
      </c>
      <c r="M1751" s="2"/>
      <c r="N1751" s="8">
        <v>42889.513391203705</v>
      </c>
      <c r="O1751" s="4" t="s">
        <v>4972</v>
      </c>
      <c r="P1751" s="3" t="s">
        <v>12301</v>
      </c>
      <c r="Q1751" s="4"/>
      <c r="R1751" s="4"/>
      <c r="S1751" s="9" t="str">
        <f>HYPERLINK("https://pbs.twimg.com/profile_images/1036524706525061120/70O3gxLK.jpg","View")</f>
        <v>View</v>
      </c>
    </row>
    <row r="1752" spans="1:19" ht="40">
      <c r="A1752" s="8">
        <v>43346.848946759259</v>
      </c>
      <c r="B1752" s="11" t="str">
        <f>HYPERLINK("https://twitter.com/hamshahrinews","@hamshahrinews")</f>
        <v>@hamshahrinews</v>
      </c>
      <c r="C1752" s="6" t="s">
        <v>2149</v>
      </c>
      <c r="D1752" s="5" t="s">
        <v>12300</v>
      </c>
      <c r="E1752" s="9" t="str">
        <f>HYPERLINK("https://twitter.com/hamshahrinews/status/1036643099806760961","1036643099806760961")</f>
        <v>1036643099806760961</v>
      </c>
      <c r="F1752" s="4"/>
      <c r="G1752" s="4"/>
      <c r="H1752" s="4"/>
      <c r="I1752" s="10" t="str">
        <f>HYPERLINK("http://twitter.com","Twitter Web Client")</f>
        <v>Twitter Web Client</v>
      </c>
      <c r="J1752" s="2">
        <v>1900</v>
      </c>
      <c r="K1752" s="2">
        <v>13</v>
      </c>
      <c r="L1752" s="2">
        <v>39</v>
      </c>
      <c r="M1752" s="2"/>
      <c r="N1752" s="8">
        <v>42984.575752314813</v>
      </c>
      <c r="O1752" s="4" t="s">
        <v>133</v>
      </c>
      <c r="P1752" s="3" t="s">
        <v>2146</v>
      </c>
      <c r="Q1752" s="10" t="s">
        <v>2145</v>
      </c>
      <c r="R1752" s="4"/>
      <c r="S1752" s="9" t="str">
        <f>HYPERLINK("https://pbs.twimg.com/profile_images/918008480631533568/-awyAU90.jpg","View")</f>
        <v>View</v>
      </c>
    </row>
    <row r="1753" spans="1:19" ht="12.5">
      <c r="A1753" s="8">
        <v>43346.842430555553</v>
      </c>
      <c r="B1753" s="11" t="str">
        <f>HYPERLINK("https://twitter.com/AtreYaas","@AtreYaas")</f>
        <v>@AtreYaas</v>
      </c>
      <c r="C1753" s="6" t="s">
        <v>3452</v>
      </c>
      <c r="D1753" s="5" t="s">
        <v>12299</v>
      </c>
      <c r="E1753" s="9" t="str">
        <f>HYPERLINK("https://twitter.com/AtreYaas/status/1036640738551971840","1036640738551971840")</f>
        <v>1036640738551971840</v>
      </c>
      <c r="F1753" s="4"/>
      <c r="G1753" s="10" t="s">
        <v>12298</v>
      </c>
      <c r="H1753" s="4"/>
      <c r="I1753" s="10" t="str">
        <f>HYPERLINK("http://twitter.com/download/android","Twitter for Android")</f>
        <v>Twitter for Android</v>
      </c>
      <c r="J1753" s="2">
        <v>1873</v>
      </c>
      <c r="K1753" s="2">
        <v>1801</v>
      </c>
      <c r="L1753" s="2">
        <v>9</v>
      </c>
      <c r="M1753" s="2"/>
      <c r="N1753" s="8">
        <v>42734.215405092589</v>
      </c>
      <c r="O1753" s="4"/>
      <c r="P1753" s="3"/>
      <c r="Q1753" s="4"/>
      <c r="R1753" s="4"/>
      <c r="S1753" s="9" t="str">
        <f>HYPERLINK("https://pbs.twimg.com/profile_images/1001527704024436737/ek8WBw04.jpg","View")</f>
        <v>View</v>
      </c>
    </row>
    <row r="1754" spans="1:19" ht="40">
      <c r="A1754" s="8">
        <v>43346.840914351851</v>
      </c>
      <c r="B1754" s="11" t="str">
        <f>HYPERLINK("https://twitter.com/freshte_margh","@freshte_margh")</f>
        <v>@freshte_margh</v>
      </c>
      <c r="C1754" s="6" t="s">
        <v>2084</v>
      </c>
      <c r="D1754" s="5" t="s">
        <v>12297</v>
      </c>
      <c r="E1754" s="9" t="str">
        <f>HYPERLINK("https://twitter.com/freshte_margh/status/1036640187122700288","1036640187122700288")</f>
        <v>1036640187122700288</v>
      </c>
      <c r="F1754" s="4"/>
      <c r="G1754" s="4"/>
      <c r="H1754" s="4"/>
      <c r="I1754" s="10" t="str">
        <f>HYPERLINK("http://twitter.com/download/android","Twitter for Android")</f>
        <v>Twitter for Android</v>
      </c>
      <c r="J1754" s="2">
        <v>115</v>
      </c>
      <c r="K1754" s="2">
        <v>205</v>
      </c>
      <c r="L1754" s="2">
        <v>0</v>
      </c>
      <c r="M1754" s="2"/>
      <c r="N1754" s="8">
        <v>43275.539918981478</v>
      </c>
      <c r="O1754" s="4" t="s">
        <v>34</v>
      </c>
      <c r="P1754" s="3" t="s">
        <v>2082</v>
      </c>
      <c r="Q1754" s="10" t="s">
        <v>2081</v>
      </c>
      <c r="R1754" s="4"/>
      <c r="S1754" s="9" t="str">
        <f>HYPERLINK("https://pbs.twimg.com/profile_images/1010804989655179264/MUKRMPcI.jpg","View")</f>
        <v>View</v>
      </c>
    </row>
    <row r="1755" spans="1:19" ht="20">
      <c r="A1755" s="8">
        <v>43346.839861111112</v>
      </c>
      <c r="B1755" s="11" t="str">
        <f>HYPERLINK("https://twitter.com/DorostiShahram","@DorostiShahram")</f>
        <v>@DorostiShahram</v>
      </c>
      <c r="C1755" s="6" t="s">
        <v>12296</v>
      </c>
      <c r="D1755" s="5" t="s">
        <v>12295</v>
      </c>
      <c r="E1755" s="9" t="str">
        <f>HYPERLINK("https://twitter.com/DorostiShahram/status/1036639805587767297","1036639805587767297")</f>
        <v>1036639805587767297</v>
      </c>
      <c r="F1755" s="4"/>
      <c r="G1755" s="10" t="s">
        <v>12294</v>
      </c>
      <c r="H1755" s="4"/>
      <c r="I1755" s="10" t="str">
        <f>HYPERLINK("http://twitter.com/download/iphone","Twitter for iPhone")</f>
        <v>Twitter for iPhone</v>
      </c>
      <c r="J1755" s="2">
        <v>3</v>
      </c>
      <c r="K1755" s="2">
        <v>73</v>
      </c>
      <c r="L1755" s="2">
        <v>0</v>
      </c>
      <c r="M1755" s="2"/>
      <c r="N1755" s="8">
        <v>43237.484513888892</v>
      </c>
      <c r="O1755" s="4" t="s">
        <v>34</v>
      </c>
      <c r="P1755" s="3" t="s">
        <v>12293</v>
      </c>
      <c r="Q1755" s="4"/>
      <c r="R1755" s="4"/>
      <c r="S1755" s="9" t="str">
        <f>HYPERLINK("https://pbs.twimg.com/profile_images/1036594427643478017/L8Fo4drC.jpg","View")</f>
        <v>View</v>
      </c>
    </row>
    <row r="1756" spans="1:19" ht="20">
      <c r="A1756" s="8">
        <v>43346.838564814811</v>
      </c>
      <c r="B1756" s="11" t="str">
        <f>HYPERLINK("https://twitter.com/me22di","@me22di")</f>
        <v>@me22di</v>
      </c>
      <c r="C1756" s="6" t="s">
        <v>12292</v>
      </c>
      <c r="D1756" s="5" t="s">
        <v>12291</v>
      </c>
      <c r="E1756" s="9" t="str">
        <f>HYPERLINK("https://twitter.com/me22di/status/1036639338078060546","1036639338078060546")</f>
        <v>1036639338078060546</v>
      </c>
      <c r="F1756" s="4"/>
      <c r="G1756" s="4"/>
      <c r="H1756" s="4"/>
      <c r="I1756" s="10" t="str">
        <f>HYPERLINK("http://twitter.com/download/android","Twitter for Android")</f>
        <v>Twitter for Android</v>
      </c>
      <c r="J1756" s="2">
        <v>235</v>
      </c>
      <c r="K1756" s="2">
        <v>229</v>
      </c>
      <c r="L1756" s="2">
        <v>0</v>
      </c>
      <c r="M1756" s="2"/>
      <c r="N1756" s="8">
        <v>42430.580358796295</v>
      </c>
      <c r="O1756" s="4" t="s">
        <v>12290</v>
      </c>
      <c r="P1756" s="3"/>
      <c r="Q1756" s="4"/>
      <c r="R1756" s="4"/>
      <c r="S1756" s="9" t="str">
        <f>HYPERLINK("https://pbs.twimg.com/profile_images/1034145512411357184/BnAauzyb.jpg","View")</f>
        <v>View</v>
      </c>
    </row>
    <row r="1757" spans="1:19" ht="50">
      <c r="A1757" s="8">
        <v>43346.836354166662</v>
      </c>
      <c r="B1757" s="11" t="str">
        <f>HYPERLINK("https://twitter.com/Kavehkian931","@Kavehkian931")</f>
        <v>@Kavehkian931</v>
      </c>
      <c r="C1757" s="6" t="s">
        <v>12284</v>
      </c>
      <c r="D1757" s="5" t="s">
        <v>12289</v>
      </c>
      <c r="E1757" s="9" t="str">
        <f>HYPERLINK("https://twitter.com/Kavehkian931/status/1036638537154736134","1036638537154736134")</f>
        <v>1036638537154736134</v>
      </c>
      <c r="F1757" s="4"/>
      <c r="G1757" s="4"/>
      <c r="H1757" s="4"/>
      <c r="I1757" s="10" t="str">
        <f>HYPERLINK("https://mobile.twitter.com","Twitter Lite")</f>
        <v>Twitter Lite</v>
      </c>
      <c r="J1757" s="2">
        <v>1</v>
      </c>
      <c r="K1757" s="2">
        <v>9</v>
      </c>
      <c r="L1757" s="2">
        <v>0</v>
      </c>
      <c r="M1757" s="2"/>
      <c r="N1757" s="8">
        <v>43184.919930555552</v>
      </c>
      <c r="O1757" s="4"/>
      <c r="P1757" s="3"/>
      <c r="Q1757" s="4"/>
      <c r="R1757" s="4"/>
      <c r="S1757" s="2" t="s">
        <v>155</v>
      </c>
    </row>
    <row r="1758" spans="1:19" ht="30">
      <c r="A1758" s="8">
        <v>43346.835162037038</v>
      </c>
      <c r="B1758" s="11" t="str">
        <f>HYPERLINK("https://twitter.com/Yasin_tahamtan","@Yasin_tahamtan")</f>
        <v>@Yasin_tahamtan</v>
      </c>
      <c r="C1758" s="6" t="s">
        <v>10746</v>
      </c>
      <c r="D1758" s="5" t="s">
        <v>12288</v>
      </c>
      <c r="E1758" s="9" t="str">
        <f>HYPERLINK("https://twitter.com/Yasin_tahamtan/status/1036638103929270274","1036638103929270274")</f>
        <v>1036638103929270274</v>
      </c>
      <c r="F1758" s="4"/>
      <c r="G1758" s="4"/>
      <c r="H1758" s="4"/>
      <c r="I1758" s="10" t="str">
        <f>HYPERLINK("http://twitter.com/download/android","Twitter for Android")</f>
        <v>Twitter for Android</v>
      </c>
      <c r="J1758" s="2">
        <v>164</v>
      </c>
      <c r="K1758" s="2">
        <v>188</v>
      </c>
      <c r="L1758" s="2">
        <v>0</v>
      </c>
      <c r="M1758" s="2"/>
      <c r="N1758" s="8">
        <v>43264.046631944446</v>
      </c>
      <c r="O1758" s="4" t="s">
        <v>12287</v>
      </c>
      <c r="P1758" s="3" t="s">
        <v>12286</v>
      </c>
      <c r="Q1758" s="4"/>
      <c r="R1758" s="4"/>
      <c r="S1758" s="9" t="str">
        <f>HYPERLINK("https://pbs.twimg.com/profile_images/1036128390435270663/_J9H-I8t.jpg","View")</f>
        <v>View</v>
      </c>
    </row>
    <row r="1759" spans="1:19" ht="30">
      <c r="A1759" s="8">
        <v>43346.832071759258</v>
      </c>
      <c r="B1759" s="11" t="str">
        <f>HYPERLINK("https://twitter.com/Zvy2xXgVT60iu3v","@Zvy2xXgVT60iu3v")</f>
        <v>@Zvy2xXgVT60iu3v</v>
      </c>
      <c r="C1759" s="6" t="s">
        <v>4790</v>
      </c>
      <c r="D1759" s="5" t="s">
        <v>12285</v>
      </c>
      <c r="E1759" s="9" t="str">
        <f>HYPERLINK("https://twitter.com/Zvy2xXgVT60iu3v/status/1036636984423469056","1036636984423469056")</f>
        <v>1036636984423469056</v>
      </c>
      <c r="F1759" s="4"/>
      <c r="G1759" s="4"/>
      <c r="H1759" s="4"/>
      <c r="I1759" s="10" t="str">
        <f>HYPERLINK("http://twitter.com/download/android","Twitter for Android")</f>
        <v>Twitter for Android</v>
      </c>
      <c r="J1759" s="2">
        <v>331</v>
      </c>
      <c r="K1759" s="2">
        <v>463</v>
      </c>
      <c r="L1759" s="2">
        <v>1</v>
      </c>
      <c r="M1759" s="2"/>
      <c r="N1759" s="8">
        <v>42927.924907407403</v>
      </c>
      <c r="O1759" s="4"/>
      <c r="P1759" s="3" t="s">
        <v>4788</v>
      </c>
      <c r="Q1759" s="4"/>
      <c r="R1759" s="4"/>
      <c r="S1759" s="9" t="str">
        <f>HYPERLINK("https://pbs.twimg.com/profile_images/885243982648881152/8Xgxbt0p.jpg","View")</f>
        <v>View</v>
      </c>
    </row>
    <row r="1760" spans="1:19" ht="20">
      <c r="A1760" s="8">
        <v>43346.831689814819</v>
      </c>
      <c r="B1760" s="11" t="str">
        <f>HYPERLINK("https://twitter.com/Kavehkian931","@Kavehkian931")</f>
        <v>@Kavehkian931</v>
      </c>
      <c r="C1760" s="6" t="s">
        <v>12284</v>
      </c>
      <c r="D1760" s="5" t="s">
        <v>12283</v>
      </c>
      <c r="E1760" s="9" t="str">
        <f>HYPERLINK("https://twitter.com/Kavehkian931/status/1036636847248691200","1036636847248691200")</f>
        <v>1036636847248691200</v>
      </c>
      <c r="F1760" s="4"/>
      <c r="G1760" s="4"/>
      <c r="H1760" s="4"/>
      <c r="I1760" s="10" t="str">
        <f>HYPERLINK("https://mobile.twitter.com","Twitter Lite")</f>
        <v>Twitter Lite</v>
      </c>
      <c r="J1760" s="2">
        <v>1</v>
      </c>
      <c r="K1760" s="2">
        <v>9</v>
      </c>
      <c r="L1760" s="2">
        <v>0</v>
      </c>
      <c r="M1760" s="2"/>
      <c r="N1760" s="8">
        <v>43184.919930555552</v>
      </c>
      <c r="O1760" s="4"/>
      <c r="P1760" s="3"/>
      <c r="Q1760" s="4"/>
      <c r="R1760" s="4"/>
      <c r="S1760" s="2" t="s">
        <v>155</v>
      </c>
    </row>
    <row r="1761" spans="1:19" ht="30">
      <c r="A1761" s="8">
        <v>43346.830787037034</v>
      </c>
      <c r="B1761" s="11" t="str">
        <f>HYPERLINK("https://twitter.com/P_McKale","@P_McKale")</f>
        <v>@P_McKale</v>
      </c>
      <c r="C1761" s="6" t="s">
        <v>2883</v>
      </c>
      <c r="D1761" s="5" t="s">
        <v>12282</v>
      </c>
      <c r="E1761" s="9" t="str">
        <f>HYPERLINK("https://twitter.com/P_McKale/status/1036636516913741830","1036636516913741830")</f>
        <v>1036636516913741830</v>
      </c>
      <c r="F1761" s="4"/>
      <c r="G1761" s="4"/>
      <c r="H1761" s="4"/>
      <c r="I1761" s="10" t="str">
        <f>HYPERLINK("http://twitter.com","Twitter Web Client")</f>
        <v>Twitter Web Client</v>
      </c>
      <c r="J1761" s="2">
        <v>26</v>
      </c>
      <c r="K1761" s="2">
        <v>19</v>
      </c>
      <c r="L1761" s="2">
        <v>0</v>
      </c>
      <c r="M1761" s="2"/>
      <c r="N1761" s="8">
        <v>41780.072696759264</v>
      </c>
      <c r="O1761" s="4"/>
      <c r="P1761" s="3"/>
      <c r="Q1761" s="4"/>
      <c r="R1761" s="4"/>
      <c r="S1761" s="9" t="str">
        <f>HYPERLINK("https://pbs.twimg.com/profile_images/956811724623155200/3YDKy13f.jpg","View")</f>
        <v>View</v>
      </c>
    </row>
    <row r="1762" spans="1:19" ht="20">
      <c r="A1762" s="8">
        <v>43346.829733796301</v>
      </c>
      <c r="B1762" s="11" t="str">
        <f>HYPERLINK("https://twitter.com/alaashem","@alaashem")</f>
        <v>@alaashem</v>
      </c>
      <c r="C1762" s="6" t="s">
        <v>12281</v>
      </c>
      <c r="D1762" s="5" t="s">
        <v>12280</v>
      </c>
      <c r="E1762" s="9" t="str">
        <f>HYPERLINK("https://twitter.com/alaashem/status/1036636138646196225","1036636138646196225")</f>
        <v>1036636138646196225</v>
      </c>
      <c r="F1762" s="4"/>
      <c r="G1762" s="4"/>
      <c r="H1762" s="4"/>
      <c r="I1762" s="10" t="str">
        <f>HYPERLINK("http://twitter.com/download/iphone","Twitter for iPhone")</f>
        <v>Twitter for iPhone</v>
      </c>
      <c r="J1762" s="2">
        <v>1037</v>
      </c>
      <c r="K1762" s="2">
        <v>1224</v>
      </c>
      <c r="L1762" s="2">
        <v>1</v>
      </c>
      <c r="M1762" s="2"/>
      <c r="N1762" s="8">
        <v>42697.902569444443</v>
      </c>
      <c r="O1762" s="4" t="s">
        <v>12279</v>
      </c>
      <c r="P1762" s="3" t="s">
        <v>12278</v>
      </c>
      <c r="Q1762" s="4"/>
      <c r="R1762" s="4"/>
      <c r="S1762" s="9" t="str">
        <f>HYPERLINK("https://pbs.twimg.com/profile_images/1036356076122320897/KQnU61Ka.jpg","View")</f>
        <v>View</v>
      </c>
    </row>
    <row r="1763" spans="1:19" ht="40">
      <c r="A1763" s="8">
        <v>43346.827349537038</v>
      </c>
      <c r="B1763" s="11" t="str">
        <f>HYPERLINK("https://twitter.com/khosr4vii","@khosr4vii")</f>
        <v>@khosr4vii</v>
      </c>
      <c r="C1763" s="6" t="s">
        <v>11095</v>
      </c>
      <c r="D1763" s="5" t="s">
        <v>12277</v>
      </c>
      <c r="E1763" s="9" t="str">
        <f>HYPERLINK("https://twitter.com/khosr4vii/status/1036635273516535814","1036635273516535814")</f>
        <v>1036635273516535814</v>
      </c>
      <c r="F1763" s="4"/>
      <c r="G1763" s="10" t="s">
        <v>12276</v>
      </c>
      <c r="H1763" s="4"/>
      <c r="I1763" s="10" t="str">
        <f>HYPERLINK("http://twitter.com/download/android","Twitter for Android")</f>
        <v>Twitter for Android</v>
      </c>
      <c r="J1763" s="2">
        <v>664</v>
      </c>
      <c r="K1763" s="2">
        <v>944</v>
      </c>
      <c r="L1763" s="2">
        <v>0</v>
      </c>
      <c r="M1763" s="2"/>
      <c r="N1763" s="8">
        <v>43120.357870370368</v>
      </c>
      <c r="O1763" s="4"/>
      <c r="P1763" s="3"/>
      <c r="Q1763" s="4"/>
      <c r="R1763" s="4"/>
      <c r="S1763" s="9" t="str">
        <f>HYPERLINK("https://pbs.twimg.com/profile_images/1005394671688998912/sitvj8sL.jpg","View")</f>
        <v>View</v>
      </c>
    </row>
    <row r="1764" spans="1:19" ht="20">
      <c r="A1764" s="8">
        <v>43346.826168981483</v>
      </c>
      <c r="B1764" s="11" t="str">
        <f>HYPERLINK("https://twitter.com/Entekhab_News","@Entekhab_News")</f>
        <v>@Entekhab_News</v>
      </c>
      <c r="C1764" s="6" t="s">
        <v>519</v>
      </c>
      <c r="D1764" s="5" t="s">
        <v>12275</v>
      </c>
      <c r="E1764" s="9" t="str">
        <f>HYPERLINK("https://twitter.com/Entekhab_News/status/1036634846259552259","1036634846259552259")</f>
        <v>1036634846259552259</v>
      </c>
      <c r="F1764" s="4"/>
      <c r="G1764" s="10" t="s">
        <v>12274</v>
      </c>
      <c r="H1764" s="4"/>
      <c r="I1764" s="10" t="str">
        <f>HYPERLINK("http://twitter.com/download/android","Twitter for Android")</f>
        <v>Twitter for Android</v>
      </c>
      <c r="J1764" s="2">
        <v>16205</v>
      </c>
      <c r="K1764" s="2">
        <v>0</v>
      </c>
      <c r="L1764" s="2">
        <v>153</v>
      </c>
      <c r="M1764" s="2"/>
      <c r="N1764" s="8">
        <v>41846.90483796296</v>
      </c>
      <c r="O1764" s="4" t="s">
        <v>244</v>
      </c>
      <c r="P1764" s="3" t="s">
        <v>517</v>
      </c>
      <c r="Q1764" s="10" t="s">
        <v>516</v>
      </c>
      <c r="R1764" s="4"/>
      <c r="S1764" s="9" t="str">
        <f>HYPERLINK("https://pbs.twimg.com/profile_images/840302676332146689/objFI1sw.jpg","View")</f>
        <v>View</v>
      </c>
    </row>
    <row r="1765" spans="1:19" ht="20">
      <c r="A1765" s="8">
        <v>43346.826145833329</v>
      </c>
      <c r="B1765" s="11" t="str">
        <f>HYPERLINK("https://twitter.com/hossein1440","@hossein1440")</f>
        <v>@hossein1440</v>
      </c>
      <c r="C1765" s="6" t="s">
        <v>206</v>
      </c>
      <c r="D1765" s="5" t="s">
        <v>12273</v>
      </c>
      <c r="E1765" s="9" t="str">
        <f>HYPERLINK("https://twitter.com/hossein1440/status/1036634836881088513","1036634836881088513")</f>
        <v>1036634836881088513</v>
      </c>
      <c r="F1765" s="4"/>
      <c r="G1765" s="10" t="s">
        <v>12272</v>
      </c>
      <c r="H1765" s="4"/>
      <c r="I1765" s="10" t="str">
        <f>HYPERLINK("http://twitter.com/download/android","Twitter for Android")</f>
        <v>Twitter for Android</v>
      </c>
      <c r="J1765" s="2">
        <v>240</v>
      </c>
      <c r="K1765" s="2">
        <v>396</v>
      </c>
      <c r="L1765" s="2">
        <v>0</v>
      </c>
      <c r="M1765" s="2"/>
      <c r="N1765" s="8">
        <v>43259.933495370366</v>
      </c>
      <c r="O1765" s="4" t="s">
        <v>17</v>
      </c>
      <c r="P1765" s="3" t="s">
        <v>204</v>
      </c>
      <c r="Q1765" s="4"/>
      <c r="R1765" s="4"/>
      <c r="S1765" s="9" t="str">
        <f>HYPERLINK("https://pbs.twimg.com/profile_images/1023239182867681281/A18ja227.jpg","View")</f>
        <v>View</v>
      </c>
    </row>
    <row r="1766" spans="1:19" ht="20">
      <c r="A1766" s="8">
        <v>43346.825497685189</v>
      </c>
      <c r="B1766" s="11" t="str">
        <f>HYPERLINK("https://twitter.com/aa_persian","@aa_persian")</f>
        <v>@aa_persian</v>
      </c>
      <c r="C1766" s="6" t="s">
        <v>7471</v>
      </c>
      <c r="D1766" s="5" t="s">
        <v>12271</v>
      </c>
      <c r="E1766" s="9" t="str">
        <f>HYPERLINK("https://twitter.com/aa_persian/status/1036634603602280450","1036634603602280450")</f>
        <v>1036634603602280450</v>
      </c>
      <c r="F1766" s="10" t="s">
        <v>12270</v>
      </c>
      <c r="G1766" s="10" t="s">
        <v>12269</v>
      </c>
      <c r="H1766" s="4"/>
      <c r="I1766" s="10" t="str">
        <f>HYPERLINK("http://twitter.com","Twitter Web Client")</f>
        <v>Twitter Web Client</v>
      </c>
      <c r="J1766" s="2">
        <v>2747</v>
      </c>
      <c r="K1766" s="2">
        <v>16</v>
      </c>
      <c r="L1766" s="2">
        <v>38</v>
      </c>
      <c r="M1766" s="2"/>
      <c r="N1766" s="8">
        <v>42131.811759259261</v>
      </c>
      <c r="O1766" s="4" t="s">
        <v>7467</v>
      </c>
      <c r="P1766" s="3" t="s">
        <v>7466</v>
      </c>
      <c r="Q1766" s="10" t="s">
        <v>7465</v>
      </c>
      <c r="R1766" s="4"/>
      <c r="S1766" s="9" t="str">
        <f>HYPERLINK("https://pbs.twimg.com/profile_images/946457310867738626/CzW4oqyO.jpg","View")</f>
        <v>View</v>
      </c>
    </row>
    <row r="1767" spans="1:19" ht="30">
      <c r="A1767" s="8">
        <v>43346.822604166664</v>
      </c>
      <c r="B1767" s="11" t="str">
        <f>HYPERLINK("https://twitter.com/freshte_margh","@freshte_margh")</f>
        <v>@freshte_margh</v>
      </c>
      <c r="C1767" s="6" t="s">
        <v>2084</v>
      </c>
      <c r="D1767" s="5" t="s">
        <v>12268</v>
      </c>
      <c r="E1767" s="9" t="str">
        <f>HYPERLINK("https://twitter.com/freshte_margh/status/1036633552434196487","1036633552434196487")</f>
        <v>1036633552434196487</v>
      </c>
      <c r="F1767" s="4"/>
      <c r="G1767" s="4"/>
      <c r="H1767" s="4"/>
      <c r="I1767" s="10" t="str">
        <f>HYPERLINK("http://twitter.com/download/android","Twitter for Android")</f>
        <v>Twitter for Android</v>
      </c>
      <c r="J1767" s="2">
        <v>115</v>
      </c>
      <c r="K1767" s="2">
        <v>205</v>
      </c>
      <c r="L1767" s="2">
        <v>0</v>
      </c>
      <c r="M1767" s="2"/>
      <c r="N1767" s="8">
        <v>43275.539918981478</v>
      </c>
      <c r="O1767" s="4" t="s">
        <v>34</v>
      </c>
      <c r="P1767" s="3" t="s">
        <v>2082</v>
      </c>
      <c r="Q1767" s="10" t="s">
        <v>2081</v>
      </c>
      <c r="R1767" s="4"/>
      <c r="S1767" s="9" t="str">
        <f>HYPERLINK("https://pbs.twimg.com/profile_images/1010804989655179264/MUKRMPcI.jpg","View")</f>
        <v>View</v>
      </c>
    </row>
    <row r="1768" spans="1:19" ht="20">
      <c r="A1768" s="8">
        <v>43346.820775462962</v>
      </c>
      <c r="B1768" s="11" t="str">
        <f>HYPERLINK("https://twitter.com/Nikoobakht","@Nikoobakht")</f>
        <v>@Nikoobakht</v>
      </c>
      <c r="C1768" s="6" t="s">
        <v>135</v>
      </c>
      <c r="D1768" s="5" t="s">
        <v>12267</v>
      </c>
      <c r="E1768" s="9" t="str">
        <f>HYPERLINK("https://twitter.com/Nikoobakht/status/1036632891705516035","1036632891705516035")</f>
        <v>1036632891705516035</v>
      </c>
      <c r="F1768" s="4"/>
      <c r="G1768" s="4"/>
      <c r="H1768" s="4"/>
      <c r="I1768" s="10" t="str">
        <f>HYPERLINK("http://twitter.com/download/android","Twitter for Android")</f>
        <v>Twitter for Android</v>
      </c>
      <c r="J1768" s="2">
        <v>61</v>
      </c>
      <c r="K1768" s="2">
        <v>52</v>
      </c>
      <c r="L1768" s="2">
        <v>3</v>
      </c>
      <c r="M1768" s="2"/>
      <c r="N1768" s="8">
        <v>42069.570590277777</v>
      </c>
      <c r="O1768" s="4" t="s">
        <v>133</v>
      </c>
      <c r="P1768" s="3" t="s">
        <v>132</v>
      </c>
      <c r="Q1768" s="10" t="s">
        <v>131</v>
      </c>
      <c r="R1768" s="4"/>
      <c r="S1768" s="9" t="str">
        <f>HYPERLINK("https://pbs.twimg.com/profile_images/987074666538962945/YNEHmQ82.jpg","View")</f>
        <v>View</v>
      </c>
    </row>
    <row r="1769" spans="1:19" ht="20">
      <c r="A1769" s="8">
        <v>43346.819351851853</v>
      </c>
      <c r="B1769" s="11" t="str">
        <f>HYPERLINK("https://twitter.com/hadisaame","@hadisaame")</f>
        <v>@hadisaame</v>
      </c>
      <c r="C1769" s="6" t="s">
        <v>6242</v>
      </c>
      <c r="D1769" s="5" t="s">
        <v>12266</v>
      </c>
      <c r="E1769" s="9" t="str">
        <f>HYPERLINK("https://twitter.com/hadisaame/status/1036632373985792000","1036632373985792000")</f>
        <v>1036632373985792000</v>
      </c>
      <c r="F1769" s="4"/>
      <c r="G1769" s="4"/>
      <c r="H1769" s="4"/>
      <c r="I1769" s="10" t="str">
        <f>HYPERLINK("http://twitter.com","Twitter Web Client")</f>
        <v>Twitter Web Client</v>
      </c>
      <c r="J1769" s="2">
        <v>651</v>
      </c>
      <c r="K1769" s="2">
        <v>366</v>
      </c>
      <c r="L1769" s="2">
        <v>9</v>
      </c>
      <c r="M1769" s="2"/>
      <c r="N1769" s="8">
        <v>42875.730694444443</v>
      </c>
      <c r="O1769" s="4"/>
      <c r="P1769" s="3" t="s">
        <v>6239</v>
      </c>
      <c r="Q1769" s="4"/>
      <c r="R1769" s="4"/>
      <c r="S1769" s="9" t="str">
        <f>HYPERLINK("https://pbs.twimg.com/profile_images/865940033144066049/7XjArPNt.jpg","View")</f>
        <v>View</v>
      </c>
    </row>
    <row r="1770" spans="1:19" ht="60">
      <c r="A1770" s="8">
        <v>43346.818761574075</v>
      </c>
      <c r="B1770" s="11" t="str">
        <f>HYPERLINK("https://twitter.com/MalcolmSardar","@MalcolmSardar")</f>
        <v>@MalcolmSardar</v>
      </c>
      <c r="C1770" s="6" t="s">
        <v>2664</v>
      </c>
      <c r="D1770" s="5" t="s">
        <v>12265</v>
      </c>
      <c r="E1770" s="9" t="str">
        <f>HYPERLINK("https://twitter.com/MalcolmSardar/status/1036632160558624768","1036632160558624768")</f>
        <v>1036632160558624768</v>
      </c>
      <c r="F1770" s="10" t="s">
        <v>12264</v>
      </c>
      <c r="G1770" s="4"/>
      <c r="H1770" s="4"/>
      <c r="I1770" s="10" t="str">
        <f>HYPERLINK("http://twitter.com/download/android","Twitter for Android")</f>
        <v>Twitter for Android</v>
      </c>
      <c r="J1770" s="2">
        <v>1468</v>
      </c>
      <c r="K1770" s="2">
        <v>720</v>
      </c>
      <c r="L1770" s="2">
        <v>2</v>
      </c>
      <c r="M1770" s="2"/>
      <c r="N1770" s="8">
        <v>43159.496840277774</v>
      </c>
      <c r="O1770" s="4"/>
      <c r="P1770" s="3" t="s">
        <v>2662</v>
      </c>
      <c r="Q1770" s="4"/>
      <c r="R1770" s="4"/>
      <c r="S1770" s="9" t="str">
        <f>HYPERLINK("https://pbs.twimg.com/profile_images/1011365979543269376/HZoqxlLs.jpg","View")</f>
        <v>View</v>
      </c>
    </row>
    <row r="1771" spans="1:19" ht="40">
      <c r="A1771" s="8">
        <v>43346.81517361111</v>
      </c>
      <c r="B1771" s="11" t="str">
        <f>HYPERLINK("https://twitter.com/RafatiSiavash","@RafatiSiavash")</f>
        <v>@RafatiSiavash</v>
      </c>
      <c r="C1771" s="6" t="s">
        <v>3226</v>
      </c>
      <c r="D1771" s="5" t="s">
        <v>12263</v>
      </c>
      <c r="E1771" s="9" t="str">
        <f>HYPERLINK("https://twitter.com/RafatiSiavash/status/1036630860508934144","1036630860508934144")</f>
        <v>1036630860508934144</v>
      </c>
      <c r="F1771" s="4"/>
      <c r="G1771" s="10" t="s">
        <v>12262</v>
      </c>
      <c r="H1771" s="4"/>
      <c r="I1771" s="10" t="str">
        <f>HYPERLINK("http://twitter.com","Twitter Web Client")</f>
        <v>Twitter Web Client</v>
      </c>
      <c r="J1771" s="2">
        <v>288</v>
      </c>
      <c r="K1771" s="2">
        <v>230</v>
      </c>
      <c r="L1771" s="2">
        <v>87</v>
      </c>
      <c r="M1771" s="2"/>
      <c r="N1771" s="8">
        <v>41050.769884259258</v>
      </c>
      <c r="O1771" s="4"/>
      <c r="P1771" s="3" t="s">
        <v>3223</v>
      </c>
      <c r="Q1771" s="10" t="s">
        <v>3222</v>
      </c>
      <c r="R1771" s="4"/>
      <c r="S1771" s="9" t="str">
        <f>HYPERLINK("https://pbs.twimg.com/profile_images/821385868690751488/Qqe0I1Bk.jpg","View")</f>
        <v>View</v>
      </c>
    </row>
    <row r="1772" spans="1:19" ht="30">
      <c r="A1772" s="8">
        <v>43346.814837962964</v>
      </c>
      <c r="B1772" s="11" t="str">
        <f>HYPERLINK("https://twitter.com/hitchslap7","@hitchslap7")</f>
        <v>@hitchslap7</v>
      </c>
      <c r="C1772" s="6" t="s">
        <v>8518</v>
      </c>
      <c r="D1772" s="5" t="s">
        <v>12261</v>
      </c>
      <c r="E1772" s="9" t="str">
        <f>HYPERLINK("https://twitter.com/hitchslap7/status/1036630738878300162","1036630738878300162")</f>
        <v>1036630738878300162</v>
      </c>
      <c r="F1772" s="4"/>
      <c r="G1772" s="4"/>
      <c r="H1772" s="4"/>
      <c r="I1772" s="10" t="str">
        <f>HYPERLINK("http://twitter.com/download/android","Twitter for Android")</f>
        <v>Twitter for Android</v>
      </c>
      <c r="J1772" s="2">
        <v>505</v>
      </c>
      <c r="K1772" s="2">
        <v>488</v>
      </c>
      <c r="L1772" s="2">
        <v>0</v>
      </c>
      <c r="M1772" s="2"/>
      <c r="N1772" s="8">
        <v>42934.632407407407</v>
      </c>
      <c r="O1772" s="4" t="s">
        <v>252</v>
      </c>
      <c r="P1772" s="3" t="s">
        <v>8516</v>
      </c>
      <c r="Q1772" s="4"/>
      <c r="R1772" s="4"/>
      <c r="S1772" s="9" t="str">
        <f>HYPERLINK("https://pbs.twimg.com/profile_images/1013572973717049344/93iIYjvP.jpg","View")</f>
        <v>View</v>
      </c>
    </row>
    <row r="1773" spans="1:19" ht="30">
      <c r="A1773" s="8">
        <v>43346.813113425931</v>
      </c>
      <c r="B1773" s="11" t="str">
        <f>HYPERLINK("https://twitter.com/Mj01726355","@Mj01726355")</f>
        <v>@Mj01726355</v>
      </c>
      <c r="C1773" s="6" t="s">
        <v>12260</v>
      </c>
      <c r="D1773" s="5" t="s">
        <v>12259</v>
      </c>
      <c r="E1773" s="9" t="str">
        <f>HYPERLINK("https://twitter.com/Mj01726355/status/1036630114958802944","1036630114958802944")</f>
        <v>1036630114958802944</v>
      </c>
      <c r="F1773" s="4"/>
      <c r="G1773" s="4"/>
      <c r="H1773" s="4"/>
      <c r="I1773" s="10" t="str">
        <f>HYPERLINK("http://twitter.com/download/android","Twitter for Android")</f>
        <v>Twitter for Android</v>
      </c>
      <c r="J1773" s="2">
        <v>0</v>
      </c>
      <c r="K1773" s="2">
        <v>1</v>
      </c>
      <c r="L1773" s="2">
        <v>0</v>
      </c>
      <c r="M1773" s="2"/>
      <c r="N1773" s="8">
        <v>43340.826006944444</v>
      </c>
      <c r="O1773" s="4"/>
      <c r="P1773" s="3"/>
      <c r="Q1773" s="4"/>
      <c r="R1773" s="4"/>
      <c r="S1773" s="2" t="s">
        <v>155</v>
      </c>
    </row>
    <row r="1774" spans="1:19" ht="70">
      <c r="A1774" s="8">
        <v>43346.810833333337</v>
      </c>
      <c r="B1774" s="11" t="str">
        <f>HYPERLINK("https://twitter.com/afshinazizi_nik","@afshinazizi_nik")</f>
        <v>@afshinazizi_nik</v>
      </c>
      <c r="C1774" s="6" t="s">
        <v>12258</v>
      </c>
      <c r="D1774" s="5" t="s">
        <v>12257</v>
      </c>
      <c r="E1774" s="9" t="str">
        <f>HYPERLINK("https://twitter.com/afshinazizi_nik/status/1036629288953503746","1036629288953503746")</f>
        <v>1036629288953503746</v>
      </c>
      <c r="F1774" s="10" t="s">
        <v>12256</v>
      </c>
      <c r="G1774" s="10" t="s">
        <v>12255</v>
      </c>
      <c r="H1774" s="4"/>
      <c r="I1774" s="10" t="str">
        <f>HYPERLINK("http://twitter.com/download/android","Twitter for Android")</f>
        <v>Twitter for Android</v>
      </c>
      <c r="J1774" s="2">
        <v>240</v>
      </c>
      <c r="K1774" s="2">
        <v>134</v>
      </c>
      <c r="L1774" s="2">
        <v>1</v>
      </c>
      <c r="M1774" s="2"/>
      <c r="N1774" s="8">
        <v>42893.927905092598</v>
      </c>
      <c r="O1774" s="4" t="s">
        <v>894</v>
      </c>
      <c r="P1774" s="3" t="s">
        <v>12254</v>
      </c>
      <c r="Q1774" s="10" t="s">
        <v>12253</v>
      </c>
      <c r="R1774" s="4"/>
      <c r="S1774" s="9" t="str">
        <f>HYPERLINK("https://pbs.twimg.com/profile_images/1031453006208950273/Ph2lw26g.jpg","View")</f>
        <v>View</v>
      </c>
    </row>
    <row r="1775" spans="1:19" ht="30">
      <c r="A1775" s="8">
        <v>43346.809756944444</v>
      </c>
      <c r="B1775" s="11" t="str">
        <f>HYPERLINK("https://twitter.com/bahare13933","@bahare13933")</f>
        <v>@bahare13933</v>
      </c>
      <c r="C1775" s="6" t="s">
        <v>12252</v>
      </c>
      <c r="D1775" s="5" t="s">
        <v>12251</v>
      </c>
      <c r="E1775" s="9" t="str">
        <f>HYPERLINK("https://twitter.com/bahare13933/status/1036628895888547841","1036628895888547841")</f>
        <v>1036628895888547841</v>
      </c>
      <c r="F1775" s="4"/>
      <c r="G1775" s="10" t="s">
        <v>12250</v>
      </c>
      <c r="H1775" s="4"/>
      <c r="I1775" s="10" t="str">
        <f>HYPERLINK("http://twitter.com","Twitter Web Client")</f>
        <v>Twitter Web Client</v>
      </c>
      <c r="J1775" s="2">
        <v>93</v>
      </c>
      <c r="K1775" s="2">
        <v>133</v>
      </c>
      <c r="L1775" s="2">
        <v>3</v>
      </c>
      <c r="M1775" s="2"/>
      <c r="N1775" s="8">
        <v>42278.996689814812</v>
      </c>
      <c r="O1775" s="4"/>
      <c r="P1775" s="3"/>
      <c r="Q1775" s="4"/>
      <c r="R1775" s="4"/>
      <c r="S1775" s="9" t="str">
        <f>HYPERLINK("https://pbs.twimg.com/profile_images/649684399580053504/sPGZiVMG.jpg","View")</f>
        <v>View</v>
      </c>
    </row>
    <row r="1776" spans="1:19" ht="40">
      <c r="A1776" s="8">
        <v>43346.808923611112</v>
      </c>
      <c r="B1776" s="11" t="str">
        <f>HYPERLINK("https://twitter.com/masoroosh","@masoroosh")</f>
        <v>@masoroosh</v>
      </c>
      <c r="C1776" s="6" t="s">
        <v>12249</v>
      </c>
      <c r="D1776" s="5" t="s">
        <v>12248</v>
      </c>
      <c r="E1776" s="9" t="str">
        <f>HYPERLINK("https://twitter.com/masoroosh/status/1036628593676374017","1036628593676374017")</f>
        <v>1036628593676374017</v>
      </c>
      <c r="F1776" s="4"/>
      <c r="G1776" s="4"/>
      <c r="H1776" s="4"/>
      <c r="I1776" s="10" t="str">
        <f>HYPERLINK("http://twitter.com/download/android","Twitter for Android")</f>
        <v>Twitter for Android</v>
      </c>
      <c r="J1776" s="2">
        <v>38</v>
      </c>
      <c r="K1776" s="2">
        <v>69</v>
      </c>
      <c r="L1776" s="2">
        <v>0</v>
      </c>
      <c r="M1776" s="2"/>
      <c r="N1776" s="8">
        <v>42183.254062499997</v>
      </c>
      <c r="O1776" s="4" t="s">
        <v>773</v>
      </c>
      <c r="P1776" s="3"/>
      <c r="Q1776" s="4"/>
      <c r="R1776" s="4"/>
      <c r="S1776" s="9" t="str">
        <f>HYPERLINK("https://pbs.twimg.com/profile_images/1011210298961940482/KrAI3wva.jpg","View")</f>
        <v>View</v>
      </c>
    </row>
    <row r="1777" spans="1:19" ht="20">
      <c r="A1777" s="8">
        <v>43346.806423611109</v>
      </c>
      <c r="B1777" s="11" t="str">
        <f>HYPERLINK("https://twitter.com/SMN_SRF","@SMN_SRF")</f>
        <v>@SMN_SRF</v>
      </c>
      <c r="C1777" s="6" t="s">
        <v>12247</v>
      </c>
      <c r="D1777" s="5" t="s">
        <v>12246</v>
      </c>
      <c r="E1777" s="9" t="str">
        <f>HYPERLINK("https://twitter.com/SMN_SRF/status/1036627689853968384","1036627689853968384")</f>
        <v>1036627689853968384</v>
      </c>
      <c r="F1777" s="4"/>
      <c r="G1777" s="4"/>
      <c r="H1777" s="4"/>
      <c r="I1777" s="10" t="str">
        <f>HYPERLINK("http://twitter.com/download/iphone","Twitter for iPhone")</f>
        <v>Twitter for iPhone</v>
      </c>
      <c r="J1777" s="2">
        <v>2198</v>
      </c>
      <c r="K1777" s="2">
        <v>1827</v>
      </c>
      <c r="L1777" s="2">
        <v>24</v>
      </c>
      <c r="M1777" s="2"/>
      <c r="N1777" s="8">
        <v>41790.306527777779</v>
      </c>
      <c r="O1777" s="4" t="s">
        <v>12245</v>
      </c>
      <c r="P1777" s="3" t="s">
        <v>12244</v>
      </c>
      <c r="Q1777" s="4"/>
      <c r="R1777" s="4"/>
      <c r="S1777" s="9" t="str">
        <f>HYPERLINK("https://pbs.twimg.com/profile_images/1009041528117817344/D2T69XUt.jpg","View")</f>
        <v>View</v>
      </c>
    </row>
    <row r="1778" spans="1:19" ht="20">
      <c r="A1778" s="8">
        <v>43346.805972222224</v>
      </c>
      <c r="B1778" s="11" t="str">
        <f>HYPERLINK("https://twitter.com/sheykh_mammad","@sheykh_mammad")</f>
        <v>@sheykh_mammad</v>
      </c>
      <c r="C1778" s="6" t="s">
        <v>12243</v>
      </c>
      <c r="D1778" s="5" t="s">
        <v>12242</v>
      </c>
      <c r="E1778" s="9" t="str">
        <f>HYPERLINK("https://twitter.com/sheykh_mammad/status/1036627526611808256","1036627526611808256")</f>
        <v>1036627526611808256</v>
      </c>
      <c r="F1778" s="4"/>
      <c r="G1778" s="10" t="s">
        <v>12241</v>
      </c>
      <c r="H1778" s="4"/>
      <c r="I1778" s="10" t="str">
        <f>HYPERLINK("http://twitter.com/download/iphone","Twitter for iPhone")</f>
        <v>Twitter for iPhone</v>
      </c>
      <c r="J1778" s="2">
        <v>184</v>
      </c>
      <c r="K1778" s="2">
        <v>411</v>
      </c>
      <c r="L1778" s="2">
        <v>1</v>
      </c>
      <c r="M1778" s="2"/>
      <c r="N1778" s="8">
        <v>42903.310335648144</v>
      </c>
      <c r="O1778" s="4"/>
      <c r="P1778" s="3" t="s">
        <v>12240</v>
      </c>
      <c r="Q1778" s="4"/>
      <c r="R1778" s="4"/>
      <c r="S1778" s="9" t="str">
        <f>HYPERLINK("https://pbs.twimg.com/profile_images/1023273047820840960/Zevj_UdI.jpg","View")</f>
        <v>View</v>
      </c>
    </row>
    <row r="1779" spans="1:19" ht="30">
      <c r="A1779" s="8">
        <v>43346.802812499998</v>
      </c>
      <c r="B1779" s="11" t="str">
        <f>HYPERLINK("https://twitter.com/lRANI_zade","@lRANI_zade")</f>
        <v>@lRANI_zade</v>
      </c>
      <c r="C1779" s="6" t="s">
        <v>12239</v>
      </c>
      <c r="D1779" s="5" t="s">
        <v>12238</v>
      </c>
      <c r="E1779" s="9" t="str">
        <f>HYPERLINK("https://twitter.com/lRANI_zade/status/1036626382904860672","1036626382904860672")</f>
        <v>1036626382904860672</v>
      </c>
      <c r="F1779" s="4"/>
      <c r="G1779" s="4"/>
      <c r="H1779" s="4"/>
      <c r="I1779" s="10" t="str">
        <f>HYPERLINK("https://mobile.twitter.com","Twitter Lite")</f>
        <v>Twitter Lite</v>
      </c>
      <c r="J1779" s="2">
        <v>271</v>
      </c>
      <c r="K1779" s="2">
        <v>158</v>
      </c>
      <c r="L1779" s="2">
        <v>0</v>
      </c>
      <c r="M1779" s="2"/>
      <c r="N1779" s="8">
        <v>42138.967199074075</v>
      </c>
      <c r="O1779" s="4"/>
      <c r="P1779" s="3" t="s">
        <v>12237</v>
      </c>
      <c r="Q1779" s="4"/>
      <c r="R1779" s="4"/>
      <c r="S1779" s="9" t="str">
        <f>HYPERLINK("https://pbs.twimg.com/profile_images/990306386440437766/Z7MNZBRa.jpg","View")</f>
        <v>View</v>
      </c>
    </row>
    <row r="1780" spans="1:19" ht="40">
      <c r="A1780" s="8">
        <v>43346.801979166667</v>
      </c>
      <c r="B1780" s="11" t="str">
        <f>HYPERLINK("https://twitter.com/shoresh61","@shoresh61")</f>
        <v>@shoresh61</v>
      </c>
      <c r="C1780" s="6" t="s">
        <v>2540</v>
      </c>
      <c r="D1780" s="5" t="s">
        <v>12236</v>
      </c>
      <c r="E1780" s="9" t="str">
        <f>HYPERLINK("https://twitter.com/shoresh61/status/1036626077471391745","1036626077471391745")</f>
        <v>1036626077471391745</v>
      </c>
      <c r="F1780" s="4"/>
      <c r="G1780" s="4"/>
      <c r="H1780" s="4"/>
      <c r="I1780" s="10" t="str">
        <f>HYPERLINK("http://twitter.com/download/android","Twitter for Android")</f>
        <v>Twitter for Android</v>
      </c>
      <c r="J1780" s="2">
        <v>12157</v>
      </c>
      <c r="K1780" s="2">
        <v>7449</v>
      </c>
      <c r="L1780" s="2">
        <v>16</v>
      </c>
      <c r="M1780" s="2"/>
      <c r="N1780" s="8">
        <v>41707.846446759257</v>
      </c>
      <c r="O1780" s="4" t="s">
        <v>2538</v>
      </c>
      <c r="P1780" s="3" t="s">
        <v>2537</v>
      </c>
      <c r="Q1780" s="10" t="s">
        <v>2536</v>
      </c>
      <c r="R1780" s="4"/>
      <c r="S1780" s="9" t="str">
        <f>HYPERLINK("https://pbs.twimg.com/profile_images/944544717194301442/frY1ROFo.jpg","View")</f>
        <v>View</v>
      </c>
    </row>
    <row r="1781" spans="1:19" ht="20">
      <c r="A1781" s="8">
        <v>43346.799212962964</v>
      </c>
      <c r="B1781" s="11" t="str">
        <f>HYPERLINK("https://twitter.com/seyyedhamid71","@seyyedhamid71")</f>
        <v>@seyyedhamid71</v>
      </c>
      <c r="C1781" s="6" t="s">
        <v>341</v>
      </c>
      <c r="D1781" s="5" t="s">
        <v>12235</v>
      </c>
      <c r="E1781" s="9" t="str">
        <f>HYPERLINK("https://twitter.com/seyyedhamid71/status/1036625077188608000","1036625077188608000")</f>
        <v>1036625077188608000</v>
      </c>
      <c r="F1781" s="4"/>
      <c r="G1781" s="10" t="s">
        <v>12234</v>
      </c>
      <c r="H1781" s="4"/>
      <c r="I1781" s="10" t="str">
        <f>HYPERLINK("http://twitter.com/download/android","Twitter for Android")</f>
        <v>Twitter for Android</v>
      </c>
      <c r="J1781" s="2">
        <v>3755</v>
      </c>
      <c r="K1781" s="2">
        <v>1246</v>
      </c>
      <c r="L1781" s="2">
        <v>9</v>
      </c>
      <c r="M1781" s="2"/>
      <c r="N1781" s="8">
        <v>42820.588761574079</v>
      </c>
      <c r="O1781" s="4" t="s">
        <v>190</v>
      </c>
      <c r="P1781" s="3" t="s">
        <v>339</v>
      </c>
      <c r="Q1781" s="4"/>
      <c r="R1781" s="4"/>
      <c r="S1781" s="9" t="str">
        <f>HYPERLINK("https://pbs.twimg.com/profile_images/1015649028317597696/0qJfoP8K.jpg","View")</f>
        <v>View</v>
      </c>
    </row>
    <row r="1782" spans="1:19" ht="20">
      <c r="A1782" s="8">
        <v>43346.796006944445</v>
      </c>
      <c r="B1782" s="11" t="str">
        <f>HYPERLINK("https://twitter.com/maryamshahraki6","@maryamshahraki6")</f>
        <v>@maryamshahraki6</v>
      </c>
      <c r="C1782" s="6" t="s">
        <v>12233</v>
      </c>
      <c r="D1782" s="5" t="s">
        <v>12232</v>
      </c>
      <c r="E1782" s="9" t="str">
        <f>HYPERLINK("https://twitter.com/maryamshahraki6/status/1036623914426949633","1036623914426949633")</f>
        <v>1036623914426949633</v>
      </c>
      <c r="F1782" s="4"/>
      <c r="G1782" s="4"/>
      <c r="H1782" s="4"/>
      <c r="I1782" s="10" t="str">
        <f>HYPERLINK("http://twitter.com/download/android","Twitter for Android")</f>
        <v>Twitter for Android</v>
      </c>
      <c r="J1782" s="2">
        <v>474</v>
      </c>
      <c r="K1782" s="2">
        <v>337</v>
      </c>
      <c r="L1782" s="2">
        <v>0</v>
      </c>
      <c r="M1782" s="2"/>
      <c r="N1782" s="8">
        <v>42948.876967592594</v>
      </c>
      <c r="O1782" s="4"/>
      <c r="P1782" s="3"/>
      <c r="Q1782" s="4"/>
      <c r="R1782" s="4"/>
      <c r="S1782" s="9" t="str">
        <f>HYPERLINK("https://pbs.twimg.com/profile_images/1017328836508340226/g1gagcat.jpg","View")</f>
        <v>View</v>
      </c>
    </row>
    <row r="1783" spans="1:19" ht="40">
      <c r="A1783" s="8">
        <v>43346.794270833328</v>
      </c>
      <c r="B1783" s="11" t="str">
        <f>HYPERLINK("https://twitter.com/toofan_toofani","@toofan_toofani")</f>
        <v>@toofan_toofani</v>
      </c>
      <c r="C1783" s="6" t="s">
        <v>11159</v>
      </c>
      <c r="D1783" s="5" t="s">
        <v>12231</v>
      </c>
      <c r="E1783" s="9" t="str">
        <f>HYPERLINK("https://twitter.com/toofan_toofani/status/1036623284597604355","1036623284597604355")</f>
        <v>1036623284597604355</v>
      </c>
      <c r="F1783" s="4"/>
      <c r="G1783" s="4"/>
      <c r="H1783" s="4"/>
      <c r="I1783" s="10" t="str">
        <f>HYPERLINK("http://twitter.com/download/android","Twitter for Android")</f>
        <v>Twitter for Android</v>
      </c>
      <c r="J1783" s="2">
        <v>1612</v>
      </c>
      <c r="K1783" s="2">
        <v>1258</v>
      </c>
      <c r="L1783" s="2">
        <v>6</v>
      </c>
      <c r="M1783" s="2"/>
      <c r="N1783" s="8">
        <v>42659.918935185182</v>
      </c>
      <c r="O1783" s="4"/>
      <c r="P1783" s="3" t="s">
        <v>11156</v>
      </c>
      <c r="Q1783" s="4"/>
      <c r="R1783" s="4"/>
      <c r="S1783" s="9" t="str">
        <f>HYPERLINK("https://pbs.twimg.com/profile_images/953010250206113797/Sp0nkh7G.jpg","View")</f>
        <v>View</v>
      </c>
    </row>
    <row r="1784" spans="1:19" ht="40">
      <c r="A1784" s="8">
        <v>43346.793935185182</v>
      </c>
      <c r="B1784" s="11" t="str">
        <f>HYPERLINK("https://twitter.com/RafatiSiavash","@RafatiSiavash")</f>
        <v>@RafatiSiavash</v>
      </c>
      <c r="C1784" s="6" t="s">
        <v>3226</v>
      </c>
      <c r="D1784" s="5" t="s">
        <v>12230</v>
      </c>
      <c r="E1784" s="9" t="str">
        <f>HYPERLINK("https://twitter.com/RafatiSiavash/status/1036623163591929856","1036623163591929856")</f>
        <v>1036623163591929856</v>
      </c>
      <c r="F1784" s="4"/>
      <c r="G1784" s="4"/>
      <c r="H1784" s="4"/>
      <c r="I1784" s="10" t="str">
        <f>HYPERLINK("http://twitter.com","Twitter Web Client")</f>
        <v>Twitter Web Client</v>
      </c>
      <c r="J1784" s="2">
        <v>288</v>
      </c>
      <c r="K1784" s="2">
        <v>230</v>
      </c>
      <c r="L1784" s="2">
        <v>87</v>
      </c>
      <c r="M1784" s="2"/>
      <c r="N1784" s="8">
        <v>41050.769884259258</v>
      </c>
      <c r="O1784" s="4"/>
      <c r="P1784" s="3" t="s">
        <v>3223</v>
      </c>
      <c r="Q1784" s="10" t="s">
        <v>3222</v>
      </c>
      <c r="R1784" s="4"/>
      <c r="S1784" s="9" t="str">
        <f>HYPERLINK("https://pbs.twimg.com/profile_images/821385868690751488/Qqe0I1Bk.jpg","View")</f>
        <v>View</v>
      </c>
    </row>
    <row r="1785" spans="1:19" ht="30">
      <c r="A1785" s="8">
        <v>43346.793009259258</v>
      </c>
      <c r="B1785" s="11" t="str">
        <f>HYPERLINK("https://twitter.com/hasanerohani","@hasanerohani")</f>
        <v>@hasanerohani</v>
      </c>
      <c r="C1785" s="6" t="s">
        <v>12229</v>
      </c>
      <c r="D1785" s="5" t="s">
        <v>12228</v>
      </c>
      <c r="E1785" s="9" t="str">
        <f>HYPERLINK("https://twitter.com/hasanerohani/status/1036622826978062341","1036622826978062341")</f>
        <v>1036622826978062341</v>
      </c>
      <c r="F1785" s="4"/>
      <c r="G1785" s="4"/>
      <c r="H1785" s="4"/>
      <c r="I1785" s="10" t="str">
        <f>HYPERLINK("http://twitter.com/download/iphone","Twitter for iPhone")</f>
        <v>Twitter for iPhone</v>
      </c>
      <c r="J1785" s="2">
        <v>27</v>
      </c>
      <c r="K1785" s="2">
        <v>3</v>
      </c>
      <c r="L1785" s="2">
        <v>0</v>
      </c>
      <c r="M1785" s="2"/>
      <c r="N1785" s="8">
        <v>43246.04305555555</v>
      </c>
      <c r="O1785" s="4" t="s">
        <v>17</v>
      </c>
      <c r="P1785" s="3" t="s">
        <v>12227</v>
      </c>
      <c r="Q1785" s="4"/>
      <c r="R1785" s="4"/>
      <c r="S1785" s="9" t="str">
        <f>HYPERLINK("https://pbs.twimg.com/profile_images/1000113718913576960/syJDqwDs.jpg","View")</f>
        <v>View</v>
      </c>
    </row>
    <row r="1786" spans="1:19" ht="50">
      <c r="A1786" s="8">
        <v>43346.79215277778</v>
      </c>
      <c r="B1786" s="11" t="str">
        <f>HYPERLINK("https://twitter.com/sepehr_khorami","@sepehr_khorami")</f>
        <v>@sepehr_khorami</v>
      </c>
      <c r="C1786" s="6" t="s">
        <v>12226</v>
      </c>
      <c r="D1786" s="5" t="s">
        <v>12225</v>
      </c>
      <c r="E1786" s="9" t="str">
        <f>HYPERLINK("https://twitter.com/sepehr_khorami/status/1036622518344458242","1036622518344458242")</f>
        <v>1036622518344458242</v>
      </c>
      <c r="F1786" s="10" t="s">
        <v>12224</v>
      </c>
      <c r="G1786" s="4"/>
      <c r="H1786" s="4"/>
      <c r="I1786" s="10" t="str">
        <f>HYPERLINK("http://twitter.com/download/android","Twitter for Android")</f>
        <v>Twitter for Android</v>
      </c>
      <c r="J1786" s="2">
        <v>3152</v>
      </c>
      <c r="K1786" s="2">
        <v>978</v>
      </c>
      <c r="L1786" s="2">
        <v>21</v>
      </c>
      <c r="M1786" s="2"/>
      <c r="N1786" s="8">
        <v>42861.588171296295</v>
      </c>
      <c r="O1786" s="4" t="s">
        <v>133</v>
      </c>
      <c r="P1786" s="3" t="s">
        <v>12223</v>
      </c>
      <c r="Q1786" s="4"/>
      <c r="R1786" s="4"/>
      <c r="S1786" s="9" t="str">
        <f>HYPERLINK("https://pbs.twimg.com/profile_images/1031668416090963968/OYJvX9q_.jpg","View")</f>
        <v>View</v>
      </c>
    </row>
    <row r="1787" spans="1:19" ht="40">
      <c r="A1787" s="8">
        <v>43346.79210648148</v>
      </c>
      <c r="B1787" s="11" t="str">
        <f>HYPERLINK("https://twitter.com/Farrokh631","@Farrokh631")</f>
        <v>@Farrokh631</v>
      </c>
      <c r="C1787" s="6" t="s">
        <v>2714</v>
      </c>
      <c r="D1787" s="5" t="s">
        <v>12222</v>
      </c>
      <c r="E1787" s="9" t="str">
        <f>HYPERLINK("https://twitter.com/Farrokh631/status/1036622500346527744","1036622500346527744")</f>
        <v>1036622500346527744</v>
      </c>
      <c r="F1787" s="4"/>
      <c r="G1787" s="4"/>
      <c r="H1787" s="4"/>
      <c r="I1787" s="10" t="str">
        <f>HYPERLINK("http://twitter.com","Twitter Web Client")</f>
        <v>Twitter Web Client</v>
      </c>
      <c r="J1787" s="2">
        <v>89</v>
      </c>
      <c r="K1787" s="2">
        <v>80</v>
      </c>
      <c r="L1787" s="2">
        <v>0</v>
      </c>
      <c r="M1787" s="2"/>
      <c r="N1787" s="8">
        <v>43069.015092592592</v>
      </c>
      <c r="O1787" s="4" t="s">
        <v>34</v>
      </c>
      <c r="P1787" s="3" t="s">
        <v>2712</v>
      </c>
      <c r="Q1787" s="4"/>
      <c r="R1787" s="4"/>
      <c r="S1787" s="9" t="str">
        <f>HYPERLINK("https://pbs.twimg.com/profile_images/944317757448949760/Lvj8icjq.jpg","View")</f>
        <v>View</v>
      </c>
    </row>
    <row r="1788" spans="1:19" ht="30">
      <c r="A1788" s="8">
        <v>43346.791342592594</v>
      </c>
      <c r="B1788" s="11" t="str">
        <f>HYPERLINK("https://twitter.com/Milad__rft","@Milad__rft")</f>
        <v>@Milad__rft</v>
      </c>
      <c r="C1788" s="6" t="s">
        <v>4821</v>
      </c>
      <c r="D1788" s="5" t="s">
        <v>12221</v>
      </c>
      <c r="E1788" s="9" t="str">
        <f>HYPERLINK("https://twitter.com/Milad__rft/status/1036622224512274432","1036622224512274432")</f>
        <v>1036622224512274432</v>
      </c>
      <c r="F1788" s="4"/>
      <c r="G1788" s="4"/>
      <c r="H1788" s="4"/>
      <c r="I1788" s="10" t="str">
        <f>HYPERLINK("http://twitter.com/download/android","Twitter for Android")</f>
        <v>Twitter for Android</v>
      </c>
      <c r="J1788" s="2">
        <v>26</v>
      </c>
      <c r="K1788" s="2">
        <v>106</v>
      </c>
      <c r="L1788" s="2">
        <v>0</v>
      </c>
      <c r="M1788" s="2"/>
      <c r="N1788" s="8">
        <v>43026.0075462963</v>
      </c>
      <c r="O1788" s="4"/>
      <c r="P1788" s="3"/>
      <c r="Q1788" s="4"/>
      <c r="R1788" s="4"/>
      <c r="S1788" s="9" t="str">
        <f>HYPERLINK("https://pbs.twimg.com/profile_images/1030710596969422848/2ajuAu6f.jpg","View")</f>
        <v>View</v>
      </c>
    </row>
    <row r="1789" spans="1:19" ht="40">
      <c r="A1789" s="8">
        <v>43346.787870370375</v>
      </c>
      <c r="B1789" s="11" t="str">
        <f>HYPERLINK("https://twitter.com/Melika28994156","@Melika28994156")</f>
        <v>@Melika28994156</v>
      </c>
      <c r="C1789" s="6" t="s">
        <v>4860</v>
      </c>
      <c r="D1789" s="5" t="s">
        <v>12220</v>
      </c>
      <c r="E1789" s="9" t="str">
        <f>HYPERLINK("https://twitter.com/Melika28994156/status/1036620964648370177","1036620964648370177")</f>
        <v>1036620964648370177</v>
      </c>
      <c r="F1789" s="4"/>
      <c r="G1789" s="4"/>
      <c r="H1789" s="4"/>
      <c r="I1789" s="10" t="str">
        <f>HYPERLINK("http://twitter.com/download/iphone","Twitter for iPhone")</f>
        <v>Twitter for iPhone</v>
      </c>
      <c r="J1789" s="2">
        <v>200</v>
      </c>
      <c r="K1789" s="2">
        <v>279</v>
      </c>
      <c r="L1789" s="2">
        <v>0</v>
      </c>
      <c r="M1789" s="2"/>
      <c r="N1789" s="8">
        <v>43305.187893518523</v>
      </c>
      <c r="O1789" s="4" t="s">
        <v>3787</v>
      </c>
      <c r="P1789" s="3" t="s">
        <v>12219</v>
      </c>
      <c r="Q1789" s="10" t="s">
        <v>12218</v>
      </c>
      <c r="R1789" s="4"/>
      <c r="S1789" s="9" t="str">
        <f>HYPERLINK("https://pbs.twimg.com/profile_images/1035283766468431872/FXZ9WouX.jpg","View")</f>
        <v>View</v>
      </c>
    </row>
    <row r="1790" spans="1:19" ht="40">
      <c r="A1790" s="8">
        <v>43346.787164351852</v>
      </c>
      <c r="B1790" s="11" t="str">
        <f>HYPERLINK("https://twitter.com/hamshahrinews","@hamshahrinews")</f>
        <v>@hamshahrinews</v>
      </c>
      <c r="C1790" s="6" t="s">
        <v>2149</v>
      </c>
      <c r="D1790" s="5" t="s">
        <v>12217</v>
      </c>
      <c r="E1790" s="9" t="str">
        <f>HYPERLINK("https://twitter.com/hamshahrinews/status/1036620711429898242","1036620711429898242")</f>
        <v>1036620711429898242</v>
      </c>
      <c r="F1790" s="4"/>
      <c r="G1790" s="4"/>
      <c r="H1790" s="4"/>
      <c r="I1790" s="10" t="str">
        <f>HYPERLINK("http://twitter.com","Twitter Web Client")</f>
        <v>Twitter Web Client</v>
      </c>
      <c r="J1790" s="2">
        <v>1900</v>
      </c>
      <c r="K1790" s="2">
        <v>13</v>
      </c>
      <c r="L1790" s="2">
        <v>38</v>
      </c>
      <c r="M1790" s="2"/>
      <c r="N1790" s="8">
        <v>42984.575752314813</v>
      </c>
      <c r="O1790" s="4" t="s">
        <v>133</v>
      </c>
      <c r="P1790" s="3" t="s">
        <v>2146</v>
      </c>
      <c r="Q1790" s="10" t="s">
        <v>2145</v>
      </c>
      <c r="R1790" s="4"/>
      <c r="S1790" s="9" t="str">
        <f>HYPERLINK("https://pbs.twimg.com/profile_images/918008480631533568/-awyAU90.jpg","View")</f>
        <v>View</v>
      </c>
    </row>
    <row r="1791" spans="1:19" ht="40">
      <c r="A1791" s="8">
        <v>43346.785034722227</v>
      </c>
      <c r="B1791" s="11" t="str">
        <f>HYPERLINK("https://twitter.com/ManotoNews","@ManotoNews")</f>
        <v>@ManotoNews</v>
      </c>
      <c r="C1791" s="6" t="s">
        <v>1174</v>
      </c>
      <c r="D1791" s="5" t="s">
        <v>12216</v>
      </c>
      <c r="E1791" s="9" t="str">
        <f>HYPERLINK("https://twitter.com/ManotoNews/status/1036619937287217152","1036619937287217152")</f>
        <v>1036619937287217152</v>
      </c>
      <c r="F1791" s="4"/>
      <c r="G1791" s="4"/>
      <c r="H1791" s="4"/>
      <c r="I1791" s="10" t="str">
        <f>HYPERLINK("http://www.socialflow.com","SocialFlow")</f>
        <v>SocialFlow</v>
      </c>
      <c r="J1791" s="2">
        <v>448001</v>
      </c>
      <c r="K1791" s="2">
        <v>16</v>
      </c>
      <c r="L1791" s="2">
        <v>616</v>
      </c>
      <c r="M1791" s="2" t="s">
        <v>80</v>
      </c>
      <c r="N1791" s="8">
        <v>40859.711631944447</v>
      </c>
      <c r="O1791" s="4" t="s">
        <v>460</v>
      </c>
      <c r="P1791" s="3" t="s">
        <v>1171</v>
      </c>
      <c r="Q1791" s="10" t="s">
        <v>1170</v>
      </c>
      <c r="R1791" s="4"/>
      <c r="S1791" s="9" t="str">
        <f>HYPERLINK("https://pbs.twimg.com/profile_images/976899507744051201/07FIeivp.jpg","View")</f>
        <v>View</v>
      </c>
    </row>
    <row r="1792" spans="1:19" ht="20">
      <c r="A1792" s="8">
        <v>43346.781701388885</v>
      </c>
      <c r="B1792" s="11" t="str">
        <f>HYPERLINK("https://twitter.com/2wZBX5ZjIXuUUjp","@2wZBX5ZjIXuUUjp")</f>
        <v>@2wZBX5ZjIXuUUjp</v>
      </c>
      <c r="C1792" s="6" t="s">
        <v>7193</v>
      </c>
      <c r="D1792" s="5" t="s">
        <v>12215</v>
      </c>
      <c r="E1792" s="9" t="str">
        <f>HYPERLINK("https://twitter.com/2wZBX5ZjIXuUUjp/status/1036618731915542528","1036618731915542528")</f>
        <v>1036618731915542528</v>
      </c>
      <c r="F1792" s="4"/>
      <c r="G1792" s="4"/>
      <c r="H1792" s="4"/>
      <c r="I1792" s="10" t="str">
        <f>HYPERLINK("http://twitter.com/download/android","Twitter for Android")</f>
        <v>Twitter for Android</v>
      </c>
      <c r="J1792" s="2">
        <v>25</v>
      </c>
      <c r="K1792" s="2">
        <v>22</v>
      </c>
      <c r="L1792" s="2">
        <v>0</v>
      </c>
      <c r="M1792" s="2"/>
      <c r="N1792" s="8">
        <v>43329.861805555556</v>
      </c>
      <c r="O1792" s="4"/>
      <c r="P1792" s="3" t="s">
        <v>7190</v>
      </c>
      <c r="Q1792" s="4"/>
      <c r="R1792" s="4"/>
      <c r="S1792" s="9" t="str">
        <f>HYPERLINK("https://pbs.twimg.com/profile_images/1030522263362318336/Bp9iLWPi.jpg","View")</f>
        <v>View</v>
      </c>
    </row>
    <row r="1793" spans="1:19" ht="40">
      <c r="A1793" s="8">
        <v>43346.781030092592</v>
      </c>
      <c r="B1793" s="11" t="str">
        <f>HYPERLINK("https://twitter.com/RafatiSiavash","@RafatiSiavash")</f>
        <v>@RafatiSiavash</v>
      </c>
      <c r="C1793" s="6" t="s">
        <v>3226</v>
      </c>
      <c r="D1793" s="5" t="s">
        <v>12214</v>
      </c>
      <c r="E1793" s="9" t="str">
        <f>HYPERLINK("https://twitter.com/RafatiSiavash/status/1036618488117379072","1036618488117379072")</f>
        <v>1036618488117379072</v>
      </c>
      <c r="F1793" s="10" t="s">
        <v>12213</v>
      </c>
      <c r="G1793" s="4"/>
      <c r="H1793" s="4"/>
      <c r="I1793" s="10" t="str">
        <f>HYPERLINK("http://twitter.com","Twitter Web Client")</f>
        <v>Twitter Web Client</v>
      </c>
      <c r="J1793" s="2">
        <v>288</v>
      </c>
      <c r="K1793" s="2">
        <v>230</v>
      </c>
      <c r="L1793" s="2">
        <v>87</v>
      </c>
      <c r="M1793" s="2"/>
      <c r="N1793" s="8">
        <v>41050.769884259258</v>
      </c>
      <c r="O1793" s="4"/>
      <c r="P1793" s="3" t="s">
        <v>3223</v>
      </c>
      <c r="Q1793" s="10" t="s">
        <v>3222</v>
      </c>
      <c r="R1793" s="4"/>
      <c r="S1793" s="9" t="str">
        <f>HYPERLINK("https://pbs.twimg.com/profile_images/821385868690751488/Qqe0I1Bk.jpg","View")</f>
        <v>View</v>
      </c>
    </row>
    <row r="1794" spans="1:19" ht="40">
      <c r="A1794" s="8">
        <v>43346.771296296298</v>
      </c>
      <c r="B1794" s="11" t="str">
        <f>HYPERLINK("https://twitter.com/SushiansH","@SushiansH")</f>
        <v>@SushiansH</v>
      </c>
      <c r="C1794" s="6" t="s">
        <v>2231</v>
      </c>
      <c r="D1794" s="5" t="s">
        <v>12212</v>
      </c>
      <c r="E1794" s="9" t="str">
        <f>HYPERLINK("https://twitter.com/SushiansH/status/1036614961668206592","1036614961668206592")</f>
        <v>1036614961668206592</v>
      </c>
      <c r="F1794" s="4"/>
      <c r="G1794" s="4"/>
      <c r="H1794" s="4"/>
      <c r="I1794" s="10" t="str">
        <f>HYPERLINK("http://twitter.com/download/android","Twitter for Android")</f>
        <v>Twitter for Android</v>
      </c>
      <c r="J1794" s="2">
        <v>75</v>
      </c>
      <c r="K1794" s="2">
        <v>153</v>
      </c>
      <c r="L1794" s="2">
        <v>0</v>
      </c>
      <c r="M1794" s="2"/>
      <c r="N1794" s="8">
        <v>43261.064687499995</v>
      </c>
      <c r="O1794" s="4" t="s">
        <v>34</v>
      </c>
      <c r="P1794" s="3" t="s">
        <v>2229</v>
      </c>
      <c r="Q1794" s="4"/>
      <c r="R1794" s="4"/>
      <c r="S1794" s="9" t="str">
        <f>HYPERLINK("https://pbs.twimg.com/profile_images/1005558117738926080/jT-GBMIX.jpg","View")</f>
        <v>View</v>
      </c>
    </row>
    <row r="1795" spans="1:19" ht="40">
      <c r="A1795" s="8">
        <v>43346.770254629635</v>
      </c>
      <c r="B1795" s="11" t="str">
        <f>HYPERLINK("https://twitter.com/AkbarAzBarzakh","@AkbarAzBarzakh")</f>
        <v>@AkbarAzBarzakh</v>
      </c>
      <c r="C1795" s="6" t="s">
        <v>12211</v>
      </c>
      <c r="D1795" s="5" t="s">
        <v>12210</v>
      </c>
      <c r="E1795" s="9" t="str">
        <f>HYPERLINK("https://twitter.com/AkbarAzBarzakh/status/1036614582234701825","1036614582234701825")</f>
        <v>1036614582234701825</v>
      </c>
      <c r="F1795" s="4"/>
      <c r="G1795" s="10" t="s">
        <v>12209</v>
      </c>
      <c r="H1795" s="4"/>
      <c r="I1795" s="10" t="str">
        <f>HYPERLINK("http://twitter.com/download/android","Twitter for Android")</f>
        <v>Twitter for Android</v>
      </c>
      <c r="J1795" s="2">
        <v>1155</v>
      </c>
      <c r="K1795" s="2">
        <v>2370</v>
      </c>
      <c r="L1795" s="2">
        <v>0</v>
      </c>
      <c r="M1795" s="2"/>
      <c r="N1795" s="8">
        <v>43244.000648148147</v>
      </c>
      <c r="O1795" s="4"/>
      <c r="P1795" s="3" t="s">
        <v>12208</v>
      </c>
      <c r="Q1795" s="4"/>
      <c r="R1795" s="4"/>
      <c r="S1795" s="9" t="str">
        <f>HYPERLINK("https://pbs.twimg.com/profile_images/1004204873464909824/9iUJbXMD.jpg","View")</f>
        <v>View</v>
      </c>
    </row>
    <row r="1796" spans="1:19" ht="40">
      <c r="A1796" s="8">
        <v>43346.768773148149</v>
      </c>
      <c r="B1796" s="11" t="str">
        <f>HYPERLINK("https://twitter.com/MhMirzahasan","@MhMirzahasan")</f>
        <v>@MhMirzahasan</v>
      </c>
      <c r="C1796" s="6" t="s">
        <v>10189</v>
      </c>
      <c r="D1796" s="5" t="s">
        <v>12207</v>
      </c>
      <c r="E1796" s="9" t="str">
        <f>HYPERLINK("https://twitter.com/MhMirzahasan/status/1036614047616131072","1036614047616131072")</f>
        <v>1036614047616131072</v>
      </c>
      <c r="F1796" s="4"/>
      <c r="G1796" s="10" t="s">
        <v>12206</v>
      </c>
      <c r="H1796" s="4"/>
      <c r="I1796" s="10" t="str">
        <f>HYPERLINK("http://twitter.com","Twitter Web Client")</f>
        <v>Twitter Web Client</v>
      </c>
      <c r="J1796" s="2">
        <v>3511</v>
      </c>
      <c r="K1796" s="2">
        <v>4911</v>
      </c>
      <c r="L1796" s="2">
        <v>3</v>
      </c>
      <c r="M1796" s="2"/>
      <c r="N1796" s="8">
        <v>43240.666620370372</v>
      </c>
      <c r="O1796" s="4" t="s">
        <v>34</v>
      </c>
      <c r="P1796" s="3" t="s">
        <v>12205</v>
      </c>
      <c r="Q1796" s="4"/>
      <c r="R1796" s="4"/>
      <c r="S1796" s="9" t="str">
        <f>HYPERLINK("https://pbs.twimg.com/profile_images/1000343440654290944/PxsRsLeU.jpg","View")</f>
        <v>View</v>
      </c>
    </row>
    <row r="1797" spans="1:19" ht="40">
      <c r="A1797" s="8">
        <v>43346.768090277779</v>
      </c>
      <c r="B1797" s="11" t="str">
        <f>HYPERLINK("https://twitter.com/Alibig71","@Alibig71")</f>
        <v>@Alibig71</v>
      </c>
      <c r="C1797" s="6" t="s">
        <v>12204</v>
      </c>
      <c r="D1797" s="5" t="s">
        <v>12203</v>
      </c>
      <c r="E1797" s="9" t="str">
        <f>HYPERLINK("https://twitter.com/Alibig71/status/1036613796557713408","1036613796557713408")</f>
        <v>1036613796557713408</v>
      </c>
      <c r="F1797" s="4"/>
      <c r="G1797" s="10" t="s">
        <v>12202</v>
      </c>
      <c r="H1797" s="4"/>
      <c r="I1797" s="10" t="str">
        <f>HYPERLINK("http://twitter.com/download/iphone","Twitter for iPhone")</f>
        <v>Twitter for iPhone</v>
      </c>
      <c r="J1797" s="2">
        <v>445</v>
      </c>
      <c r="K1797" s="2">
        <v>944</v>
      </c>
      <c r="L1797" s="2">
        <v>2</v>
      </c>
      <c r="M1797" s="2"/>
      <c r="N1797" s="8">
        <v>42399.936736111107</v>
      </c>
      <c r="O1797" s="4"/>
      <c r="P1797" s="3" t="s">
        <v>12201</v>
      </c>
      <c r="Q1797" s="10" t="s">
        <v>12200</v>
      </c>
      <c r="R1797" s="4"/>
      <c r="S1797" s="9" t="str">
        <f>HYPERLINK("https://pbs.twimg.com/profile_images/870429079325036545/wT3DUmOo.jpg","View")</f>
        <v>View</v>
      </c>
    </row>
    <row r="1798" spans="1:19" ht="20">
      <c r="A1798" s="8">
        <v>43346.767939814818</v>
      </c>
      <c r="B1798" s="11" t="str">
        <f>HYPERLINK("https://twitter.com/raha_nikzad","@raha_nikzad")</f>
        <v>@raha_nikzad</v>
      </c>
      <c r="C1798" s="6" t="s">
        <v>12199</v>
      </c>
      <c r="D1798" s="12" t="s">
        <v>12198</v>
      </c>
      <c r="E1798" s="9" t="str">
        <f>HYPERLINK("https://twitter.com/raha_nikzad/status/1036613743717711872","1036613743717711872")</f>
        <v>1036613743717711872</v>
      </c>
      <c r="F1798" s="4"/>
      <c r="G1798" s="4"/>
      <c r="H1798" s="4"/>
      <c r="I1798" s="10" t="str">
        <f>HYPERLINK("http://twitter.com","Twitter Web Client")</f>
        <v>Twitter Web Client</v>
      </c>
      <c r="J1798" s="2">
        <v>3268</v>
      </c>
      <c r="K1798" s="2">
        <v>4996</v>
      </c>
      <c r="L1798" s="2">
        <v>1</v>
      </c>
      <c r="M1798" s="2"/>
      <c r="N1798" s="8">
        <v>43146.090543981481</v>
      </c>
      <c r="O1798" s="4"/>
      <c r="P1798" s="3" t="s">
        <v>12197</v>
      </c>
      <c r="Q1798" s="4"/>
      <c r="R1798" s="4"/>
      <c r="S1798" s="9" t="str">
        <f>HYPERLINK("https://pbs.twimg.com/profile_images/1009014093288620032/RGnPYjA4.jpg","View")</f>
        <v>View</v>
      </c>
    </row>
    <row r="1799" spans="1:19" ht="40">
      <c r="A1799" s="8">
        <v>43346.766388888893</v>
      </c>
      <c r="B1799" s="11" t="str">
        <f>HYPERLINK("https://twitter.com/m_ghaedi","@m_ghaedi")</f>
        <v>@m_ghaedi</v>
      </c>
      <c r="C1799" s="6" t="s">
        <v>3418</v>
      </c>
      <c r="D1799" s="5" t="s">
        <v>12196</v>
      </c>
      <c r="E1799" s="9" t="str">
        <f>HYPERLINK("https://twitter.com/m_ghaedi/status/1036613182851362818","1036613182851362818")</f>
        <v>1036613182851362818</v>
      </c>
      <c r="F1799" s="4"/>
      <c r="G1799" s="4"/>
      <c r="H1799" s="4"/>
      <c r="I1799" s="10" t="str">
        <f>HYPERLINK("http://twitter.com/download/android","Twitter for Android")</f>
        <v>Twitter for Android</v>
      </c>
      <c r="J1799" s="2">
        <v>5174</v>
      </c>
      <c r="K1799" s="2">
        <v>3164</v>
      </c>
      <c r="L1799" s="2">
        <v>17</v>
      </c>
      <c r="M1799" s="2"/>
      <c r="N1799" s="8">
        <v>42742.733136574076</v>
      </c>
      <c r="O1799" s="4" t="s">
        <v>310</v>
      </c>
      <c r="P1799" s="3" t="s">
        <v>12195</v>
      </c>
      <c r="Q1799" s="4"/>
      <c r="R1799" s="4"/>
      <c r="S1799" s="9" t="str">
        <f>HYPERLINK("https://pbs.twimg.com/profile_images/1021356154029518848/T8pKb5xe.jpg","View")</f>
        <v>View</v>
      </c>
    </row>
    <row r="1800" spans="1:19" ht="12.5">
      <c r="A1800" s="8">
        <v>43346.766342592593</v>
      </c>
      <c r="B1800" s="11" t="str">
        <f>HYPERLINK("https://twitter.com/sharghpress","@sharghpress")</f>
        <v>@sharghpress</v>
      </c>
      <c r="C1800" s="6" t="s">
        <v>12194</v>
      </c>
      <c r="D1800" s="5" t="s">
        <v>12193</v>
      </c>
      <c r="E1800" s="9" t="str">
        <f>HYPERLINK("https://twitter.com/sharghpress/status/1036613165000392705","1036613165000392705")</f>
        <v>1036613165000392705</v>
      </c>
      <c r="F1800" s="10" t="s">
        <v>12192</v>
      </c>
      <c r="G1800" s="10" t="s">
        <v>12191</v>
      </c>
      <c r="H1800" s="4"/>
      <c r="I1800" s="10" t="str">
        <f>HYPERLINK("https://buffer.com","Buffer")</f>
        <v>Buffer</v>
      </c>
      <c r="J1800" s="2">
        <v>39</v>
      </c>
      <c r="K1800" s="2">
        <v>31</v>
      </c>
      <c r="L1800" s="2">
        <v>0</v>
      </c>
      <c r="M1800" s="2"/>
      <c r="N1800" s="8">
        <v>43054.542013888888</v>
      </c>
      <c r="O1800" s="4"/>
      <c r="P1800" s="3"/>
      <c r="Q1800" s="4"/>
      <c r="R1800" s="4"/>
      <c r="S1800" s="9" t="str">
        <f>HYPERLINK("https://pbs.twimg.com/profile_images/930732771219193856/OH5qBn7w.jpg","View")</f>
        <v>View</v>
      </c>
    </row>
    <row r="1801" spans="1:19" ht="50">
      <c r="A1801" s="8">
        <v>43346.766250000001</v>
      </c>
      <c r="B1801" s="11" t="str">
        <f>HYPERLINK("https://twitter.com/RafatiSiavash","@RafatiSiavash")</f>
        <v>@RafatiSiavash</v>
      </c>
      <c r="C1801" s="6" t="s">
        <v>3226</v>
      </c>
      <c r="D1801" s="5" t="s">
        <v>12190</v>
      </c>
      <c r="E1801" s="9" t="str">
        <f>HYPERLINK("https://twitter.com/RafatiSiavash/status/1036613130623832064","1036613130623832064")</f>
        <v>1036613130623832064</v>
      </c>
      <c r="F1801" s="10" t="s">
        <v>12189</v>
      </c>
      <c r="G1801" s="10" t="s">
        <v>12188</v>
      </c>
      <c r="H1801" s="4"/>
      <c r="I1801" s="10" t="str">
        <f>HYPERLINK("http://twitter.com","Twitter Web Client")</f>
        <v>Twitter Web Client</v>
      </c>
      <c r="J1801" s="2">
        <v>288</v>
      </c>
      <c r="K1801" s="2">
        <v>230</v>
      </c>
      <c r="L1801" s="2">
        <v>87</v>
      </c>
      <c r="M1801" s="2"/>
      <c r="N1801" s="8">
        <v>41050.769884259258</v>
      </c>
      <c r="O1801" s="4"/>
      <c r="P1801" s="3" t="s">
        <v>3223</v>
      </c>
      <c r="Q1801" s="10" t="s">
        <v>3222</v>
      </c>
      <c r="R1801" s="4"/>
      <c r="S1801" s="9" t="str">
        <f>HYPERLINK("https://pbs.twimg.com/profile_images/821385868690751488/Qqe0I1Bk.jpg","View")</f>
        <v>View</v>
      </c>
    </row>
    <row r="1802" spans="1:19" ht="30">
      <c r="A1802" s="8">
        <v>43346.766006944439</v>
      </c>
      <c r="B1802" s="11" t="str">
        <f>HYPERLINK("https://twitter.com/MhnazMahdy","@MhnazMahdy")</f>
        <v>@MhnazMahdy</v>
      </c>
      <c r="C1802" s="6" t="s">
        <v>12187</v>
      </c>
      <c r="D1802" s="5" t="s">
        <v>11712</v>
      </c>
      <c r="E1802" s="9" t="str">
        <f>HYPERLINK("https://twitter.com/MhnazMahdy/status/1036613044217032704","1036613044217032704")</f>
        <v>1036613044217032704</v>
      </c>
      <c r="F1802" s="4"/>
      <c r="G1802" s="4"/>
      <c r="H1802" s="4"/>
      <c r="I1802" s="10" t="str">
        <f>HYPERLINK("http://twitter.com/download/android","Twitter for Android")</f>
        <v>Twitter for Android</v>
      </c>
      <c r="J1802" s="2">
        <v>40</v>
      </c>
      <c r="K1802" s="2">
        <v>136</v>
      </c>
      <c r="L1802" s="2">
        <v>0</v>
      </c>
      <c r="M1802" s="2"/>
      <c r="N1802" s="8">
        <v>43331.635682870372</v>
      </c>
      <c r="O1802" s="4" t="s">
        <v>12186</v>
      </c>
      <c r="P1802" s="3" t="s">
        <v>12185</v>
      </c>
      <c r="Q1802" s="4"/>
      <c r="R1802" s="4"/>
      <c r="S1802" s="9" t="str">
        <f>HYPERLINK("https://pbs.twimg.com/profile_images/1035895101296402435/EwbiH1zy.jpg","View")</f>
        <v>View</v>
      </c>
    </row>
    <row r="1803" spans="1:19" ht="40">
      <c r="A1803" s="8">
        <v>43346.76362268519</v>
      </c>
      <c r="B1803" s="11" t="str">
        <f>HYPERLINK("https://twitter.com/eternexpatriate","@eternexpatriate")</f>
        <v>@eternexpatriate</v>
      </c>
      <c r="C1803" s="6" t="s">
        <v>12184</v>
      </c>
      <c r="D1803" s="5" t="s">
        <v>12183</v>
      </c>
      <c r="E1803" s="9" t="str">
        <f>HYPERLINK("https://twitter.com/eternexpatriate/status/1036612179473121280","1036612179473121280")</f>
        <v>1036612179473121280</v>
      </c>
      <c r="F1803" s="4"/>
      <c r="G1803" s="10" t="s">
        <v>12182</v>
      </c>
      <c r="H1803" s="4"/>
      <c r="I1803" s="10" t="str">
        <f>HYPERLINK("http://twitter.com","Twitter Web Client")</f>
        <v>Twitter Web Client</v>
      </c>
      <c r="J1803" s="2">
        <v>822</v>
      </c>
      <c r="K1803" s="2">
        <v>402</v>
      </c>
      <c r="L1803" s="2">
        <v>2</v>
      </c>
      <c r="M1803" s="2"/>
      <c r="N1803" s="8">
        <v>43063.008333333331</v>
      </c>
      <c r="O1803" s="4" t="s">
        <v>12181</v>
      </c>
      <c r="P1803" s="3" t="s">
        <v>12180</v>
      </c>
      <c r="Q1803" s="10" t="s">
        <v>12179</v>
      </c>
      <c r="R1803" s="4"/>
      <c r="S1803" s="9" t="str">
        <f>HYPERLINK("https://pbs.twimg.com/profile_images/1028650978244026368/cCIilGDl.jpg","View")</f>
        <v>View</v>
      </c>
    </row>
    <row r="1804" spans="1:19" ht="40">
      <c r="A1804" s="8">
        <v>43346.762604166666</v>
      </c>
      <c r="B1804" s="11" t="str">
        <f>HYPERLINK("https://twitter.com/miladalavii","@miladalavii")</f>
        <v>@miladalavii</v>
      </c>
      <c r="C1804" s="6" t="s">
        <v>12178</v>
      </c>
      <c r="D1804" s="5" t="s">
        <v>12177</v>
      </c>
      <c r="E1804" s="9" t="str">
        <f>HYPERLINK("https://twitter.com/miladalavii/status/1036611811678846978","1036611811678846978")</f>
        <v>1036611811678846978</v>
      </c>
      <c r="F1804" s="4"/>
      <c r="G1804" s="4"/>
      <c r="H1804" s="4"/>
      <c r="I1804" s="10" t="str">
        <f>HYPERLINK("http://twitter.com/download/android","Twitter for Android")</f>
        <v>Twitter for Android</v>
      </c>
      <c r="J1804" s="2">
        <v>2897</v>
      </c>
      <c r="K1804" s="2">
        <v>996</v>
      </c>
      <c r="L1804" s="2">
        <v>32</v>
      </c>
      <c r="M1804" s="2"/>
      <c r="N1804" s="8">
        <v>41236.042881944442</v>
      </c>
      <c r="O1804" s="4" t="s">
        <v>12176</v>
      </c>
      <c r="P1804" s="3" t="s">
        <v>12175</v>
      </c>
      <c r="Q1804" s="10" t="s">
        <v>12174</v>
      </c>
      <c r="R1804" s="4"/>
      <c r="S1804" s="9" t="str">
        <f>HYPERLINK("https://pbs.twimg.com/profile_images/1000047460151066626/eia1AxcP.jpg","View")</f>
        <v>View</v>
      </c>
    </row>
    <row r="1805" spans="1:19" ht="20">
      <c r="A1805" s="8">
        <v>43346.760671296295</v>
      </c>
      <c r="B1805" s="11" t="str">
        <f>HYPERLINK("https://twitter.com/hra_news","@hra_news")</f>
        <v>@hra_news</v>
      </c>
      <c r="C1805" s="6" t="s">
        <v>4272</v>
      </c>
      <c r="D1805" s="5" t="s">
        <v>12142</v>
      </c>
      <c r="E1805" s="9" t="str">
        <f>HYPERLINK("https://twitter.com/hra_news/status/1036611107690041344","1036611107690041344")</f>
        <v>1036611107690041344</v>
      </c>
      <c r="F1805" s="4"/>
      <c r="G1805" s="10" t="s">
        <v>12173</v>
      </c>
      <c r="H1805" s="4"/>
      <c r="I1805" s="10" t="str">
        <f>HYPERLINK("http://twitter.com/download/android","Twitter for Android")</f>
        <v>Twitter for Android</v>
      </c>
      <c r="J1805" s="2">
        <v>5765</v>
      </c>
      <c r="K1805" s="2">
        <v>25</v>
      </c>
      <c r="L1805" s="2">
        <v>132</v>
      </c>
      <c r="M1805" s="2"/>
      <c r="N1805" s="8">
        <v>40166.766736111109</v>
      </c>
      <c r="O1805" s="4" t="s">
        <v>1415</v>
      </c>
      <c r="P1805" s="3" t="s">
        <v>4268</v>
      </c>
      <c r="Q1805" s="10" t="s">
        <v>4267</v>
      </c>
      <c r="R1805" s="4"/>
      <c r="S1805" s="9" t="str">
        <f>HYPERLINK("https://pbs.twimg.com/profile_images/1020299248456253441/3S_8IvTU.jpg","View")</f>
        <v>View</v>
      </c>
    </row>
    <row r="1806" spans="1:19" ht="30">
      <c r="A1806" s="8">
        <v>43346.759837962964</v>
      </c>
      <c r="B1806" s="11" t="str">
        <f>HYPERLINK("https://twitter.com/bibandobar","@bibandobar")</f>
        <v>@bibandobar</v>
      </c>
      <c r="C1806" s="6" t="s">
        <v>4771</v>
      </c>
      <c r="D1806" s="5" t="s">
        <v>12172</v>
      </c>
      <c r="E1806" s="9" t="str">
        <f>HYPERLINK("https://twitter.com/bibandobar/status/1036610809357590528","1036610809357590528")</f>
        <v>1036610809357590528</v>
      </c>
      <c r="F1806" s="4"/>
      <c r="G1806" s="10" t="s">
        <v>12171</v>
      </c>
      <c r="H1806" s="4"/>
      <c r="I1806" s="10" t="str">
        <f>HYPERLINK("http://twitter.com/download/iphone","Twitter for iPhone")</f>
        <v>Twitter for iPhone</v>
      </c>
      <c r="J1806" s="2">
        <v>1002</v>
      </c>
      <c r="K1806" s="2">
        <v>745</v>
      </c>
      <c r="L1806" s="2">
        <v>0</v>
      </c>
      <c r="M1806" s="2"/>
      <c r="N1806" s="8">
        <v>43250.819965277777</v>
      </c>
      <c r="O1806" s="4" t="s">
        <v>4769</v>
      </c>
      <c r="P1806" s="3" t="s">
        <v>4768</v>
      </c>
      <c r="Q1806" s="4"/>
      <c r="R1806" s="4"/>
      <c r="S1806" s="9" t="str">
        <f>HYPERLINK("https://pbs.twimg.com/profile_images/1025000299981889538/-koeTqrN.jpg","View")</f>
        <v>View</v>
      </c>
    </row>
    <row r="1807" spans="1:19" ht="20">
      <c r="A1807" s="8">
        <v>43346.759467592594</v>
      </c>
      <c r="B1807" s="11" t="str">
        <f>HYPERLINK("https://twitter.com/Dibii_Dibii","@Dibii_Dibii")</f>
        <v>@Dibii_Dibii</v>
      </c>
      <c r="C1807" s="6" t="s">
        <v>10109</v>
      </c>
      <c r="D1807" s="5" t="s">
        <v>12170</v>
      </c>
      <c r="E1807" s="9" t="str">
        <f>HYPERLINK("https://twitter.com/Dibii_Dibii/status/1036610674800160769","1036610674800160769")</f>
        <v>1036610674800160769</v>
      </c>
      <c r="F1807" s="4"/>
      <c r="G1807" s="4"/>
      <c r="H1807" s="4"/>
      <c r="I1807" s="10" t="str">
        <f>HYPERLINK("http://twitter.com","Twitter Web Client")</f>
        <v>Twitter Web Client</v>
      </c>
      <c r="J1807" s="2">
        <v>32</v>
      </c>
      <c r="K1807" s="2">
        <v>119</v>
      </c>
      <c r="L1807" s="2">
        <v>0</v>
      </c>
      <c r="M1807" s="2"/>
      <c r="N1807" s="8">
        <v>43344.62054398148</v>
      </c>
      <c r="O1807" s="4" t="s">
        <v>10107</v>
      </c>
      <c r="P1807" s="3" t="s">
        <v>10106</v>
      </c>
      <c r="Q1807" s="4"/>
      <c r="R1807" s="4"/>
      <c r="S1807" s="9" t="str">
        <f>HYPERLINK("https://pbs.twimg.com/profile_images/1035839612739043328/AjIZ59Uc.jpg","View")</f>
        <v>View</v>
      </c>
    </row>
    <row r="1808" spans="1:19" ht="20">
      <c r="A1808" s="8">
        <v>43346.754965277782</v>
      </c>
      <c r="B1808" s="11" t="str">
        <f>HYPERLINK("https://twitter.com/StayshAmirRiza","@StayshAmirRiza")</f>
        <v>@StayshAmirRiza</v>
      </c>
      <c r="C1808" s="6" t="s">
        <v>12169</v>
      </c>
      <c r="D1808" s="5" t="s">
        <v>12166</v>
      </c>
      <c r="E1808" s="9" t="str">
        <f>HYPERLINK("https://twitter.com/StayshAmirRiza/status/1036609042104377344","1036609042104377344")</f>
        <v>1036609042104377344</v>
      </c>
      <c r="F1808" s="4"/>
      <c r="G1808" s="10" t="s">
        <v>12165</v>
      </c>
      <c r="H1808" s="4"/>
      <c r="I1808" s="10" t="str">
        <f>HYPERLINK("http://twitter.com/download/android","Twitter for Android")</f>
        <v>Twitter for Android</v>
      </c>
      <c r="J1808" s="2">
        <v>159</v>
      </c>
      <c r="K1808" s="2">
        <v>326</v>
      </c>
      <c r="L1808" s="2">
        <v>0</v>
      </c>
      <c r="M1808" s="2"/>
      <c r="N1808" s="8">
        <v>43331.651018518518</v>
      </c>
      <c r="O1808" s="4" t="s">
        <v>34</v>
      </c>
      <c r="P1808" s="3" t="s">
        <v>12168</v>
      </c>
      <c r="Q1808" s="4"/>
      <c r="R1808" s="4"/>
      <c r="S1808" s="9" t="str">
        <f>HYPERLINK("https://pbs.twimg.com/profile_images/1033287384740323328/y4ddqVDq.jpg","View")</f>
        <v>View</v>
      </c>
    </row>
    <row r="1809" spans="1:19" ht="20">
      <c r="A1809" s="8">
        <v>43346.754317129627</v>
      </c>
      <c r="B1809" s="11" t="str">
        <f>HYPERLINK("https://twitter.com/Meshkat_Banoo","@Meshkat_Banoo")</f>
        <v>@Meshkat_Banoo</v>
      </c>
      <c r="C1809" s="6" t="s">
        <v>12167</v>
      </c>
      <c r="D1809" s="5" t="s">
        <v>12166</v>
      </c>
      <c r="E1809" s="9" t="str">
        <f>HYPERLINK("https://twitter.com/Meshkat_Banoo/status/1036608805025599490","1036608805025599490")</f>
        <v>1036608805025599490</v>
      </c>
      <c r="F1809" s="4"/>
      <c r="G1809" s="10" t="s">
        <v>12165</v>
      </c>
      <c r="H1809" s="4"/>
      <c r="I1809" s="10" t="str">
        <f>HYPERLINK("http://twitter.com/download/android","Twitter for Android")</f>
        <v>Twitter for Android</v>
      </c>
      <c r="J1809" s="2">
        <v>6</v>
      </c>
      <c r="K1809" s="2">
        <v>23</v>
      </c>
      <c r="L1809" s="2">
        <v>0</v>
      </c>
      <c r="M1809" s="2"/>
      <c r="N1809" s="8">
        <v>43346.051574074074</v>
      </c>
      <c r="O1809" s="4" t="s">
        <v>1601</v>
      </c>
      <c r="P1809" s="3" t="s">
        <v>12164</v>
      </c>
      <c r="Q1809" s="4"/>
      <c r="R1809" s="4"/>
      <c r="S1809" s="9" t="str">
        <f>HYPERLINK("https://pbs.twimg.com/profile_images/1036361144473141250/BffTpTAp.jpg","View")</f>
        <v>View</v>
      </c>
    </row>
    <row r="1810" spans="1:19" ht="12.5">
      <c r="A1810" s="8">
        <v>43346.753414351857</v>
      </c>
      <c r="B1810" s="11" t="str">
        <f>HYPERLINK("https://twitter.com/ZP1e8XiUG3QsZ1o","@ZP1e8XiUG3QsZ1o")</f>
        <v>@ZP1e8XiUG3QsZ1o</v>
      </c>
      <c r="C1810" s="6" t="s">
        <v>2821</v>
      </c>
      <c r="D1810" s="5" t="s">
        <v>12163</v>
      </c>
      <c r="E1810" s="9" t="str">
        <f>HYPERLINK("https://twitter.com/ZP1e8XiUG3QsZ1o/status/1036608478784184321","1036608478784184321")</f>
        <v>1036608478784184321</v>
      </c>
      <c r="F1810" s="4"/>
      <c r="G1810" s="4"/>
      <c r="H1810" s="4"/>
      <c r="I1810" s="10" t="str">
        <f>HYPERLINK("http://twitter.com/download/android","Twitter for Android")</f>
        <v>Twitter for Android</v>
      </c>
      <c r="J1810" s="2">
        <v>81</v>
      </c>
      <c r="K1810" s="2">
        <v>360</v>
      </c>
      <c r="L1810" s="2">
        <v>0</v>
      </c>
      <c r="M1810" s="2"/>
      <c r="N1810" s="8">
        <v>42834.968553240746</v>
      </c>
      <c r="O1810" s="4"/>
      <c r="P1810" s="3"/>
      <c r="Q1810" s="4"/>
      <c r="R1810" s="4"/>
      <c r="S1810" s="9" t="str">
        <f>HYPERLINK("https://pbs.twimg.com/profile_images/1011230039705378817/4r9hlHvR.jpg","View")</f>
        <v>View</v>
      </c>
    </row>
    <row r="1811" spans="1:19" ht="40">
      <c r="A1811" s="8">
        <v>43346.750497685185</v>
      </c>
      <c r="B1811" s="11" t="str">
        <f>HYPERLINK("https://twitter.com/shahabsmam","@shahabsmam")</f>
        <v>@shahabsmam</v>
      </c>
      <c r="C1811" s="6" t="s">
        <v>1939</v>
      </c>
      <c r="D1811" s="5" t="s">
        <v>12162</v>
      </c>
      <c r="E1811" s="9" t="str">
        <f>HYPERLINK("https://twitter.com/shahabsmam/status/1036607421639262208","1036607421639262208")</f>
        <v>1036607421639262208</v>
      </c>
      <c r="F1811" s="4"/>
      <c r="G1811" s="4"/>
      <c r="H1811" s="4"/>
      <c r="I1811" s="10" t="str">
        <f>HYPERLINK("http://twitter.com/download/android","Twitter for Android")</f>
        <v>Twitter for Android</v>
      </c>
      <c r="J1811" s="2">
        <v>903</v>
      </c>
      <c r="K1811" s="2">
        <v>673</v>
      </c>
      <c r="L1811" s="2">
        <v>3</v>
      </c>
      <c r="M1811" s="2"/>
      <c r="N1811" s="8">
        <v>42736.421018518522</v>
      </c>
      <c r="O1811" s="4" t="s">
        <v>1937</v>
      </c>
      <c r="P1811" s="3" t="s">
        <v>1936</v>
      </c>
      <c r="Q1811" s="4"/>
      <c r="R1811" s="4"/>
      <c r="S1811" s="9" t="str">
        <f>HYPERLINK("https://pbs.twimg.com/profile_images/906273560779513861/eGhkT1Z8.jpg","View")</f>
        <v>View</v>
      </c>
    </row>
    <row r="1812" spans="1:19" ht="30">
      <c r="A1812" s="8">
        <v>43346.749282407407</v>
      </c>
      <c r="B1812" s="11" t="str">
        <f>HYPERLINK("https://twitter.com/Entekhab_News","@Entekhab_News")</f>
        <v>@Entekhab_News</v>
      </c>
      <c r="C1812" s="6" t="s">
        <v>519</v>
      </c>
      <c r="D1812" s="5" t="s">
        <v>12161</v>
      </c>
      <c r="E1812" s="9" t="str">
        <f>HYPERLINK("https://twitter.com/Entekhab_News/status/1036606982621474817","1036606982621474817")</f>
        <v>1036606982621474817</v>
      </c>
      <c r="F1812" s="4"/>
      <c r="G1812" s="10" t="s">
        <v>12160</v>
      </c>
      <c r="H1812" s="4"/>
      <c r="I1812" s="10" t="str">
        <f>HYPERLINK("http://twitter.com/download/android","Twitter for Android")</f>
        <v>Twitter for Android</v>
      </c>
      <c r="J1812" s="2">
        <v>16205</v>
      </c>
      <c r="K1812" s="2">
        <v>0</v>
      </c>
      <c r="L1812" s="2">
        <v>153</v>
      </c>
      <c r="M1812" s="2"/>
      <c r="N1812" s="8">
        <v>41846.90483796296</v>
      </c>
      <c r="O1812" s="4" t="s">
        <v>244</v>
      </c>
      <c r="P1812" s="3" t="s">
        <v>517</v>
      </c>
      <c r="Q1812" s="10" t="s">
        <v>516</v>
      </c>
      <c r="R1812" s="4"/>
      <c r="S1812" s="9" t="str">
        <f>HYPERLINK("https://pbs.twimg.com/profile_images/840302676332146689/objFI1sw.jpg","View")</f>
        <v>View</v>
      </c>
    </row>
    <row r="1813" spans="1:19" ht="20">
      <c r="A1813" s="8">
        <v>43346.748784722222</v>
      </c>
      <c r="B1813" s="11" t="str">
        <f>HYPERLINK("https://twitter.com/Brave_8888","@Brave_8888")</f>
        <v>@Brave_8888</v>
      </c>
      <c r="C1813" s="6" t="s">
        <v>12158</v>
      </c>
      <c r="D1813" s="5" t="s">
        <v>12159</v>
      </c>
      <c r="E1813" s="9" t="str">
        <f>HYPERLINK("https://twitter.com/Brave_8888/status/1036606802350288896","1036606802350288896")</f>
        <v>1036606802350288896</v>
      </c>
      <c r="F1813" s="4"/>
      <c r="G1813" s="4"/>
      <c r="H1813" s="4"/>
      <c r="I1813" s="10" t="str">
        <f>HYPERLINK("http://twitter.com/download/iphone","Twitter for iPhone")</f>
        <v>Twitter for iPhone</v>
      </c>
      <c r="J1813" s="2">
        <v>50</v>
      </c>
      <c r="K1813" s="2">
        <v>734</v>
      </c>
      <c r="L1813" s="2">
        <v>1</v>
      </c>
      <c r="M1813" s="2"/>
      <c r="N1813" s="8">
        <v>43173.469837962963</v>
      </c>
      <c r="O1813" s="4"/>
      <c r="P1813" s="3" t="s">
        <v>12158</v>
      </c>
      <c r="Q1813" s="4"/>
      <c r="R1813" s="4"/>
      <c r="S1813" s="9" t="str">
        <f>HYPERLINK("https://pbs.twimg.com/profile_images/1036607181641187328/-hWhDnCp.jpg","View")</f>
        <v>View</v>
      </c>
    </row>
    <row r="1814" spans="1:19" ht="20">
      <c r="A1814" s="8">
        <v>43346.748067129629</v>
      </c>
      <c r="B1814" s="11" t="str">
        <f>HYPERLINK("https://twitter.com/vfvendetta006","@vfvendetta006")</f>
        <v>@vfvendetta006</v>
      </c>
      <c r="C1814" s="6" t="s">
        <v>12157</v>
      </c>
      <c r="D1814" s="5" t="s">
        <v>12156</v>
      </c>
      <c r="E1814" s="9" t="str">
        <f>HYPERLINK("https://twitter.com/vfvendetta006/status/1036606542789980160","1036606542789980160")</f>
        <v>1036606542789980160</v>
      </c>
      <c r="F1814" s="4"/>
      <c r="G1814" s="10" t="s">
        <v>12155</v>
      </c>
      <c r="H1814" s="4"/>
      <c r="I1814" s="10" t="str">
        <f>HYPERLINK("http://twitter.com/download/android","Twitter for Android")</f>
        <v>Twitter for Android</v>
      </c>
      <c r="J1814" s="2">
        <v>930</v>
      </c>
      <c r="K1814" s="2">
        <v>989</v>
      </c>
      <c r="L1814" s="2">
        <v>2</v>
      </c>
      <c r="M1814" s="2"/>
      <c r="N1814" s="8">
        <v>43288.862361111111</v>
      </c>
      <c r="O1814" s="4" t="s">
        <v>1657</v>
      </c>
      <c r="P1814" s="3" t="s">
        <v>12154</v>
      </c>
      <c r="Q1814" s="4"/>
      <c r="R1814" s="4"/>
      <c r="S1814" s="9" t="str">
        <f>HYPERLINK("https://pbs.twimg.com/profile_images/1035445455059124224/oIGgsku6.jpg","View")</f>
        <v>View</v>
      </c>
    </row>
    <row r="1815" spans="1:19" ht="20">
      <c r="A1815" s="8">
        <v>43346.746678240743</v>
      </c>
      <c r="B1815" s="11" t="str">
        <f>HYPERLINK("https://twitter.com/hra_news","@hra_news")</f>
        <v>@hra_news</v>
      </c>
      <c r="C1815" s="6" t="s">
        <v>4272</v>
      </c>
      <c r="D1815" s="5" t="s">
        <v>12142</v>
      </c>
      <c r="E1815" s="9" t="str">
        <f>HYPERLINK("https://twitter.com/hra_news/status/1036606039993581568","1036606039993581568")</f>
        <v>1036606039993581568</v>
      </c>
      <c r="F1815" s="4"/>
      <c r="G1815" s="10" t="s">
        <v>12153</v>
      </c>
      <c r="H1815" s="4"/>
      <c r="I1815" s="10" t="str">
        <f>HYPERLINK("http://twitter.com/download/android","Twitter for Android")</f>
        <v>Twitter for Android</v>
      </c>
      <c r="J1815" s="2">
        <v>5765</v>
      </c>
      <c r="K1815" s="2">
        <v>25</v>
      </c>
      <c r="L1815" s="2">
        <v>132</v>
      </c>
      <c r="M1815" s="2"/>
      <c r="N1815" s="8">
        <v>40166.766736111109</v>
      </c>
      <c r="O1815" s="4" t="s">
        <v>1415</v>
      </c>
      <c r="P1815" s="3" t="s">
        <v>4268</v>
      </c>
      <c r="Q1815" s="10" t="s">
        <v>4267</v>
      </c>
      <c r="R1815" s="4"/>
      <c r="S1815" s="9" t="str">
        <f>HYPERLINK("https://pbs.twimg.com/profile_images/1020299248456253441/3S_8IvTU.jpg","View")</f>
        <v>View</v>
      </c>
    </row>
    <row r="1816" spans="1:19" ht="40">
      <c r="A1816" s="8">
        <v>43346.746527777781</v>
      </c>
      <c r="B1816" s="11" t="str">
        <f>HYPERLINK("https://twitter.com/Artikelismus","@Artikelismus")</f>
        <v>@Artikelismus</v>
      </c>
      <c r="C1816" s="6" t="s">
        <v>12152</v>
      </c>
      <c r="D1816" s="5" t="s">
        <v>12151</v>
      </c>
      <c r="E1816" s="9" t="str">
        <f>HYPERLINK("https://twitter.com/Artikelismus/status/1036605984444231682","1036605984444231682")</f>
        <v>1036605984444231682</v>
      </c>
      <c r="F1816" s="4"/>
      <c r="G1816" s="4"/>
      <c r="H1816" s="4"/>
      <c r="I1816" s="10" t="str">
        <f>HYPERLINK("http://twitter.com/download/iphone","Twitter for iPhone")</f>
        <v>Twitter for iPhone</v>
      </c>
      <c r="J1816" s="2">
        <v>601</v>
      </c>
      <c r="K1816" s="2">
        <v>977</v>
      </c>
      <c r="L1816" s="2">
        <v>2</v>
      </c>
      <c r="M1816" s="2"/>
      <c r="N1816" s="8">
        <v>41468.718171296292</v>
      </c>
      <c r="O1816" s="4" t="s">
        <v>12150</v>
      </c>
      <c r="P1816" s="3" t="s">
        <v>12149</v>
      </c>
      <c r="Q1816" s="4"/>
      <c r="R1816" s="4"/>
      <c r="S1816" s="9" t="str">
        <f>HYPERLINK("https://pbs.twimg.com/profile_images/1028316334566912006/sqjsAOYN.jpg","View")</f>
        <v>View</v>
      </c>
    </row>
    <row r="1817" spans="1:19" ht="20">
      <c r="A1817" s="8">
        <v>43346.745300925926</v>
      </c>
      <c r="B1817" s="11" t="str">
        <f>HYPERLINK("https://twitter.com/DOUSTKHAH_M","@DOUSTKHAH_M")</f>
        <v>@DOUSTKHAH_M</v>
      </c>
      <c r="C1817" s="6" t="s">
        <v>8223</v>
      </c>
      <c r="D1817" s="5" t="s">
        <v>12148</v>
      </c>
      <c r="E1817" s="9" t="str">
        <f>HYPERLINK("https://twitter.com/DOUSTKHAH_M/status/1036605539772522497","1036605539772522497")</f>
        <v>1036605539772522497</v>
      </c>
      <c r="F1817" s="4"/>
      <c r="G1817" s="10" t="s">
        <v>12147</v>
      </c>
      <c r="H1817" s="4"/>
      <c r="I1817" s="10" t="str">
        <f>HYPERLINK("http://twitter.com/download/iphone","Twitter for iPhone")</f>
        <v>Twitter for iPhone</v>
      </c>
      <c r="J1817" s="2">
        <v>134</v>
      </c>
      <c r="K1817" s="2">
        <v>288</v>
      </c>
      <c r="L1817" s="2">
        <v>0</v>
      </c>
      <c r="M1817" s="2"/>
      <c r="N1817" s="8">
        <v>42704.540682870371</v>
      </c>
      <c r="O1817" s="4" t="s">
        <v>34</v>
      </c>
      <c r="P1817" s="3" t="s">
        <v>8221</v>
      </c>
      <c r="Q1817" s="4"/>
      <c r="R1817" s="4"/>
      <c r="S1817" s="9" t="str">
        <f>HYPERLINK("https://pbs.twimg.com/profile_images/1005939453255405569/Ii8AwOoN.jpg","View")</f>
        <v>View</v>
      </c>
    </row>
    <row r="1818" spans="1:19" ht="40">
      <c r="A1818" s="8">
        <v>43346.741261574076</v>
      </c>
      <c r="B1818" s="11" t="str">
        <f>HYPERLINK("https://twitter.com/iammahdiyar","@iammahdiyar")</f>
        <v>@iammahdiyar</v>
      </c>
      <c r="C1818" s="6" t="s">
        <v>12146</v>
      </c>
      <c r="D1818" s="5" t="s">
        <v>12145</v>
      </c>
      <c r="E1818" s="9" t="str">
        <f>HYPERLINK("https://twitter.com/iammahdiyar/status/1036604073724846080","1036604073724846080")</f>
        <v>1036604073724846080</v>
      </c>
      <c r="F1818" s="4"/>
      <c r="G1818" s="4"/>
      <c r="H1818" s="4"/>
      <c r="I1818" s="10" t="str">
        <f>HYPERLINK("http://twitter.com/download/android","Twitter for Android")</f>
        <v>Twitter for Android</v>
      </c>
      <c r="J1818" s="2">
        <v>327</v>
      </c>
      <c r="K1818" s="2">
        <v>180</v>
      </c>
      <c r="L1818" s="2">
        <v>0</v>
      </c>
      <c r="M1818" s="2"/>
      <c r="N1818" s="8">
        <v>43071.896469907406</v>
      </c>
      <c r="O1818" s="4" t="s">
        <v>3771</v>
      </c>
      <c r="P1818" s="3" t="s">
        <v>12144</v>
      </c>
      <c r="Q1818" s="10" t="s">
        <v>12143</v>
      </c>
      <c r="R1818" s="4"/>
      <c r="S1818" s="9" t="str">
        <f>HYPERLINK("https://pbs.twimg.com/profile_images/1021802435969466370/XYj5Z6Ee.jpg","View")</f>
        <v>View</v>
      </c>
    </row>
    <row r="1819" spans="1:19" ht="20">
      <c r="A1819" s="8">
        <v>43346.737349537041</v>
      </c>
      <c r="B1819" s="11" t="str">
        <f>HYPERLINK("https://twitter.com/hra_news","@hra_news")</f>
        <v>@hra_news</v>
      </c>
      <c r="C1819" s="6" t="s">
        <v>4272</v>
      </c>
      <c r="D1819" s="5" t="s">
        <v>12142</v>
      </c>
      <c r="E1819" s="9" t="str">
        <f>HYPERLINK("https://twitter.com/hra_news/status/1036602657673289728","1036602657673289728")</f>
        <v>1036602657673289728</v>
      </c>
      <c r="F1819" s="4"/>
      <c r="G1819" s="10" t="s">
        <v>12141</v>
      </c>
      <c r="H1819" s="4"/>
      <c r="I1819" s="10" t="str">
        <f>HYPERLINK("http://twitter.com/download/android","Twitter for Android")</f>
        <v>Twitter for Android</v>
      </c>
      <c r="J1819" s="2">
        <v>5765</v>
      </c>
      <c r="K1819" s="2">
        <v>25</v>
      </c>
      <c r="L1819" s="2">
        <v>132</v>
      </c>
      <c r="M1819" s="2"/>
      <c r="N1819" s="8">
        <v>40166.766736111109</v>
      </c>
      <c r="O1819" s="4" t="s">
        <v>1415</v>
      </c>
      <c r="P1819" s="3" t="s">
        <v>4268</v>
      </c>
      <c r="Q1819" s="10" t="s">
        <v>4267</v>
      </c>
      <c r="R1819" s="4"/>
      <c r="S1819" s="9" t="str">
        <f>HYPERLINK("https://pbs.twimg.com/profile_images/1020299248456253441/3S_8IvTU.jpg","View")</f>
        <v>View</v>
      </c>
    </row>
    <row r="1820" spans="1:19" ht="30">
      <c r="A1820" s="8">
        <v>43346.737083333333</v>
      </c>
      <c r="B1820" s="11" t="str">
        <f>HYPERLINK("https://twitter.com/s_kh73","@s_kh73")</f>
        <v>@s_kh73</v>
      </c>
      <c r="C1820" s="6" t="s">
        <v>8795</v>
      </c>
      <c r="D1820" s="5" t="s">
        <v>12140</v>
      </c>
      <c r="E1820" s="9" t="str">
        <f>HYPERLINK("https://twitter.com/s_kh73/status/1036602560889724929","1036602560889724929")</f>
        <v>1036602560889724929</v>
      </c>
      <c r="F1820" s="4"/>
      <c r="G1820" s="4"/>
      <c r="H1820" s="4"/>
      <c r="I1820" s="10" t="str">
        <f>HYPERLINK("http://twitter.com/download/android","Twitter for Android")</f>
        <v>Twitter for Android</v>
      </c>
      <c r="J1820" s="2">
        <v>790</v>
      </c>
      <c r="K1820" s="2">
        <v>819</v>
      </c>
      <c r="L1820" s="2">
        <v>4</v>
      </c>
      <c r="M1820" s="2"/>
      <c r="N1820" s="8">
        <v>43131.549097222218</v>
      </c>
      <c r="O1820" s="4" t="s">
        <v>25</v>
      </c>
      <c r="P1820" s="3" t="s">
        <v>8793</v>
      </c>
      <c r="Q1820" s="4"/>
      <c r="R1820" s="4"/>
      <c r="S1820" s="9" t="str">
        <f>HYPERLINK("https://pbs.twimg.com/profile_images/1032282957464199169/n99jtq3p.jpg","View")</f>
        <v>View</v>
      </c>
    </row>
    <row r="1821" spans="1:19" ht="20">
      <c r="A1821" s="8">
        <v>43346.736851851849</v>
      </c>
      <c r="B1821" s="11" t="str">
        <f>HYPERLINK("https://twitter.com/retwet_enghelab","@retwet_enghelab")</f>
        <v>@retwet_enghelab</v>
      </c>
      <c r="C1821" s="6" t="s">
        <v>11908</v>
      </c>
      <c r="D1821" s="5" t="s">
        <v>12139</v>
      </c>
      <c r="E1821" s="9" t="str">
        <f>HYPERLINK("https://twitter.com/retwet_enghelab/status/1036602478584889349","1036602478584889349")</f>
        <v>1036602478584889349</v>
      </c>
      <c r="F1821" s="4"/>
      <c r="G1821" s="4"/>
      <c r="H1821" s="4"/>
      <c r="I1821" s="10" t="str">
        <f>HYPERLINK("http://t.me/RetweetBot","HsinBot")</f>
        <v>HsinBot</v>
      </c>
      <c r="J1821" s="2">
        <v>297</v>
      </c>
      <c r="K1821" s="2">
        <v>65</v>
      </c>
      <c r="L1821" s="2">
        <v>1</v>
      </c>
      <c r="M1821" s="2"/>
      <c r="N1821" s="8">
        <v>42947.090462962966</v>
      </c>
      <c r="O1821" s="4" t="s">
        <v>10123</v>
      </c>
      <c r="P1821" s="3" t="s">
        <v>11906</v>
      </c>
      <c r="Q1821" s="4"/>
      <c r="R1821" s="4"/>
      <c r="S1821" s="9" t="str">
        <f>HYPERLINK("https://pbs.twimg.com/profile_images/1036286071187951618/FnkxMG3e.jpg","View")</f>
        <v>View</v>
      </c>
    </row>
    <row r="1822" spans="1:19" ht="30">
      <c r="A1822" s="8">
        <v>43346.735439814816</v>
      </c>
      <c r="B1822" s="11" t="str">
        <f>HYPERLINK("https://twitter.com/Mo_ba_fatthi","@Mo_ba_fatthi")</f>
        <v>@Mo_ba_fatthi</v>
      </c>
      <c r="C1822" s="6" t="s">
        <v>9166</v>
      </c>
      <c r="D1822" s="5" t="s">
        <v>12138</v>
      </c>
      <c r="E1822" s="9" t="str">
        <f>HYPERLINK("https://twitter.com/Mo_ba_fatthi/status/1036601966728642562","1036601966728642562")</f>
        <v>1036601966728642562</v>
      </c>
      <c r="F1822" s="4"/>
      <c r="G1822" s="10" t="s">
        <v>12137</v>
      </c>
      <c r="H1822" s="4"/>
      <c r="I1822" s="10" t="str">
        <f>HYPERLINK("http://twitter.com/download/android","Twitter for Android")</f>
        <v>Twitter for Android</v>
      </c>
      <c r="J1822" s="2">
        <v>438</v>
      </c>
      <c r="K1822" s="2">
        <v>430</v>
      </c>
      <c r="L1822" s="2">
        <v>0</v>
      </c>
      <c r="M1822" s="2"/>
      <c r="N1822" s="8">
        <v>43137.924317129626</v>
      </c>
      <c r="O1822" s="4"/>
      <c r="P1822" s="3" t="s">
        <v>9162</v>
      </c>
      <c r="Q1822" s="10" t="s">
        <v>9161</v>
      </c>
      <c r="R1822" s="4"/>
      <c r="S1822" s="9" t="str">
        <f>HYPERLINK("https://pbs.twimg.com/profile_images/1031652037904150528/jiQ6jSFJ.jpg","View")</f>
        <v>View</v>
      </c>
    </row>
    <row r="1823" spans="1:19" ht="40">
      <c r="A1823" s="8">
        <v>43346.734768518523</v>
      </c>
      <c r="B1823" s="11" t="str">
        <f>HYPERLINK("https://twitter.com/___insomniia___","@___insomniia___")</f>
        <v>@___insomniia___</v>
      </c>
      <c r="C1823" s="6" t="s">
        <v>12136</v>
      </c>
      <c r="D1823" s="5" t="s">
        <v>12135</v>
      </c>
      <c r="E1823" s="9" t="str">
        <f>HYPERLINK("https://twitter.com/___insomniia___/status/1036601721206792192","1036601721206792192")</f>
        <v>1036601721206792192</v>
      </c>
      <c r="F1823" s="4"/>
      <c r="G1823" s="4"/>
      <c r="H1823" s="4"/>
      <c r="I1823" s="10" t="str">
        <f>HYPERLINK("http://twitter.com","Twitter Web Client")</f>
        <v>Twitter Web Client</v>
      </c>
      <c r="J1823" s="2">
        <v>312</v>
      </c>
      <c r="K1823" s="2">
        <v>650</v>
      </c>
      <c r="L1823" s="2">
        <v>0</v>
      </c>
      <c r="M1823" s="2"/>
      <c r="N1823" s="8">
        <v>43068.847557870366</v>
      </c>
      <c r="O1823" s="4" t="s">
        <v>12134</v>
      </c>
      <c r="P1823" s="3" t="s">
        <v>12133</v>
      </c>
      <c r="Q1823" s="4"/>
      <c r="R1823" s="4"/>
      <c r="S1823" s="9" t="str">
        <f>HYPERLINK("https://pbs.twimg.com/profile_images/993924502634598401/Ld4L2U_Q.jpg","View")</f>
        <v>View</v>
      </c>
    </row>
    <row r="1824" spans="1:19" ht="20">
      <c r="A1824" s="8">
        <v>43346.734375</v>
      </c>
      <c r="B1824" s="11" t="str">
        <f>HYPERLINK("https://twitter.com/Omiderfanmanesh","@Omiderfanmanesh")</f>
        <v>@Omiderfanmanesh</v>
      </c>
      <c r="C1824" s="6" t="s">
        <v>11280</v>
      </c>
      <c r="D1824" s="5" t="s">
        <v>12132</v>
      </c>
      <c r="E1824" s="9" t="str">
        <f>HYPERLINK("https://twitter.com/Omiderfanmanesh/status/1036601580827627520","1036601580827627520")</f>
        <v>1036601580827627520</v>
      </c>
      <c r="F1824" s="4"/>
      <c r="G1824" s="4"/>
      <c r="H1824" s="4"/>
      <c r="I1824" s="10" t="str">
        <f>HYPERLINK("http://twitter.com/download/android","Twitter for Android")</f>
        <v>Twitter for Android</v>
      </c>
      <c r="J1824" s="2">
        <v>953</v>
      </c>
      <c r="K1824" s="2">
        <v>1122</v>
      </c>
      <c r="L1824" s="2">
        <v>2</v>
      </c>
      <c r="M1824" s="2"/>
      <c r="N1824" s="8">
        <v>42701.033217592594</v>
      </c>
      <c r="O1824" s="4" t="s">
        <v>11277</v>
      </c>
      <c r="P1824" s="3" t="s">
        <v>11276</v>
      </c>
      <c r="Q1824" s="4"/>
      <c r="R1824" s="4"/>
      <c r="S1824" s="9" t="str">
        <f>HYPERLINK("https://pbs.twimg.com/profile_images/1028990298305658880/JAdUYLZr.jpg","View")</f>
        <v>View</v>
      </c>
    </row>
    <row r="1825" spans="1:19" ht="40">
      <c r="A1825" s="8">
        <v>43346.734189814815</v>
      </c>
      <c r="B1825" s="11" t="str">
        <f>HYPERLINK("https://twitter.com/RafatiSiavash","@RafatiSiavash")</f>
        <v>@RafatiSiavash</v>
      </c>
      <c r="C1825" s="6" t="s">
        <v>3226</v>
      </c>
      <c r="D1825" s="5" t="s">
        <v>12131</v>
      </c>
      <c r="E1825" s="9" t="str">
        <f>HYPERLINK("https://twitter.com/RafatiSiavash/status/1036601511957155841","1036601511957155841")</f>
        <v>1036601511957155841</v>
      </c>
      <c r="F1825" s="10" t="s">
        <v>12130</v>
      </c>
      <c r="G1825" s="4"/>
      <c r="H1825" s="4"/>
      <c r="I1825" s="10" t="str">
        <f>HYPERLINK("http://twitter.com","Twitter Web Client")</f>
        <v>Twitter Web Client</v>
      </c>
      <c r="J1825" s="2">
        <v>288</v>
      </c>
      <c r="K1825" s="2">
        <v>230</v>
      </c>
      <c r="L1825" s="2">
        <v>87</v>
      </c>
      <c r="M1825" s="2"/>
      <c r="N1825" s="8">
        <v>41050.769884259258</v>
      </c>
      <c r="O1825" s="4"/>
      <c r="P1825" s="3" t="s">
        <v>3223</v>
      </c>
      <c r="Q1825" s="10" t="s">
        <v>3222</v>
      </c>
      <c r="R1825" s="4"/>
      <c r="S1825" s="9" t="str">
        <f>HYPERLINK("https://pbs.twimg.com/profile_images/821385868690751488/Qqe0I1Bk.jpg","View")</f>
        <v>View</v>
      </c>
    </row>
    <row r="1826" spans="1:19" ht="40">
      <c r="A1826" s="8">
        <v>43346.728333333333</v>
      </c>
      <c r="B1826" s="11" t="str">
        <f>HYPERLINK("https://twitter.com/Omiderfanmanesh","@Omiderfanmanesh")</f>
        <v>@Omiderfanmanesh</v>
      </c>
      <c r="C1826" s="6" t="s">
        <v>11280</v>
      </c>
      <c r="D1826" s="5" t="s">
        <v>12129</v>
      </c>
      <c r="E1826" s="9" t="str">
        <f>HYPERLINK("https://twitter.com/Omiderfanmanesh/status/1036599389005996040","1036599389005996040")</f>
        <v>1036599389005996040</v>
      </c>
      <c r="F1826" s="4"/>
      <c r="G1826" s="4"/>
      <c r="H1826" s="4"/>
      <c r="I1826" s="10" t="str">
        <f>HYPERLINK("http://twitter.com/download/android","Twitter for Android")</f>
        <v>Twitter for Android</v>
      </c>
      <c r="J1826" s="2">
        <v>953</v>
      </c>
      <c r="K1826" s="2">
        <v>1122</v>
      </c>
      <c r="L1826" s="2">
        <v>2</v>
      </c>
      <c r="M1826" s="2"/>
      <c r="N1826" s="8">
        <v>42701.033217592594</v>
      </c>
      <c r="O1826" s="4" t="s">
        <v>11277</v>
      </c>
      <c r="P1826" s="3" t="s">
        <v>11276</v>
      </c>
      <c r="Q1826" s="4"/>
      <c r="R1826" s="4"/>
      <c r="S1826" s="9" t="str">
        <f>HYPERLINK("https://pbs.twimg.com/profile_images/1028990298305658880/JAdUYLZr.jpg","View")</f>
        <v>View</v>
      </c>
    </row>
    <row r="1827" spans="1:19" ht="30">
      <c r="A1827" s="8">
        <v>43346.728206018517</v>
      </c>
      <c r="B1827" s="11" t="str">
        <f>HYPERLINK("https://twitter.com/AniKhayeMani","@AniKhayeMani")</f>
        <v>@AniKhayeMani</v>
      </c>
      <c r="C1827" s="6" t="s">
        <v>2767</v>
      </c>
      <c r="D1827" s="5" t="s">
        <v>12128</v>
      </c>
      <c r="E1827" s="9" t="str">
        <f>HYPERLINK("https://twitter.com/AniKhayeMani/status/1036599346207318016","1036599346207318016")</f>
        <v>1036599346207318016</v>
      </c>
      <c r="F1827" s="4"/>
      <c r="G1827" s="4"/>
      <c r="H1827" s="4"/>
      <c r="I1827" s="10" t="str">
        <f>HYPERLINK("http://twitter.com/download/android","Twitter for Android")</f>
        <v>Twitter for Android</v>
      </c>
      <c r="J1827" s="2">
        <v>29</v>
      </c>
      <c r="K1827" s="2">
        <v>11</v>
      </c>
      <c r="L1827" s="2">
        <v>0</v>
      </c>
      <c r="M1827" s="2"/>
      <c r="N1827" s="8">
        <v>43324.767569444448</v>
      </c>
      <c r="O1827" s="4" t="s">
        <v>2765</v>
      </c>
      <c r="P1827" s="3" t="s">
        <v>2764</v>
      </c>
      <c r="Q1827" s="4"/>
      <c r="R1827" s="4"/>
      <c r="S1827" s="9" t="str">
        <f>HYPERLINK("https://pbs.twimg.com/profile_images/1028691223807225856/Z9sotyDm.jpg","View")</f>
        <v>View</v>
      </c>
    </row>
    <row r="1828" spans="1:19" ht="40">
      <c r="A1828" s="8">
        <v>43346.727303240739</v>
      </c>
      <c r="B1828" s="11" t="str">
        <f>HYPERLINK("https://twitter.com/RafatiSiavash","@RafatiSiavash")</f>
        <v>@RafatiSiavash</v>
      </c>
      <c r="C1828" s="6" t="s">
        <v>3226</v>
      </c>
      <c r="D1828" s="5" t="s">
        <v>12127</v>
      </c>
      <c r="E1828" s="9" t="str">
        <f>HYPERLINK("https://twitter.com/RafatiSiavash/status/1036599018745421824","1036599018745421824")</f>
        <v>1036599018745421824</v>
      </c>
      <c r="F1828" s="10" t="s">
        <v>12126</v>
      </c>
      <c r="G1828" s="4"/>
      <c r="H1828" s="4"/>
      <c r="I1828" s="10" t="str">
        <f>HYPERLINK("http://twitter.com","Twitter Web Client")</f>
        <v>Twitter Web Client</v>
      </c>
      <c r="J1828" s="2">
        <v>288</v>
      </c>
      <c r="K1828" s="2">
        <v>230</v>
      </c>
      <c r="L1828" s="2">
        <v>87</v>
      </c>
      <c r="M1828" s="2"/>
      <c r="N1828" s="8">
        <v>41050.769884259258</v>
      </c>
      <c r="O1828" s="4"/>
      <c r="P1828" s="3" t="s">
        <v>3223</v>
      </c>
      <c r="Q1828" s="10" t="s">
        <v>3222</v>
      </c>
      <c r="R1828" s="4"/>
      <c r="S1828" s="9" t="str">
        <f>HYPERLINK("https://pbs.twimg.com/profile_images/821385868690751488/Qqe0I1Bk.jpg","View")</f>
        <v>View</v>
      </c>
    </row>
    <row r="1829" spans="1:19" ht="40">
      <c r="A1829" s="8">
        <v>43346.726631944446</v>
      </c>
      <c r="B1829" s="11" t="str">
        <f>HYPERLINK("https://twitter.com/MSanaeifar","@MSanaeifar")</f>
        <v>@MSanaeifar</v>
      </c>
      <c r="C1829" s="6" t="s">
        <v>12125</v>
      </c>
      <c r="D1829" s="5" t="s">
        <v>12124</v>
      </c>
      <c r="E1829" s="9" t="str">
        <f>HYPERLINK("https://twitter.com/MSanaeifar/status/1036598774980902915","1036598774980902915")</f>
        <v>1036598774980902915</v>
      </c>
      <c r="F1829" s="4"/>
      <c r="G1829" s="4"/>
      <c r="H1829" s="4"/>
      <c r="I1829" s="10" t="str">
        <f>HYPERLINK("http://twitter.com/download/iphone","Twitter for iPhone")</f>
        <v>Twitter for iPhone</v>
      </c>
      <c r="J1829" s="2">
        <v>259</v>
      </c>
      <c r="K1829" s="2">
        <v>127</v>
      </c>
      <c r="L1829" s="2">
        <v>0</v>
      </c>
      <c r="M1829" s="2"/>
      <c r="N1829" s="8">
        <v>42469.669421296298</v>
      </c>
      <c r="O1829" s="4" t="s">
        <v>17</v>
      </c>
      <c r="P1829" s="3" t="s">
        <v>704</v>
      </c>
      <c r="Q1829" s="4"/>
      <c r="R1829" s="4"/>
      <c r="S1829" s="9" t="str">
        <f>HYPERLINK("https://pbs.twimg.com/profile_images/871796597478363136/LleG8apR.jpg","View")</f>
        <v>View</v>
      </c>
    </row>
    <row r="1830" spans="1:19" ht="20">
      <c r="A1830" s="8">
        <v>43346.724004629628</v>
      </c>
      <c r="B1830" s="11" t="str">
        <f>HYPERLINK("https://twitter.com/m_fathalipor","@m_fathalipor")</f>
        <v>@m_fathalipor</v>
      </c>
      <c r="C1830" s="6" t="s">
        <v>12123</v>
      </c>
      <c r="D1830" s="5" t="s">
        <v>12122</v>
      </c>
      <c r="E1830" s="9" t="str">
        <f>HYPERLINK("https://twitter.com/m_fathalipor/status/1036597823981211651","1036597823981211651")</f>
        <v>1036597823981211651</v>
      </c>
      <c r="F1830" s="4"/>
      <c r="G1830" s="4"/>
      <c r="H1830" s="4"/>
      <c r="I1830" s="10" t="str">
        <f>HYPERLINK("http://twitter.com/download/android","Twitter for Android")</f>
        <v>Twitter for Android</v>
      </c>
      <c r="J1830" s="2">
        <v>1306</v>
      </c>
      <c r="K1830" s="2">
        <v>1462</v>
      </c>
      <c r="L1830" s="2">
        <v>2</v>
      </c>
      <c r="M1830" s="2"/>
      <c r="N1830" s="8">
        <v>42872.463055555556</v>
      </c>
      <c r="O1830" s="4" t="s">
        <v>12121</v>
      </c>
      <c r="P1830" s="3" t="s">
        <v>12120</v>
      </c>
      <c r="Q1830" s="4"/>
      <c r="R1830" s="4"/>
      <c r="S1830" s="9" t="str">
        <f>HYPERLINK("https://pbs.twimg.com/profile_images/1025811267230027776/ZLjD1t_x.jpg","View")</f>
        <v>View</v>
      </c>
    </row>
    <row r="1831" spans="1:19" ht="50">
      <c r="A1831" s="8">
        <v>43346.723113425927</v>
      </c>
      <c r="B1831" s="11" t="str">
        <f>HYPERLINK("https://twitter.com/s_monib","@s_monib")</f>
        <v>@s_monib</v>
      </c>
      <c r="C1831" s="6" t="s">
        <v>12119</v>
      </c>
      <c r="D1831" s="5" t="s">
        <v>12118</v>
      </c>
      <c r="E1831" s="9" t="str">
        <f>HYPERLINK("https://twitter.com/s_monib/status/1036597497538531328","1036597497538531328")</f>
        <v>1036597497538531328</v>
      </c>
      <c r="F1831" s="10" t="s">
        <v>12117</v>
      </c>
      <c r="G1831" s="10" t="s">
        <v>12116</v>
      </c>
      <c r="H1831" s="4"/>
      <c r="I1831" s="10" t="str">
        <f>HYPERLINK("http://twitter.com/download/android","Twitter for Android")</f>
        <v>Twitter for Android</v>
      </c>
      <c r="J1831" s="2">
        <v>508</v>
      </c>
      <c r="K1831" s="2">
        <v>360</v>
      </c>
      <c r="L1831" s="2">
        <v>0</v>
      </c>
      <c r="M1831" s="2"/>
      <c r="N1831" s="8">
        <v>43109.47256944445</v>
      </c>
      <c r="O1831" s="4" t="s">
        <v>17</v>
      </c>
      <c r="P1831" s="3" t="s">
        <v>12115</v>
      </c>
      <c r="Q1831" s="4"/>
      <c r="R1831" s="4"/>
      <c r="S1831" s="9" t="str">
        <f>HYPERLINK("https://pbs.twimg.com/profile_images/1029537574279434240/h02MLE4C.jpg","View")</f>
        <v>View</v>
      </c>
    </row>
    <row r="1832" spans="1:19" ht="40">
      <c r="A1832" s="8">
        <v>43346.722337962958</v>
      </c>
      <c r="B1832" s="11" t="str">
        <f>HYPERLINK("https://twitter.com/MahdiMehrizi","@MahdiMehrizi")</f>
        <v>@MahdiMehrizi</v>
      </c>
      <c r="C1832" s="6" t="s">
        <v>12114</v>
      </c>
      <c r="D1832" s="5" t="s">
        <v>12113</v>
      </c>
      <c r="E1832" s="9" t="str">
        <f>HYPERLINK("https://twitter.com/MahdiMehrizi/status/1036597217488973830","1036597217488973830")</f>
        <v>1036597217488973830</v>
      </c>
      <c r="F1832" s="4"/>
      <c r="G1832" s="10" t="s">
        <v>12112</v>
      </c>
      <c r="H1832" s="4"/>
      <c r="I1832" s="10" t="str">
        <f>HYPERLINK("http://twitter.com/download/android","Twitter for Android")</f>
        <v>Twitter for Android</v>
      </c>
      <c r="J1832" s="2">
        <v>125</v>
      </c>
      <c r="K1832" s="2">
        <v>90</v>
      </c>
      <c r="L1832" s="2">
        <v>0</v>
      </c>
      <c r="M1832" s="2"/>
      <c r="N1832" s="8">
        <v>40772.099664351852</v>
      </c>
      <c r="O1832" s="4"/>
      <c r="P1832" s="3" t="s">
        <v>12111</v>
      </c>
      <c r="Q1832" s="10" t="s">
        <v>12110</v>
      </c>
      <c r="R1832" s="4"/>
      <c r="S1832" s="9" t="str">
        <f>HYPERLINK("https://pbs.twimg.com/profile_images/882591498189103104/g8GushOe.jpg","View")</f>
        <v>View</v>
      </c>
    </row>
    <row r="1833" spans="1:19" ht="30">
      <c r="A1833" s="8">
        <v>43346.71875</v>
      </c>
      <c r="B1833" s="11" t="str">
        <f>HYPERLINK("https://twitter.com/hamshahrinews","@hamshahrinews")</f>
        <v>@hamshahrinews</v>
      </c>
      <c r="C1833" s="6" t="s">
        <v>2149</v>
      </c>
      <c r="D1833" s="5" t="s">
        <v>12109</v>
      </c>
      <c r="E1833" s="9" t="str">
        <f>HYPERLINK("https://twitter.com/hamshahrinews/status/1036595918307504128","1036595918307504128")</f>
        <v>1036595918307504128</v>
      </c>
      <c r="F1833" s="10" t="s">
        <v>12108</v>
      </c>
      <c r="G1833" s="4"/>
      <c r="H1833" s="4"/>
      <c r="I1833" s="10" t="str">
        <f>HYPERLINK("https://about.twitter.com/products/tweetdeck","TweetDeck")</f>
        <v>TweetDeck</v>
      </c>
      <c r="J1833" s="2">
        <v>1900</v>
      </c>
      <c r="K1833" s="2">
        <v>13</v>
      </c>
      <c r="L1833" s="2">
        <v>38</v>
      </c>
      <c r="M1833" s="2"/>
      <c r="N1833" s="8">
        <v>42984.575752314813</v>
      </c>
      <c r="O1833" s="4" t="s">
        <v>133</v>
      </c>
      <c r="P1833" s="3" t="s">
        <v>2146</v>
      </c>
      <c r="Q1833" s="10" t="s">
        <v>2145</v>
      </c>
      <c r="R1833" s="4"/>
      <c r="S1833" s="9" t="str">
        <f>HYPERLINK("https://pbs.twimg.com/profile_images/918008480631533568/-awyAU90.jpg","View")</f>
        <v>View</v>
      </c>
    </row>
    <row r="1834" spans="1:19" ht="40">
      <c r="A1834" s="8">
        <v>43346.7183912037</v>
      </c>
      <c r="B1834" s="11" t="str">
        <f>HYPERLINK("https://twitter.com/mashaddeliry","@mashaddeliry")</f>
        <v>@mashaddeliry</v>
      </c>
      <c r="C1834" s="6" t="s">
        <v>12107</v>
      </c>
      <c r="D1834" s="5" t="s">
        <v>12106</v>
      </c>
      <c r="E1834" s="9" t="str">
        <f>HYPERLINK("https://twitter.com/mashaddeliry/status/1036595788997173248","1036595788997173248")</f>
        <v>1036595788997173248</v>
      </c>
      <c r="F1834" s="4"/>
      <c r="G1834" s="10" t="s">
        <v>12105</v>
      </c>
      <c r="H1834" s="4"/>
      <c r="I1834" s="10" t="str">
        <f>HYPERLINK("http://twitter.com","Twitter Web Client")</f>
        <v>Twitter Web Client</v>
      </c>
      <c r="J1834" s="2">
        <v>900</v>
      </c>
      <c r="K1834" s="2">
        <v>729</v>
      </c>
      <c r="L1834" s="2">
        <v>2</v>
      </c>
      <c r="M1834" s="2"/>
      <c r="N1834" s="8">
        <v>42879.965497685189</v>
      </c>
      <c r="O1834" s="4"/>
      <c r="P1834" s="3"/>
      <c r="Q1834" s="4"/>
      <c r="R1834" s="4"/>
      <c r="S1834" s="9" t="str">
        <f>HYPERLINK("https://pbs.twimg.com/profile_images/867451723371208704/HHdvlw20.jpg","View")</f>
        <v>View</v>
      </c>
    </row>
    <row r="1835" spans="1:19" ht="40">
      <c r="A1835" s="8">
        <v>43346.718032407407</v>
      </c>
      <c r="B1835" s="11" t="str">
        <f>HYPERLINK("https://twitter.com/aghazadeh811","@aghazadeh811")</f>
        <v>@aghazadeh811</v>
      </c>
      <c r="C1835" s="6" t="s">
        <v>12104</v>
      </c>
      <c r="D1835" s="5" t="s">
        <v>12103</v>
      </c>
      <c r="E1835" s="9" t="str">
        <f>HYPERLINK("https://twitter.com/aghazadeh811/status/1036595658415919104","1036595658415919104")</f>
        <v>1036595658415919104</v>
      </c>
      <c r="F1835" s="4"/>
      <c r="G1835" s="4"/>
      <c r="H1835" s="4"/>
      <c r="I1835" s="10" t="str">
        <f>HYPERLINK("http://twitter.com","Twitter Web Client")</f>
        <v>Twitter Web Client</v>
      </c>
      <c r="J1835" s="2">
        <v>4197</v>
      </c>
      <c r="K1835" s="2">
        <v>438</v>
      </c>
      <c r="L1835" s="2">
        <v>22</v>
      </c>
      <c r="M1835" s="2"/>
      <c r="N1835" s="8">
        <v>42545.83803240741</v>
      </c>
      <c r="O1835" s="4"/>
      <c r="P1835" s="3"/>
      <c r="Q1835" s="4"/>
      <c r="R1835" s="4"/>
      <c r="S1835" s="9" t="str">
        <f>HYPERLINK("https://pbs.twimg.com/profile_images/1000420417671127041/maYNUW7I.jpg","View")</f>
        <v>View</v>
      </c>
    </row>
    <row r="1836" spans="1:19" ht="40">
      <c r="A1836" s="8">
        <v>43346.716400462959</v>
      </c>
      <c r="B1836" s="11" t="str">
        <f>HYPERLINK("https://twitter.com/Omiderfanmanesh","@Omiderfanmanesh")</f>
        <v>@Omiderfanmanesh</v>
      </c>
      <c r="C1836" s="6" t="s">
        <v>11280</v>
      </c>
      <c r="D1836" s="5" t="s">
        <v>12102</v>
      </c>
      <c r="E1836" s="9" t="str">
        <f>HYPERLINK("https://twitter.com/Omiderfanmanesh/status/1036595064657596416","1036595064657596416")</f>
        <v>1036595064657596416</v>
      </c>
      <c r="F1836" s="4"/>
      <c r="G1836" s="4"/>
      <c r="H1836" s="4"/>
      <c r="I1836" s="10" t="str">
        <f>HYPERLINK("http://twitter.com/download/android","Twitter for Android")</f>
        <v>Twitter for Android</v>
      </c>
      <c r="J1836" s="2">
        <v>953</v>
      </c>
      <c r="K1836" s="2">
        <v>1122</v>
      </c>
      <c r="L1836" s="2">
        <v>2</v>
      </c>
      <c r="M1836" s="2"/>
      <c r="N1836" s="8">
        <v>42701.033217592594</v>
      </c>
      <c r="O1836" s="4" t="s">
        <v>11277</v>
      </c>
      <c r="P1836" s="3" t="s">
        <v>11276</v>
      </c>
      <c r="Q1836" s="4"/>
      <c r="R1836" s="4"/>
      <c r="S1836" s="9" t="str">
        <f>HYPERLINK("https://pbs.twimg.com/profile_images/1028990298305658880/JAdUYLZr.jpg","View")</f>
        <v>View</v>
      </c>
    </row>
    <row r="1837" spans="1:19" ht="40">
      <c r="A1837" s="8">
        <v>43346.71607638889</v>
      </c>
      <c r="B1837" s="11" t="str">
        <f>HYPERLINK("https://twitter.com/Masoudsaeedi_i","@Masoudsaeedi_i")</f>
        <v>@Masoudsaeedi_i</v>
      </c>
      <c r="C1837" s="6" t="s">
        <v>12101</v>
      </c>
      <c r="D1837" s="5" t="s">
        <v>12100</v>
      </c>
      <c r="E1837" s="9" t="str">
        <f>HYPERLINK("https://twitter.com/Masoudsaeedi_i/status/1036594950585102336","1036594950585102336")</f>
        <v>1036594950585102336</v>
      </c>
      <c r="F1837" s="4"/>
      <c r="G1837" s="4"/>
      <c r="H1837" s="4"/>
      <c r="I1837" s="10" t="str">
        <f>HYPERLINK("http://twitter.com/download/iphone","Twitter for iPhone")</f>
        <v>Twitter for iPhone</v>
      </c>
      <c r="J1837" s="2">
        <v>223</v>
      </c>
      <c r="K1837" s="2">
        <v>416</v>
      </c>
      <c r="L1837" s="2">
        <v>1</v>
      </c>
      <c r="M1837" s="2"/>
      <c r="N1837" s="8">
        <v>42997.686481481476</v>
      </c>
      <c r="O1837" s="4" t="s">
        <v>34</v>
      </c>
      <c r="P1837" s="3" t="s">
        <v>12099</v>
      </c>
      <c r="Q1837" s="10" t="s">
        <v>12098</v>
      </c>
      <c r="R1837" s="4"/>
      <c r="S1837" s="9" t="str">
        <f>HYPERLINK("https://pbs.twimg.com/profile_images/1022596857418199040/663lGxeO.jpg","View")</f>
        <v>View</v>
      </c>
    </row>
    <row r="1838" spans="1:19" ht="40">
      <c r="A1838" s="8">
        <v>43346.716006944444</v>
      </c>
      <c r="B1838" s="11" t="str">
        <f>HYPERLINK("https://twitter.com/torajsmadpor1","@torajsmadpor1")</f>
        <v>@torajsmadpor1</v>
      </c>
      <c r="C1838" s="6" t="s">
        <v>12097</v>
      </c>
      <c r="D1838" s="5" t="s">
        <v>12096</v>
      </c>
      <c r="E1838" s="9" t="str">
        <f>HYPERLINK("https://twitter.com/torajsmadpor1/status/1036594925817790464","1036594925817790464")</f>
        <v>1036594925817790464</v>
      </c>
      <c r="F1838" s="4"/>
      <c r="G1838" s="10" t="s">
        <v>12095</v>
      </c>
      <c r="H1838" s="4"/>
      <c r="I1838" s="10" t="str">
        <f>HYPERLINK("http://twitter.com","Twitter Web Client")</f>
        <v>Twitter Web Client</v>
      </c>
      <c r="J1838" s="2">
        <v>612</v>
      </c>
      <c r="K1838" s="2">
        <v>475</v>
      </c>
      <c r="L1838" s="2">
        <v>1</v>
      </c>
      <c r="M1838" s="2"/>
      <c r="N1838" s="8">
        <v>42817.608715277776</v>
      </c>
      <c r="O1838" s="4"/>
      <c r="P1838" s="3" t="s">
        <v>12094</v>
      </c>
      <c r="Q1838" s="10" t="s">
        <v>12093</v>
      </c>
      <c r="R1838" s="4"/>
      <c r="S1838" s="9" t="str">
        <f>HYPERLINK("https://pbs.twimg.com/profile_images/844854128715083777/6vVy8iBm.jpg","View")</f>
        <v>View</v>
      </c>
    </row>
    <row r="1839" spans="1:19" ht="40">
      <c r="A1839" s="8">
        <v>43346.715358796297</v>
      </c>
      <c r="B1839" s="11" t="str">
        <f>HYPERLINK("https://twitter.com/HodaManoochehri","@HodaManoochehri")</f>
        <v>@HodaManoochehri</v>
      </c>
      <c r="C1839" s="6" t="s">
        <v>12092</v>
      </c>
      <c r="D1839" s="5" t="s">
        <v>12091</v>
      </c>
      <c r="E1839" s="9" t="str">
        <f>HYPERLINK("https://twitter.com/HodaManoochehri/status/1036594690198528001","1036594690198528001")</f>
        <v>1036594690198528001</v>
      </c>
      <c r="F1839" s="4"/>
      <c r="G1839" s="10" t="s">
        <v>12090</v>
      </c>
      <c r="H1839" s="4"/>
      <c r="I1839" s="10" t="str">
        <f>HYPERLINK("http://twitter.com/download/android","Twitter for Android")</f>
        <v>Twitter for Android</v>
      </c>
      <c r="J1839" s="2">
        <v>98</v>
      </c>
      <c r="K1839" s="2">
        <v>78</v>
      </c>
      <c r="L1839" s="2">
        <v>0</v>
      </c>
      <c r="M1839" s="2"/>
      <c r="N1839" s="8">
        <v>42920.640879629631</v>
      </c>
      <c r="O1839" s="4"/>
      <c r="P1839" s="3"/>
      <c r="Q1839" s="4"/>
      <c r="R1839" s="4"/>
      <c r="S1839" s="9" t="str">
        <f>HYPERLINK("https://pbs.twimg.com/profile_images/984687914050293761/PZbipNsB.jpg","View")</f>
        <v>View</v>
      </c>
    </row>
    <row r="1840" spans="1:19" ht="40">
      <c r="A1840" s="8">
        <v>43346.714953703704</v>
      </c>
      <c r="B1840" s="11" t="str">
        <f>HYPERLINK("https://twitter.com/RafatiSiavash","@RafatiSiavash")</f>
        <v>@RafatiSiavash</v>
      </c>
      <c r="C1840" s="6" t="s">
        <v>3226</v>
      </c>
      <c r="D1840" s="5" t="s">
        <v>12089</v>
      </c>
      <c r="E1840" s="9" t="str">
        <f>HYPERLINK("https://twitter.com/RafatiSiavash/status/1036594541183283200","1036594541183283200")</f>
        <v>1036594541183283200</v>
      </c>
      <c r="F1840" s="4"/>
      <c r="G1840" s="4"/>
      <c r="H1840" s="4"/>
      <c r="I1840" s="10" t="str">
        <f>HYPERLINK("http://twitter.com","Twitter Web Client")</f>
        <v>Twitter Web Client</v>
      </c>
      <c r="J1840" s="2">
        <v>288</v>
      </c>
      <c r="K1840" s="2">
        <v>230</v>
      </c>
      <c r="L1840" s="2">
        <v>87</v>
      </c>
      <c r="M1840" s="2"/>
      <c r="N1840" s="8">
        <v>41050.769884259258</v>
      </c>
      <c r="O1840" s="4"/>
      <c r="P1840" s="3" t="s">
        <v>3223</v>
      </c>
      <c r="Q1840" s="10" t="s">
        <v>3222</v>
      </c>
      <c r="R1840" s="4"/>
      <c r="S1840" s="9" t="str">
        <f>HYPERLINK("https://pbs.twimg.com/profile_images/821385868690751488/Qqe0I1Bk.jpg","View")</f>
        <v>View</v>
      </c>
    </row>
    <row r="1841" spans="1:19" ht="20">
      <c r="A1841" s="8">
        <v>43346.713807870372</v>
      </c>
      <c r="B1841" s="11" t="str">
        <f>HYPERLINK("https://twitter.com/saadatsalehinia","@saadatsalehinia")</f>
        <v>@saadatsalehinia</v>
      </c>
      <c r="C1841" s="6" t="s">
        <v>12088</v>
      </c>
      <c r="D1841" s="5" t="s">
        <v>12087</v>
      </c>
      <c r="E1841" s="9" t="str">
        <f>HYPERLINK("https://twitter.com/saadatsalehinia/status/1036594127096438784","1036594127096438784")</f>
        <v>1036594127096438784</v>
      </c>
      <c r="F1841" s="4"/>
      <c r="G1841" s="10" t="s">
        <v>12086</v>
      </c>
      <c r="H1841" s="4"/>
      <c r="I1841" s="10" t="str">
        <f>HYPERLINK("http://twitter.com/download/android","Twitter for Android")</f>
        <v>Twitter for Android</v>
      </c>
      <c r="J1841" s="2">
        <v>64</v>
      </c>
      <c r="K1841" s="2">
        <v>43</v>
      </c>
      <c r="L1841" s="2">
        <v>0</v>
      </c>
      <c r="M1841" s="2"/>
      <c r="N1841" s="8">
        <v>42955.931168981479</v>
      </c>
      <c r="O1841" s="4" t="s">
        <v>10649</v>
      </c>
      <c r="P1841" s="3" t="s">
        <v>12085</v>
      </c>
      <c r="Q1841" s="4"/>
      <c r="R1841" s="4"/>
      <c r="S1841" s="9" t="str">
        <f>HYPERLINK("https://pbs.twimg.com/profile_images/900695728519086081/j2LsZGqq.jpg","View")</f>
        <v>View</v>
      </c>
    </row>
    <row r="1842" spans="1:19" ht="30">
      <c r="A1842" s="8">
        <v>43346.712268518517</v>
      </c>
      <c r="B1842" s="11" t="str">
        <f>HYPERLINK("https://twitter.com/mohyeddin_farsi","@mohyeddin_farsi")</f>
        <v>@mohyeddin_farsi</v>
      </c>
      <c r="C1842" s="6" t="s">
        <v>3121</v>
      </c>
      <c r="D1842" s="5" t="s">
        <v>12084</v>
      </c>
      <c r="E1842" s="9" t="str">
        <f>HYPERLINK("https://twitter.com/mohyeddin_farsi/status/1036593567085551618","1036593567085551618")</f>
        <v>1036593567085551618</v>
      </c>
      <c r="F1842" s="4"/>
      <c r="G1842" s="4"/>
      <c r="H1842" s="4"/>
      <c r="I1842" s="10" t="str">
        <f>HYPERLINK("http://twitter.com/download/android","Twitter for Android")</f>
        <v>Twitter for Android</v>
      </c>
      <c r="J1842" s="2">
        <v>3085</v>
      </c>
      <c r="K1842" s="2">
        <v>4918</v>
      </c>
      <c r="L1842" s="2">
        <v>1</v>
      </c>
      <c r="M1842" s="2"/>
      <c r="N1842" s="8">
        <v>43208.817083333328</v>
      </c>
      <c r="O1842" s="4" t="s">
        <v>10298</v>
      </c>
      <c r="P1842" s="3" t="s">
        <v>10297</v>
      </c>
      <c r="Q1842" s="4"/>
      <c r="R1842" s="4"/>
      <c r="S1842" s="9" t="str">
        <f>HYPERLINK("https://pbs.twimg.com/profile_images/1025783168513789953/1ugz7yGG.jpg","View")</f>
        <v>View</v>
      </c>
    </row>
    <row r="1843" spans="1:19" ht="40">
      <c r="A1843" s="8">
        <v>43346.710543981477</v>
      </c>
      <c r="B1843" s="11" t="str">
        <f>HYPERLINK("https://twitter.com/Omiderfanmanesh","@Omiderfanmanesh")</f>
        <v>@Omiderfanmanesh</v>
      </c>
      <c r="C1843" s="6" t="s">
        <v>11280</v>
      </c>
      <c r="D1843" s="5" t="s">
        <v>12083</v>
      </c>
      <c r="E1843" s="9" t="str">
        <f>HYPERLINK("https://twitter.com/Omiderfanmanesh/status/1036592944164347904","1036592944164347904")</f>
        <v>1036592944164347904</v>
      </c>
      <c r="F1843" s="4"/>
      <c r="G1843" s="4"/>
      <c r="H1843" s="4"/>
      <c r="I1843" s="10" t="str">
        <f>HYPERLINK("http://twitter.com/download/android","Twitter for Android")</f>
        <v>Twitter for Android</v>
      </c>
      <c r="J1843" s="2">
        <v>953</v>
      </c>
      <c r="K1843" s="2">
        <v>1122</v>
      </c>
      <c r="L1843" s="2">
        <v>2</v>
      </c>
      <c r="M1843" s="2"/>
      <c r="N1843" s="8">
        <v>42701.033217592594</v>
      </c>
      <c r="O1843" s="4" t="s">
        <v>11277</v>
      </c>
      <c r="P1843" s="3" t="s">
        <v>11276</v>
      </c>
      <c r="Q1843" s="4"/>
      <c r="R1843" s="4"/>
      <c r="S1843" s="9" t="str">
        <f>HYPERLINK("https://pbs.twimg.com/profile_images/1028990298305658880/JAdUYLZr.jpg","View")</f>
        <v>View</v>
      </c>
    </row>
    <row r="1844" spans="1:19" ht="40">
      <c r="A1844" s="8">
        <v>43346.710543981477</v>
      </c>
      <c r="B1844" s="11" t="str">
        <f>HYPERLINK("https://twitter.com/Eranico_com","@Eranico_com")</f>
        <v>@Eranico_com</v>
      </c>
      <c r="C1844" s="6" t="s">
        <v>6113</v>
      </c>
      <c r="D1844" s="5" t="s">
        <v>12082</v>
      </c>
      <c r="E1844" s="9" t="str">
        <f>HYPERLINK("https://twitter.com/Eranico_com/status/1036592943447068672","1036592943447068672")</f>
        <v>1036592943447068672</v>
      </c>
      <c r="F1844" s="10" t="s">
        <v>12081</v>
      </c>
      <c r="G1844" s="10" t="s">
        <v>9236</v>
      </c>
      <c r="H1844" s="4"/>
      <c r="I1844" s="10" t="str">
        <f>HYPERLINK("https://about.twitter.com/products/tweetdeck","TweetDeck")</f>
        <v>TweetDeck</v>
      </c>
      <c r="J1844" s="2">
        <v>7517</v>
      </c>
      <c r="K1844" s="2">
        <v>103</v>
      </c>
      <c r="L1844" s="2">
        <v>125</v>
      </c>
      <c r="M1844" s="2"/>
      <c r="N1844" s="8">
        <v>41771.456817129627</v>
      </c>
      <c r="O1844" s="4" t="s">
        <v>894</v>
      </c>
      <c r="P1844" s="3" t="s">
        <v>6110</v>
      </c>
      <c r="Q1844" s="10" t="s">
        <v>6109</v>
      </c>
      <c r="R1844" s="4"/>
      <c r="S1844" s="9" t="str">
        <f>HYPERLINK("https://pbs.twimg.com/profile_images/932620790100647936/TOsgkBi2.jpg","View")</f>
        <v>View</v>
      </c>
    </row>
    <row r="1845" spans="1:19" ht="20">
      <c r="A1845" s="8">
        <v>43346.707175925927</v>
      </c>
      <c r="B1845" s="11" t="str">
        <f>HYPERLINK("https://twitter.com/wolfhjdd","@wolfhjdd")</f>
        <v>@wolfhjdd</v>
      </c>
      <c r="C1845" s="6" t="s">
        <v>12080</v>
      </c>
      <c r="D1845" s="5" t="s">
        <v>12079</v>
      </c>
      <c r="E1845" s="9" t="str">
        <f>HYPERLINK("https://twitter.com/wolfhjdd/status/1036591723286282240","1036591723286282240")</f>
        <v>1036591723286282240</v>
      </c>
      <c r="F1845" s="4"/>
      <c r="G1845" s="4"/>
      <c r="H1845" s="4"/>
      <c r="I1845" s="10" t="str">
        <f>HYPERLINK("http://twitter.com/download/android","Twitter for Android")</f>
        <v>Twitter for Android</v>
      </c>
      <c r="J1845" s="2">
        <v>33</v>
      </c>
      <c r="K1845" s="2">
        <v>53</v>
      </c>
      <c r="L1845" s="2">
        <v>0</v>
      </c>
      <c r="M1845" s="2"/>
      <c r="N1845" s="8">
        <v>43222.929768518516</v>
      </c>
      <c r="O1845" s="4" t="s">
        <v>1498</v>
      </c>
      <c r="P1845" s="3" t="s">
        <v>1498</v>
      </c>
      <c r="Q1845" s="4"/>
      <c r="R1845" s="4"/>
      <c r="S1845" s="9" t="str">
        <f>HYPERLINK("https://pbs.twimg.com/profile_images/998603681015582720/9LaLj8-B.jpg","View")</f>
        <v>View</v>
      </c>
    </row>
    <row r="1846" spans="1:19" ht="20">
      <c r="A1846" s="8">
        <v>43346.699571759258</v>
      </c>
      <c r="B1846" s="11" t="str">
        <f>HYPERLINK("https://twitter.com/bahareh21072454","@bahareh21072454")</f>
        <v>@bahareh21072454</v>
      </c>
      <c r="C1846" s="6" t="s">
        <v>12074</v>
      </c>
      <c r="D1846" s="5" t="s">
        <v>12078</v>
      </c>
      <c r="E1846" s="9" t="str">
        <f>HYPERLINK("https://twitter.com/bahareh21072454/status/1036588969503404037","1036588969503404037")</f>
        <v>1036588969503404037</v>
      </c>
      <c r="F1846" s="4"/>
      <c r="G1846" s="4"/>
      <c r="H1846" s="4"/>
      <c r="I1846" s="10" t="str">
        <f>HYPERLINK("http://twitter.com/download/android","Twitter for Android")</f>
        <v>Twitter for Android</v>
      </c>
      <c r="J1846" s="2">
        <v>1064</v>
      </c>
      <c r="K1846" s="2">
        <v>1152</v>
      </c>
      <c r="L1846" s="2">
        <v>5</v>
      </c>
      <c r="M1846" s="2"/>
      <c r="N1846" s="8">
        <v>43223.899143518516</v>
      </c>
      <c r="O1846" s="4" t="s">
        <v>682</v>
      </c>
      <c r="P1846" s="3" t="s">
        <v>12072</v>
      </c>
      <c r="Q1846" s="4"/>
      <c r="R1846" s="4"/>
      <c r="S1846" s="9" t="str">
        <f>HYPERLINK("https://pbs.twimg.com/profile_images/1031861778735489024/GJhqZQjo.jpg","View")</f>
        <v>View</v>
      </c>
    </row>
    <row r="1847" spans="1:19" ht="30">
      <c r="A1847" s="8">
        <v>43346.699166666665</v>
      </c>
      <c r="B1847" s="11" t="str">
        <f>HYPERLINK("https://twitter.com/Tasnimnews_Fa","@Tasnimnews_Fa")</f>
        <v>@Tasnimnews_Fa</v>
      </c>
      <c r="C1847" s="6" t="s">
        <v>603</v>
      </c>
      <c r="D1847" s="5" t="s">
        <v>12077</v>
      </c>
      <c r="E1847" s="9" t="str">
        <f>HYPERLINK("https://twitter.com/Tasnimnews_Fa/status/1036588822006521856","1036588822006521856")</f>
        <v>1036588822006521856</v>
      </c>
      <c r="F1847" s="10" t="s">
        <v>12076</v>
      </c>
      <c r="G1847" s="10" t="s">
        <v>12075</v>
      </c>
      <c r="H1847" s="4"/>
      <c r="I1847" s="10" t="str">
        <f>HYPERLINK("http://twitter.com","Twitter Web Client")</f>
        <v>Twitter Web Client</v>
      </c>
      <c r="J1847" s="2">
        <v>109684</v>
      </c>
      <c r="K1847" s="2">
        <v>20</v>
      </c>
      <c r="L1847" s="2">
        <v>378</v>
      </c>
      <c r="M1847" s="2" t="s">
        <v>80</v>
      </c>
      <c r="N1847" s="8">
        <v>41868.671585648146</v>
      </c>
      <c r="O1847" s="4" t="s">
        <v>133</v>
      </c>
      <c r="P1847" s="3" t="s">
        <v>599</v>
      </c>
      <c r="Q1847" s="10" t="s">
        <v>598</v>
      </c>
      <c r="R1847" s="4"/>
      <c r="S1847" s="9" t="str">
        <f>HYPERLINK("https://pbs.twimg.com/profile_images/942003149430239232/hvLw_1_E.jpg","View")</f>
        <v>View</v>
      </c>
    </row>
    <row r="1848" spans="1:19" ht="20">
      <c r="A1848" s="8">
        <v>43346.698020833333</v>
      </c>
      <c r="B1848" s="11" t="str">
        <f>HYPERLINK("https://twitter.com/bahareh21072454","@bahareh21072454")</f>
        <v>@bahareh21072454</v>
      </c>
      <c r="C1848" s="6" t="s">
        <v>12074</v>
      </c>
      <c r="D1848" s="5" t="s">
        <v>12073</v>
      </c>
      <c r="E1848" s="9" t="str">
        <f>HYPERLINK("https://twitter.com/bahareh21072454/status/1036588407387025408","1036588407387025408")</f>
        <v>1036588407387025408</v>
      </c>
      <c r="F1848" s="4"/>
      <c r="G1848" s="4"/>
      <c r="H1848" s="4"/>
      <c r="I1848" s="10" t="str">
        <f>HYPERLINK("http://twitter.com/download/android","Twitter for Android")</f>
        <v>Twitter for Android</v>
      </c>
      <c r="J1848" s="2">
        <v>1064</v>
      </c>
      <c r="K1848" s="2">
        <v>1152</v>
      </c>
      <c r="L1848" s="2">
        <v>5</v>
      </c>
      <c r="M1848" s="2"/>
      <c r="N1848" s="8">
        <v>43223.899143518516</v>
      </c>
      <c r="O1848" s="4" t="s">
        <v>682</v>
      </c>
      <c r="P1848" s="3" t="s">
        <v>12072</v>
      </c>
      <c r="Q1848" s="4"/>
      <c r="R1848" s="4"/>
      <c r="S1848" s="9" t="str">
        <f>HYPERLINK("https://pbs.twimg.com/profile_images/1031861778735489024/GJhqZQjo.jpg","View")</f>
        <v>View</v>
      </c>
    </row>
    <row r="1849" spans="1:19" ht="40">
      <c r="A1849" s="8">
        <v>43346.696608796294</v>
      </c>
      <c r="B1849" s="11" t="str">
        <f>HYPERLINK("https://twitter.com/RafatiSiavash","@RafatiSiavash")</f>
        <v>@RafatiSiavash</v>
      </c>
      <c r="C1849" s="6" t="s">
        <v>3226</v>
      </c>
      <c r="D1849" s="5" t="s">
        <v>12071</v>
      </c>
      <c r="E1849" s="9" t="str">
        <f>HYPERLINK("https://twitter.com/RafatiSiavash/status/1036587893752516608","1036587893752516608")</f>
        <v>1036587893752516608</v>
      </c>
      <c r="F1849" s="10" t="s">
        <v>12070</v>
      </c>
      <c r="G1849" s="4"/>
      <c r="H1849" s="4"/>
      <c r="I1849" s="10" t="str">
        <f>HYPERLINK("http://twitter.com","Twitter Web Client")</f>
        <v>Twitter Web Client</v>
      </c>
      <c r="J1849" s="2">
        <v>288</v>
      </c>
      <c r="K1849" s="2">
        <v>230</v>
      </c>
      <c r="L1849" s="2">
        <v>87</v>
      </c>
      <c r="M1849" s="2"/>
      <c r="N1849" s="8">
        <v>41050.769884259258</v>
      </c>
      <c r="O1849" s="4"/>
      <c r="P1849" s="3" t="s">
        <v>3223</v>
      </c>
      <c r="Q1849" s="10" t="s">
        <v>3222</v>
      </c>
      <c r="R1849" s="4"/>
      <c r="S1849" s="9" t="str">
        <f>HYPERLINK("https://pbs.twimg.com/profile_images/821385868690751488/Qqe0I1Bk.jpg","View")</f>
        <v>View</v>
      </c>
    </row>
    <row r="1850" spans="1:19" ht="20">
      <c r="A1850" s="8">
        <v>43346.695</v>
      </c>
      <c r="B1850" s="11" t="str">
        <f>HYPERLINK("https://twitter.com/Mohamad6586","@Mohamad6586")</f>
        <v>@Mohamad6586</v>
      </c>
      <c r="C1850" s="6" t="s">
        <v>1129</v>
      </c>
      <c r="D1850" s="5" t="s">
        <v>12069</v>
      </c>
      <c r="E1850" s="9" t="str">
        <f>HYPERLINK("https://twitter.com/Mohamad6586/status/1036587311239188480","1036587311239188480")</f>
        <v>1036587311239188480</v>
      </c>
      <c r="F1850" s="4"/>
      <c r="G1850" s="4"/>
      <c r="H1850" s="4"/>
      <c r="I1850" s="10" t="str">
        <f>HYPERLINK("http://twitter.com/download/iphone","Twitter for iPhone")</f>
        <v>Twitter for iPhone</v>
      </c>
      <c r="J1850" s="2">
        <v>1102</v>
      </c>
      <c r="K1850" s="2">
        <v>408</v>
      </c>
      <c r="L1850" s="2">
        <v>4</v>
      </c>
      <c r="M1850" s="2"/>
      <c r="N1850" s="8">
        <v>42073.548946759256</v>
      </c>
      <c r="O1850" s="4" t="s">
        <v>682</v>
      </c>
      <c r="P1850" s="3" t="s">
        <v>10754</v>
      </c>
      <c r="Q1850" s="10" t="s">
        <v>10753</v>
      </c>
      <c r="R1850" s="4"/>
      <c r="S1850" s="9" t="str">
        <f>HYPERLINK("https://pbs.twimg.com/profile_images/942651371450454016/w2kVeBXi.jpg","View")</f>
        <v>View</v>
      </c>
    </row>
    <row r="1851" spans="1:19" ht="30">
      <c r="A1851" s="8">
        <v>43346.692453703705</v>
      </c>
      <c r="B1851" s="11" t="str">
        <f>HYPERLINK("https://twitter.com/Kiyanara","@Kiyanara")</f>
        <v>@Kiyanara</v>
      </c>
      <c r="C1851" s="6" t="s">
        <v>2162</v>
      </c>
      <c r="D1851" s="5" t="s">
        <v>12068</v>
      </c>
      <c r="E1851" s="9" t="str">
        <f>HYPERLINK("https://twitter.com/Kiyanara/status/1036586388714483713","1036586388714483713")</f>
        <v>1036586388714483713</v>
      </c>
      <c r="F1851" s="4"/>
      <c r="G1851" s="4"/>
      <c r="H1851" s="4"/>
      <c r="I1851" s="10" t="str">
        <f>HYPERLINK("http://twitter.com","Twitter Web Client")</f>
        <v>Twitter Web Client</v>
      </c>
      <c r="J1851" s="2">
        <v>290</v>
      </c>
      <c r="K1851" s="2">
        <v>230</v>
      </c>
      <c r="L1851" s="2">
        <v>2</v>
      </c>
      <c r="M1851" s="2"/>
      <c r="N1851" s="8">
        <v>41155.709988425922</v>
      </c>
      <c r="O1851" s="4" t="s">
        <v>2159</v>
      </c>
      <c r="P1851" s="3" t="s">
        <v>2158</v>
      </c>
      <c r="Q1851" s="4"/>
      <c r="R1851" s="4"/>
      <c r="S1851" s="9" t="str">
        <f>HYPERLINK("https://pbs.twimg.com/profile_images/1016974331086176256/AIsihCYT.jpg","View")</f>
        <v>View</v>
      </c>
    </row>
    <row r="1852" spans="1:19" ht="40">
      <c r="A1852" s="8">
        <v>43346.690775462965</v>
      </c>
      <c r="B1852" s="11" t="str">
        <f>HYPERLINK("https://twitter.com/rasoulafshari","@rasoulafshari")</f>
        <v>@rasoulafshari</v>
      </c>
      <c r="C1852" s="6" t="s">
        <v>12067</v>
      </c>
      <c r="D1852" s="5" t="s">
        <v>12066</v>
      </c>
      <c r="E1852" s="9" t="str">
        <f>HYPERLINK("https://twitter.com/rasoulafshari/status/1036585781400399872","1036585781400399872")</f>
        <v>1036585781400399872</v>
      </c>
      <c r="F1852" s="4" t="s">
        <v>12065</v>
      </c>
      <c r="G1852" s="10" t="s">
        <v>12064</v>
      </c>
      <c r="H1852" s="4"/>
      <c r="I1852" s="10" t="str">
        <f>HYPERLINK("http://twitter.com","Twitter Web Client")</f>
        <v>Twitter Web Client</v>
      </c>
      <c r="J1852" s="2">
        <v>17</v>
      </c>
      <c r="K1852" s="2">
        <v>150</v>
      </c>
      <c r="L1852" s="2">
        <v>0</v>
      </c>
      <c r="M1852" s="2"/>
      <c r="N1852" s="8">
        <v>43345.382118055553</v>
      </c>
      <c r="O1852" s="4" t="s">
        <v>34</v>
      </c>
      <c r="P1852" s="3" t="s">
        <v>12063</v>
      </c>
      <c r="Q1852" s="4"/>
      <c r="R1852" s="4"/>
      <c r="S1852" s="9" t="str">
        <f>HYPERLINK("https://pbs.twimg.com/profile_images/1036479296401887232/SiGC-sMz.jpg","View")</f>
        <v>View</v>
      </c>
    </row>
    <row r="1853" spans="1:19" ht="12.5">
      <c r="A1853" s="8">
        <v>43346.69059027778</v>
      </c>
      <c r="B1853" s="11" t="str">
        <f>HYPERLINK("https://twitter.com/radioomid","@radioomid")</f>
        <v>@radioomid</v>
      </c>
      <c r="C1853" s="6" t="s">
        <v>6261</v>
      </c>
      <c r="D1853" s="5" t="s">
        <v>12062</v>
      </c>
      <c r="E1853" s="9" t="str">
        <f>HYPERLINK("https://twitter.com/radioomid/status/1036585712781611008","1036585712781611008")</f>
        <v>1036585712781611008</v>
      </c>
      <c r="F1853" s="10" t="s">
        <v>12061</v>
      </c>
      <c r="G1853" s="4"/>
      <c r="H1853" s="4"/>
      <c r="I1853" s="10" t="str">
        <f>HYPERLINK("http://twitter.com","Twitter Web Client")</f>
        <v>Twitter Web Client</v>
      </c>
      <c r="J1853" s="2">
        <v>667</v>
      </c>
      <c r="K1853" s="2">
        <v>592</v>
      </c>
      <c r="L1853" s="2">
        <v>1</v>
      </c>
      <c r="M1853" s="2"/>
      <c r="N1853" s="8">
        <v>42836.654143518521</v>
      </c>
      <c r="O1853" s="4" t="s">
        <v>6258</v>
      </c>
      <c r="P1853" s="3" t="s">
        <v>6257</v>
      </c>
      <c r="Q1853" s="10" t="s">
        <v>6256</v>
      </c>
      <c r="R1853" s="4"/>
      <c r="S1853" s="9" t="str">
        <f>HYPERLINK("https://pbs.twimg.com/profile_images/864869486729494528/iRFVzy5V.jpg","View")</f>
        <v>View</v>
      </c>
    </row>
    <row r="1854" spans="1:19" ht="80">
      <c r="A1854" s="8">
        <v>43346.689270833333</v>
      </c>
      <c r="B1854" s="11" t="str">
        <f>HYPERLINK("https://twitter.com/Beeman93397010","@Beeman93397010")</f>
        <v>@Beeman93397010</v>
      </c>
      <c r="C1854" s="6" t="s">
        <v>1335</v>
      </c>
      <c r="D1854" s="5" t="s">
        <v>12060</v>
      </c>
      <c r="E1854" s="9" t="str">
        <f>HYPERLINK("https://twitter.com/Beeman93397010/status/1036585236707115009","1036585236707115009")</f>
        <v>1036585236707115009</v>
      </c>
      <c r="F1854" s="10" t="s">
        <v>12059</v>
      </c>
      <c r="G1854" s="4"/>
      <c r="H1854" s="4"/>
      <c r="I1854" s="10" t="str">
        <f>HYPERLINK("http://twitter.com/download/android","Twitter for Android")</f>
        <v>Twitter for Android</v>
      </c>
      <c r="J1854" s="2">
        <v>144</v>
      </c>
      <c r="K1854" s="2">
        <v>69</v>
      </c>
      <c r="L1854" s="2">
        <v>0</v>
      </c>
      <c r="M1854" s="2"/>
      <c r="N1854" s="8">
        <v>43201.467928240745</v>
      </c>
      <c r="O1854" s="4" t="s">
        <v>1333</v>
      </c>
      <c r="P1854" s="3" t="s">
        <v>1332</v>
      </c>
      <c r="Q1854" s="4"/>
      <c r="R1854" s="4"/>
      <c r="S1854" s="9" t="str">
        <f>HYPERLINK("https://pbs.twimg.com/profile_images/1035388374511706112/v6qk7301.jpg","View")</f>
        <v>View</v>
      </c>
    </row>
    <row r="1855" spans="1:19" ht="30">
      <c r="A1855" s="8">
        <v>43346.689166666663</v>
      </c>
      <c r="B1855" s="11" t="str">
        <f>HYPERLINK("https://twitter.com/AlaviKaragah","@AlaviKaragah")</f>
        <v>@AlaviKaragah</v>
      </c>
      <c r="C1855" s="6" t="s">
        <v>12058</v>
      </c>
      <c r="D1855" s="5" t="s">
        <v>12057</v>
      </c>
      <c r="E1855" s="9" t="str">
        <f>HYPERLINK("https://twitter.com/AlaviKaragah/status/1036585197809135618","1036585197809135618")</f>
        <v>1036585197809135618</v>
      </c>
      <c r="F1855" s="4"/>
      <c r="G1855" s="4"/>
      <c r="H1855" s="4"/>
      <c r="I1855" s="10" t="str">
        <f>HYPERLINK("http://twitter.com/download/android","Twitter for Android")</f>
        <v>Twitter for Android</v>
      </c>
      <c r="J1855" s="2">
        <v>19</v>
      </c>
      <c r="K1855" s="2">
        <v>131</v>
      </c>
      <c r="L1855" s="2">
        <v>0</v>
      </c>
      <c r="M1855" s="2"/>
      <c r="N1855" s="8">
        <v>43321.790868055556</v>
      </c>
      <c r="O1855" s="4"/>
      <c r="P1855" s="3"/>
      <c r="Q1855" s="4"/>
      <c r="R1855" s="4"/>
      <c r="S1855" s="9" t="str">
        <f>HYPERLINK("https://pbs.twimg.com/profile_images/1035484808330321920/9-pkQP85.jpg","View")</f>
        <v>View</v>
      </c>
    </row>
    <row r="1856" spans="1:19" ht="30">
      <c r="A1856" s="8">
        <v>43346.688148148147</v>
      </c>
      <c r="B1856" s="11" t="str">
        <f>HYPERLINK("https://twitter.com/MAMOOTTI","@MAMOOTTI")</f>
        <v>@MAMOOTTI</v>
      </c>
      <c r="C1856" s="6" t="s">
        <v>12031</v>
      </c>
      <c r="D1856" s="5" t="s">
        <v>12056</v>
      </c>
      <c r="E1856" s="9" t="str">
        <f>HYPERLINK("https://twitter.com/MAMOOTTI/status/1036584826105675778","1036584826105675778")</f>
        <v>1036584826105675778</v>
      </c>
      <c r="F1856" s="4"/>
      <c r="G1856" s="4"/>
      <c r="H1856" s="4"/>
      <c r="I1856" s="10" t="str">
        <f>HYPERLINK("http://twitter.com","Twitter Web Client")</f>
        <v>Twitter Web Client</v>
      </c>
      <c r="J1856" s="2">
        <v>0</v>
      </c>
      <c r="K1856" s="2">
        <v>8</v>
      </c>
      <c r="L1856" s="2">
        <v>0</v>
      </c>
      <c r="M1856" s="2"/>
      <c r="N1856" s="8">
        <v>43346.61509259259</v>
      </c>
      <c r="O1856" s="4"/>
      <c r="P1856" s="3"/>
      <c r="Q1856" s="4"/>
      <c r="R1856" s="4"/>
      <c r="S1856" s="2" t="s">
        <v>155</v>
      </c>
    </row>
    <row r="1857" spans="1:19" ht="30">
      <c r="A1857" s="8">
        <v>43346.6875</v>
      </c>
      <c r="B1857" s="11" t="str">
        <f>HYPERLINK("https://twitter.com/hamshahrinews","@hamshahrinews")</f>
        <v>@hamshahrinews</v>
      </c>
      <c r="C1857" s="6" t="s">
        <v>2149</v>
      </c>
      <c r="D1857" s="5" t="s">
        <v>12055</v>
      </c>
      <c r="E1857" s="9" t="str">
        <f>HYPERLINK("https://twitter.com/hamshahrinews/status/1036584594978627585","1036584594978627585")</f>
        <v>1036584594978627585</v>
      </c>
      <c r="F1857" s="10" t="s">
        <v>12054</v>
      </c>
      <c r="G1857" s="4"/>
      <c r="H1857" s="4"/>
      <c r="I1857" s="10" t="str">
        <f>HYPERLINK("https://about.twitter.com/products/tweetdeck","TweetDeck")</f>
        <v>TweetDeck</v>
      </c>
      <c r="J1857" s="2">
        <v>1900</v>
      </c>
      <c r="K1857" s="2">
        <v>13</v>
      </c>
      <c r="L1857" s="2">
        <v>38</v>
      </c>
      <c r="M1857" s="2"/>
      <c r="N1857" s="8">
        <v>42984.575752314813</v>
      </c>
      <c r="O1857" s="4" t="s">
        <v>133</v>
      </c>
      <c r="P1857" s="3" t="s">
        <v>2146</v>
      </c>
      <c r="Q1857" s="10" t="s">
        <v>2145</v>
      </c>
      <c r="R1857" s="4"/>
      <c r="S1857" s="9" t="str">
        <f>HYPERLINK("https://pbs.twimg.com/profile_images/918008480631533568/-awyAU90.jpg","View")</f>
        <v>View</v>
      </c>
    </row>
    <row r="1858" spans="1:19" ht="30">
      <c r="A1858" s="8">
        <v>43346.685555555552</v>
      </c>
      <c r="B1858" s="11" t="str">
        <f>HYPERLINK("https://twitter.com/karabiamir","@karabiamir")</f>
        <v>@karabiamir</v>
      </c>
      <c r="C1858" s="6" t="s">
        <v>12053</v>
      </c>
      <c r="D1858" s="5" t="s">
        <v>12052</v>
      </c>
      <c r="E1858" s="9" t="str">
        <f>HYPERLINK("https://twitter.com/karabiamir/status/1036583889240813568","1036583889240813568")</f>
        <v>1036583889240813568</v>
      </c>
      <c r="F1858" s="4"/>
      <c r="G1858" s="4"/>
      <c r="H1858" s="4"/>
      <c r="I1858" s="10" t="str">
        <f>HYPERLINK("http://twitter.com/download/iphone","Twitter for iPhone")</f>
        <v>Twitter for iPhone</v>
      </c>
      <c r="J1858" s="2">
        <v>908</v>
      </c>
      <c r="K1858" s="2">
        <v>247</v>
      </c>
      <c r="L1858" s="2">
        <v>10</v>
      </c>
      <c r="M1858" s="2"/>
      <c r="N1858" s="8">
        <v>39962.964212962965</v>
      </c>
      <c r="O1858" s="4"/>
      <c r="P1858" s="3" t="s">
        <v>12051</v>
      </c>
      <c r="Q1858" s="4"/>
      <c r="R1858" s="4"/>
      <c r="S1858" s="9" t="str">
        <f>HYPERLINK("https://pbs.twimg.com/profile_images/1012060095507828738/8h1Fgq4q.jpg","View")</f>
        <v>View</v>
      </c>
    </row>
    <row r="1859" spans="1:19" ht="40">
      <c r="A1859" s="8">
        <v>43346.685393518521</v>
      </c>
      <c r="B1859" s="11" t="str">
        <f>HYPERLINK("https://twitter.com/Mohajerbitab","@Mohajerbitab")</f>
        <v>@Mohajerbitab</v>
      </c>
      <c r="C1859" s="6" t="s">
        <v>5559</v>
      </c>
      <c r="D1859" s="5" t="s">
        <v>12050</v>
      </c>
      <c r="E1859" s="9" t="str">
        <f>HYPERLINK("https://twitter.com/Mohajerbitab/status/1036583830801604608","1036583830801604608")</f>
        <v>1036583830801604608</v>
      </c>
      <c r="F1859" s="4"/>
      <c r="G1859" s="4"/>
      <c r="H1859" s="4"/>
      <c r="I1859" s="10" t="str">
        <f>HYPERLINK("http://twitter.com/download/android","Twitter for Android")</f>
        <v>Twitter for Android</v>
      </c>
      <c r="J1859" s="2">
        <v>112</v>
      </c>
      <c r="K1859" s="2">
        <v>154</v>
      </c>
      <c r="L1859" s="2">
        <v>1</v>
      </c>
      <c r="M1859" s="2"/>
      <c r="N1859" s="8">
        <v>43121.590682870374</v>
      </c>
      <c r="O1859" s="4" t="s">
        <v>17</v>
      </c>
      <c r="P1859" s="3" t="s">
        <v>5557</v>
      </c>
      <c r="Q1859" s="4"/>
      <c r="R1859" s="4"/>
      <c r="S1859" s="9" t="str">
        <f>HYPERLINK("https://pbs.twimg.com/profile_images/955038416697200645/y-gtAR_w.jpg","View")</f>
        <v>View</v>
      </c>
    </row>
    <row r="1860" spans="1:19" ht="20">
      <c r="A1860" s="8">
        <v>43346.685358796298</v>
      </c>
      <c r="B1860" s="11" t="str">
        <f>HYPERLINK("https://twitter.com/meysam530","@meysam530")</f>
        <v>@meysam530</v>
      </c>
      <c r="C1860" s="6" t="s">
        <v>12049</v>
      </c>
      <c r="D1860" s="5" t="s">
        <v>12048</v>
      </c>
      <c r="E1860" s="9" t="str">
        <f>HYPERLINK("https://twitter.com/meysam530/status/1036583817916674048","1036583817916674048")</f>
        <v>1036583817916674048</v>
      </c>
      <c r="F1860" s="4"/>
      <c r="G1860" s="10" t="s">
        <v>12047</v>
      </c>
      <c r="H1860" s="4"/>
      <c r="I1860" s="10" t="str">
        <f>HYPERLINK("http://twitter.com/download/android","Twitter for Android")</f>
        <v>Twitter for Android</v>
      </c>
      <c r="J1860" s="2">
        <v>327</v>
      </c>
      <c r="K1860" s="2">
        <v>398</v>
      </c>
      <c r="L1860" s="2">
        <v>0</v>
      </c>
      <c r="M1860" s="2"/>
      <c r="N1860" s="8">
        <v>43264.906666666662</v>
      </c>
      <c r="O1860" s="4"/>
      <c r="P1860" s="3" t="s">
        <v>12046</v>
      </c>
      <c r="Q1860" s="4"/>
      <c r="R1860" s="4"/>
      <c r="S1860" s="9" t="str">
        <f>HYPERLINK("https://pbs.twimg.com/profile_images/1006968649398140928/nyZ42Iet.jpg","View")</f>
        <v>View</v>
      </c>
    </row>
    <row r="1861" spans="1:19" ht="40">
      <c r="A1861" s="8">
        <v>43346.685277777782</v>
      </c>
      <c r="B1861" s="11" t="str">
        <f>HYPERLINK("https://twitter.com/Mohajerbitab","@Mohajerbitab")</f>
        <v>@Mohajerbitab</v>
      </c>
      <c r="C1861" s="6" t="s">
        <v>5559</v>
      </c>
      <c r="D1861" s="5" t="s">
        <v>12045</v>
      </c>
      <c r="E1861" s="9" t="str">
        <f>HYPERLINK("https://twitter.com/Mohajerbitab/status/1036583785872142340","1036583785872142340")</f>
        <v>1036583785872142340</v>
      </c>
      <c r="F1861" s="4"/>
      <c r="G1861" s="4"/>
      <c r="H1861" s="4"/>
      <c r="I1861" s="10" t="str">
        <f>HYPERLINK("http://twitter.com/download/android","Twitter for Android")</f>
        <v>Twitter for Android</v>
      </c>
      <c r="J1861" s="2">
        <v>112</v>
      </c>
      <c r="K1861" s="2">
        <v>154</v>
      </c>
      <c r="L1861" s="2">
        <v>1</v>
      </c>
      <c r="M1861" s="2"/>
      <c r="N1861" s="8">
        <v>43121.590682870374</v>
      </c>
      <c r="O1861" s="4" t="s">
        <v>17</v>
      </c>
      <c r="P1861" s="3" t="s">
        <v>5557</v>
      </c>
      <c r="Q1861" s="4"/>
      <c r="R1861" s="4"/>
      <c r="S1861" s="9" t="str">
        <f>HYPERLINK("https://pbs.twimg.com/profile_images/955038416697200645/y-gtAR_w.jpg","View")</f>
        <v>View</v>
      </c>
    </row>
    <row r="1862" spans="1:19" ht="30">
      <c r="A1862" s="8">
        <v>43346.685254629629</v>
      </c>
      <c r="B1862" s="11" t="str">
        <f>HYPERLINK("https://twitter.com/KolahdoozAbbas","@KolahdoozAbbas")</f>
        <v>@KolahdoozAbbas</v>
      </c>
      <c r="C1862" s="6" t="s">
        <v>8495</v>
      </c>
      <c r="D1862" s="5" t="s">
        <v>12044</v>
      </c>
      <c r="E1862" s="9" t="str">
        <f>HYPERLINK("https://twitter.com/KolahdoozAbbas/status/1036583777848492033","1036583777848492033")</f>
        <v>1036583777848492033</v>
      </c>
      <c r="F1862" s="4"/>
      <c r="G1862" s="10" t="s">
        <v>12043</v>
      </c>
      <c r="H1862" s="4"/>
      <c r="I1862" s="10" t="str">
        <f>HYPERLINK("http://twitter.com","Twitter Web Client")</f>
        <v>Twitter Web Client</v>
      </c>
      <c r="J1862" s="2">
        <v>4348</v>
      </c>
      <c r="K1862" s="2">
        <v>2102</v>
      </c>
      <c r="L1862" s="2">
        <v>32</v>
      </c>
      <c r="M1862" s="2"/>
      <c r="N1862" s="8">
        <v>42856.792847222227</v>
      </c>
      <c r="O1862" s="4" t="s">
        <v>34</v>
      </c>
      <c r="P1862" s="3" t="s">
        <v>8492</v>
      </c>
      <c r="Q1862" s="10" t="s">
        <v>598</v>
      </c>
      <c r="R1862" s="4"/>
      <c r="S1862" s="9" t="str">
        <f>HYPERLINK("https://pbs.twimg.com/profile_images/986594958999040001/8vzN1DAw.jpg","View")</f>
        <v>View</v>
      </c>
    </row>
    <row r="1863" spans="1:19" ht="20">
      <c r="A1863" s="8">
        <v>43346.685150462959</v>
      </c>
      <c r="B1863" s="11" t="str">
        <f>HYPERLINK("https://twitter.com/Mirhosseinam","@Mirhosseinam")</f>
        <v>@Mirhosseinam</v>
      </c>
      <c r="C1863" s="6" t="s">
        <v>7474</v>
      </c>
      <c r="D1863" s="5" t="s">
        <v>12042</v>
      </c>
      <c r="E1863" s="9" t="str">
        <f>HYPERLINK("https://twitter.com/Mirhosseinam/status/1036583741265772544","1036583741265772544")</f>
        <v>1036583741265772544</v>
      </c>
      <c r="F1863" s="4"/>
      <c r="G1863" s="4"/>
      <c r="H1863" s="4"/>
      <c r="I1863" s="10" t="str">
        <f>HYPERLINK("http://twitter.com","Twitter Web Client")</f>
        <v>Twitter Web Client</v>
      </c>
      <c r="J1863" s="2">
        <v>85</v>
      </c>
      <c r="K1863" s="2">
        <v>348</v>
      </c>
      <c r="L1863" s="2">
        <v>1</v>
      </c>
      <c r="M1863" s="2"/>
      <c r="N1863" s="8">
        <v>43097.688402777778</v>
      </c>
      <c r="O1863" s="4" t="s">
        <v>34</v>
      </c>
      <c r="P1863" s="3"/>
      <c r="Q1863" s="4"/>
      <c r="R1863" s="4"/>
      <c r="S1863" s="9" t="str">
        <f>HYPERLINK("https://pbs.twimg.com/profile_images/1035287195769286657/Os-bVSUi.jpg","View")</f>
        <v>View</v>
      </c>
    </row>
    <row r="1864" spans="1:19" ht="30">
      <c r="A1864" s="8">
        <v>43346.684398148151</v>
      </c>
      <c r="B1864" s="11" t="str">
        <f>HYPERLINK("https://twitter.com/ALIREZASARFARAZ","@ALIREZASARFARAZ")</f>
        <v>@ALIREZASARFARAZ</v>
      </c>
      <c r="C1864" s="6" t="s">
        <v>12041</v>
      </c>
      <c r="D1864" s="5" t="s">
        <v>12040</v>
      </c>
      <c r="E1864" s="9" t="str">
        <f>HYPERLINK("https://twitter.com/ALIREZASARFARAZ/status/1036583469135142913","1036583469135142913")</f>
        <v>1036583469135142913</v>
      </c>
      <c r="F1864" s="4"/>
      <c r="G1864" s="4"/>
      <c r="H1864" s="4"/>
      <c r="I1864" s="10" t="str">
        <f>HYPERLINK("http://twitter.com","Twitter Web Client")</f>
        <v>Twitter Web Client</v>
      </c>
      <c r="J1864" s="2">
        <v>138</v>
      </c>
      <c r="K1864" s="2">
        <v>406</v>
      </c>
      <c r="L1864" s="2">
        <v>3</v>
      </c>
      <c r="M1864" s="2"/>
      <c r="N1864" s="8">
        <v>41550.010995370372</v>
      </c>
      <c r="O1864" s="4" t="s">
        <v>12039</v>
      </c>
      <c r="P1864" s="3" t="s">
        <v>12038</v>
      </c>
      <c r="Q1864" s="4"/>
      <c r="R1864" s="4"/>
      <c r="S1864" s="9" t="str">
        <f>HYPERLINK("https://pbs.twimg.com/profile_images/1031126876255936512/fNYB_F9u.jpg","View")</f>
        <v>View</v>
      </c>
    </row>
    <row r="1865" spans="1:19" ht="20">
      <c r="A1865" s="8">
        <v>43346.683935185181</v>
      </c>
      <c r="B1865" s="11" t="str">
        <f>HYPERLINK("https://twitter.com/kingarthurll","@kingarthurll")</f>
        <v>@kingarthurll</v>
      </c>
      <c r="C1865" s="6" t="s">
        <v>12037</v>
      </c>
      <c r="D1865" s="5" t="s">
        <v>12036</v>
      </c>
      <c r="E1865" s="9" t="str">
        <f>HYPERLINK("https://twitter.com/kingarthurll/status/1036583300939374592","1036583300939374592")</f>
        <v>1036583300939374592</v>
      </c>
      <c r="F1865" s="4"/>
      <c r="G1865" s="4"/>
      <c r="H1865" s="4"/>
      <c r="I1865" s="10" t="str">
        <f>HYPERLINK("http://twitter.com/download/android","Twitter for Android")</f>
        <v>Twitter for Android</v>
      </c>
      <c r="J1865" s="2">
        <v>460</v>
      </c>
      <c r="K1865" s="2">
        <v>405</v>
      </c>
      <c r="L1865" s="2">
        <v>2</v>
      </c>
      <c r="M1865" s="2"/>
      <c r="N1865" s="8">
        <v>41961.975648148145</v>
      </c>
      <c r="O1865" s="4" t="s">
        <v>12035</v>
      </c>
      <c r="P1865" s="3" t="s">
        <v>12034</v>
      </c>
      <c r="Q1865" s="4"/>
      <c r="R1865" s="4"/>
      <c r="S1865" s="9" t="str">
        <f>HYPERLINK("https://pbs.twimg.com/profile_images/1030767206429278209/gIqIw36w.jpg","View")</f>
        <v>View</v>
      </c>
    </row>
    <row r="1866" spans="1:19" ht="40">
      <c r="A1866" s="8">
        <v>43346.68378472222</v>
      </c>
      <c r="B1866" s="11" t="str">
        <f>HYPERLINK("https://twitter.com/gomnam_110","@gomnam_110")</f>
        <v>@gomnam_110</v>
      </c>
      <c r="C1866" s="6" t="s">
        <v>11850</v>
      </c>
      <c r="D1866" s="5" t="s">
        <v>12033</v>
      </c>
      <c r="E1866" s="9" t="str">
        <f>HYPERLINK("https://twitter.com/gomnam_110/status/1036583247621357569","1036583247621357569")</f>
        <v>1036583247621357569</v>
      </c>
      <c r="F1866" s="4"/>
      <c r="G1866" s="10" t="s">
        <v>12032</v>
      </c>
      <c r="H1866" s="4"/>
      <c r="I1866" s="10" t="str">
        <f>HYPERLINK("http://twitter.com/download/android","Twitter for Android")</f>
        <v>Twitter for Android</v>
      </c>
      <c r="J1866" s="2">
        <v>241</v>
      </c>
      <c r="K1866" s="2">
        <v>226</v>
      </c>
      <c r="L1866" s="2">
        <v>4</v>
      </c>
      <c r="M1866" s="2"/>
      <c r="N1866" s="8">
        <v>43318.118738425925</v>
      </c>
      <c r="O1866" s="4" t="s">
        <v>17</v>
      </c>
      <c r="P1866" s="3" t="s">
        <v>11847</v>
      </c>
      <c r="Q1866" s="4"/>
      <c r="R1866" s="4"/>
      <c r="S1866" s="9" t="str">
        <f>HYPERLINK("https://pbs.twimg.com/profile_images/1030793714799726592/mmT51eeT.jpg","View")</f>
        <v>View</v>
      </c>
    </row>
    <row r="1867" spans="1:19" ht="20">
      <c r="A1867" s="8">
        <v>43346.6800462963</v>
      </c>
      <c r="B1867" s="11" t="str">
        <f>HYPERLINK("https://twitter.com/MAMOOTTI","@MAMOOTTI")</f>
        <v>@MAMOOTTI</v>
      </c>
      <c r="C1867" s="6" t="s">
        <v>12031</v>
      </c>
      <c r="D1867" s="5" t="s">
        <v>12030</v>
      </c>
      <c r="E1867" s="9" t="str">
        <f>HYPERLINK("https://twitter.com/MAMOOTTI/status/1036581892148080640","1036581892148080640")</f>
        <v>1036581892148080640</v>
      </c>
      <c r="F1867" s="4"/>
      <c r="G1867" s="4"/>
      <c r="H1867" s="4"/>
      <c r="I1867" s="10" t="str">
        <f>HYPERLINK("http://twitter.com","Twitter Web Client")</f>
        <v>Twitter Web Client</v>
      </c>
      <c r="J1867" s="2">
        <v>0</v>
      </c>
      <c r="K1867" s="2">
        <v>8</v>
      </c>
      <c r="L1867" s="2">
        <v>0</v>
      </c>
      <c r="M1867" s="2"/>
      <c r="N1867" s="8">
        <v>43346.61509259259</v>
      </c>
      <c r="O1867" s="4"/>
      <c r="P1867" s="3"/>
      <c r="Q1867" s="4"/>
      <c r="R1867" s="4"/>
      <c r="S1867" s="2" t="s">
        <v>155</v>
      </c>
    </row>
    <row r="1868" spans="1:19" ht="30">
      <c r="A1868" s="8">
        <v>43346.679398148146</v>
      </c>
      <c r="B1868" s="11" t="str">
        <f>HYPERLINK("https://twitter.com/mahdihadavandkh","@mahdihadavandkh")</f>
        <v>@mahdihadavandkh</v>
      </c>
      <c r="C1868" s="6" t="s">
        <v>12029</v>
      </c>
      <c r="D1868" s="5" t="s">
        <v>12028</v>
      </c>
      <c r="E1868" s="9" t="str">
        <f>HYPERLINK("https://twitter.com/mahdihadavandkh/status/1036581656377864193","1036581656377864193")</f>
        <v>1036581656377864193</v>
      </c>
      <c r="F1868" s="4"/>
      <c r="G1868" s="4"/>
      <c r="H1868" s="4"/>
      <c r="I1868" s="10" t="str">
        <f>HYPERLINK("http://twitter.com/download/iphone","Twitter for iPhone")</f>
        <v>Twitter for iPhone</v>
      </c>
      <c r="J1868" s="2">
        <v>106</v>
      </c>
      <c r="K1868" s="2">
        <v>129</v>
      </c>
      <c r="L1868" s="2">
        <v>0</v>
      </c>
      <c r="M1868" s="2"/>
      <c r="N1868" s="8">
        <v>40574.103252314817</v>
      </c>
      <c r="O1868" s="4" t="s">
        <v>133</v>
      </c>
      <c r="P1868" s="3" t="s">
        <v>12027</v>
      </c>
      <c r="Q1868" s="10" t="s">
        <v>12026</v>
      </c>
      <c r="R1868" s="4"/>
      <c r="S1868" s="9" t="str">
        <f>HYPERLINK("https://pbs.twimg.com/profile_images/979810023714025479/S98BK5WW.jpg","View")</f>
        <v>View</v>
      </c>
    </row>
    <row r="1869" spans="1:19" ht="20">
      <c r="A1869" s="8">
        <v>43346.678935185184</v>
      </c>
      <c r="B1869" s="11" t="str">
        <f>HYPERLINK("https://twitter.com/vandad_h","@vandad_h")</f>
        <v>@vandad_h</v>
      </c>
      <c r="C1869" s="6" t="s">
        <v>12025</v>
      </c>
      <c r="D1869" s="5" t="s">
        <v>12024</v>
      </c>
      <c r="E1869" s="9" t="str">
        <f>HYPERLINK("https://twitter.com/vandad_h/status/1036581487527841792","1036581487527841792")</f>
        <v>1036581487527841792</v>
      </c>
      <c r="F1869" s="4"/>
      <c r="G1869" s="4"/>
      <c r="H1869" s="4"/>
      <c r="I1869" s="10" t="str">
        <f>HYPERLINK("http://twitter.com/download/android","Twitter for Android")</f>
        <v>Twitter for Android</v>
      </c>
      <c r="J1869" s="2">
        <v>1354</v>
      </c>
      <c r="K1869" s="2">
        <v>1415</v>
      </c>
      <c r="L1869" s="2">
        <v>0</v>
      </c>
      <c r="M1869" s="2"/>
      <c r="N1869" s="8">
        <v>43265.501238425924</v>
      </c>
      <c r="O1869" s="4"/>
      <c r="P1869" s="3" t="s">
        <v>12023</v>
      </c>
      <c r="Q1869" s="4"/>
      <c r="R1869" s="4"/>
      <c r="S1869" s="9" t="str">
        <f>HYPERLINK("https://pbs.twimg.com/profile_images/1026491353730039808/yjmihLJ2.jpg","View")</f>
        <v>View</v>
      </c>
    </row>
    <row r="1870" spans="1:19" ht="30">
      <c r="A1870" s="8">
        <v>43346.676539351851</v>
      </c>
      <c r="B1870" s="11" t="str">
        <f>HYPERLINK("https://twitter.com/baraabari_","@baraabari_")</f>
        <v>@baraabari_</v>
      </c>
      <c r="C1870" s="6" t="s">
        <v>9486</v>
      </c>
      <c r="D1870" s="5" t="s">
        <v>12022</v>
      </c>
      <c r="E1870" s="9" t="str">
        <f>HYPERLINK("https://twitter.com/baraabari_/status/1036580621760561152","1036580621760561152")</f>
        <v>1036580621760561152</v>
      </c>
      <c r="F1870" s="4"/>
      <c r="G1870" s="10" t="s">
        <v>12021</v>
      </c>
      <c r="H1870" s="4"/>
      <c r="I1870" s="10" t="str">
        <f>HYPERLINK("http://twitter.com","Twitter Web Client")</f>
        <v>Twitter Web Client</v>
      </c>
      <c r="J1870" s="2">
        <v>59</v>
      </c>
      <c r="K1870" s="2">
        <v>30</v>
      </c>
      <c r="L1870" s="2">
        <v>0</v>
      </c>
      <c r="M1870" s="2"/>
      <c r="N1870" s="8">
        <v>43222.710023148145</v>
      </c>
      <c r="O1870" s="4"/>
      <c r="P1870" s="3" t="s">
        <v>10319</v>
      </c>
      <c r="Q1870" s="10" t="s">
        <v>9482</v>
      </c>
      <c r="R1870" s="4"/>
      <c r="S1870" s="9" t="str">
        <f>HYPERLINK("https://pbs.twimg.com/profile_images/1020364774268338177/C-GSMxtZ.jpg","View")</f>
        <v>View</v>
      </c>
    </row>
    <row r="1871" spans="1:19" ht="30">
      <c r="A1871" s="8">
        <v>43346.675266203703</v>
      </c>
      <c r="B1871" s="11" t="str">
        <f>HYPERLINK("https://twitter.com/shoresh61","@shoresh61")</f>
        <v>@shoresh61</v>
      </c>
      <c r="C1871" s="6" t="s">
        <v>2540</v>
      </c>
      <c r="D1871" s="5" t="s">
        <v>12020</v>
      </c>
      <c r="E1871" s="9" t="str">
        <f>HYPERLINK("https://twitter.com/shoresh61/status/1036580159967703040","1036580159967703040")</f>
        <v>1036580159967703040</v>
      </c>
      <c r="F1871" s="4"/>
      <c r="G1871" s="4"/>
      <c r="H1871" s="4"/>
      <c r="I1871" s="10" t="str">
        <f>HYPERLINK("http://twitter.com/download/android","Twitter for Android")</f>
        <v>Twitter for Android</v>
      </c>
      <c r="J1871" s="2">
        <v>12155</v>
      </c>
      <c r="K1871" s="2">
        <v>7449</v>
      </c>
      <c r="L1871" s="2">
        <v>16</v>
      </c>
      <c r="M1871" s="2"/>
      <c r="N1871" s="8">
        <v>41707.846446759257</v>
      </c>
      <c r="O1871" s="4" t="s">
        <v>2538</v>
      </c>
      <c r="P1871" s="3" t="s">
        <v>2537</v>
      </c>
      <c r="Q1871" s="10" t="s">
        <v>2536</v>
      </c>
      <c r="R1871" s="4"/>
      <c r="S1871" s="9" t="str">
        <f>HYPERLINK("https://pbs.twimg.com/profile_images/944544717194301442/frY1ROFo.jpg","View")</f>
        <v>View</v>
      </c>
    </row>
    <row r="1872" spans="1:19" ht="30">
      <c r="A1872" s="8">
        <v>43346.671736111108</v>
      </c>
      <c r="B1872" s="11" t="str">
        <f>HYPERLINK("https://twitter.com/shoresh61","@shoresh61")</f>
        <v>@shoresh61</v>
      </c>
      <c r="C1872" s="6" t="s">
        <v>2540</v>
      </c>
      <c r="D1872" s="5" t="s">
        <v>12019</v>
      </c>
      <c r="E1872" s="9" t="str">
        <f>HYPERLINK("https://twitter.com/shoresh61/status/1036578880155516928","1036578880155516928")</f>
        <v>1036578880155516928</v>
      </c>
      <c r="F1872" s="4"/>
      <c r="G1872" s="4"/>
      <c r="H1872" s="4"/>
      <c r="I1872" s="10" t="str">
        <f>HYPERLINK("http://twitter.com/download/android","Twitter for Android")</f>
        <v>Twitter for Android</v>
      </c>
      <c r="J1872" s="2">
        <v>12155</v>
      </c>
      <c r="K1872" s="2">
        <v>7449</v>
      </c>
      <c r="L1872" s="2">
        <v>16</v>
      </c>
      <c r="M1872" s="2"/>
      <c r="N1872" s="8">
        <v>41707.846446759257</v>
      </c>
      <c r="O1872" s="4" t="s">
        <v>2538</v>
      </c>
      <c r="P1872" s="3" t="s">
        <v>2537</v>
      </c>
      <c r="Q1872" s="10" t="s">
        <v>2536</v>
      </c>
      <c r="R1872" s="4"/>
      <c r="S1872" s="9" t="str">
        <f>HYPERLINK("https://pbs.twimg.com/profile_images/944544717194301442/frY1ROFo.jpg","View")</f>
        <v>View</v>
      </c>
    </row>
    <row r="1873" spans="1:19" ht="30">
      <c r="A1873" s="8">
        <v>43346.668460648143</v>
      </c>
      <c r="B1873" s="11" t="str">
        <f>HYPERLINK("https://twitter.com/Mohamma75370061","@Mohamma75370061")</f>
        <v>@Mohamma75370061</v>
      </c>
      <c r="C1873" s="6" t="s">
        <v>1998</v>
      </c>
      <c r="D1873" s="5" t="s">
        <v>12018</v>
      </c>
      <c r="E1873" s="9" t="str">
        <f>HYPERLINK("https://twitter.com/Mohamma75370061/status/1036577694161489922","1036577694161489922")</f>
        <v>1036577694161489922</v>
      </c>
      <c r="F1873" s="4"/>
      <c r="G1873" s="4"/>
      <c r="H1873" s="4"/>
      <c r="I1873" s="10" t="str">
        <f>HYPERLINK("http://twitter.com/download/android","Twitter for Android")</f>
        <v>Twitter for Android</v>
      </c>
      <c r="J1873" s="2">
        <v>2219</v>
      </c>
      <c r="K1873" s="2">
        <v>2855</v>
      </c>
      <c r="L1873" s="2">
        <v>1</v>
      </c>
      <c r="M1873" s="2"/>
      <c r="N1873" s="8">
        <v>43270.233599537038</v>
      </c>
      <c r="O1873" s="4" t="s">
        <v>11038</v>
      </c>
      <c r="P1873" s="3" t="s">
        <v>12017</v>
      </c>
      <c r="Q1873" s="4"/>
      <c r="R1873" s="4"/>
      <c r="S1873" s="9" t="str">
        <f>HYPERLINK("https://pbs.twimg.com/profile_images/1027742418827993089/rEAc7tMh.jpg","View")</f>
        <v>View</v>
      </c>
    </row>
    <row r="1874" spans="1:19" ht="40">
      <c r="A1874" s="8">
        <v>43346.667615740742</v>
      </c>
      <c r="B1874" s="11" t="str">
        <f>HYPERLINK("https://twitter.com/AlAhanghar","@AlAhanghar")</f>
        <v>@AlAhanghar</v>
      </c>
      <c r="C1874" s="6" t="s">
        <v>12016</v>
      </c>
      <c r="D1874" s="5" t="s">
        <v>12015</v>
      </c>
      <c r="E1874" s="9" t="str">
        <f>HYPERLINK("https://twitter.com/AlAhanghar/status/1036577388468097030","1036577388468097030")</f>
        <v>1036577388468097030</v>
      </c>
      <c r="F1874" s="4"/>
      <c r="G1874" s="10" t="s">
        <v>12014</v>
      </c>
      <c r="H1874" s="4"/>
      <c r="I1874" s="10" t="str">
        <f>HYPERLINK("http://twitter.com","Twitter Web Client")</f>
        <v>Twitter Web Client</v>
      </c>
      <c r="J1874" s="2">
        <v>165</v>
      </c>
      <c r="K1874" s="2">
        <v>262</v>
      </c>
      <c r="L1874" s="2">
        <v>0</v>
      </c>
      <c r="M1874" s="2"/>
      <c r="N1874" s="8">
        <v>42874.517870370371</v>
      </c>
      <c r="O1874" s="4"/>
      <c r="P1874" s="3" t="s">
        <v>12013</v>
      </c>
      <c r="Q1874" s="4"/>
      <c r="R1874" s="4"/>
      <c r="S1874" s="9" t="str">
        <f>HYPERLINK("https://pbs.twimg.com/profile_images/865510108448530435/Mk1qzeCT.jpg","View")</f>
        <v>View</v>
      </c>
    </row>
    <row r="1875" spans="1:19" ht="30">
      <c r="A1875" s="8">
        <v>43346.667546296296</v>
      </c>
      <c r="B1875" s="11" t="str">
        <f>HYPERLINK("https://twitter.com/behrooozz","@behrooozz")</f>
        <v>@behrooozz</v>
      </c>
      <c r="C1875" s="6" t="s">
        <v>12012</v>
      </c>
      <c r="D1875" s="5" t="s">
        <v>12011</v>
      </c>
      <c r="E1875" s="9" t="str">
        <f>HYPERLINK("https://twitter.com/behrooozz/status/1036577360735338497","1036577360735338497")</f>
        <v>1036577360735338497</v>
      </c>
      <c r="F1875" s="4"/>
      <c r="G1875" s="4"/>
      <c r="H1875" s="4"/>
      <c r="I1875" s="10" t="str">
        <f>HYPERLINK("http://twitter.com/download/iphone","Twitter for iPhone")</f>
        <v>Twitter for iPhone</v>
      </c>
      <c r="J1875" s="2">
        <v>3219</v>
      </c>
      <c r="K1875" s="2">
        <v>1018</v>
      </c>
      <c r="L1875" s="2">
        <v>5</v>
      </c>
      <c r="M1875" s="2"/>
      <c r="N1875" s="8">
        <v>42194.983807870369</v>
      </c>
      <c r="O1875" s="4"/>
      <c r="P1875" s="3" t="s">
        <v>12010</v>
      </c>
      <c r="Q1875" s="4"/>
      <c r="R1875" s="4"/>
      <c r="S1875" s="9" t="str">
        <f>HYPERLINK("https://pbs.twimg.com/profile_images/999565965468745728/Vk64Ezqx.jpg","View")</f>
        <v>View</v>
      </c>
    </row>
    <row r="1876" spans="1:19" ht="20">
      <c r="A1876" s="8">
        <v>43346.666759259257</v>
      </c>
      <c r="B1876" s="11" t="str">
        <f>HYPERLINK("https://twitter.com/Aaamir_raaa","@Aaamir_raaa")</f>
        <v>@Aaamir_raaa</v>
      </c>
      <c r="C1876" s="6" t="s">
        <v>12009</v>
      </c>
      <c r="D1876" s="5" t="s">
        <v>12008</v>
      </c>
      <c r="E1876" s="9" t="str">
        <f>HYPERLINK("https://twitter.com/Aaamir_raaa/status/1036577077405855745","1036577077405855745")</f>
        <v>1036577077405855745</v>
      </c>
      <c r="F1876" s="4"/>
      <c r="G1876" s="4"/>
      <c r="H1876" s="4"/>
      <c r="I1876" s="10" t="str">
        <f>HYPERLINK("http://www.crowdfireapp.com","Crowdfire - Go Big")</f>
        <v>Crowdfire - Go Big</v>
      </c>
      <c r="J1876" s="2">
        <v>401</v>
      </c>
      <c r="K1876" s="2">
        <v>531</v>
      </c>
      <c r="L1876" s="2">
        <v>0</v>
      </c>
      <c r="M1876" s="2"/>
      <c r="N1876" s="8">
        <v>43119.914386574077</v>
      </c>
      <c r="O1876" s="4" t="s">
        <v>12007</v>
      </c>
      <c r="P1876" s="3" t="s">
        <v>12006</v>
      </c>
      <c r="Q1876" s="10" t="s">
        <v>12005</v>
      </c>
      <c r="R1876" s="4"/>
      <c r="S1876" s="9" t="str">
        <f>HYPERLINK("https://pbs.twimg.com/profile_images/1031481128362889216/u0o6QEf4.jpg","View")</f>
        <v>View</v>
      </c>
    </row>
    <row r="1877" spans="1:19" ht="40">
      <c r="A1877" s="8">
        <v>43346.665636574078</v>
      </c>
      <c r="B1877" s="11" t="str">
        <f>HYPERLINK("https://twitter.com/haj_Einstein","@haj_Einstein")</f>
        <v>@haj_Einstein</v>
      </c>
      <c r="C1877" s="6" t="s">
        <v>1350</v>
      </c>
      <c r="D1877" s="5" t="s">
        <v>12004</v>
      </c>
      <c r="E1877" s="9" t="str">
        <f>HYPERLINK("https://twitter.com/haj_Einstein/status/1036576668524191745","1036576668524191745")</f>
        <v>1036576668524191745</v>
      </c>
      <c r="F1877" s="4"/>
      <c r="G1877" s="4"/>
      <c r="H1877" s="4"/>
      <c r="I1877" s="10" t="str">
        <f>HYPERLINK("http://twitter.com/download/android","Twitter for Android")</f>
        <v>Twitter for Android</v>
      </c>
      <c r="J1877" s="2">
        <v>1188</v>
      </c>
      <c r="K1877" s="2">
        <v>940</v>
      </c>
      <c r="L1877" s="2">
        <v>0</v>
      </c>
      <c r="M1877" s="2"/>
      <c r="N1877" s="8">
        <v>42513.552152777775</v>
      </c>
      <c r="O1877" s="4" t="s">
        <v>1348</v>
      </c>
      <c r="P1877" s="3" t="s">
        <v>1347</v>
      </c>
      <c r="Q1877" s="4"/>
      <c r="R1877" s="4"/>
      <c r="S1877" s="9" t="str">
        <f>HYPERLINK("https://pbs.twimg.com/profile_images/1035510526510592001/RAoih4hR.jpg","View")</f>
        <v>View</v>
      </c>
    </row>
    <row r="1878" spans="1:19" ht="30">
      <c r="A1878" s="8">
        <v>43346.664594907408</v>
      </c>
      <c r="B1878" s="11" t="str">
        <f>HYPERLINK("https://twitter.com/N_a_r_r_a_t_o_r","@N_a_r_r_a_t_o_r")</f>
        <v>@N_a_r_r_a_t_o_r</v>
      </c>
      <c r="C1878" s="6" t="s">
        <v>12003</v>
      </c>
      <c r="D1878" s="5" t="s">
        <v>12002</v>
      </c>
      <c r="E1878" s="9" t="str">
        <f>HYPERLINK("https://twitter.com/N_a_r_r_a_t_o_r/status/1036576291196153856","1036576291196153856")</f>
        <v>1036576291196153856</v>
      </c>
      <c r="F1878" s="4"/>
      <c r="G1878" s="4"/>
      <c r="H1878" s="4"/>
      <c r="I1878" s="10" t="str">
        <f>HYPERLINK("http://twitter.com/download/android","Twitter for Android")</f>
        <v>Twitter for Android</v>
      </c>
      <c r="J1878" s="2">
        <v>3283</v>
      </c>
      <c r="K1878" s="2">
        <v>2770</v>
      </c>
      <c r="L1878" s="2">
        <v>9</v>
      </c>
      <c r="M1878" s="2"/>
      <c r="N1878" s="8">
        <v>43074.361284722225</v>
      </c>
      <c r="O1878" s="4" t="s">
        <v>25</v>
      </c>
      <c r="P1878" s="3" t="s">
        <v>12001</v>
      </c>
      <c r="Q1878" s="4"/>
      <c r="R1878" s="4"/>
      <c r="S1878" s="9" t="str">
        <f>HYPERLINK("https://pbs.twimg.com/profile_images/948836632290934785/h0zXmsfI.jpg","View")</f>
        <v>View</v>
      </c>
    </row>
    <row r="1879" spans="1:19" ht="20">
      <c r="A1879" s="8">
        <v>43346.662488425922</v>
      </c>
      <c r="B1879" s="11" t="str">
        <f>HYPERLINK("https://twitter.com/didban2","@didban2")</f>
        <v>@didban2</v>
      </c>
      <c r="C1879" s="6" t="s">
        <v>12000</v>
      </c>
      <c r="D1879" s="5" t="s">
        <v>11999</v>
      </c>
      <c r="E1879" s="9" t="str">
        <f>HYPERLINK("https://twitter.com/didban2/status/1036575530521423874","1036575530521423874")</f>
        <v>1036575530521423874</v>
      </c>
      <c r="F1879" s="4"/>
      <c r="G1879" s="4"/>
      <c r="H1879" s="4"/>
      <c r="I1879" s="10" t="str">
        <f>HYPERLINK("http://twitter.com/download/android","Twitter for Android")</f>
        <v>Twitter for Android</v>
      </c>
      <c r="J1879" s="2">
        <v>452</v>
      </c>
      <c r="K1879" s="2">
        <v>514</v>
      </c>
      <c r="L1879" s="2">
        <v>1</v>
      </c>
      <c r="M1879" s="2"/>
      <c r="N1879" s="8">
        <v>41552.946817129632</v>
      </c>
      <c r="O1879" s="4" t="s">
        <v>11998</v>
      </c>
      <c r="P1879" s="3" t="s">
        <v>11997</v>
      </c>
      <c r="Q1879" s="4"/>
      <c r="R1879" s="4"/>
      <c r="S1879" s="9" t="str">
        <f>HYPERLINK("https://pbs.twimg.com/profile_images/965565989944545280/GNz1oylS.jpg","View")</f>
        <v>View</v>
      </c>
    </row>
    <row r="1880" spans="1:19" ht="20">
      <c r="A1880" s="8">
        <v>43346.660474537042</v>
      </c>
      <c r="B1880" s="11" t="str">
        <f>HYPERLINK("https://twitter.com/Nimazh","@Nimazh")</f>
        <v>@Nimazh</v>
      </c>
      <c r="C1880" s="6" t="s">
        <v>11996</v>
      </c>
      <c r="D1880" s="5" t="s">
        <v>11995</v>
      </c>
      <c r="E1880" s="9" t="str">
        <f>HYPERLINK("https://twitter.com/Nimazh/status/1036574801614307329","1036574801614307329")</f>
        <v>1036574801614307329</v>
      </c>
      <c r="F1880" s="4"/>
      <c r="G1880" s="4"/>
      <c r="H1880" s="4"/>
      <c r="I1880" s="10" t="str">
        <f>HYPERLINK("http://twitter.com/download/iphone","Twitter for iPhone")</f>
        <v>Twitter for iPhone</v>
      </c>
      <c r="J1880" s="2">
        <v>1894</v>
      </c>
      <c r="K1880" s="2">
        <v>634</v>
      </c>
      <c r="L1880" s="2">
        <v>10</v>
      </c>
      <c r="M1880" s="2"/>
      <c r="N1880" s="8">
        <v>40727.516701388886</v>
      </c>
      <c r="O1880" s="4" t="s">
        <v>11994</v>
      </c>
      <c r="P1880" s="3" t="s">
        <v>11993</v>
      </c>
      <c r="Q1880" s="4"/>
      <c r="R1880" s="4"/>
      <c r="S1880" s="9" t="str">
        <f>HYPERLINK("https://pbs.twimg.com/profile_images/1026899711658213378/Cxy49LZ7.jpg","View")</f>
        <v>View</v>
      </c>
    </row>
    <row r="1881" spans="1:19" ht="30">
      <c r="A1881" s="8">
        <v>43346.660312499997</v>
      </c>
      <c r="B1881" s="11" t="str">
        <f>HYPERLINK("https://twitter.com/Saman_emamii","@Saman_emamii")</f>
        <v>@Saman_emamii</v>
      </c>
      <c r="C1881" s="6" t="s">
        <v>9205</v>
      </c>
      <c r="D1881" s="5" t="s">
        <v>11992</v>
      </c>
      <c r="E1881" s="9" t="str">
        <f>HYPERLINK("https://twitter.com/Saman_emamii/status/1036574739177852928","1036574739177852928")</f>
        <v>1036574739177852928</v>
      </c>
      <c r="F1881" s="4"/>
      <c r="G1881" s="4"/>
      <c r="H1881" s="4"/>
      <c r="I1881" s="10" t="str">
        <f>HYPERLINK("http://twitter.com/download/android","Twitter for Android")</f>
        <v>Twitter for Android</v>
      </c>
      <c r="J1881" s="2">
        <v>27</v>
      </c>
      <c r="K1881" s="2">
        <v>114</v>
      </c>
      <c r="L1881" s="2">
        <v>0</v>
      </c>
      <c r="M1881" s="2"/>
      <c r="N1881" s="8">
        <v>43088.188067129631</v>
      </c>
      <c r="O1881" s="4" t="s">
        <v>3787</v>
      </c>
      <c r="P1881" s="3" t="s">
        <v>9202</v>
      </c>
      <c r="Q1881" s="4"/>
      <c r="R1881" s="4"/>
      <c r="S1881" s="9" t="str">
        <f>HYPERLINK("https://pbs.twimg.com/profile_images/1011673344318550017/WNlLCmSs.jpg","View")</f>
        <v>View</v>
      </c>
    </row>
    <row r="1882" spans="1:19" ht="20">
      <c r="A1882" s="8">
        <v>43346.658761574072</v>
      </c>
      <c r="B1882" s="11" t="str">
        <f>HYPERLINK("https://twitter.com/alilahoot","@alilahoot")</f>
        <v>@alilahoot</v>
      </c>
      <c r="C1882" s="6" t="s">
        <v>11991</v>
      </c>
      <c r="D1882" s="5" t="s">
        <v>11990</v>
      </c>
      <c r="E1882" s="9" t="str">
        <f>HYPERLINK("https://twitter.com/alilahoot/status/1036574178395283457","1036574178395283457")</f>
        <v>1036574178395283457</v>
      </c>
      <c r="F1882" s="4"/>
      <c r="G1882" s="4"/>
      <c r="H1882" s="4"/>
      <c r="I1882" s="10" t="str">
        <f>HYPERLINK("http://twitter.com/download/android","Twitter for Android")</f>
        <v>Twitter for Android</v>
      </c>
      <c r="J1882" s="2">
        <v>114</v>
      </c>
      <c r="K1882" s="2">
        <v>225</v>
      </c>
      <c r="L1882" s="2">
        <v>3</v>
      </c>
      <c r="M1882" s="2"/>
      <c r="N1882" s="8">
        <v>39992.899965277778</v>
      </c>
      <c r="O1882" s="4" t="s">
        <v>11989</v>
      </c>
      <c r="P1882" s="3" t="s">
        <v>11988</v>
      </c>
      <c r="Q1882" s="4"/>
      <c r="R1882" s="4"/>
      <c r="S1882" s="9" t="str">
        <f>HYPERLINK("https://pbs.twimg.com/profile_images/979799014240653315/0_e1z9oT.jpg","View")</f>
        <v>View</v>
      </c>
    </row>
    <row r="1883" spans="1:19" ht="40">
      <c r="A1883" s="8">
        <v>43346.656921296293</v>
      </c>
      <c r="B1883" s="11" t="str">
        <f>HYPERLINK("https://twitter.com/mzr1370","@mzr1370")</f>
        <v>@mzr1370</v>
      </c>
      <c r="C1883" s="6" t="s">
        <v>7798</v>
      </c>
      <c r="D1883" s="5" t="s">
        <v>11987</v>
      </c>
      <c r="E1883" s="9" t="str">
        <f>HYPERLINK("https://twitter.com/mzr1370/status/1036573513803546627","1036573513803546627")</f>
        <v>1036573513803546627</v>
      </c>
      <c r="F1883" s="4"/>
      <c r="G1883" s="4"/>
      <c r="H1883" s="4"/>
      <c r="I1883" s="10" t="str">
        <f>HYPERLINK("http://twitter.com","Twitter Web Client")</f>
        <v>Twitter Web Client</v>
      </c>
      <c r="J1883" s="2">
        <v>3535</v>
      </c>
      <c r="K1883" s="2">
        <v>456</v>
      </c>
      <c r="L1883" s="2">
        <v>14</v>
      </c>
      <c r="M1883" s="2"/>
      <c r="N1883" s="8">
        <v>42883.211770833332</v>
      </c>
      <c r="O1883" s="4" t="s">
        <v>7796</v>
      </c>
      <c r="P1883" s="3" t="s">
        <v>7795</v>
      </c>
      <c r="Q1883" s="4"/>
      <c r="R1883" s="4"/>
      <c r="S1883" s="9" t="str">
        <f>HYPERLINK("https://pbs.twimg.com/profile_images/1015519122409623552/813sK7dM.jpg","View")</f>
        <v>View</v>
      </c>
    </row>
    <row r="1884" spans="1:19" ht="40">
      <c r="A1884" s="8">
        <v>43346.654409722221</v>
      </c>
      <c r="B1884" s="11" t="str">
        <f>HYPERLINK("https://twitter.com/RafatiSiavash","@RafatiSiavash")</f>
        <v>@RafatiSiavash</v>
      </c>
      <c r="C1884" s="6" t="s">
        <v>3226</v>
      </c>
      <c r="D1884" s="5" t="s">
        <v>11986</v>
      </c>
      <c r="E1884" s="9" t="str">
        <f>HYPERLINK("https://twitter.com/RafatiSiavash/status/1036572603765407745","1036572603765407745")</f>
        <v>1036572603765407745</v>
      </c>
      <c r="F1884" s="10" t="s">
        <v>11985</v>
      </c>
      <c r="G1884" s="10" t="s">
        <v>11984</v>
      </c>
      <c r="H1884" s="4"/>
      <c r="I1884" s="10" t="str">
        <f>HYPERLINK("http://twitter.com","Twitter Web Client")</f>
        <v>Twitter Web Client</v>
      </c>
      <c r="J1884" s="2">
        <v>288</v>
      </c>
      <c r="K1884" s="2">
        <v>230</v>
      </c>
      <c r="L1884" s="2">
        <v>87</v>
      </c>
      <c r="M1884" s="2"/>
      <c r="N1884" s="8">
        <v>41050.769884259258</v>
      </c>
      <c r="O1884" s="4"/>
      <c r="P1884" s="3" t="s">
        <v>3223</v>
      </c>
      <c r="Q1884" s="10" t="s">
        <v>3222</v>
      </c>
      <c r="R1884" s="4"/>
      <c r="S1884" s="9" t="str">
        <f>HYPERLINK("https://pbs.twimg.com/profile_images/821385868690751488/Qqe0I1Bk.jpg","View")</f>
        <v>View</v>
      </c>
    </row>
    <row r="1885" spans="1:19" ht="40">
      <c r="A1885" s="8">
        <v>43346.65415509259</v>
      </c>
      <c r="B1885" s="11" t="str">
        <f>HYPERLINK("https://twitter.com/IranTehran313","@IranTehran313")</f>
        <v>@IranTehran313</v>
      </c>
      <c r="C1885" s="6">
        <v>13</v>
      </c>
      <c r="D1885" s="5" t="s">
        <v>11983</v>
      </c>
      <c r="E1885" s="9" t="str">
        <f>HYPERLINK("https://twitter.com/IranTehran313/status/1036572508416299008","1036572508416299008")</f>
        <v>1036572508416299008</v>
      </c>
      <c r="F1885" s="4"/>
      <c r="G1885" s="4"/>
      <c r="H1885" s="4"/>
      <c r="I1885" s="10" t="str">
        <f>HYPERLINK("http://twitter.com/download/iphone","Twitter for iPhone")</f>
        <v>Twitter for iPhone</v>
      </c>
      <c r="J1885" s="2">
        <v>4</v>
      </c>
      <c r="K1885" s="2">
        <v>0</v>
      </c>
      <c r="L1885" s="2">
        <v>0</v>
      </c>
      <c r="M1885" s="2"/>
      <c r="N1885" s="8">
        <v>41757.120173611111</v>
      </c>
      <c r="O1885" s="4"/>
      <c r="P1885" s="3"/>
      <c r="Q1885" s="4"/>
      <c r="R1885" s="4"/>
      <c r="S1885" s="9" t="str">
        <f>HYPERLINK("https://pbs.twimg.com/profile_images/461247865600221184/SdwNsg8d.jpeg","View")</f>
        <v>View</v>
      </c>
    </row>
    <row r="1886" spans="1:19" ht="30">
      <c r="A1886" s="8">
        <v>43346.650902777779</v>
      </c>
      <c r="B1886" s="11" t="str">
        <f>HYPERLINK("https://twitter.com/reza3712","@reza3712")</f>
        <v>@reza3712</v>
      </c>
      <c r="C1886" s="6" t="s">
        <v>4049</v>
      </c>
      <c r="D1886" s="5" t="s">
        <v>11982</v>
      </c>
      <c r="E1886" s="9" t="str">
        <f>HYPERLINK("https://twitter.com/reza3712/status/1036571331708506112","1036571331708506112")</f>
        <v>1036571331708506112</v>
      </c>
      <c r="F1886" s="10" t="s">
        <v>11981</v>
      </c>
      <c r="G1886" s="4"/>
      <c r="H1886" s="4"/>
      <c r="I1886" s="10" t="str">
        <f>HYPERLINK("http://twitter.com/download/android","Twitter for Android")</f>
        <v>Twitter for Android</v>
      </c>
      <c r="J1886" s="2">
        <v>798</v>
      </c>
      <c r="K1886" s="2">
        <v>1127</v>
      </c>
      <c r="L1886" s="2">
        <v>4</v>
      </c>
      <c r="M1886" s="2"/>
      <c r="N1886" s="8">
        <v>41546.455104166671</v>
      </c>
      <c r="O1886" s="4"/>
      <c r="P1886" s="3" t="s">
        <v>4046</v>
      </c>
      <c r="Q1886" s="4"/>
      <c r="R1886" s="4"/>
      <c r="S1886" s="9" t="str">
        <f>HYPERLINK("https://pbs.twimg.com/profile_images/952076795158941696/z1HgjP6H.jpg","View")</f>
        <v>View</v>
      </c>
    </row>
    <row r="1887" spans="1:19" ht="40">
      <c r="A1887" s="8">
        <v>43346.649456018524</v>
      </c>
      <c r="B1887" s="11" t="str">
        <f>HYPERLINK("https://twitter.com/zoomit_ir","@zoomit_ir")</f>
        <v>@zoomit_ir</v>
      </c>
      <c r="C1887" s="6" t="s">
        <v>11980</v>
      </c>
      <c r="D1887" s="5" t="s">
        <v>11979</v>
      </c>
      <c r="E1887" s="9" t="str">
        <f>HYPERLINK("https://twitter.com/zoomit_ir/status/1036570808003518467","1036570808003518467")</f>
        <v>1036570808003518467</v>
      </c>
      <c r="F1887" s="4"/>
      <c r="G1887" s="10" t="s">
        <v>11978</v>
      </c>
      <c r="H1887" s="4"/>
      <c r="I1887" s="10" t="str">
        <f>HYPERLINK("http://twitter.com","Twitter Web Client")</f>
        <v>Twitter Web Client</v>
      </c>
      <c r="J1887" s="2">
        <v>12690</v>
      </c>
      <c r="K1887" s="2">
        <v>85</v>
      </c>
      <c r="L1887" s="2">
        <v>310</v>
      </c>
      <c r="M1887" s="2"/>
      <c r="N1887" s="8">
        <v>40434.421689814815</v>
      </c>
      <c r="O1887" s="4" t="s">
        <v>324</v>
      </c>
      <c r="P1887" s="3" t="s">
        <v>11977</v>
      </c>
      <c r="Q1887" s="10" t="s">
        <v>11976</v>
      </c>
      <c r="R1887" s="4"/>
      <c r="S1887" s="9" t="str">
        <f>HYPERLINK("https://pbs.twimg.com/profile_images/504930723967418369/-5Q-e2N6.png","View")</f>
        <v>View</v>
      </c>
    </row>
    <row r="1888" spans="1:19" ht="40">
      <c r="A1888" s="8">
        <v>43346.6481712963</v>
      </c>
      <c r="B1888" s="11" t="str">
        <f>HYPERLINK("https://twitter.com/FatemeMohebbi","@FatemeMohebbi")</f>
        <v>@FatemeMohebbi</v>
      </c>
      <c r="C1888" s="6" t="s">
        <v>11975</v>
      </c>
      <c r="D1888" s="5" t="s">
        <v>11974</v>
      </c>
      <c r="E1888" s="9" t="str">
        <f>HYPERLINK("https://twitter.com/FatemeMohebbi/status/1036570339516530688","1036570339516530688")</f>
        <v>1036570339516530688</v>
      </c>
      <c r="F1888" s="4"/>
      <c r="G1888" s="10" t="s">
        <v>11973</v>
      </c>
      <c r="H1888" s="4"/>
      <c r="I1888" s="10" t="str">
        <f>HYPERLINK("http://twitter.com/download/android","Twitter for Android")</f>
        <v>Twitter for Android</v>
      </c>
      <c r="J1888" s="2">
        <v>7891</v>
      </c>
      <c r="K1888" s="2">
        <v>2904</v>
      </c>
      <c r="L1888" s="2">
        <v>22</v>
      </c>
      <c r="M1888" s="2"/>
      <c r="N1888" s="8">
        <v>42944.525185185186</v>
      </c>
      <c r="O1888" s="4"/>
      <c r="P1888" s="3" t="s">
        <v>11972</v>
      </c>
      <c r="Q1888" s="4"/>
      <c r="R1888" s="4"/>
      <c r="S1888" s="9" t="str">
        <f>HYPERLINK("https://pbs.twimg.com/profile_images/1011912305221750784/dQrUw6Cq.jpg","View")</f>
        <v>View</v>
      </c>
    </row>
    <row r="1889" spans="1:19" ht="40">
      <c r="A1889" s="8">
        <v>43346.644050925926</v>
      </c>
      <c r="B1889" s="11" t="str">
        <f>HYPERLINK("https://twitter.com/beyk7777","@beyk7777")</f>
        <v>@beyk7777</v>
      </c>
      <c r="C1889" s="6" t="s">
        <v>11971</v>
      </c>
      <c r="D1889" s="5" t="s">
        <v>11970</v>
      </c>
      <c r="E1889" s="9" t="str">
        <f>HYPERLINK("https://twitter.com/beyk7777/status/1036568849607544833","1036568849607544833")</f>
        <v>1036568849607544833</v>
      </c>
      <c r="F1889" s="4"/>
      <c r="G1889" s="10" t="s">
        <v>11969</v>
      </c>
      <c r="H1889" s="4"/>
      <c r="I1889" s="10" t="str">
        <f>HYPERLINK("http://twitter.com","Twitter Web Client")</f>
        <v>Twitter Web Client</v>
      </c>
      <c r="J1889" s="2">
        <v>2263</v>
      </c>
      <c r="K1889" s="2">
        <v>4797</v>
      </c>
      <c r="L1889" s="2">
        <v>10</v>
      </c>
      <c r="M1889" s="2"/>
      <c r="N1889" s="8">
        <v>42185.714016203703</v>
      </c>
      <c r="O1889" s="4" t="s">
        <v>9573</v>
      </c>
      <c r="P1889" s="3" t="s">
        <v>11968</v>
      </c>
      <c r="Q1889" s="4"/>
      <c r="R1889" s="4"/>
      <c r="S1889" s="9" t="str">
        <f>HYPERLINK("https://pbs.twimg.com/profile_images/615862406393167874/XCfiDEZS.jpg","View")</f>
        <v>View</v>
      </c>
    </row>
    <row r="1890" spans="1:19" ht="12.5">
      <c r="A1890" s="8">
        <v>43346.643460648149</v>
      </c>
      <c r="B1890" s="11" t="str">
        <f>HYPERLINK("https://twitter.com/soroush1390","@soroush1390")</f>
        <v>@soroush1390</v>
      </c>
      <c r="C1890" s="6" t="s">
        <v>11967</v>
      </c>
      <c r="D1890" s="5" t="s">
        <v>11966</v>
      </c>
      <c r="E1890" s="9" t="str">
        <f>HYPERLINK("https://twitter.com/soroush1390/status/1036568632971743233","1036568632971743233")</f>
        <v>1036568632971743233</v>
      </c>
      <c r="F1890" s="4"/>
      <c r="G1890" s="4"/>
      <c r="H1890" s="4"/>
      <c r="I1890" s="10" t="str">
        <f>HYPERLINK("http://twitter.com","Twitter Web Client")</f>
        <v>Twitter Web Client</v>
      </c>
      <c r="J1890" s="2">
        <v>2003</v>
      </c>
      <c r="K1890" s="2">
        <v>1162</v>
      </c>
      <c r="L1890" s="2">
        <v>6</v>
      </c>
      <c r="M1890" s="2"/>
      <c r="N1890" s="8">
        <v>41813.73164351852</v>
      </c>
      <c r="O1890" s="4" t="s">
        <v>11965</v>
      </c>
      <c r="P1890" s="3" t="s">
        <v>11964</v>
      </c>
      <c r="Q1890" s="4"/>
      <c r="R1890" s="4"/>
      <c r="S1890" s="9" t="str">
        <f>HYPERLINK("https://pbs.twimg.com/profile_images/955358394545733633/F2ykSIQh.jpg","View")</f>
        <v>View</v>
      </c>
    </row>
    <row r="1891" spans="1:19" ht="40">
      <c r="A1891" s="8">
        <v>43346.642164351855</v>
      </c>
      <c r="B1891" s="11" t="str">
        <f>HYPERLINK("https://twitter.com/RafatiSiavash","@RafatiSiavash")</f>
        <v>@RafatiSiavash</v>
      </c>
      <c r="C1891" s="6" t="s">
        <v>3226</v>
      </c>
      <c r="D1891" s="5" t="s">
        <v>11963</v>
      </c>
      <c r="E1891" s="9" t="str">
        <f>HYPERLINK("https://twitter.com/RafatiSiavash/status/1036568162572136448","1036568162572136448")</f>
        <v>1036568162572136448</v>
      </c>
      <c r="F1891" s="10" t="s">
        <v>11962</v>
      </c>
      <c r="G1891" s="4"/>
      <c r="H1891" s="4"/>
      <c r="I1891" s="10" t="str">
        <f>HYPERLINK("http://twitter.com","Twitter Web Client")</f>
        <v>Twitter Web Client</v>
      </c>
      <c r="J1891" s="2">
        <v>288</v>
      </c>
      <c r="K1891" s="2">
        <v>230</v>
      </c>
      <c r="L1891" s="2">
        <v>87</v>
      </c>
      <c r="M1891" s="2"/>
      <c r="N1891" s="8">
        <v>41050.769884259258</v>
      </c>
      <c r="O1891" s="4"/>
      <c r="P1891" s="3" t="s">
        <v>3223</v>
      </c>
      <c r="Q1891" s="10" t="s">
        <v>3222</v>
      </c>
      <c r="R1891" s="4"/>
      <c r="S1891" s="9" t="str">
        <f>HYPERLINK("https://pbs.twimg.com/profile_images/821385868690751488/Qqe0I1Bk.jpg","View")</f>
        <v>View</v>
      </c>
    </row>
    <row r="1892" spans="1:19" ht="12.5">
      <c r="A1892" s="8">
        <v>43346.641099537039</v>
      </c>
      <c r="B1892" s="11" t="str">
        <f>HYPERLINK("https://twitter.com/AlirezaTehran","@AlirezaTehran")</f>
        <v>@AlirezaTehran</v>
      </c>
      <c r="C1892" s="6" t="s">
        <v>11961</v>
      </c>
      <c r="D1892" s="5" t="s">
        <v>11960</v>
      </c>
      <c r="E1892" s="9" t="str">
        <f>HYPERLINK("https://twitter.com/AlirezaTehran/status/1036567779493797890","1036567779493797890")</f>
        <v>1036567779493797890</v>
      </c>
      <c r="F1892" s="4"/>
      <c r="G1892" s="4"/>
      <c r="H1892" s="4"/>
      <c r="I1892" s="10" t="str">
        <f>HYPERLINK("http://twitter.com","Twitter Web Client")</f>
        <v>Twitter Web Client</v>
      </c>
      <c r="J1892" s="2">
        <v>688</v>
      </c>
      <c r="K1892" s="2">
        <v>627</v>
      </c>
      <c r="L1892" s="2">
        <v>18</v>
      </c>
      <c r="M1892" s="2"/>
      <c r="N1892" s="8">
        <v>41304.392465277779</v>
      </c>
      <c r="O1892" s="4" t="s">
        <v>8780</v>
      </c>
      <c r="P1892" s="3" t="s">
        <v>11959</v>
      </c>
      <c r="Q1892" s="10" t="s">
        <v>11958</v>
      </c>
      <c r="R1892" s="4"/>
      <c r="S1892" s="9" t="str">
        <f>HYPERLINK("https://pbs.twimg.com/profile_images/1034017909947817984/z90QnM3W.jpg","View")</f>
        <v>View</v>
      </c>
    </row>
    <row r="1893" spans="1:19" ht="20">
      <c r="A1893" s="8">
        <v>43346.64099537037</v>
      </c>
      <c r="B1893" s="11" t="str">
        <f>HYPERLINK("https://twitter.com/yaghma_fashkham","@yaghma_fashkham")</f>
        <v>@yaghma_fashkham</v>
      </c>
      <c r="C1893" s="6" t="s">
        <v>1981</v>
      </c>
      <c r="D1893" s="5" t="s">
        <v>11957</v>
      </c>
      <c r="E1893" s="9" t="str">
        <f>HYPERLINK("https://twitter.com/yaghma_fashkham/status/1036567742118342656","1036567742118342656")</f>
        <v>1036567742118342656</v>
      </c>
      <c r="F1893" s="4"/>
      <c r="G1893" s="4"/>
      <c r="H1893" s="4"/>
      <c r="I1893" s="10" t="str">
        <f>HYPERLINK("http://twitter.com/download/android","Twitter for Android")</f>
        <v>Twitter for Android</v>
      </c>
      <c r="J1893" s="2">
        <v>2875</v>
      </c>
      <c r="K1893" s="2">
        <v>199</v>
      </c>
      <c r="L1893" s="2">
        <v>21</v>
      </c>
      <c r="M1893" s="2"/>
      <c r="N1893" s="8">
        <v>43179.734803240739</v>
      </c>
      <c r="O1893" s="4" t="s">
        <v>34</v>
      </c>
      <c r="P1893" s="3" t="s">
        <v>1979</v>
      </c>
      <c r="Q1893" s="4"/>
      <c r="R1893" s="4"/>
      <c r="S1893" s="9" t="str">
        <f>HYPERLINK("https://pbs.twimg.com/profile_images/976099342233817088/REHFW4Jv.jpg","View")</f>
        <v>View</v>
      </c>
    </row>
    <row r="1894" spans="1:19" ht="20">
      <c r="A1894" s="8">
        <v>43346.640578703707</v>
      </c>
      <c r="B1894" s="11" t="str">
        <f>HYPERLINK("https://twitter.com/niloofar__s","@niloofar__s")</f>
        <v>@niloofar__s</v>
      </c>
      <c r="C1894" s="6" t="s">
        <v>8772</v>
      </c>
      <c r="D1894" s="5" t="s">
        <v>11956</v>
      </c>
      <c r="E1894" s="9" t="str">
        <f>HYPERLINK("https://twitter.com/niloofar__s/status/1036567590422892550","1036567590422892550")</f>
        <v>1036567590422892550</v>
      </c>
      <c r="F1894" s="4"/>
      <c r="G1894" s="4"/>
      <c r="H1894" s="4"/>
      <c r="I1894" s="10" t="str">
        <f>HYPERLINK("http://twitter.com/download/android","Twitter for Android")</f>
        <v>Twitter for Android</v>
      </c>
      <c r="J1894" s="2">
        <v>818</v>
      </c>
      <c r="K1894" s="2">
        <v>3132</v>
      </c>
      <c r="L1894" s="2">
        <v>23</v>
      </c>
      <c r="M1894" s="2"/>
      <c r="N1894" s="8">
        <v>39898.119606481479</v>
      </c>
      <c r="O1894" s="4"/>
      <c r="P1894" s="3" t="s">
        <v>8768</v>
      </c>
      <c r="Q1894" s="4"/>
      <c r="R1894" s="4"/>
      <c r="S1894" s="9" t="str">
        <f>HYPERLINK("https://pbs.twimg.com/profile_images/1036325401964896256/71j30BZi.jpg","View")</f>
        <v>View</v>
      </c>
    </row>
    <row r="1895" spans="1:19" ht="40">
      <c r="A1895" s="8">
        <v>43346.640416666662</v>
      </c>
      <c r="B1895" s="11" t="str">
        <f>HYPERLINK("https://twitter.com/sobhe_no","@sobhe_no")</f>
        <v>@sobhe_no</v>
      </c>
      <c r="C1895" s="6" t="s">
        <v>4185</v>
      </c>
      <c r="D1895" s="5" t="s">
        <v>11955</v>
      </c>
      <c r="E1895" s="9" t="str">
        <f>HYPERLINK("https://twitter.com/sobhe_no/status/1036567532407320578","1036567532407320578")</f>
        <v>1036567532407320578</v>
      </c>
      <c r="F1895" s="4"/>
      <c r="G1895" s="10" t="s">
        <v>11954</v>
      </c>
      <c r="H1895" s="4"/>
      <c r="I1895" s="10" t="str">
        <f>HYPERLINK("http://twitter.com","Twitter Web Client")</f>
        <v>Twitter Web Client</v>
      </c>
      <c r="J1895" s="2">
        <v>10679</v>
      </c>
      <c r="K1895" s="2">
        <v>31</v>
      </c>
      <c r="L1895" s="2">
        <v>73</v>
      </c>
      <c r="M1895" s="2"/>
      <c r="N1895" s="8">
        <v>42471.601400462961</v>
      </c>
      <c r="O1895" s="4" t="s">
        <v>34</v>
      </c>
      <c r="P1895" s="3" t="s">
        <v>4182</v>
      </c>
      <c r="Q1895" s="10" t="s">
        <v>4181</v>
      </c>
      <c r="R1895" s="4"/>
      <c r="S1895" s="9" t="str">
        <f>HYPERLINK("https://pbs.twimg.com/profile_images/737719828429963265/nghJhp_N.jpg","View")</f>
        <v>View</v>
      </c>
    </row>
    <row r="1896" spans="1:19" ht="50">
      <c r="A1896" s="8">
        <v>43346.640185185184</v>
      </c>
      <c r="B1896" s="11" t="str">
        <f>HYPERLINK("https://twitter.com/Arma1026","@Arma1026")</f>
        <v>@Arma1026</v>
      </c>
      <c r="C1896" s="6" t="s">
        <v>11953</v>
      </c>
      <c r="D1896" s="5" t="s">
        <v>11952</v>
      </c>
      <c r="E1896" s="9" t="str">
        <f>HYPERLINK("https://twitter.com/Arma1026/status/1036567447850037248","1036567447850037248")</f>
        <v>1036567447850037248</v>
      </c>
      <c r="F1896" s="10" t="s">
        <v>11951</v>
      </c>
      <c r="G1896" s="4"/>
      <c r="H1896" s="4"/>
      <c r="I1896" s="10" t="str">
        <f>HYPERLINK("http://twitter.com/download/android","Twitter for Android")</f>
        <v>Twitter for Android</v>
      </c>
      <c r="J1896" s="2">
        <v>7742</v>
      </c>
      <c r="K1896" s="2">
        <v>731</v>
      </c>
      <c r="L1896" s="2">
        <v>32</v>
      </c>
      <c r="M1896" s="2"/>
      <c r="N1896" s="8">
        <v>42943.64744212963</v>
      </c>
      <c r="O1896" s="4"/>
      <c r="P1896" s="3" t="s">
        <v>11950</v>
      </c>
      <c r="Q1896" s="10" t="s">
        <v>11949</v>
      </c>
      <c r="R1896" s="4"/>
      <c r="S1896" s="9" t="str">
        <f>HYPERLINK("https://pbs.twimg.com/profile_images/1018909213823815683/5t9BS79W.jpg","View")</f>
        <v>View</v>
      </c>
    </row>
    <row r="1897" spans="1:19" ht="30">
      <c r="A1897" s="8">
        <v>43346.638738425929</v>
      </c>
      <c r="B1897" s="11" t="str">
        <f>HYPERLINK("https://twitter.com/P_McKale","@P_McKale")</f>
        <v>@P_McKale</v>
      </c>
      <c r="C1897" s="6" t="s">
        <v>2883</v>
      </c>
      <c r="D1897" s="5" t="s">
        <v>11948</v>
      </c>
      <c r="E1897" s="9" t="str">
        <f>HYPERLINK("https://twitter.com/P_McKale/status/1036566920965890049","1036566920965890049")</f>
        <v>1036566920965890049</v>
      </c>
      <c r="F1897" s="4"/>
      <c r="G1897" s="4"/>
      <c r="H1897" s="4"/>
      <c r="I1897" s="10" t="str">
        <f>HYPERLINK("http://twitter.com","Twitter Web Client")</f>
        <v>Twitter Web Client</v>
      </c>
      <c r="J1897" s="2">
        <v>26</v>
      </c>
      <c r="K1897" s="2">
        <v>19</v>
      </c>
      <c r="L1897" s="2">
        <v>0</v>
      </c>
      <c r="M1897" s="2"/>
      <c r="N1897" s="8">
        <v>41780.072696759264</v>
      </c>
      <c r="O1897" s="4"/>
      <c r="P1897" s="3"/>
      <c r="Q1897" s="4"/>
      <c r="R1897" s="4"/>
      <c r="S1897" s="9" t="str">
        <f>HYPERLINK("https://pbs.twimg.com/profile_images/956811724623155200/3YDKy13f.jpg","View")</f>
        <v>View</v>
      </c>
    </row>
    <row r="1898" spans="1:19" ht="20">
      <c r="A1898" s="8">
        <v>43346.636701388888</v>
      </c>
      <c r="B1898" s="11" t="str">
        <f>HYPERLINK("https://twitter.com/Veganwolf08","@Veganwolf08")</f>
        <v>@Veganwolf08</v>
      </c>
      <c r="C1898" s="6" t="s">
        <v>284</v>
      </c>
      <c r="D1898" s="5" t="s">
        <v>11947</v>
      </c>
      <c r="E1898" s="9" t="str">
        <f>HYPERLINK("https://twitter.com/Veganwolf08/status/1036566183254863872","1036566183254863872")</f>
        <v>1036566183254863872</v>
      </c>
      <c r="F1898" s="4"/>
      <c r="G1898" s="4"/>
      <c r="H1898" s="4"/>
      <c r="I1898" s="10" t="str">
        <f>HYPERLINK("https://mobile.twitter.com","Twitter Lite")</f>
        <v>Twitter Lite</v>
      </c>
      <c r="J1898" s="2">
        <v>57</v>
      </c>
      <c r="K1898" s="2">
        <v>101</v>
      </c>
      <c r="L1898" s="2">
        <v>0</v>
      </c>
      <c r="M1898" s="2"/>
      <c r="N1898" s="8">
        <v>43102.106967592597</v>
      </c>
      <c r="O1898" s="4" t="s">
        <v>282</v>
      </c>
      <c r="P1898" s="3" t="s">
        <v>281</v>
      </c>
      <c r="Q1898" s="4"/>
      <c r="R1898" s="4"/>
      <c r="S1898" s="9" t="str">
        <f>HYPERLINK("https://pbs.twimg.com/profile_images/963000529822593024/DGULHkzW.jpg","View")</f>
        <v>View</v>
      </c>
    </row>
    <row r="1899" spans="1:19" ht="30">
      <c r="A1899" s="8">
        <v>43346.636342592596</v>
      </c>
      <c r="B1899" s="11" t="str">
        <f>HYPERLINK("https://twitter.com/SUGAR1158","@SUGAR1158")</f>
        <v>@SUGAR1158</v>
      </c>
      <c r="C1899" s="6" t="s">
        <v>11946</v>
      </c>
      <c r="D1899" s="5" t="s">
        <v>11945</v>
      </c>
      <c r="E1899" s="9" t="str">
        <f>HYPERLINK("https://twitter.com/SUGAR1158/status/1036566053042708480","1036566053042708480")</f>
        <v>1036566053042708480</v>
      </c>
      <c r="F1899" s="4"/>
      <c r="G1899" s="4"/>
      <c r="H1899" s="4"/>
      <c r="I1899" s="10" t="str">
        <f>HYPERLINK("http://twitter.com","Twitter Web Client")</f>
        <v>Twitter Web Client</v>
      </c>
      <c r="J1899" s="2">
        <v>28966</v>
      </c>
      <c r="K1899" s="2">
        <v>3951</v>
      </c>
      <c r="L1899" s="2">
        <v>84</v>
      </c>
      <c r="M1899" s="2"/>
      <c r="N1899" s="8">
        <v>41500.169131944444</v>
      </c>
      <c r="O1899" s="4" t="s">
        <v>11944</v>
      </c>
      <c r="P1899" s="3" t="s">
        <v>11943</v>
      </c>
      <c r="Q1899" s="4"/>
      <c r="R1899" s="4"/>
      <c r="S1899" s="9" t="str">
        <f>HYPERLINK("https://pbs.twimg.com/profile_images/1033116241282576384/OzIte5OM.jpg","View")</f>
        <v>View</v>
      </c>
    </row>
    <row r="1900" spans="1:19" ht="30">
      <c r="A1900" s="8">
        <v>43346.635046296295</v>
      </c>
      <c r="B1900" s="11" t="str">
        <f>HYPERLINK("https://twitter.com/rziadali","@rziadali")</f>
        <v>@rziadali</v>
      </c>
      <c r="C1900" s="6" t="s">
        <v>11942</v>
      </c>
      <c r="D1900" s="5" t="s">
        <v>11941</v>
      </c>
      <c r="E1900" s="9" t="str">
        <f>HYPERLINK("https://twitter.com/rziadali/status/1036565585675661312","1036565585675661312")</f>
        <v>1036565585675661312</v>
      </c>
      <c r="F1900" s="4"/>
      <c r="G1900" s="4"/>
      <c r="H1900" s="4"/>
      <c r="I1900" s="10" t="str">
        <f>HYPERLINK("http://twitter.com/download/iphone","Twitter for iPhone")</f>
        <v>Twitter for iPhone</v>
      </c>
      <c r="J1900" s="2">
        <v>97</v>
      </c>
      <c r="K1900" s="2">
        <v>107</v>
      </c>
      <c r="L1900" s="2">
        <v>1</v>
      </c>
      <c r="M1900" s="2"/>
      <c r="N1900" s="8">
        <v>43073.784930555557</v>
      </c>
      <c r="O1900" s="4"/>
      <c r="P1900" s="3" t="s">
        <v>11940</v>
      </c>
      <c r="Q1900" s="4"/>
      <c r="R1900" s="4"/>
      <c r="S1900" s="9" t="str">
        <f>HYPERLINK("https://pbs.twimg.com/profile_images/1000002603646930944/Z_bX1jU4.jpg","View")</f>
        <v>View</v>
      </c>
    </row>
    <row r="1901" spans="1:19" ht="30">
      <c r="A1901" s="8">
        <v>43346.634918981479</v>
      </c>
      <c r="B1901" s="11" t="str">
        <f>HYPERLINK("https://twitter.com/KayhanLondon","@KayhanLondon")</f>
        <v>@KayhanLondon</v>
      </c>
      <c r="C1901" s="6" t="s">
        <v>2864</v>
      </c>
      <c r="D1901" s="5" t="s">
        <v>11939</v>
      </c>
      <c r="E1901" s="9" t="str">
        <f>HYPERLINK("https://twitter.com/KayhanLondon/status/1036565537512407040","1036565537512407040")</f>
        <v>1036565537512407040</v>
      </c>
      <c r="F1901" s="10" t="s">
        <v>11938</v>
      </c>
      <c r="G1901" s="4"/>
      <c r="H1901" s="4"/>
      <c r="I1901" s="10" t="str">
        <f>HYPERLINK("http://twitter.com","Twitter Web Client")</f>
        <v>Twitter Web Client</v>
      </c>
      <c r="J1901" s="2">
        <v>4233</v>
      </c>
      <c r="K1901" s="2">
        <v>15</v>
      </c>
      <c r="L1901" s="2">
        <v>35</v>
      </c>
      <c r="M1901" s="2" t="s">
        <v>80</v>
      </c>
      <c r="N1901" s="8">
        <v>41705.996006944442</v>
      </c>
      <c r="O1901" s="4"/>
      <c r="P1901" s="3" t="s">
        <v>2860</v>
      </c>
      <c r="Q1901" s="10" t="s">
        <v>2859</v>
      </c>
      <c r="R1901" s="4"/>
      <c r="S1901" s="9" t="str">
        <f>HYPERLINK("https://pbs.twimg.com/profile_images/610911311845724160/f9_nLw2V.jpg","View")</f>
        <v>View</v>
      </c>
    </row>
    <row r="1902" spans="1:19" ht="12.5">
      <c r="A1902" s="8">
        <v>43346.634560185186</v>
      </c>
      <c r="B1902" s="11" t="str">
        <f>HYPERLINK("https://twitter.com/knoxwille62","@knoxwille62")</f>
        <v>@knoxwille62</v>
      </c>
      <c r="C1902" s="6" t="s">
        <v>654</v>
      </c>
      <c r="D1902" s="5" t="s">
        <v>11937</v>
      </c>
      <c r="E1902" s="9" t="str">
        <f>HYPERLINK("https://twitter.com/knoxwille62/status/1036565407182798848","1036565407182798848")</f>
        <v>1036565407182798848</v>
      </c>
      <c r="F1902" s="4"/>
      <c r="G1902" s="4"/>
      <c r="H1902" s="4"/>
      <c r="I1902" s="10" t="str">
        <f>HYPERLINK("http://twitter.com","Twitter Web Client")</f>
        <v>Twitter Web Client</v>
      </c>
      <c r="J1902" s="2">
        <v>70</v>
      </c>
      <c r="K1902" s="2">
        <v>170</v>
      </c>
      <c r="L1902" s="2">
        <v>1</v>
      </c>
      <c r="M1902" s="2"/>
      <c r="N1902" s="8">
        <v>41111.578090277777</v>
      </c>
      <c r="O1902" s="4" t="s">
        <v>652</v>
      </c>
      <c r="P1902" s="3" t="s">
        <v>651</v>
      </c>
      <c r="Q1902" s="4"/>
      <c r="R1902" s="4"/>
      <c r="S1902" s="9" t="str">
        <f>HYPERLINK("https://pbs.twimg.com/profile_images/996483125009055745/uDBI7LvO.jpg","View")</f>
        <v>View</v>
      </c>
    </row>
    <row r="1903" spans="1:19" ht="20">
      <c r="A1903" s="8">
        <v>43346.6325462963</v>
      </c>
      <c r="B1903" s="11" t="str">
        <f>HYPERLINK("https://twitter.com/rmoshiry","@rmoshiry")</f>
        <v>@rmoshiry</v>
      </c>
      <c r="C1903" s="6" t="s">
        <v>7363</v>
      </c>
      <c r="D1903" s="5" t="s">
        <v>11936</v>
      </c>
      <c r="E1903" s="9" t="str">
        <f>HYPERLINK("https://twitter.com/rmoshiry/status/1036564680683216896","1036564680683216896")</f>
        <v>1036564680683216896</v>
      </c>
      <c r="F1903" s="4"/>
      <c r="G1903" s="4"/>
      <c r="H1903" s="4"/>
      <c r="I1903" s="10" t="str">
        <f>HYPERLINK("http://twitter.com/download/iphone","Twitter for iPhone")</f>
        <v>Twitter for iPhone</v>
      </c>
      <c r="J1903" s="2">
        <v>163</v>
      </c>
      <c r="K1903" s="2">
        <v>227</v>
      </c>
      <c r="L1903" s="2">
        <v>1</v>
      </c>
      <c r="M1903" s="2"/>
      <c r="N1903" s="8">
        <v>41235.574074074073</v>
      </c>
      <c r="O1903" s="4" t="s">
        <v>3191</v>
      </c>
      <c r="P1903" s="3" t="s">
        <v>7361</v>
      </c>
      <c r="Q1903" s="4"/>
      <c r="R1903" s="4"/>
      <c r="S1903" s="9" t="str">
        <f>HYPERLINK("https://pbs.twimg.com/profile_images/1023907658418536448/azgsRZWl.jpg","View")</f>
        <v>View</v>
      </c>
    </row>
    <row r="1904" spans="1:19" ht="20">
      <c r="A1904" s="8">
        <v>43346.631319444445</v>
      </c>
      <c r="B1904" s="11" t="str">
        <f>HYPERLINK("https://twitter.com/hamide218","@hamide218")</f>
        <v>@hamide218</v>
      </c>
      <c r="C1904" s="6" t="s">
        <v>9092</v>
      </c>
      <c r="D1904" s="5" t="s">
        <v>11935</v>
      </c>
      <c r="E1904" s="9" t="str">
        <f>HYPERLINK("https://twitter.com/hamide218/status/1036564234291871744","1036564234291871744")</f>
        <v>1036564234291871744</v>
      </c>
      <c r="F1904" s="4"/>
      <c r="G1904" s="10" t="s">
        <v>11934</v>
      </c>
      <c r="H1904" s="4"/>
      <c r="I1904" s="10" t="str">
        <f>HYPERLINK("http://twitter.com","Twitter Web Client")</f>
        <v>Twitter Web Client</v>
      </c>
      <c r="J1904" s="2">
        <v>4005</v>
      </c>
      <c r="K1904" s="2">
        <v>2325</v>
      </c>
      <c r="L1904" s="2">
        <v>9</v>
      </c>
      <c r="M1904" s="2"/>
      <c r="N1904" s="8">
        <v>42808.029641203699</v>
      </c>
      <c r="O1904" s="4" t="s">
        <v>3893</v>
      </c>
      <c r="P1904" s="3" t="s">
        <v>9089</v>
      </c>
      <c r="Q1904" s="10" t="s">
        <v>9088</v>
      </c>
      <c r="R1904" s="4"/>
      <c r="S1904" s="9" t="str">
        <f>HYPERLINK("https://pbs.twimg.com/profile_images/1024971484635299840/UWNycXYG.jpg","View")</f>
        <v>View</v>
      </c>
    </row>
    <row r="1905" spans="1:19" ht="40">
      <c r="A1905" s="8">
        <v>43346.630277777775</v>
      </c>
      <c r="B1905" s="11" t="str">
        <f>HYPERLINK("https://twitter.com/samyram65","@samyram65")</f>
        <v>@samyram65</v>
      </c>
      <c r="C1905" s="6" t="s">
        <v>11933</v>
      </c>
      <c r="D1905" s="5" t="s">
        <v>11932</v>
      </c>
      <c r="E1905" s="9" t="str">
        <f>HYPERLINK("https://twitter.com/samyram65/status/1036563858264141825","1036563858264141825")</f>
        <v>1036563858264141825</v>
      </c>
      <c r="F1905" s="4"/>
      <c r="G1905" s="10" t="s">
        <v>11931</v>
      </c>
      <c r="H1905" s="4"/>
      <c r="I1905" s="10" t="str">
        <f>HYPERLINK("http://twitter.com/download/iphone","Twitter for iPhone")</f>
        <v>Twitter for iPhone</v>
      </c>
      <c r="J1905" s="2">
        <v>50</v>
      </c>
      <c r="K1905" s="2">
        <v>139</v>
      </c>
      <c r="L1905" s="2">
        <v>0</v>
      </c>
      <c r="M1905" s="2"/>
      <c r="N1905" s="8">
        <v>41759.722407407404</v>
      </c>
      <c r="O1905" s="4" t="s">
        <v>9540</v>
      </c>
      <c r="P1905" s="3" t="s">
        <v>11930</v>
      </c>
      <c r="Q1905" s="4"/>
      <c r="R1905" s="4"/>
      <c r="S1905" s="9" t="str">
        <f>HYPERLINK("https://pbs.twimg.com/profile_images/1035466775079596033/sAXqlkz_.jpg","View")</f>
        <v>View</v>
      </c>
    </row>
    <row r="1906" spans="1:19" ht="30">
      <c r="A1906" s="8">
        <v>43346.629432870366</v>
      </c>
      <c r="B1906" s="11" t="str">
        <f>HYPERLINK("https://twitter.com/simayazaditv","@simayazaditv")</f>
        <v>@simayazaditv</v>
      </c>
      <c r="C1906" s="6" t="s">
        <v>1758</v>
      </c>
      <c r="D1906" s="5" t="s">
        <v>11929</v>
      </c>
      <c r="E1906" s="9" t="str">
        <f>HYPERLINK("https://twitter.com/simayazaditv/status/1036563550540521472","1036563550540521472")</f>
        <v>1036563550540521472</v>
      </c>
      <c r="F1906" s="4"/>
      <c r="G1906" s="10" t="s">
        <v>11928</v>
      </c>
      <c r="H1906" s="4"/>
      <c r="I1906" s="10" t="str">
        <f>HYPERLINK("http://twitter.com","Twitter Web Client")</f>
        <v>Twitter Web Client</v>
      </c>
      <c r="J1906" s="2">
        <v>6068</v>
      </c>
      <c r="K1906" s="2">
        <v>1</v>
      </c>
      <c r="L1906" s="2">
        <v>101</v>
      </c>
      <c r="M1906" s="2"/>
      <c r="N1906" s="8">
        <v>42209.662442129629</v>
      </c>
      <c r="O1906" s="4" t="s">
        <v>252</v>
      </c>
      <c r="P1906" s="3"/>
      <c r="Q1906" s="10" t="s">
        <v>1755</v>
      </c>
      <c r="R1906" s="4"/>
      <c r="S1906" s="9" t="str">
        <f>HYPERLINK("https://pbs.twimg.com/profile_images/624546008937144321/5aqccHix.png","View")</f>
        <v>View</v>
      </c>
    </row>
    <row r="1907" spans="1:19" ht="20">
      <c r="A1907" s="8">
        <v>43346.629050925927</v>
      </c>
      <c r="B1907" s="11" t="str">
        <f>HYPERLINK("https://twitter.com/hamide218","@hamide218")</f>
        <v>@hamide218</v>
      </c>
      <c r="C1907" s="6" t="s">
        <v>9092</v>
      </c>
      <c r="D1907" s="5" t="s">
        <v>11927</v>
      </c>
      <c r="E1907" s="9" t="str">
        <f>HYPERLINK("https://twitter.com/hamide218/status/1036563413198102528","1036563413198102528")</f>
        <v>1036563413198102528</v>
      </c>
      <c r="F1907" s="4"/>
      <c r="G1907" s="10" t="s">
        <v>11926</v>
      </c>
      <c r="H1907" s="4"/>
      <c r="I1907" s="10" t="str">
        <f>HYPERLINK("http://twitter.com","Twitter Web Client")</f>
        <v>Twitter Web Client</v>
      </c>
      <c r="J1907" s="2">
        <v>4005</v>
      </c>
      <c r="K1907" s="2">
        <v>2325</v>
      </c>
      <c r="L1907" s="2">
        <v>9</v>
      </c>
      <c r="M1907" s="2"/>
      <c r="N1907" s="8">
        <v>42808.029641203699</v>
      </c>
      <c r="O1907" s="4" t="s">
        <v>3893</v>
      </c>
      <c r="P1907" s="3" t="s">
        <v>9089</v>
      </c>
      <c r="Q1907" s="10" t="s">
        <v>9088</v>
      </c>
      <c r="R1907" s="4"/>
      <c r="S1907" s="9" t="str">
        <f>HYPERLINK("https://pbs.twimg.com/profile_images/1024971484635299840/UWNycXYG.jpg","View")</f>
        <v>View</v>
      </c>
    </row>
    <row r="1908" spans="1:19" ht="30">
      <c r="A1908" s="8">
        <v>43346.628981481481</v>
      </c>
      <c r="B1908" s="11" t="str">
        <f>HYPERLINK("https://twitter.com/mojtabadehgha15","@mojtabadehgha15")</f>
        <v>@mojtabadehgha15</v>
      </c>
      <c r="C1908" s="6" t="s">
        <v>11925</v>
      </c>
      <c r="D1908" s="5" t="s">
        <v>11924</v>
      </c>
      <c r="E1908" s="9" t="str">
        <f>HYPERLINK("https://twitter.com/mojtabadehgha15/status/1036563386350350336","1036563386350350336")</f>
        <v>1036563386350350336</v>
      </c>
      <c r="F1908" s="10" t="s">
        <v>11923</v>
      </c>
      <c r="G1908" s="4"/>
      <c r="H1908" s="4"/>
      <c r="I1908" s="10" t="str">
        <f>HYPERLINK("http://twitter.com/download/android","Twitter for Android")</f>
        <v>Twitter for Android</v>
      </c>
      <c r="J1908" s="2">
        <v>201</v>
      </c>
      <c r="K1908" s="2">
        <v>492</v>
      </c>
      <c r="L1908" s="2">
        <v>1</v>
      </c>
      <c r="M1908" s="2"/>
      <c r="N1908" s="8">
        <v>43054.681944444441</v>
      </c>
      <c r="O1908" s="4" t="s">
        <v>11922</v>
      </c>
      <c r="P1908" s="3" t="s">
        <v>11921</v>
      </c>
      <c r="Q1908" s="4"/>
      <c r="R1908" s="4"/>
      <c r="S1908" s="9" t="str">
        <f>HYPERLINK("https://pbs.twimg.com/profile_images/1026053037759127552/9AddrKX-.jpg","View")</f>
        <v>View</v>
      </c>
    </row>
    <row r="1909" spans="1:19" ht="30">
      <c r="A1909" s="8">
        <v>43346.625775462962</v>
      </c>
      <c r="B1909" s="11" t="str">
        <f>HYPERLINK("https://twitter.com/retwet_enghelab","@retwet_enghelab")</f>
        <v>@retwet_enghelab</v>
      </c>
      <c r="C1909" s="6" t="s">
        <v>11908</v>
      </c>
      <c r="D1909" s="5" t="s">
        <v>11920</v>
      </c>
      <c r="E1909" s="9" t="str">
        <f>HYPERLINK("https://twitter.com/retwet_enghelab/status/1036562225358626818","1036562225358626818")</f>
        <v>1036562225358626818</v>
      </c>
      <c r="F1909" s="4"/>
      <c r="G1909" s="4"/>
      <c r="H1909" s="4"/>
      <c r="I1909" s="10" t="str">
        <f>HYPERLINK("http://t.me/RetweetBot","HsinBot")</f>
        <v>HsinBot</v>
      </c>
      <c r="J1909" s="2">
        <v>298</v>
      </c>
      <c r="K1909" s="2">
        <v>65</v>
      </c>
      <c r="L1909" s="2">
        <v>1</v>
      </c>
      <c r="M1909" s="2"/>
      <c r="N1909" s="8">
        <v>42947.090462962966</v>
      </c>
      <c r="O1909" s="4" t="s">
        <v>10123</v>
      </c>
      <c r="P1909" s="3" t="s">
        <v>11906</v>
      </c>
      <c r="Q1909" s="4"/>
      <c r="R1909" s="4"/>
      <c r="S1909" s="9" t="str">
        <f>HYPERLINK("https://pbs.twimg.com/profile_images/1036286071187951618/FnkxMG3e.jpg","View")</f>
        <v>View</v>
      </c>
    </row>
    <row r="1910" spans="1:19" ht="30">
      <c r="A1910" s="8">
        <v>43346.62563657407</v>
      </c>
      <c r="B1910" s="11" t="str">
        <f>HYPERLINK("https://twitter.com/eghtesadonline","@eghtesadonline")</f>
        <v>@eghtesadonline</v>
      </c>
      <c r="C1910" s="6" t="s">
        <v>5935</v>
      </c>
      <c r="D1910" s="5" t="s">
        <v>11919</v>
      </c>
      <c r="E1910" s="9" t="str">
        <f>HYPERLINK("https://twitter.com/eghtesadonline/status/1036562176776044544","1036562176776044544")</f>
        <v>1036562176776044544</v>
      </c>
      <c r="F1910" s="4"/>
      <c r="G1910" s="4"/>
      <c r="H1910" s="4"/>
      <c r="I1910" s="10" t="str">
        <f>HYPERLINK("http://twitter.com","Twitter Web Client")</f>
        <v>Twitter Web Client</v>
      </c>
      <c r="J1910" s="2">
        <v>2100</v>
      </c>
      <c r="K1910" s="2">
        <v>7</v>
      </c>
      <c r="L1910" s="2">
        <v>43</v>
      </c>
      <c r="M1910" s="2"/>
      <c r="N1910" s="8">
        <v>41595.377060185187</v>
      </c>
      <c r="O1910" s="4" t="s">
        <v>17</v>
      </c>
      <c r="P1910" s="3" t="s">
        <v>5933</v>
      </c>
      <c r="Q1910" s="10" t="s">
        <v>5932</v>
      </c>
      <c r="R1910" s="4"/>
      <c r="S1910" s="9" t="str">
        <f>HYPERLINK("https://pbs.twimg.com/profile_images/1034350708475224064/4dNqWRJC.jpg","View")</f>
        <v>View</v>
      </c>
    </row>
    <row r="1911" spans="1:19" ht="20">
      <c r="A1911" s="8">
        <v>43346.625208333338</v>
      </c>
      <c r="B1911" s="11" t="str">
        <f>HYPERLINK("https://twitter.com/ilnanews","@ilnanews")</f>
        <v>@ilnanews</v>
      </c>
      <c r="C1911" s="6" t="s">
        <v>6413</v>
      </c>
      <c r="D1911" s="5" t="s">
        <v>11918</v>
      </c>
      <c r="E1911" s="9" t="str">
        <f>HYPERLINK("https://twitter.com/ilnanews/status/1036562017920921600","1036562017920921600")</f>
        <v>1036562017920921600</v>
      </c>
      <c r="F1911" s="10" t="s">
        <v>11917</v>
      </c>
      <c r="G1911" s="10" t="s">
        <v>11916</v>
      </c>
      <c r="H1911" s="4"/>
      <c r="I1911" s="10" t="str">
        <f>HYPERLINK("http://twitter.com/download/android","Twitter for Android")</f>
        <v>Twitter for Android</v>
      </c>
      <c r="J1911" s="2">
        <v>32397</v>
      </c>
      <c r="K1911" s="2">
        <v>67</v>
      </c>
      <c r="L1911" s="2">
        <v>161</v>
      </c>
      <c r="M1911" s="2"/>
      <c r="N1911" s="8">
        <v>42062.024768518517</v>
      </c>
      <c r="O1911" s="4" t="s">
        <v>34</v>
      </c>
      <c r="P1911" s="3" t="s">
        <v>6409</v>
      </c>
      <c r="Q1911" s="10" t="s">
        <v>6408</v>
      </c>
      <c r="R1911" s="4"/>
      <c r="S1911" s="9" t="str">
        <f>HYPERLINK("https://pbs.twimg.com/profile_images/760387216782848000/TS1QyYLo.jpg","View")</f>
        <v>View</v>
      </c>
    </row>
    <row r="1912" spans="1:19" ht="20">
      <c r="A1912" s="8">
        <v>43346.61990740741</v>
      </c>
      <c r="B1912" s="11" t="str">
        <f>HYPERLINK("https://twitter.com/jeem_news","@jeem_news")</f>
        <v>@jeem_news</v>
      </c>
      <c r="C1912" s="6" t="s">
        <v>11915</v>
      </c>
      <c r="D1912" s="5" t="s">
        <v>11914</v>
      </c>
      <c r="E1912" s="9" t="str">
        <f>HYPERLINK("https://twitter.com/jeem_news/status/1036560097793777664","1036560097793777664")</f>
        <v>1036560097793777664</v>
      </c>
      <c r="F1912" s="4"/>
      <c r="G1912" s="4"/>
      <c r="H1912" s="4"/>
      <c r="I1912" s="10" t="str">
        <f>HYPERLINK("http://twitter.com","Twitter Web Client")</f>
        <v>Twitter Web Client</v>
      </c>
      <c r="J1912" s="2">
        <v>591</v>
      </c>
      <c r="K1912" s="2">
        <v>706</v>
      </c>
      <c r="L1912" s="2">
        <v>0</v>
      </c>
      <c r="M1912" s="2"/>
      <c r="N1912" s="8">
        <v>42673.473182870366</v>
      </c>
      <c r="O1912" s="4" t="s">
        <v>34</v>
      </c>
      <c r="P1912" s="3" t="s">
        <v>9963</v>
      </c>
      <c r="Q1912" s="10" t="s">
        <v>11913</v>
      </c>
      <c r="R1912" s="4"/>
      <c r="S1912" s="9" t="str">
        <f>HYPERLINK("https://pbs.twimg.com/profile_images/819085893151719424/GbpxVM8u.jpg","View")</f>
        <v>View</v>
      </c>
    </row>
    <row r="1913" spans="1:19" ht="40">
      <c r="A1913" s="8">
        <v>43346.619386574079</v>
      </c>
      <c r="B1913" s="11" t="str">
        <f>HYPERLINK("https://twitter.com/Mohajerbitab","@Mohajerbitab")</f>
        <v>@Mohajerbitab</v>
      </c>
      <c r="C1913" s="6" t="s">
        <v>5559</v>
      </c>
      <c r="D1913" s="5" t="s">
        <v>11912</v>
      </c>
      <c r="E1913" s="9" t="str">
        <f>HYPERLINK("https://twitter.com/Mohajerbitab/status/1036559911214301184","1036559911214301184")</f>
        <v>1036559911214301184</v>
      </c>
      <c r="F1913" s="4"/>
      <c r="G1913" s="10" t="s">
        <v>11911</v>
      </c>
      <c r="H1913" s="4"/>
      <c r="I1913" s="10" t="str">
        <f>HYPERLINK("http://twitter.com","Twitter Web Client")</f>
        <v>Twitter Web Client</v>
      </c>
      <c r="J1913" s="2">
        <v>112</v>
      </c>
      <c r="K1913" s="2">
        <v>154</v>
      </c>
      <c r="L1913" s="2">
        <v>1</v>
      </c>
      <c r="M1913" s="2"/>
      <c r="N1913" s="8">
        <v>43121.590682870374</v>
      </c>
      <c r="O1913" s="4" t="s">
        <v>17</v>
      </c>
      <c r="P1913" s="3" t="s">
        <v>5557</v>
      </c>
      <c r="Q1913" s="4"/>
      <c r="R1913" s="4"/>
      <c r="S1913" s="9" t="str">
        <f>HYPERLINK("https://pbs.twimg.com/profile_images/955038416697200645/y-gtAR_w.jpg","View")</f>
        <v>View</v>
      </c>
    </row>
    <row r="1914" spans="1:19" ht="40">
      <c r="A1914" s="8">
        <v>43346.619027777779</v>
      </c>
      <c r="B1914" s="11" t="str">
        <f>HYPERLINK("https://twitter.com/mim_Hastam","@mim_Hastam")</f>
        <v>@mim_Hastam</v>
      </c>
      <c r="C1914" s="6" t="s">
        <v>11817</v>
      </c>
      <c r="D1914" s="5" t="s">
        <v>11910</v>
      </c>
      <c r="E1914" s="9" t="str">
        <f>HYPERLINK("https://twitter.com/mim_Hastam/status/1036559779764887552","1036559779764887552")</f>
        <v>1036559779764887552</v>
      </c>
      <c r="F1914" s="10" t="s">
        <v>11909</v>
      </c>
      <c r="G1914" s="4"/>
      <c r="H1914" s="4"/>
      <c r="I1914" s="10" t="str">
        <f>HYPERLINK("http://twitter.com/download/android","Twitter for Android")</f>
        <v>Twitter for Android</v>
      </c>
      <c r="J1914" s="2">
        <v>81</v>
      </c>
      <c r="K1914" s="2">
        <v>187</v>
      </c>
      <c r="L1914" s="2">
        <v>0</v>
      </c>
      <c r="M1914" s="2"/>
      <c r="N1914" s="8">
        <v>43305.719224537039</v>
      </c>
      <c r="O1914" s="4"/>
      <c r="P1914" s="3" t="s">
        <v>11815</v>
      </c>
      <c r="Q1914" s="4"/>
      <c r="R1914" s="4"/>
      <c r="S1914" s="9" t="str">
        <f>HYPERLINK("https://pbs.twimg.com/profile_images/1025743577316515840/vzc4CLhl.jpg","View")</f>
        <v>View</v>
      </c>
    </row>
    <row r="1915" spans="1:19" ht="30">
      <c r="A1915" s="8">
        <v>43346.617210648154</v>
      </c>
      <c r="B1915" s="11" t="str">
        <f>HYPERLINK("https://twitter.com/retwet_enghelab","@retwet_enghelab")</f>
        <v>@retwet_enghelab</v>
      </c>
      <c r="C1915" s="6" t="s">
        <v>11908</v>
      </c>
      <c r="D1915" s="5" t="s">
        <v>11907</v>
      </c>
      <c r="E1915" s="9" t="str">
        <f>HYPERLINK("https://twitter.com/retwet_enghelab/status/1036559123012308992","1036559123012308992")</f>
        <v>1036559123012308992</v>
      </c>
      <c r="F1915" s="4"/>
      <c r="G1915" s="4"/>
      <c r="H1915" s="4"/>
      <c r="I1915" s="10" t="str">
        <f>HYPERLINK("http://t.me/RetweetBot","HsinBot")</f>
        <v>HsinBot</v>
      </c>
      <c r="J1915" s="2">
        <v>298</v>
      </c>
      <c r="K1915" s="2">
        <v>65</v>
      </c>
      <c r="L1915" s="2">
        <v>1</v>
      </c>
      <c r="M1915" s="2"/>
      <c r="N1915" s="8">
        <v>42947.090462962966</v>
      </c>
      <c r="O1915" s="4" t="s">
        <v>10123</v>
      </c>
      <c r="P1915" s="3" t="s">
        <v>11906</v>
      </c>
      <c r="Q1915" s="4"/>
      <c r="R1915" s="4"/>
      <c r="S1915" s="9" t="str">
        <f>HYPERLINK("https://pbs.twimg.com/profile_images/1036286071187951618/FnkxMG3e.jpg","View")</f>
        <v>View</v>
      </c>
    </row>
    <row r="1916" spans="1:19" ht="20">
      <c r="A1916" s="8">
        <v>43346.615497685183</v>
      </c>
      <c r="B1916" s="11" t="str">
        <f>HYPERLINK("https://twitter.com/bardiya2000","@bardiya2000")</f>
        <v>@bardiya2000</v>
      </c>
      <c r="C1916" s="6" t="s">
        <v>6602</v>
      </c>
      <c r="D1916" s="5" t="s">
        <v>11905</v>
      </c>
      <c r="E1916" s="9" t="str">
        <f>HYPERLINK("https://twitter.com/bardiya2000/status/1036558500829249536","1036558500829249536")</f>
        <v>1036558500829249536</v>
      </c>
      <c r="F1916" s="4"/>
      <c r="G1916" s="10" t="s">
        <v>11904</v>
      </c>
      <c r="H1916" s="4"/>
      <c r="I1916" s="10" t="str">
        <f>HYPERLINK("http://twitter.com","Twitter Web Client")</f>
        <v>Twitter Web Client</v>
      </c>
      <c r="J1916" s="2">
        <v>11277</v>
      </c>
      <c r="K1916" s="2">
        <v>12237</v>
      </c>
      <c r="L1916" s="2">
        <v>4</v>
      </c>
      <c r="M1916" s="2"/>
      <c r="N1916" s="8">
        <v>43130.489201388889</v>
      </c>
      <c r="O1916" s="4" t="s">
        <v>104</v>
      </c>
      <c r="P1916" s="3" t="s">
        <v>6600</v>
      </c>
      <c r="Q1916" s="4"/>
      <c r="R1916" s="4"/>
      <c r="S1916" s="9" t="str">
        <f>HYPERLINK("https://pbs.twimg.com/profile_images/959171152081014784/1feOJkR-.jpg","View")</f>
        <v>View</v>
      </c>
    </row>
    <row r="1917" spans="1:19" ht="40">
      <c r="A1917" s="8">
        <v>43346.61209490741</v>
      </c>
      <c r="B1917" s="11" t="str">
        <f>HYPERLINK("https://twitter.com/hamidtmy","@hamidtmy")</f>
        <v>@hamidtmy</v>
      </c>
      <c r="C1917" s="6" t="s">
        <v>9619</v>
      </c>
      <c r="D1917" s="5" t="s">
        <v>11903</v>
      </c>
      <c r="E1917" s="9" t="str">
        <f>HYPERLINK("https://twitter.com/hamidtmy/status/1036557268358258691","1036557268358258691")</f>
        <v>1036557268358258691</v>
      </c>
      <c r="F1917" s="4"/>
      <c r="G1917" s="4"/>
      <c r="H1917" s="4"/>
      <c r="I1917" s="10" t="str">
        <f>HYPERLINK("http://twitter.com/download/iphone","Twitter for iPhone")</f>
        <v>Twitter for iPhone</v>
      </c>
      <c r="J1917" s="2">
        <v>152</v>
      </c>
      <c r="K1917" s="2">
        <v>262</v>
      </c>
      <c r="L1917" s="2">
        <v>1</v>
      </c>
      <c r="M1917" s="2"/>
      <c r="N1917" s="8">
        <v>41554.737337962964</v>
      </c>
      <c r="O1917" s="4" t="s">
        <v>282</v>
      </c>
      <c r="P1917" s="3"/>
      <c r="Q1917" s="10" t="s">
        <v>9617</v>
      </c>
      <c r="R1917" s="4"/>
      <c r="S1917" s="9" t="str">
        <f>HYPERLINK("https://pbs.twimg.com/profile_images/994503510535426048/IrYP69RT.jpg","View")</f>
        <v>View</v>
      </c>
    </row>
    <row r="1918" spans="1:19" ht="30">
      <c r="A1918" s="8">
        <v>43346.610138888893</v>
      </c>
      <c r="B1918" s="11" t="str">
        <f>HYPERLINK("https://twitter.com/abuvesal","@abuvesal")</f>
        <v>@abuvesal</v>
      </c>
      <c r="C1918" s="6" t="s">
        <v>11902</v>
      </c>
      <c r="D1918" s="5" t="s">
        <v>11901</v>
      </c>
      <c r="E1918" s="9" t="str">
        <f>HYPERLINK("https://twitter.com/abuvesal/status/1036556557868261381","1036556557868261381")</f>
        <v>1036556557868261381</v>
      </c>
      <c r="F1918" s="4"/>
      <c r="G1918" s="4"/>
      <c r="H1918" s="4"/>
      <c r="I1918" s="10" t="str">
        <f>HYPERLINK("http://twitter.com/download/android","Twitter for Android")</f>
        <v>Twitter for Android</v>
      </c>
      <c r="J1918" s="2">
        <v>89</v>
      </c>
      <c r="K1918" s="2">
        <v>43</v>
      </c>
      <c r="L1918" s="2">
        <v>0</v>
      </c>
      <c r="M1918" s="2"/>
      <c r="N1918" s="8">
        <v>43220.607662037037</v>
      </c>
      <c r="O1918" s="4" t="s">
        <v>17</v>
      </c>
      <c r="P1918" s="3" t="s">
        <v>11900</v>
      </c>
      <c r="Q1918" s="4"/>
      <c r="R1918" s="4"/>
      <c r="S1918" s="9" t="str">
        <f>HYPERLINK("https://pbs.twimg.com/profile_images/1035211838433189897/CxHGkjTx.jpg","View")</f>
        <v>View</v>
      </c>
    </row>
    <row r="1919" spans="1:19" ht="30">
      <c r="A1919" s="8">
        <v>43346.61</v>
      </c>
      <c r="B1919" s="11" t="str">
        <f>HYPERLINK("https://twitter.com/KarimiGhodousi","@KarimiGhodousi")</f>
        <v>@KarimiGhodousi</v>
      </c>
      <c r="C1919" s="6" t="s">
        <v>11899</v>
      </c>
      <c r="D1919" s="5" t="s">
        <v>11898</v>
      </c>
      <c r="E1919" s="9" t="str">
        <f>HYPERLINK("https://twitter.com/KarimiGhodousi/status/1036556509906460672","1036556509906460672")</f>
        <v>1036556509906460672</v>
      </c>
      <c r="F1919" s="4"/>
      <c r="G1919" s="4"/>
      <c r="H1919" s="4"/>
      <c r="I1919" s="10" t="str">
        <f>HYPERLINK("http://twitter.com/download/android","Twitter for Android")</f>
        <v>Twitter for Android</v>
      </c>
      <c r="J1919" s="2">
        <v>2236</v>
      </c>
      <c r="K1919" s="2">
        <v>11</v>
      </c>
      <c r="L1919" s="2">
        <v>33</v>
      </c>
      <c r="M1919" s="2"/>
      <c r="N1919" s="8">
        <v>43250.529016203705</v>
      </c>
      <c r="O1919" s="4"/>
      <c r="P1919" s="3" t="s">
        <v>11897</v>
      </c>
      <c r="Q1919" s="10" t="s">
        <v>11896</v>
      </c>
      <c r="R1919" s="4"/>
      <c r="S1919" s="9" t="str">
        <f>HYPERLINK("https://pbs.twimg.com/profile_images/1001739920065683456/i7vZBZNV.jpg","View")</f>
        <v>View</v>
      </c>
    </row>
    <row r="1920" spans="1:19" ht="40">
      <c r="A1920" s="8">
        <v>43346.609166666662</v>
      </c>
      <c r="B1920" s="11" t="str">
        <f>HYPERLINK("https://twitter.com/truthmines","@truthmines")</f>
        <v>@truthmines</v>
      </c>
      <c r="C1920" s="6" t="s">
        <v>3704</v>
      </c>
      <c r="D1920" s="5" t="s">
        <v>11895</v>
      </c>
      <c r="E1920" s="9" t="str">
        <f>HYPERLINK("https://twitter.com/truthmines/status/1036556205236219905","1036556205236219905")</f>
        <v>1036556205236219905</v>
      </c>
      <c r="F1920" s="10" t="s">
        <v>11894</v>
      </c>
      <c r="G1920" s="4"/>
      <c r="H1920" s="4"/>
      <c r="I1920" s="10" t="str">
        <f>HYPERLINK("http://twitter.com/download/iphone","Twitter for iPhone")</f>
        <v>Twitter for iPhone</v>
      </c>
      <c r="J1920" s="2">
        <v>563</v>
      </c>
      <c r="K1920" s="2">
        <v>1212</v>
      </c>
      <c r="L1920" s="2">
        <v>0</v>
      </c>
      <c r="M1920" s="2"/>
      <c r="N1920" s="8">
        <v>41546.11996527778</v>
      </c>
      <c r="O1920" s="4"/>
      <c r="P1920" s="3" t="s">
        <v>3702</v>
      </c>
      <c r="Q1920" s="4"/>
      <c r="R1920" s="4"/>
      <c r="S1920" s="9" t="str">
        <f>HYPERLINK("https://pbs.twimg.com/profile_images/1029865689866072067/w1FI8TZi.jpg","View")</f>
        <v>View</v>
      </c>
    </row>
    <row r="1921" spans="1:19" ht="30">
      <c r="A1921" s="8">
        <v>43346.608680555553</v>
      </c>
      <c r="B1921" s="11" t="str">
        <f>HYPERLINK("https://twitter.com/shoresh61","@shoresh61")</f>
        <v>@shoresh61</v>
      </c>
      <c r="C1921" s="6" t="s">
        <v>2540</v>
      </c>
      <c r="D1921" s="5" t="s">
        <v>11893</v>
      </c>
      <c r="E1921" s="9" t="str">
        <f>HYPERLINK("https://twitter.com/shoresh61/status/1036556031009202176","1036556031009202176")</f>
        <v>1036556031009202176</v>
      </c>
      <c r="F1921" s="4"/>
      <c r="G1921" s="4"/>
      <c r="H1921" s="4"/>
      <c r="I1921" s="10" t="str">
        <f>HYPERLINK("http://twitter.com/download/android","Twitter for Android")</f>
        <v>Twitter for Android</v>
      </c>
      <c r="J1921" s="2">
        <v>12153</v>
      </c>
      <c r="K1921" s="2">
        <v>7446</v>
      </c>
      <c r="L1921" s="2">
        <v>16</v>
      </c>
      <c r="M1921" s="2"/>
      <c r="N1921" s="8">
        <v>41707.846446759257</v>
      </c>
      <c r="O1921" s="4" t="s">
        <v>2538</v>
      </c>
      <c r="P1921" s="3" t="s">
        <v>2537</v>
      </c>
      <c r="Q1921" s="10" t="s">
        <v>2536</v>
      </c>
      <c r="R1921" s="4"/>
      <c r="S1921" s="9" t="str">
        <f>HYPERLINK("https://pbs.twimg.com/profile_images/944544717194301442/frY1ROFo.jpg","View")</f>
        <v>View</v>
      </c>
    </row>
    <row r="1922" spans="1:19" ht="30">
      <c r="A1922" s="8">
        <v>43346.608078703706</v>
      </c>
      <c r="B1922" s="11" t="str">
        <f>HYPERLINK("https://twitter.com/jiizes","@jiizes")</f>
        <v>@jiizes</v>
      </c>
      <c r="C1922" s="6" t="s">
        <v>11892</v>
      </c>
      <c r="D1922" s="5" t="s">
        <v>11891</v>
      </c>
      <c r="E1922" s="9" t="str">
        <f>HYPERLINK("https://twitter.com/jiizes/status/1036555813740048384","1036555813740048384")</f>
        <v>1036555813740048384</v>
      </c>
      <c r="F1922" s="4"/>
      <c r="G1922" s="4"/>
      <c r="H1922" s="4"/>
      <c r="I1922" s="10" t="str">
        <f>HYPERLINK("http://twitter.com/download/android","Twitter for Android")</f>
        <v>Twitter for Android</v>
      </c>
      <c r="J1922" s="2">
        <v>2061</v>
      </c>
      <c r="K1922" s="2">
        <v>932</v>
      </c>
      <c r="L1922" s="2">
        <v>7</v>
      </c>
      <c r="M1922" s="2"/>
      <c r="N1922" s="8">
        <v>41563.951435185183</v>
      </c>
      <c r="O1922" s="4" t="s">
        <v>11890</v>
      </c>
      <c r="P1922" s="3" t="s">
        <v>11889</v>
      </c>
      <c r="Q1922" s="4"/>
      <c r="R1922" s="4"/>
      <c r="S1922" s="9" t="str">
        <f>HYPERLINK("https://pbs.twimg.com/profile_images/1013376747335806976/zdU8koMx.jpg","View")</f>
        <v>View</v>
      </c>
    </row>
    <row r="1923" spans="1:19" ht="12.5">
      <c r="A1923" s="8">
        <v>43346.607523148152</v>
      </c>
      <c r="B1923" s="11" t="str">
        <f>HYPERLINK("https://twitter.com/Amirhossein_14","@Amirhossein_14")</f>
        <v>@Amirhossein_14</v>
      </c>
      <c r="C1923" s="6" t="s">
        <v>11888</v>
      </c>
      <c r="D1923" s="5" t="s">
        <v>11887</v>
      </c>
      <c r="E1923" s="9" t="str">
        <f>HYPERLINK("https://twitter.com/Amirhossein_14/status/1036555609351639041","1036555609351639041")</f>
        <v>1036555609351639041</v>
      </c>
      <c r="F1923" s="4"/>
      <c r="G1923" s="4"/>
      <c r="H1923" s="4"/>
      <c r="I1923" s="10" t="str">
        <f>HYPERLINK("http://twitter.com/download/android","Twitter for Android")</f>
        <v>Twitter for Android</v>
      </c>
      <c r="J1923" s="2">
        <v>125</v>
      </c>
      <c r="K1923" s="2">
        <v>129</v>
      </c>
      <c r="L1923" s="2">
        <v>0</v>
      </c>
      <c r="M1923" s="2"/>
      <c r="N1923" s="8">
        <v>43285.453981481478</v>
      </c>
      <c r="O1923" s="4" t="s">
        <v>11886</v>
      </c>
      <c r="P1923" s="3" t="s">
        <v>11885</v>
      </c>
      <c r="Q1923" s="4"/>
      <c r="R1923" s="4"/>
      <c r="S1923" s="9" t="str">
        <f>HYPERLINK("https://pbs.twimg.com/profile_images/1035512931683729409/xXkVarVl.jpg","View")</f>
        <v>View</v>
      </c>
    </row>
    <row r="1924" spans="1:19" ht="20">
      <c r="A1924" s="8">
        <v>43346.606620370367</v>
      </c>
      <c r="B1924" s="11" t="str">
        <f>HYPERLINK("https://twitter.com/TadrisiAli","@TadrisiAli")</f>
        <v>@TadrisiAli</v>
      </c>
      <c r="C1924" s="6" t="s">
        <v>11884</v>
      </c>
      <c r="D1924" s="5" t="s">
        <v>11883</v>
      </c>
      <c r="E1924" s="9" t="str">
        <f>HYPERLINK("https://twitter.com/TadrisiAli/status/1036555282502103040","1036555282502103040")</f>
        <v>1036555282502103040</v>
      </c>
      <c r="F1924" s="4"/>
      <c r="G1924" s="4"/>
      <c r="H1924" s="4"/>
      <c r="I1924" s="10" t="str">
        <f>HYPERLINK("http://twitter.com/download/android","Twitter for Android")</f>
        <v>Twitter for Android</v>
      </c>
      <c r="J1924" s="2">
        <v>14</v>
      </c>
      <c r="K1924" s="2">
        <v>26</v>
      </c>
      <c r="L1924" s="2">
        <v>0</v>
      </c>
      <c r="M1924" s="2"/>
      <c r="N1924" s="8">
        <v>42960.802719907406</v>
      </c>
      <c r="O1924" s="4" t="s">
        <v>1631</v>
      </c>
      <c r="P1924" s="3" t="s">
        <v>11882</v>
      </c>
      <c r="Q1924" s="4"/>
      <c r="R1924" s="4"/>
      <c r="S1924" s="9" t="str">
        <f>HYPERLINK("https://pbs.twimg.com/profile_images/997852723881107456/oRBxTzh_.jpg","View")</f>
        <v>View</v>
      </c>
    </row>
    <row r="1925" spans="1:19" ht="20">
      <c r="A1925" s="8">
        <v>43346.603738425925</v>
      </c>
      <c r="B1925" s="11" t="str">
        <f>HYPERLINK("https://twitter.com/omidirani1991","@omidirani1991")</f>
        <v>@omidirani1991</v>
      </c>
      <c r="C1925" s="6" t="s">
        <v>2631</v>
      </c>
      <c r="D1925" s="5" t="s">
        <v>11881</v>
      </c>
      <c r="E1925" s="9" t="str">
        <f>HYPERLINK("https://twitter.com/omidirani1991/status/1036554237113757696","1036554237113757696")</f>
        <v>1036554237113757696</v>
      </c>
      <c r="F1925" s="4"/>
      <c r="G1925" s="4"/>
      <c r="H1925" s="4"/>
      <c r="I1925" s="10" t="str">
        <f>HYPERLINK("http://twitter.com/download/android","Twitter for Android")</f>
        <v>Twitter for Android</v>
      </c>
      <c r="J1925" s="2">
        <v>736</v>
      </c>
      <c r="K1925" s="2">
        <v>503</v>
      </c>
      <c r="L1925" s="2">
        <v>1</v>
      </c>
      <c r="M1925" s="2"/>
      <c r="N1925" s="8">
        <v>42741.400243055556</v>
      </c>
      <c r="O1925" s="4" t="s">
        <v>2629</v>
      </c>
      <c r="P1925" s="3" t="s">
        <v>2628</v>
      </c>
      <c r="Q1925" s="4"/>
      <c r="R1925" s="4"/>
      <c r="S1925" s="9" t="str">
        <f>HYPERLINK("https://pbs.twimg.com/profile_images/1012094465459347456/oo-zjgJk.jpg","View")</f>
        <v>View</v>
      </c>
    </row>
    <row r="1926" spans="1:19" ht="20">
      <c r="A1926" s="8">
        <v>43346.602789351848</v>
      </c>
      <c r="B1926" s="11" t="str">
        <f>HYPERLINK("https://twitter.com/meysam40298645","@meysam40298645")</f>
        <v>@meysam40298645</v>
      </c>
      <c r="C1926" s="6" t="s">
        <v>11880</v>
      </c>
      <c r="D1926" s="5" t="s">
        <v>11879</v>
      </c>
      <c r="E1926" s="9" t="str">
        <f>HYPERLINK("https://twitter.com/meysam40298645/status/1036553894732726272","1036553894732726272")</f>
        <v>1036553894732726272</v>
      </c>
      <c r="F1926" s="4"/>
      <c r="G1926" s="4"/>
      <c r="H1926" s="4"/>
      <c r="I1926" s="10" t="str">
        <f>HYPERLINK("http://twitter.com/download/android","Twitter for Android")</f>
        <v>Twitter for Android</v>
      </c>
      <c r="J1926" s="2">
        <v>3</v>
      </c>
      <c r="K1926" s="2">
        <v>23</v>
      </c>
      <c r="L1926" s="2">
        <v>0</v>
      </c>
      <c r="M1926" s="2"/>
      <c r="N1926" s="8">
        <v>43340.71025462963</v>
      </c>
      <c r="O1926" s="4"/>
      <c r="P1926" s="3" t="s">
        <v>11878</v>
      </c>
      <c r="Q1926" s="4"/>
      <c r="R1926" s="4"/>
      <c r="S1926" s="9" t="str">
        <f>HYPERLINK("https://pbs.twimg.com/profile_images/1034437002635169792/ZShvlDjI.jpg","View")</f>
        <v>View</v>
      </c>
    </row>
    <row r="1927" spans="1:19" ht="40">
      <c r="A1927" s="8">
        <v>43346.602222222224</v>
      </c>
      <c r="B1927" s="11" t="str">
        <f>HYPERLINK("https://twitter.com/mehdi_abd","@mehdi_abd")</f>
        <v>@mehdi_abd</v>
      </c>
      <c r="C1927" s="6" t="s">
        <v>9583</v>
      </c>
      <c r="D1927" s="5" t="s">
        <v>11877</v>
      </c>
      <c r="E1927" s="9" t="str">
        <f>HYPERLINK("https://twitter.com/mehdi_abd/status/1036553688557518848","1036553688557518848")</f>
        <v>1036553688557518848</v>
      </c>
      <c r="F1927" s="4"/>
      <c r="G1927" s="4"/>
      <c r="H1927" s="4"/>
      <c r="I1927" s="10" t="str">
        <f>HYPERLINK("http://twitter.com","Twitter Web Client")</f>
        <v>Twitter Web Client</v>
      </c>
      <c r="J1927" s="2">
        <v>1193</v>
      </c>
      <c r="K1927" s="2">
        <v>649</v>
      </c>
      <c r="L1927" s="2">
        <v>18</v>
      </c>
      <c r="M1927" s="2"/>
      <c r="N1927" s="8">
        <v>40209.646354166667</v>
      </c>
      <c r="O1927" s="4" t="s">
        <v>9581</v>
      </c>
      <c r="P1927" s="3" t="s">
        <v>9580</v>
      </c>
      <c r="Q1927" s="10" t="s">
        <v>9579</v>
      </c>
      <c r="R1927" s="4"/>
      <c r="S1927" s="9" t="str">
        <f>HYPERLINK("https://pbs.twimg.com/profile_images/982986578539810817/FerCmWGa.jpg","View")</f>
        <v>View</v>
      </c>
    </row>
    <row r="1928" spans="1:19" ht="20">
      <c r="A1928" s="8">
        <v>43346.602083333331</v>
      </c>
      <c r="B1928" s="11" t="str">
        <f>HYPERLINK("https://twitter.com/Saphr4","@Saphr4")</f>
        <v>@Saphr4</v>
      </c>
      <c r="C1928" s="6" t="s">
        <v>11876</v>
      </c>
      <c r="D1928" s="5" t="s">
        <v>11875</v>
      </c>
      <c r="E1928" s="9" t="str">
        <f>HYPERLINK("https://twitter.com/Saphr4/status/1036553637626036225","1036553637626036225")</f>
        <v>1036553637626036225</v>
      </c>
      <c r="F1928" s="4"/>
      <c r="G1928" s="10" t="s">
        <v>11874</v>
      </c>
      <c r="H1928" s="4"/>
      <c r="I1928" s="10" t="str">
        <f>HYPERLINK("http://twitter.com/download/android","Twitter for Android")</f>
        <v>Twitter for Android</v>
      </c>
      <c r="J1928" s="2">
        <v>203</v>
      </c>
      <c r="K1928" s="2">
        <v>355</v>
      </c>
      <c r="L1928" s="2">
        <v>0</v>
      </c>
      <c r="M1928" s="2"/>
      <c r="N1928" s="8">
        <v>43067.812893518523</v>
      </c>
      <c r="O1928" s="4" t="s">
        <v>1113</v>
      </c>
      <c r="P1928" s="3" t="s">
        <v>11873</v>
      </c>
      <c r="Q1928" s="4"/>
      <c r="R1928" s="4"/>
      <c r="S1928" s="9" t="str">
        <f>HYPERLINK("https://pbs.twimg.com/profile_images/990193072247050240/bCcMEw9A.jpg","View")</f>
        <v>View</v>
      </c>
    </row>
    <row r="1929" spans="1:19" ht="30">
      <c r="A1929" s="8">
        <v>43346.601724537039</v>
      </c>
      <c r="B1929" s="11" t="str">
        <f>HYPERLINK("https://twitter.com/fa_akbarshahi","@fa_akbarshahi")</f>
        <v>@fa_akbarshahi</v>
      </c>
      <c r="C1929" s="6" t="s">
        <v>10468</v>
      </c>
      <c r="D1929" s="5" t="s">
        <v>11872</v>
      </c>
      <c r="E1929" s="9" t="str">
        <f>HYPERLINK("https://twitter.com/fa_akbarshahi/status/1036553509070680065","1036553509070680065")</f>
        <v>1036553509070680065</v>
      </c>
      <c r="F1929" s="4"/>
      <c r="G1929" s="4"/>
      <c r="H1929" s="4"/>
      <c r="I1929" s="10" t="str">
        <f>HYPERLINK("http://twitter.com/download/android","Twitter for Android")</f>
        <v>Twitter for Android</v>
      </c>
      <c r="J1929" s="2">
        <v>3429</v>
      </c>
      <c r="K1929" s="2">
        <v>229</v>
      </c>
      <c r="L1929" s="2">
        <v>21</v>
      </c>
      <c r="M1929" s="2"/>
      <c r="N1929" s="8">
        <v>42961.759999999995</v>
      </c>
      <c r="O1929" s="4"/>
      <c r="P1929" s="3" t="s">
        <v>10466</v>
      </c>
      <c r="Q1929" s="10" t="s">
        <v>10465</v>
      </c>
      <c r="R1929" s="4"/>
      <c r="S1929" s="9" t="str">
        <f>HYPERLINK("https://pbs.twimg.com/profile_images/1034456935372922880/zSklHhEW.jpg","View")</f>
        <v>View</v>
      </c>
    </row>
    <row r="1930" spans="1:19" ht="90">
      <c r="A1930" s="8">
        <v>43346.60055555556</v>
      </c>
      <c r="B1930" s="11" t="str">
        <f>HYPERLINK("https://twitter.com/mowbin_ti","@mowbin_ti")</f>
        <v>@mowbin_ti</v>
      </c>
      <c r="C1930" s="6" t="s">
        <v>11871</v>
      </c>
      <c r="D1930" s="5" t="s">
        <v>11870</v>
      </c>
      <c r="E1930" s="9" t="str">
        <f>HYPERLINK("https://twitter.com/mowbin_ti/status/1036553083818594304","1036553083818594304")</f>
        <v>1036553083818594304</v>
      </c>
      <c r="F1930" s="10" t="s">
        <v>11869</v>
      </c>
      <c r="G1930" s="4"/>
      <c r="H1930" s="4"/>
      <c r="I1930" s="10" t="str">
        <f>HYPERLINK("http://twitter.com/download/iphone","Twitter for iPhone")</f>
        <v>Twitter for iPhone</v>
      </c>
      <c r="J1930" s="2">
        <v>301</v>
      </c>
      <c r="K1930" s="2">
        <v>268</v>
      </c>
      <c r="L1930" s="2">
        <v>2</v>
      </c>
      <c r="M1930" s="2"/>
      <c r="N1930" s="8">
        <v>42840.375289351854</v>
      </c>
      <c r="O1930" s="4" t="s">
        <v>11868</v>
      </c>
      <c r="P1930" s="3" t="s">
        <v>11867</v>
      </c>
      <c r="Q1930" s="10" t="s">
        <v>11866</v>
      </c>
      <c r="R1930" s="4"/>
      <c r="S1930" s="9" t="str">
        <f>HYPERLINK("https://pbs.twimg.com/profile_images/1031059073532407808/xx-wfukW.jpg","View")</f>
        <v>View</v>
      </c>
    </row>
    <row r="1931" spans="1:19" ht="40">
      <c r="A1931" s="8">
        <v>43346.600543981476</v>
      </c>
      <c r="B1931" s="11" t="str">
        <f>HYPERLINK("https://twitter.com/4FreeIran_","@4FreeIran_")</f>
        <v>@4FreeIran_</v>
      </c>
      <c r="C1931" s="6" t="s">
        <v>1129</v>
      </c>
      <c r="D1931" s="5" t="s">
        <v>11865</v>
      </c>
      <c r="E1931" s="9" t="str">
        <f>HYPERLINK("https://twitter.com/4FreeIran_/status/1036553081985613824","1036553081985613824")</f>
        <v>1036553081985613824</v>
      </c>
      <c r="F1931" s="4"/>
      <c r="G1931" s="10" t="s">
        <v>11864</v>
      </c>
      <c r="H1931" s="4"/>
      <c r="I1931" s="10" t="str">
        <f>HYPERLINK("http://twitter.com","Twitter Web Client")</f>
        <v>Twitter Web Client</v>
      </c>
      <c r="J1931" s="2">
        <v>10393</v>
      </c>
      <c r="K1931" s="2">
        <v>11197</v>
      </c>
      <c r="L1931" s="2">
        <v>36</v>
      </c>
      <c r="M1931" s="2"/>
      <c r="N1931" s="8">
        <v>41680.455810185187</v>
      </c>
      <c r="O1931" s="4" t="s">
        <v>2250</v>
      </c>
      <c r="P1931" s="3" t="s">
        <v>11863</v>
      </c>
      <c r="Q1931" s="10" t="s">
        <v>11862</v>
      </c>
      <c r="R1931" s="4"/>
      <c r="S1931" s="9" t="str">
        <f>HYPERLINK("https://pbs.twimg.com/profile_images/1024628625570713600/XnWccjd0.jpg","View")</f>
        <v>View</v>
      </c>
    </row>
    <row r="1932" spans="1:19" ht="12.5">
      <c r="A1932" s="8">
        <v>43346.600127314814</v>
      </c>
      <c r="B1932" s="11" t="str">
        <f>HYPERLINK("https://twitter.com/mhn6712","@mhn6712")</f>
        <v>@mhn6712</v>
      </c>
      <c r="C1932" s="6" t="s">
        <v>707</v>
      </c>
      <c r="D1932" s="5" t="s">
        <v>11861</v>
      </c>
      <c r="E1932" s="9" t="str">
        <f>HYPERLINK("https://twitter.com/mhn6712/status/1036552930718044160","1036552930718044160")</f>
        <v>1036552930718044160</v>
      </c>
      <c r="F1932" s="10" t="s">
        <v>11684</v>
      </c>
      <c r="G1932" s="4"/>
      <c r="H1932" s="4"/>
      <c r="I1932" s="10" t="str">
        <f>HYPERLINK("http://twitter.com","Twitter Web Client")</f>
        <v>Twitter Web Client</v>
      </c>
      <c r="J1932" s="2">
        <v>606</v>
      </c>
      <c r="K1932" s="2">
        <v>274</v>
      </c>
      <c r="L1932" s="2">
        <v>7</v>
      </c>
      <c r="M1932" s="2"/>
      <c r="N1932" s="8">
        <v>41838.807662037041</v>
      </c>
      <c r="O1932" s="4" t="s">
        <v>34</v>
      </c>
      <c r="P1932" s="3" t="s">
        <v>704</v>
      </c>
      <c r="Q1932" s="4"/>
      <c r="R1932" s="4"/>
      <c r="S1932" s="9" t="str">
        <f>HYPERLINK("https://pbs.twimg.com/profile_images/915118799728324608/NELhRWCR.jpg","View")</f>
        <v>View</v>
      </c>
    </row>
    <row r="1933" spans="1:19" ht="20">
      <c r="A1933" s="8">
        <v>43346.592685185184</v>
      </c>
      <c r="B1933" s="11" t="str">
        <f>HYPERLINK("https://twitter.com/mnfrj1900","@mnfrj1900")</f>
        <v>@mnfrj1900</v>
      </c>
      <c r="C1933" s="6" t="s">
        <v>11860</v>
      </c>
      <c r="D1933" s="5" t="s">
        <v>11859</v>
      </c>
      <c r="E1933" s="9" t="str">
        <f>HYPERLINK("https://twitter.com/mnfrj1900/status/1036550231712776192","1036550231712776192")</f>
        <v>1036550231712776192</v>
      </c>
      <c r="F1933" s="4"/>
      <c r="G1933" s="4"/>
      <c r="H1933" s="4"/>
      <c r="I1933" s="10" t="str">
        <f>HYPERLINK("http://twitter.com/download/android","Twitter for Android")</f>
        <v>Twitter for Android</v>
      </c>
      <c r="J1933" s="2">
        <v>111</v>
      </c>
      <c r="K1933" s="2">
        <v>370</v>
      </c>
      <c r="L1933" s="2">
        <v>1</v>
      </c>
      <c r="M1933" s="2"/>
      <c r="N1933" s="8">
        <v>41291.512604166666</v>
      </c>
      <c r="O1933" s="4" t="s">
        <v>1601</v>
      </c>
      <c r="P1933" s="3" t="s">
        <v>11858</v>
      </c>
      <c r="Q1933" s="4"/>
      <c r="R1933" s="4"/>
      <c r="S1933" s="9" t="str">
        <f>HYPERLINK("https://pbs.twimg.com/profile_images/994127173492523008/3-P3UeyH.jpg","View")</f>
        <v>View</v>
      </c>
    </row>
    <row r="1934" spans="1:19" ht="30">
      <c r="A1934" s="8">
        <v>43346.592499999999</v>
      </c>
      <c r="B1934" s="11" t="str">
        <f>HYPERLINK("https://twitter.com/Asreeghtesad","@Asreeghtesad")</f>
        <v>@Asreeghtesad</v>
      </c>
      <c r="C1934" s="6" t="s">
        <v>9806</v>
      </c>
      <c r="D1934" s="5" t="s">
        <v>11857</v>
      </c>
      <c r="E1934" s="9" t="str">
        <f>HYPERLINK("https://twitter.com/Asreeghtesad/status/1036550165635719168","1036550165635719168")</f>
        <v>1036550165635719168</v>
      </c>
      <c r="F1934" s="10" t="s">
        <v>11856</v>
      </c>
      <c r="G1934" s="10" t="s">
        <v>11855</v>
      </c>
      <c r="H1934" s="4"/>
      <c r="I1934" s="10" t="str">
        <f>HYPERLINK("http://twitter.com","Twitter Web Client")</f>
        <v>Twitter Web Client</v>
      </c>
      <c r="J1934" s="2">
        <v>356</v>
      </c>
      <c r="K1934" s="2">
        <v>794</v>
      </c>
      <c r="L1934" s="2">
        <v>1</v>
      </c>
      <c r="M1934" s="2"/>
      <c r="N1934" s="8">
        <v>43013.443333333329</v>
      </c>
      <c r="O1934" s="4"/>
      <c r="P1934" s="3" t="s">
        <v>9802</v>
      </c>
      <c r="Q1934" s="10" t="s">
        <v>9801</v>
      </c>
      <c r="R1934" s="4"/>
      <c r="S1934" s="9" t="str">
        <f>HYPERLINK("https://pbs.twimg.com/profile_images/933255176978182145/m6QeWu50.jpg","View")</f>
        <v>View</v>
      </c>
    </row>
    <row r="1935" spans="1:19" ht="20">
      <c r="A1935" s="8">
        <v>43346.588483796295</v>
      </c>
      <c r="B1935" s="11" t="str">
        <f>HYPERLINK("https://twitter.com/Sohrab_66","@Sohrab_66")</f>
        <v>@Sohrab_66</v>
      </c>
      <c r="C1935" s="6" t="s">
        <v>11854</v>
      </c>
      <c r="D1935" s="5" t="s">
        <v>11853</v>
      </c>
      <c r="E1935" s="9" t="str">
        <f>HYPERLINK("https://twitter.com/Sohrab_66/status/1036548711957098496","1036548711957098496")</f>
        <v>1036548711957098496</v>
      </c>
      <c r="F1935" s="4"/>
      <c r="G1935" s="4"/>
      <c r="H1935" s="4"/>
      <c r="I1935" s="10" t="str">
        <f>HYPERLINK("http://twitter.com","Twitter Web Client")</f>
        <v>Twitter Web Client</v>
      </c>
      <c r="J1935" s="2">
        <v>1652</v>
      </c>
      <c r="K1935" s="2">
        <v>298</v>
      </c>
      <c r="L1935" s="2">
        <v>25</v>
      </c>
      <c r="M1935" s="2"/>
      <c r="N1935" s="8">
        <v>42129.81521990741</v>
      </c>
      <c r="O1935" s="4"/>
      <c r="P1935" s="3"/>
      <c r="Q1935" s="4"/>
      <c r="R1935" s="4"/>
      <c r="S1935" s="9" t="str">
        <f>HYPERLINK("https://pbs.twimg.com/profile_images/816285495311220736/1H4mVbVM.jpg","View")</f>
        <v>View</v>
      </c>
    </row>
    <row r="1936" spans="1:19" ht="40">
      <c r="A1936" s="8">
        <v>43346.588078703702</v>
      </c>
      <c r="B1936" s="11" t="str">
        <f>HYPERLINK("https://twitter.com/JIN97JwE4EjSXfw","@JIN97JwE4EjSXfw")</f>
        <v>@JIN97JwE4EjSXfw</v>
      </c>
      <c r="C1936" s="6" t="s">
        <v>11852</v>
      </c>
      <c r="D1936" s="5" t="s">
        <v>11851</v>
      </c>
      <c r="E1936" s="9" t="str">
        <f>HYPERLINK("https://twitter.com/JIN97JwE4EjSXfw/status/1036548565152219136","1036548565152219136")</f>
        <v>1036548565152219136</v>
      </c>
      <c r="F1936" s="4"/>
      <c r="G1936" s="4"/>
      <c r="H1936" s="4"/>
      <c r="I1936" s="10" t="str">
        <f>HYPERLINK("http://twitter.com/download/android","Twitter for Android")</f>
        <v>Twitter for Android</v>
      </c>
      <c r="J1936" s="2">
        <v>8</v>
      </c>
      <c r="K1936" s="2">
        <v>5</v>
      </c>
      <c r="L1936" s="2">
        <v>0</v>
      </c>
      <c r="M1936" s="2"/>
      <c r="N1936" s="8">
        <v>43233.989398148144</v>
      </c>
      <c r="O1936" s="4"/>
      <c r="P1936" s="3"/>
      <c r="Q1936" s="4"/>
      <c r="R1936" s="4"/>
      <c r="S1936" s="9" t="str">
        <f>HYPERLINK("https://pbs.twimg.com/profile_images/996072613838577666/GMcBlhUY.jpg","View")</f>
        <v>View</v>
      </c>
    </row>
    <row r="1937" spans="1:19" ht="40">
      <c r="A1937" s="8">
        <v>43346.585752314815</v>
      </c>
      <c r="B1937" s="11" t="str">
        <f>HYPERLINK("https://twitter.com/gomnam_110","@gomnam_110")</f>
        <v>@gomnam_110</v>
      </c>
      <c r="C1937" s="6" t="s">
        <v>11850</v>
      </c>
      <c r="D1937" s="5" t="s">
        <v>11849</v>
      </c>
      <c r="E1937" s="9" t="str">
        <f>HYPERLINK("https://twitter.com/gomnam_110/status/1036547720192970752","1036547720192970752")</f>
        <v>1036547720192970752</v>
      </c>
      <c r="F1937" s="4"/>
      <c r="G1937" s="10" t="s">
        <v>11848</v>
      </c>
      <c r="H1937" s="4"/>
      <c r="I1937" s="10" t="str">
        <f>HYPERLINK("http://twitter.com/download/android","Twitter for Android")</f>
        <v>Twitter for Android</v>
      </c>
      <c r="J1937" s="2">
        <v>237</v>
      </c>
      <c r="K1937" s="2">
        <v>226</v>
      </c>
      <c r="L1937" s="2">
        <v>4</v>
      </c>
      <c r="M1937" s="2"/>
      <c r="N1937" s="8">
        <v>43318.118738425925</v>
      </c>
      <c r="O1937" s="4" t="s">
        <v>17</v>
      </c>
      <c r="P1937" s="3" t="s">
        <v>11847</v>
      </c>
      <c r="Q1937" s="4"/>
      <c r="R1937" s="4"/>
      <c r="S1937" s="9" t="str">
        <f>HYPERLINK("https://pbs.twimg.com/profile_images/1030793714799726592/mmT51eeT.jpg","View")</f>
        <v>View</v>
      </c>
    </row>
    <row r="1938" spans="1:19" ht="30">
      <c r="A1938" s="8">
        <v>43346.583969907406</v>
      </c>
      <c r="B1938" s="11" t="str">
        <f>HYPERLINK("https://twitter.com/0paradoxam0","@0paradoxam0")</f>
        <v>@0paradoxam0</v>
      </c>
      <c r="C1938" s="6" t="s">
        <v>11846</v>
      </c>
      <c r="D1938" s="5" t="s">
        <v>11845</v>
      </c>
      <c r="E1938" s="9" t="str">
        <f>HYPERLINK("https://twitter.com/0paradoxam0/status/1036547074261741568","1036547074261741568")</f>
        <v>1036547074261741568</v>
      </c>
      <c r="F1938" s="4"/>
      <c r="G1938" s="4"/>
      <c r="H1938" s="4"/>
      <c r="I1938" s="10" t="str">
        <f>HYPERLINK("http://twitter.com/download/android","Twitter for Android")</f>
        <v>Twitter for Android</v>
      </c>
      <c r="J1938" s="2">
        <v>376</v>
      </c>
      <c r="K1938" s="2">
        <v>182</v>
      </c>
      <c r="L1938" s="2">
        <v>2</v>
      </c>
      <c r="M1938" s="2"/>
      <c r="N1938" s="8">
        <v>41837.599062499998</v>
      </c>
      <c r="O1938" s="4" t="s">
        <v>11844</v>
      </c>
      <c r="P1938" s="3" t="s">
        <v>11843</v>
      </c>
      <c r="Q1938" s="4"/>
      <c r="R1938" s="4"/>
      <c r="S1938" s="9" t="str">
        <f>HYPERLINK("https://pbs.twimg.com/profile_images/1015475565418176512/pDZ8-tlM.jpg","View")</f>
        <v>View</v>
      </c>
    </row>
    <row r="1939" spans="1:19" ht="50">
      <c r="A1939" s="8">
        <v>43346.574965277774</v>
      </c>
      <c r="B1939" s="11" t="str">
        <f>HYPERLINK("https://twitter.com/MakerxPeace","@MakerxPeace")</f>
        <v>@MakerxPeace</v>
      </c>
      <c r="C1939" s="6" t="s">
        <v>11842</v>
      </c>
      <c r="D1939" s="5" t="s">
        <v>11841</v>
      </c>
      <c r="E1939" s="9" t="str">
        <f>HYPERLINK("https://twitter.com/MakerxPeace/status/1036543810069835776","1036543810069835776")</f>
        <v>1036543810069835776</v>
      </c>
      <c r="F1939" s="4"/>
      <c r="G1939" s="4"/>
      <c r="H1939" s="4"/>
      <c r="I1939" s="10" t="str">
        <f>HYPERLINK("http://twitter.com/download/iphone","Twitter for iPhone")</f>
        <v>Twitter for iPhone</v>
      </c>
      <c r="J1939" s="2">
        <v>14</v>
      </c>
      <c r="K1939" s="2">
        <v>47</v>
      </c>
      <c r="L1939" s="2">
        <v>0</v>
      </c>
      <c r="M1939" s="2"/>
      <c r="N1939" s="8">
        <v>43327.494247685187</v>
      </c>
      <c r="O1939" s="4" t="s">
        <v>1770</v>
      </c>
      <c r="P1939" s="3" t="s">
        <v>11840</v>
      </c>
      <c r="Q1939" s="4"/>
      <c r="R1939" s="4"/>
      <c r="S1939" s="9" t="str">
        <f>HYPERLINK("https://pbs.twimg.com/profile_images/1030743860991938560/nI9jM4Pl.jpg","View")</f>
        <v>View</v>
      </c>
    </row>
    <row r="1940" spans="1:19" ht="30">
      <c r="A1940" s="8">
        <v>43346.573368055557</v>
      </c>
      <c r="B1940" s="11" t="str">
        <f>HYPERLINK("https://twitter.com/montaghedane","@montaghedane")</f>
        <v>@montaghedane</v>
      </c>
      <c r="C1940" s="6" t="s">
        <v>11779</v>
      </c>
      <c r="D1940" s="5" t="s">
        <v>11839</v>
      </c>
      <c r="E1940" s="9" t="str">
        <f>HYPERLINK("https://twitter.com/montaghedane/status/1036543234594545664","1036543234594545664")</f>
        <v>1036543234594545664</v>
      </c>
      <c r="F1940" s="4"/>
      <c r="G1940" s="4"/>
      <c r="H1940" s="4"/>
      <c r="I1940" s="10" t="str">
        <f>HYPERLINK("http://twitter.com/download/android","Twitter for Android")</f>
        <v>Twitter for Android</v>
      </c>
      <c r="J1940" s="2">
        <v>54</v>
      </c>
      <c r="K1940" s="2">
        <v>58</v>
      </c>
      <c r="L1940" s="2">
        <v>0</v>
      </c>
      <c r="M1940" s="2"/>
      <c r="N1940" s="8">
        <v>42745.962118055555</v>
      </c>
      <c r="O1940" s="4" t="s">
        <v>25</v>
      </c>
      <c r="P1940" s="3" t="s">
        <v>11777</v>
      </c>
      <c r="Q1940" s="4"/>
      <c r="R1940" s="4"/>
      <c r="S1940" s="9" t="str">
        <f>HYPERLINK("https://pbs.twimg.com/profile_images/976581931772076032/xh0wm21r.jpg","View")</f>
        <v>View</v>
      </c>
    </row>
    <row r="1941" spans="1:19" ht="20">
      <c r="A1941" s="8">
        <v>43346.570902777778</v>
      </c>
      <c r="B1941" s="11" t="str">
        <f>HYPERLINK("https://twitter.com/imortezaa","@imortezaa")</f>
        <v>@imortezaa</v>
      </c>
      <c r="C1941" s="6" t="s">
        <v>1178</v>
      </c>
      <c r="D1941" s="5" t="s">
        <v>11838</v>
      </c>
      <c r="E1941" s="9" t="str">
        <f>HYPERLINK("https://twitter.com/imortezaa/status/1036542340108873728","1036542340108873728")</f>
        <v>1036542340108873728</v>
      </c>
      <c r="F1941" s="4"/>
      <c r="G1941" s="4"/>
      <c r="H1941" s="4"/>
      <c r="I1941" s="10" t="str">
        <f>HYPERLINK("http://twitter.com","Twitter Web Client")</f>
        <v>Twitter Web Client</v>
      </c>
      <c r="J1941" s="2">
        <v>583</v>
      </c>
      <c r="K1941" s="2">
        <v>311</v>
      </c>
      <c r="L1941" s="2">
        <v>3</v>
      </c>
      <c r="M1941" s="2"/>
      <c r="N1941" s="8">
        <v>40969.472997685181</v>
      </c>
      <c r="O1941" s="4" t="s">
        <v>10733</v>
      </c>
      <c r="P1941" s="3"/>
      <c r="Q1941" s="4"/>
      <c r="R1941" s="4"/>
      <c r="S1941" s="9" t="str">
        <f>HYPERLINK("https://pbs.twimg.com/profile_images/997165843719929856/b077duyA.jpg","View")</f>
        <v>View</v>
      </c>
    </row>
    <row r="1942" spans="1:19" ht="40">
      <c r="A1942" s="8">
        <v>43346.568854166668</v>
      </c>
      <c r="B1942" s="11" t="str">
        <f>HYPERLINK("https://twitter.com/atregoleyas","@atregoleyas")</f>
        <v>@atregoleyas</v>
      </c>
      <c r="C1942" s="6" t="s">
        <v>11837</v>
      </c>
      <c r="D1942" s="5" t="s">
        <v>11836</v>
      </c>
      <c r="E1942" s="9" t="str">
        <f>HYPERLINK("https://twitter.com/atregoleyas/status/1036541596655919105","1036541596655919105")</f>
        <v>1036541596655919105</v>
      </c>
      <c r="F1942" s="4"/>
      <c r="G1942" s="4"/>
      <c r="H1942" s="4"/>
      <c r="I1942" s="10" t="str">
        <f>HYPERLINK("http://twitter.com","Twitter Web Client")</f>
        <v>Twitter Web Client</v>
      </c>
      <c r="J1942" s="2">
        <v>3036</v>
      </c>
      <c r="K1942" s="2">
        <v>4707</v>
      </c>
      <c r="L1942" s="2">
        <v>5</v>
      </c>
      <c r="M1942" s="2"/>
      <c r="N1942" s="8">
        <v>39571.561168981483</v>
      </c>
      <c r="O1942" s="4" t="s">
        <v>748</v>
      </c>
      <c r="P1942" s="3" t="s">
        <v>11835</v>
      </c>
      <c r="Q1942" s="10" t="s">
        <v>11834</v>
      </c>
      <c r="R1942" s="4"/>
      <c r="S1942" s="9" t="str">
        <f>HYPERLINK("https://pbs.twimg.com/profile_images/1001601040037314560/YPOcHarJ.jpg","View")</f>
        <v>View</v>
      </c>
    </row>
    <row r="1943" spans="1:19" ht="40">
      <c r="A1943" s="8">
        <v>43346.560694444444</v>
      </c>
      <c r="B1943" s="11" t="str">
        <f>HYPERLINK("https://twitter.com/montaghedane","@montaghedane")</f>
        <v>@montaghedane</v>
      </c>
      <c r="C1943" s="6" t="s">
        <v>11779</v>
      </c>
      <c r="D1943" s="5" t="s">
        <v>11833</v>
      </c>
      <c r="E1943" s="9" t="str">
        <f>HYPERLINK("https://twitter.com/montaghedane/status/1036538642125213696","1036538642125213696")</f>
        <v>1036538642125213696</v>
      </c>
      <c r="F1943" s="4"/>
      <c r="G1943" s="4"/>
      <c r="H1943" s="4"/>
      <c r="I1943" s="10" t="str">
        <f>HYPERLINK("http://twitter.com/download/android","Twitter for Android")</f>
        <v>Twitter for Android</v>
      </c>
      <c r="J1943" s="2">
        <v>54</v>
      </c>
      <c r="K1943" s="2">
        <v>58</v>
      </c>
      <c r="L1943" s="2">
        <v>0</v>
      </c>
      <c r="M1943" s="2"/>
      <c r="N1943" s="8">
        <v>42745.962118055555</v>
      </c>
      <c r="O1943" s="4" t="s">
        <v>25</v>
      </c>
      <c r="P1943" s="3" t="s">
        <v>11777</v>
      </c>
      <c r="Q1943" s="4"/>
      <c r="R1943" s="4"/>
      <c r="S1943" s="9" t="str">
        <f>HYPERLINK("https://pbs.twimg.com/profile_images/976581931772076032/xh0wm21r.jpg","View")</f>
        <v>View</v>
      </c>
    </row>
    <row r="1944" spans="1:19" ht="50">
      <c r="A1944" s="8">
        <v>43346.558981481481</v>
      </c>
      <c r="B1944" s="11" t="str">
        <f>HYPERLINK("https://twitter.com/AlikhaniMinoo","@AlikhaniMinoo")</f>
        <v>@AlikhaniMinoo</v>
      </c>
      <c r="C1944" s="6" t="s">
        <v>11832</v>
      </c>
      <c r="D1944" s="5" t="s">
        <v>11831</v>
      </c>
      <c r="E1944" s="9" t="str">
        <f>HYPERLINK("https://twitter.com/AlikhaniMinoo/status/1036538020856569857","1036538020856569857")</f>
        <v>1036538020856569857</v>
      </c>
      <c r="F1944" s="10" t="s">
        <v>11830</v>
      </c>
      <c r="G1944" s="10" t="s">
        <v>11829</v>
      </c>
      <c r="H1944" s="4"/>
      <c r="I1944" s="10" t="str">
        <f>HYPERLINK("http://twitter.com/download/iphone","Twitter for iPhone")</f>
        <v>Twitter for iPhone</v>
      </c>
      <c r="J1944" s="2">
        <v>74</v>
      </c>
      <c r="K1944" s="2">
        <v>95</v>
      </c>
      <c r="L1944" s="2">
        <v>1</v>
      </c>
      <c r="M1944" s="2"/>
      <c r="N1944" s="8">
        <v>43106.562314814815</v>
      </c>
      <c r="O1944" s="4"/>
      <c r="P1944" s="3" t="s">
        <v>11828</v>
      </c>
      <c r="Q1944" s="10" t="s">
        <v>8678</v>
      </c>
      <c r="R1944" s="4"/>
      <c r="S1944" s="9" t="str">
        <f>HYPERLINK("https://pbs.twimg.com/profile_images/1031091996029607936/mKjzdLiu.jpg","View")</f>
        <v>View</v>
      </c>
    </row>
    <row r="1945" spans="1:19" ht="20">
      <c r="A1945" s="8">
        <v>43346.55846064815</v>
      </c>
      <c r="B1945" s="11" t="str">
        <f>HYPERLINK("https://twitter.com/Ramin65506053","@Ramin65506053")</f>
        <v>@Ramin65506053</v>
      </c>
      <c r="C1945" s="6" t="s">
        <v>10046</v>
      </c>
      <c r="D1945" s="5" t="s">
        <v>11827</v>
      </c>
      <c r="E1945" s="9" t="str">
        <f>HYPERLINK("https://twitter.com/Ramin65506053/status/1036537832540721152","1036537832540721152")</f>
        <v>1036537832540721152</v>
      </c>
      <c r="F1945" s="4"/>
      <c r="G1945" s="10" t="s">
        <v>11826</v>
      </c>
      <c r="H1945" s="4"/>
      <c r="I1945" s="10" t="str">
        <f>HYPERLINK("http://twitter.com/download/android","Twitter for Android")</f>
        <v>Twitter for Android</v>
      </c>
      <c r="J1945" s="2">
        <v>1</v>
      </c>
      <c r="K1945" s="2">
        <v>2</v>
      </c>
      <c r="L1945" s="2">
        <v>0</v>
      </c>
      <c r="M1945" s="2"/>
      <c r="N1945" s="8">
        <v>43308.440034722225</v>
      </c>
      <c r="O1945" s="4" t="s">
        <v>17</v>
      </c>
      <c r="P1945" s="3" t="s">
        <v>10044</v>
      </c>
      <c r="Q1945" s="4"/>
      <c r="R1945" s="4"/>
      <c r="S1945" s="9" t="str">
        <f>HYPERLINK("https://pbs.twimg.com/profile_images/1035809832249581569/WU34GKLI.jpg","View")</f>
        <v>View</v>
      </c>
    </row>
    <row r="1946" spans="1:19" ht="30">
      <c r="A1946" s="8">
        <v>43346.557152777779</v>
      </c>
      <c r="B1946" s="11" t="str">
        <f>HYPERLINK("https://twitter.com/AvaSabaghi","@AvaSabaghi")</f>
        <v>@AvaSabaghi</v>
      </c>
      <c r="C1946" s="6" t="s">
        <v>3421</v>
      </c>
      <c r="D1946" s="5" t="s">
        <v>11825</v>
      </c>
      <c r="E1946" s="9" t="str">
        <f>HYPERLINK("https://twitter.com/AvaSabaghi/status/1036537356835336192","1036537356835336192")</f>
        <v>1036537356835336192</v>
      </c>
      <c r="F1946" s="4"/>
      <c r="G1946" s="10" t="s">
        <v>11824</v>
      </c>
      <c r="H1946" s="4"/>
      <c r="I1946" s="10" t="str">
        <f>HYPERLINK("http://twitter.com/download/android","Twitter for Android")</f>
        <v>Twitter for Android</v>
      </c>
      <c r="J1946" s="2">
        <v>39</v>
      </c>
      <c r="K1946" s="2">
        <v>72</v>
      </c>
      <c r="L1946" s="2">
        <v>0</v>
      </c>
      <c r="M1946" s="2"/>
      <c r="N1946" s="8">
        <v>42943.884224537032</v>
      </c>
      <c r="O1946" s="4" t="s">
        <v>34</v>
      </c>
      <c r="P1946" s="3" t="s">
        <v>3419</v>
      </c>
      <c r="Q1946" s="4"/>
      <c r="R1946" s="4"/>
      <c r="S1946" s="9" t="str">
        <f>HYPERLINK("https://pbs.twimg.com/profile_images/890617587075358721/kisVVJnd.jpg","View")</f>
        <v>View</v>
      </c>
    </row>
    <row r="1947" spans="1:19" ht="30">
      <c r="A1947" s="8">
        <v>43346.555636574078</v>
      </c>
      <c r="B1947" s="11" t="str">
        <f>HYPERLINK("https://twitter.com/alinamdar8","@alinamdar8")</f>
        <v>@alinamdar8</v>
      </c>
      <c r="C1947" s="6" t="s">
        <v>11823</v>
      </c>
      <c r="D1947" s="5" t="s">
        <v>11822</v>
      </c>
      <c r="E1947" s="9" t="str">
        <f>HYPERLINK("https://twitter.com/alinamdar8/status/1036536807293431808","1036536807293431808")</f>
        <v>1036536807293431808</v>
      </c>
      <c r="F1947" s="4"/>
      <c r="G1947" s="4"/>
      <c r="H1947" s="4"/>
      <c r="I1947" s="10" t="str">
        <f>HYPERLINK("http://twitter.com/download/android","Twitter for Android")</f>
        <v>Twitter for Android</v>
      </c>
      <c r="J1947" s="2">
        <v>493</v>
      </c>
      <c r="K1947" s="2">
        <v>502</v>
      </c>
      <c r="L1947" s="2">
        <v>0</v>
      </c>
      <c r="M1947" s="2"/>
      <c r="N1947" s="8">
        <v>42303.020937499998</v>
      </c>
      <c r="O1947" s="4" t="s">
        <v>11821</v>
      </c>
      <c r="P1947" s="3"/>
      <c r="Q1947" s="4"/>
      <c r="R1947" s="4"/>
      <c r="S1947" s="9" t="str">
        <f>HYPERLINK("https://pbs.twimg.com/profile_images/995386132409053184/cdbu_Eo7.jpg","View")</f>
        <v>View</v>
      </c>
    </row>
    <row r="1948" spans="1:19" ht="20">
      <c r="A1948" s="8">
        <v>43346.55537037037</v>
      </c>
      <c r="B1948" s="11" t="str">
        <f>HYPERLINK("https://twitter.com/arash_hooshmand","@arash_hooshmand")</f>
        <v>@arash_hooshmand</v>
      </c>
      <c r="C1948" s="6" t="s">
        <v>7196</v>
      </c>
      <c r="D1948" s="5" t="s">
        <v>11820</v>
      </c>
      <c r="E1948" s="9" t="str">
        <f>HYPERLINK("https://twitter.com/arash_hooshmand/status/1036536712523145217","1036536712523145217")</f>
        <v>1036536712523145217</v>
      </c>
      <c r="F1948" s="4"/>
      <c r="G1948" s="4"/>
      <c r="H1948" s="4"/>
      <c r="I1948" s="10" t="str">
        <f>HYPERLINK("http://twitter.com","Twitter Web Client")</f>
        <v>Twitter Web Client</v>
      </c>
      <c r="J1948" s="2">
        <v>243</v>
      </c>
      <c r="K1948" s="2">
        <v>68</v>
      </c>
      <c r="L1948" s="2">
        <v>4</v>
      </c>
      <c r="M1948" s="2"/>
      <c r="N1948" s="8">
        <v>39983.13722222222</v>
      </c>
      <c r="O1948" s="4"/>
      <c r="P1948" s="3" t="s">
        <v>7194</v>
      </c>
      <c r="Q1948" s="4"/>
      <c r="R1948" s="4"/>
      <c r="S1948" s="9" t="str">
        <f>HYPERLINK("https://pbs.twimg.com/profile_images/270088753/Hooshmand_Arash_April_2008.jpg","View")</f>
        <v>View</v>
      </c>
    </row>
    <row r="1949" spans="1:19" ht="40">
      <c r="A1949" s="8">
        <v>43346.553784722222</v>
      </c>
      <c r="B1949" s="11" t="str">
        <f>HYPERLINK("https://twitter.com/Ramin65506053","@Ramin65506053")</f>
        <v>@Ramin65506053</v>
      </c>
      <c r="C1949" s="6" t="s">
        <v>10046</v>
      </c>
      <c r="D1949" s="5" t="s">
        <v>11819</v>
      </c>
      <c r="E1949" s="9" t="str">
        <f>HYPERLINK("https://twitter.com/Ramin65506053/status/1036536138356469760","1036536138356469760")</f>
        <v>1036536138356469760</v>
      </c>
      <c r="F1949" s="4"/>
      <c r="G1949" s="10" t="s">
        <v>11818</v>
      </c>
      <c r="H1949" s="4"/>
      <c r="I1949" s="10" t="str">
        <f>HYPERLINK("http://twitter.com/download/android","Twitter for Android")</f>
        <v>Twitter for Android</v>
      </c>
      <c r="J1949" s="2">
        <v>1</v>
      </c>
      <c r="K1949" s="2">
        <v>2</v>
      </c>
      <c r="L1949" s="2">
        <v>0</v>
      </c>
      <c r="M1949" s="2"/>
      <c r="N1949" s="8">
        <v>43308.440034722225</v>
      </c>
      <c r="O1949" s="4" t="s">
        <v>17</v>
      </c>
      <c r="P1949" s="3" t="s">
        <v>10044</v>
      </c>
      <c r="Q1949" s="4"/>
      <c r="R1949" s="4"/>
      <c r="S1949" s="9" t="str">
        <f>HYPERLINK("https://pbs.twimg.com/profile_images/1035809832249581569/WU34GKLI.jpg","View")</f>
        <v>View</v>
      </c>
    </row>
    <row r="1950" spans="1:19" ht="20">
      <c r="A1950" s="8">
        <v>43346.551122685181</v>
      </c>
      <c r="B1950" s="11" t="str">
        <f>HYPERLINK("https://twitter.com/mim_Hastam","@mim_Hastam")</f>
        <v>@mim_Hastam</v>
      </c>
      <c r="C1950" s="6" t="s">
        <v>11817</v>
      </c>
      <c r="D1950" s="5" t="s">
        <v>11816</v>
      </c>
      <c r="E1950" s="9" t="str">
        <f>HYPERLINK("https://twitter.com/mim_Hastam/status/1036535170642399232","1036535170642399232")</f>
        <v>1036535170642399232</v>
      </c>
      <c r="F1950" s="4"/>
      <c r="G1950" s="4"/>
      <c r="H1950" s="4"/>
      <c r="I1950" s="10" t="str">
        <f>HYPERLINK("http://twitter.com/download/android","Twitter for Android")</f>
        <v>Twitter for Android</v>
      </c>
      <c r="J1950" s="2">
        <v>60</v>
      </c>
      <c r="K1950" s="2">
        <v>132</v>
      </c>
      <c r="L1950" s="2">
        <v>0</v>
      </c>
      <c r="M1950" s="2"/>
      <c r="N1950" s="8">
        <v>43305.719224537039</v>
      </c>
      <c r="O1950" s="4"/>
      <c r="P1950" s="3" t="s">
        <v>11815</v>
      </c>
      <c r="Q1950" s="4"/>
      <c r="R1950" s="4"/>
      <c r="S1950" s="9" t="str">
        <f>HYPERLINK("https://pbs.twimg.com/profile_images/1025743577316515840/vzc4CLhl.jpg","View")</f>
        <v>View</v>
      </c>
    </row>
    <row r="1951" spans="1:19" ht="40">
      <c r="A1951" s="8">
        <v>43346.549641203703</v>
      </c>
      <c r="B1951" s="11" t="str">
        <f>HYPERLINK("https://twitter.com/taaghche_ebook","@taaghche_ebook")</f>
        <v>@taaghche_ebook</v>
      </c>
      <c r="C1951" s="6" t="s">
        <v>11814</v>
      </c>
      <c r="D1951" s="5" t="s">
        <v>11813</v>
      </c>
      <c r="E1951" s="9" t="str">
        <f>HYPERLINK("https://twitter.com/taaghche_ebook/status/1036534636460101632","1036534636460101632")</f>
        <v>1036534636460101632</v>
      </c>
      <c r="F1951" s="10" t="s">
        <v>11812</v>
      </c>
      <c r="G1951" s="10" t="s">
        <v>11811</v>
      </c>
      <c r="H1951" s="4"/>
      <c r="I1951" s="10" t="str">
        <f>HYPERLINK("http://twitter.com","Twitter Web Client")</f>
        <v>Twitter Web Client</v>
      </c>
      <c r="J1951" s="2">
        <v>120</v>
      </c>
      <c r="K1951" s="2">
        <v>82</v>
      </c>
      <c r="L1951" s="2">
        <v>1</v>
      </c>
      <c r="M1951" s="2"/>
      <c r="N1951" s="8">
        <v>42955.449687500004</v>
      </c>
      <c r="O1951" s="4"/>
      <c r="P1951" s="3" t="s">
        <v>11810</v>
      </c>
      <c r="Q1951" s="10" t="s">
        <v>11809</v>
      </c>
      <c r="R1951" s="4"/>
      <c r="S1951" s="9" t="str">
        <f>HYPERLINK("https://pbs.twimg.com/profile_images/1031178374444658688/s7QTINRr.jpg","View")</f>
        <v>View</v>
      </c>
    </row>
    <row r="1952" spans="1:19" ht="30">
      <c r="A1952" s="8">
        <v>43346.549513888887</v>
      </c>
      <c r="B1952" s="11" t="str">
        <f>HYPERLINK("https://twitter.com/montaghedane","@montaghedane")</f>
        <v>@montaghedane</v>
      </c>
      <c r="C1952" s="6" t="s">
        <v>11779</v>
      </c>
      <c r="D1952" s="5" t="s">
        <v>11808</v>
      </c>
      <c r="E1952" s="9" t="str">
        <f>HYPERLINK("https://twitter.com/montaghedane/status/1036534588066152449","1036534588066152449")</f>
        <v>1036534588066152449</v>
      </c>
      <c r="F1952" s="4"/>
      <c r="G1952" s="4"/>
      <c r="H1952" s="4"/>
      <c r="I1952" s="10" t="str">
        <f>HYPERLINK("http://twitter.com/download/android","Twitter for Android")</f>
        <v>Twitter for Android</v>
      </c>
      <c r="J1952" s="2">
        <v>54</v>
      </c>
      <c r="K1952" s="2">
        <v>58</v>
      </c>
      <c r="L1952" s="2">
        <v>0</v>
      </c>
      <c r="M1952" s="2"/>
      <c r="N1952" s="8">
        <v>42745.962118055555</v>
      </c>
      <c r="O1952" s="4" t="s">
        <v>25</v>
      </c>
      <c r="P1952" s="3" t="s">
        <v>11777</v>
      </c>
      <c r="Q1952" s="4"/>
      <c r="R1952" s="4"/>
      <c r="S1952" s="9" t="str">
        <f>HYPERLINK("https://pbs.twimg.com/profile_images/976581931772076032/xh0wm21r.jpg","View")</f>
        <v>View</v>
      </c>
    </row>
    <row r="1953" spans="1:19" ht="40">
      <c r="A1953" s="8">
        <v>43346.548564814817</v>
      </c>
      <c r="B1953" s="11" t="str">
        <f>HYPERLINK("https://twitter.com/ReStart66th","@ReStart66th")</f>
        <v>@ReStart66th</v>
      </c>
      <c r="C1953" s="6" t="s">
        <v>6480</v>
      </c>
      <c r="D1953" s="5" t="s">
        <v>11807</v>
      </c>
      <c r="E1953" s="9" t="str">
        <f>HYPERLINK("https://twitter.com/ReStart66th/status/1036534244582076416","1036534244582076416")</f>
        <v>1036534244582076416</v>
      </c>
      <c r="F1953" s="4"/>
      <c r="G1953" s="10" t="s">
        <v>11806</v>
      </c>
      <c r="H1953" s="4"/>
      <c r="I1953" s="10" t="str">
        <f>HYPERLINK("http://twitter.com/download/android","Twitter for Android")</f>
        <v>Twitter for Android</v>
      </c>
      <c r="J1953" s="2">
        <v>562</v>
      </c>
      <c r="K1953" s="2">
        <v>545</v>
      </c>
      <c r="L1953" s="2">
        <v>1</v>
      </c>
      <c r="M1953" s="2"/>
      <c r="N1953" s="8">
        <v>43115.601446759261</v>
      </c>
      <c r="O1953" s="4" t="s">
        <v>6476</v>
      </c>
      <c r="P1953" s="3" t="s">
        <v>6475</v>
      </c>
      <c r="Q1953" s="10" t="s">
        <v>6474</v>
      </c>
      <c r="R1953" s="4"/>
      <c r="S1953" s="9" t="str">
        <f>HYPERLINK("https://pbs.twimg.com/profile_images/1019512263156195328/pprca3n1.jpg","View")</f>
        <v>View</v>
      </c>
    </row>
    <row r="1954" spans="1:19" ht="20">
      <c r="A1954" s="8">
        <v>43346.547858796301</v>
      </c>
      <c r="B1954" s="11" t="str">
        <f>HYPERLINK("https://twitter.com/seyyedhamid71","@seyyedhamid71")</f>
        <v>@seyyedhamid71</v>
      </c>
      <c r="C1954" s="6" t="s">
        <v>341</v>
      </c>
      <c r="D1954" s="5" t="s">
        <v>11805</v>
      </c>
      <c r="E1954" s="9" t="str">
        <f>HYPERLINK("https://twitter.com/seyyedhamid71/status/1036533989324939265","1036533989324939265")</f>
        <v>1036533989324939265</v>
      </c>
      <c r="F1954" s="4"/>
      <c r="G1954" s="4"/>
      <c r="H1954" s="4"/>
      <c r="I1954" s="10" t="str">
        <f>HYPERLINK("http://twitter.com","Twitter Web Client")</f>
        <v>Twitter Web Client</v>
      </c>
      <c r="J1954" s="2">
        <v>3748</v>
      </c>
      <c r="K1954" s="2">
        <v>1246</v>
      </c>
      <c r="L1954" s="2">
        <v>9</v>
      </c>
      <c r="M1954" s="2"/>
      <c r="N1954" s="8">
        <v>42820.588761574079</v>
      </c>
      <c r="O1954" s="4" t="s">
        <v>190</v>
      </c>
      <c r="P1954" s="3" t="s">
        <v>339</v>
      </c>
      <c r="Q1954" s="4"/>
      <c r="R1954" s="4"/>
      <c r="S1954" s="9" t="str">
        <f>HYPERLINK("https://pbs.twimg.com/profile_images/1015649028317597696/0qJfoP8K.jpg","View")</f>
        <v>View</v>
      </c>
    </row>
    <row r="1955" spans="1:19" ht="30">
      <c r="A1955" s="8">
        <v>43346.545763888891</v>
      </c>
      <c r="B1955" s="11" t="str">
        <f>HYPERLINK("https://twitter.com/montaghedane","@montaghedane")</f>
        <v>@montaghedane</v>
      </c>
      <c r="C1955" s="6" t="s">
        <v>11779</v>
      </c>
      <c r="D1955" s="5" t="s">
        <v>11804</v>
      </c>
      <c r="E1955" s="9" t="str">
        <f>HYPERLINK("https://twitter.com/montaghedane/status/1036533227748511745","1036533227748511745")</f>
        <v>1036533227748511745</v>
      </c>
      <c r="F1955" s="4"/>
      <c r="G1955" s="4"/>
      <c r="H1955" s="4"/>
      <c r="I1955" s="10" t="str">
        <f>HYPERLINK("http://twitter.com/download/android","Twitter for Android")</f>
        <v>Twitter for Android</v>
      </c>
      <c r="J1955" s="2">
        <v>54</v>
      </c>
      <c r="K1955" s="2">
        <v>58</v>
      </c>
      <c r="L1955" s="2">
        <v>0</v>
      </c>
      <c r="M1955" s="2"/>
      <c r="N1955" s="8">
        <v>42745.962118055555</v>
      </c>
      <c r="O1955" s="4" t="s">
        <v>25</v>
      </c>
      <c r="P1955" s="3" t="s">
        <v>11777</v>
      </c>
      <c r="Q1955" s="4"/>
      <c r="R1955" s="4"/>
      <c r="S1955" s="9" t="str">
        <f>HYPERLINK("https://pbs.twimg.com/profile_images/976581931772076032/xh0wm21r.jpg","View")</f>
        <v>View</v>
      </c>
    </row>
    <row r="1956" spans="1:19" ht="30">
      <c r="A1956" s="8">
        <v>43346.542939814812</v>
      </c>
      <c r="B1956" s="11" t="str">
        <f>HYPERLINK("https://twitter.com/montaghedane","@montaghedane")</f>
        <v>@montaghedane</v>
      </c>
      <c r="C1956" s="6" t="s">
        <v>11779</v>
      </c>
      <c r="D1956" s="5" t="s">
        <v>11803</v>
      </c>
      <c r="E1956" s="9" t="str">
        <f>HYPERLINK("https://twitter.com/montaghedane/status/1036532205147701249","1036532205147701249")</f>
        <v>1036532205147701249</v>
      </c>
      <c r="F1956" s="4"/>
      <c r="G1956" s="4"/>
      <c r="H1956" s="4"/>
      <c r="I1956" s="10" t="str">
        <f>HYPERLINK("http://twitter.com/download/android","Twitter for Android")</f>
        <v>Twitter for Android</v>
      </c>
      <c r="J1956" s="2">
        <v>54</v>
      </c>
      <c r="K1956" s="2">
        <v>58</v>
      </c>
      <c r="L1956" s="2">
        <v>0</v>
      </c>
      <c r="M1956" s="2"/>
      <c r="N1956" s="8">
        <v>42745.962118055555</v>
      </c>
      <c r="O1956" s="4" t="s">
        <v>25</v>
      </c>
      <c r="P1956" s="3" t="s">
        <v>11777</v>
      </c>
      <c r="Q1956" s="4"/>
      <c r="R1956" s="4"/>
      <c r="S1956" s="9" t="str">
        <f>HYPERLINK("https://pbs.twimg.com/profile_images/976581931772076032/xh0wm21r.jpg","View")</f>
        <v>View</v>
      </c>
    </row>
    <row r="1957" spans="1:19" ht="40">
      <c r="A1957" s="8">
        <v>43346.540775462963</v>
      </c>
      <c r="B1957" s="11" t="str">
        <f>HYPERLINK("https://twitter.com/Homayoun_Ghani","@Homayoun_Ghani")</f>
        <v>@Homayoun_Ghani</v>
      </c>
      <c r="C1957" s="6" t="s">
        <v>3847</v>
      </c>
      <c r="D1957" s="5" t="s">
        <v>11802</v>
      </c>
      <c r="E1957" s="9" t="str">
        <f>HYPERLINK("https://twitter.com/Homayoun_Ghani/status/1036531421383405568","1036531421383405568")</f>
        <v>1036531421383405568</v>
      </c>
      <c r="F1957" s="4"/>
      <c r="G1957" s="4"/>
      <c r="H1957" s="4"/>
      <c r="I1957" s="10" t="str">
        <f>HYPERLINK("http://twitter.com/download/android","Twitter for Android")</f>
        <v>Twitter for Android</v>
      </c>
      <c r="J1957" s="2">
        <v>281</v>
      </c>
      <c r="K1957" s="2">
        <v>548</v>
      </c>
      <c r="L1957" s="2">
        <v>0</v>
      </c>
      <c r="M1957" s="2"/>
      <c r="N1957" s="8">
        <v>43310.121701388889</v>
      </c>
      <c r="O1957" s="4" t="s">
        <v>324</v>
      </c>
      <c r="P1957" s="3" t="s">
        <v>3845</v>
      </c>
      <c r="Q1957" s="4"/>
      <c r="R1957" s="4"/>
      <c r="S1957" s="9" t="str">
        <f>HYPERLINK("https://pbs.twimg.com/profile_images/1023522612608229376/-2hsNWYF.jpg","View")</f>
        <v>View</v>
      </c>
    </row>
    <row r="1958" spans="1:19" ht="20">
      <c r="A1958" s="8">
        <v>43346.540555555555</v>
      </c>
      <c r="B1958" s="11" t="str">
        <f>HYPERLINK("https://twitter.com/DPeymanhaddadi","@DPeymanhaddadi")</f>
        <v>@DPeymanhaddadi</v>
      </c>
      <c r="C1958" s="6" t="s">
        <v>11773</v>
      </c>
      <c r="D1958" s="5" t="s">
        <v>11801</v>
      </c>
      <c r="E1958" s="9" t="str">
        <f>HYPERLINK("https://twitter.com/DPeymanhaddadi/status/1036531343923011584","1036531343923011584")</f>
        <v>1036531343923011584</v>
      </c>
      <c r="F1958" s="4"/>
      <c r="G1958" s="4"/>
      <c r="H1958" s="4"/>
      <c r="I1958" s="10" t="str">
        <f>HYPERLINK("http://twitter.com/download/android","Twitter for Android")</f>
        <v>Twitter for Android</v>
      </c>
      <c r="J1958" s="2">
        <v>3</v>
      </c>
      <c r="K1958" s="2">
        <v>77</v>
      </c>
      <c r="L1958" s="2">
        <v>0</v>
      </c>
      <c r="M1958" s="2"/>
      <c r="N1958" s="8">
        <v>43342.995451388888</v>
      </c>
      <c r="O1958" s="4" t="s">
        <v>34</v>
      </c>
      <c r="P1958" s="3" t="s">
        <v>11771</v>
      </c>
      <c r="Q1958" s="4"/>
      <c r="R1958" s="4"/>
      <c r="S1958" s="9" t="str">
        <f>HYPERLINK("https://pbs.twimg.com/profile_images/1035790419727134722/E_3h3uQ9.jpg","View")</f>
        <v>View</v>
      </c>
    </row>
    <row r="1959" spans="1:19" ht="40">
      <c r="A1959" s="8">
        <v>43346.539201388892</v>
      </c>
      <c r="B1959" s="11" t="str">
        <f>HYPERLINK("https://twitter.com/m_Dusttt","@m_Dusttt")</f>
        <v>@m_Dusttt</v>
      </c>
      <c r="C1959" s="6" t="s">
        <v>11800</v>
      </c>
      <c r="D1959" s="5" t="s">
        <v>11799</v>
      </c>
      <c r="E1959" s="9" t="str">
        <f>HYPERLINK("https://twitter.com/m_Dusttt/status/1036530849624334336","1036530849624334336")</f>
        <v>1036530849624334336</v>
      </c>
      <c r="F1959" s="4"/>
      <c r="G1959" s="10" t="s">
        <v>11798</v>
      </c>
      <c r="H1959" s="4"/>
      <c r="I1959" s="10" t="str">
        <f>HYPERLINK("http://twitter.com/download/android","Twitter for Android")</f>
        <v>Twitter for Android</v>
      </c>
      <c r="J1959" s="2">
        <v>4206</v>
      </c>
      <c r="K1959" s="2">
        <v>3592</v>
      </c>
      <c r="L1959" s="2">
        <v>7</v>
      </c>
      <c r="M1959" s="2"/>
      <c r="N1959" s="8">
        <v>43180.480821759258</v>
      </c>
      <c r="O1959" s="4"/>
      <c r="P1959" s="3" t="s">
        <v>11797</v>
      </c>
      <c r="Q1959" s="4"/>
      <c r="R1959" s="4"/>
      <c r="S1959" s="9" t="str">
        <f>HYPERLINK("https://pbs.twimg.com/profile_images/1035078064512880642/7frf8pz-.jpg","View")</f>
        <v>View</v>
      </c>
    </row>
    <row r="1960" spans="1:19" ht="30">
      <c r="A1960" s="8">
        <v>43346.538993055554</v>
      </c>
      <c r="B1960" s="11" t="str">
        <f>HYPERLINK("https://twitter.com/mxyzh","@mxyzh")</f>
        <v>@mxyzh</v>
      </c>
      <c r="C1960" s="6" t="s">
        <v>1129</v>
      </c>
      <c r="D1960" s="5" t="s">
        <v>11796</v>
      </c>
      <c r="E1960" s="9" t="str">
        <f>HYPERLINK("https://twitter.com/mxyzh/status/1036530775649406976","1036530775649406976")</f>
        <v>1036530775649406976</v>
      </c>
      <c r="F1960" s="4"/>
      <c r="G1960" s="4"/>
      <c r="H1960" s="4"/>
      <c r="I1960" s="10" t="str">
        <f>HYPERLINK("http://twitter.com/download/android","Twitter for Android")</f>
        <v>Twitter for Android</v>
      </c>
      <c r="J1960" s="2">
        <v>843</v>
      </c>
      <c r="K1960" s="2">
        <v>452</v>
      </c>
      <c r="L1960" s="2">
        <v>5</v>
      </c>
      <c r="M1960" s="2"/>
      <c r="N1960" s="8">
        <v>40732.049108796295</v>
      </c>
      <c r="O1960" s="4" t="s">
        <v>1127</v>
      </c>
      <c r="P1960" s="3" t="s">
        <v>1126</v>
      </c>
      <c r="Q1960" s="4"/>
      <c r="R1960" s="4"/>
      <c r="S1960" s="9" t="str">
        <f>HYPERLINK("https://pbs.twimg.com/profile_images/878004688922267650/P0BEig0M.jpg","View")</f>
        <v>View</v>
      </c>
    </row>
    <row r="1961" spans="1:19" ht="30">
      <c r="A1961" s="8">
        <v>43346.537372685183</v>
      </c>
      <c r="B1961" s="11" t="str">
        <f>HYPERLINK("https://twitter.com/Ramin65506053","@Ramin65506053")</f>
        <v>@Ramin65506053</v>
      </c>
      <c r="C1961" s="6" t="s">
        <v>10046</v>
      </c>
      <c r="D1961" s="5" t="s">
        <v>11795</v>
      </c>
      <c r="E1961" s="9" t="str">
        <f>HYPERLINK("https://twitter.com/Ramin65506053/status/1036530187721158656","1036530187721158656")</f>
        <v>1036530187721158656</v>
      </c>
      <c r="F1961" s="4"/>
      <c r="G1961" s="10" t="s">
        <v>11794</v>
      </c>
      <c r="H1961" s="4"/>
      <c r="I1961" s="10" t="str">
        <f>HYPERLINK("http://twitter.com/download/android","Twitter for Android")</f>
        <v>Twitter for Android</v>
      </c>
      <c r="J1961" s="2">
        <v>1</v>
      </c>
      <c r="K1961" s="2">
        <v>2</v>
      </c>
      <c r="L1961" s="2">
        <v>0</v>
      </c>
      <c r="M1961" s="2"/>
      <c r="N1961" s="8">
        <v>43308.440034722225</v>
      </c>
      <c r="O1961" s="4" t="s">
        <v>17</v>
      </c>
      <c r="P1961" s="3" t="s">
        <v>10044</v>
      </c>
      <c r="Q1961" s="4"/>
      <c r="R1961" s="4"/>
      <c r="S1961" s="9" t="str">
        <f>HYPERLINK("https://pbs.twimg.com/profile_images/1035809832249581569/WU34GKLI.jpg","View")</f>
        <v>View</v>
      </c>
    </row>
    <row r="1962" spans="1:19" ht="50">
      <c r="A1962" s="8">
        <v>43346.536122685182</v>
      </c>
      <c r="B1962" s="11" t="str">
        <f>HYPERLINK("https://twitter.com/MGhorbany","@MGhorbany")</f>
        <v>@MGhorbany</v>
      </c>
      <c r="C1962" s="6" t="s">
        <v>11793</v>
      </c>
      <c r="D1962" s="5" t="s">
        <v>11792</v>
      </c>
      <c r="E1962" s="9" t="str">
        <f>HYPERLINK("https://twitter.com/MGhorbany/status/1036529734669271040","1036529734669271040")</f>
        <v>1036529734669271040</v>
      </c>
      <c r="F1962" s="10" t="s">
        <v>11791</v>
      </c>
      <c r="G1962" s="10" t="s">
        <v>11681</v>
      </c>
      <c r="H1962" s="4"/>
      <c r="I1962" s="10" t="str">
        <f>HYPERLINK("http://twitter.com","Twitter Web Client")</f>
        <v>Twitter Web Client</v>
      </c>
      <c r="J1962" s="2">
        <v>880</v>
      </c>
      <c r="K1962" s="2">
        <v>80</v>
      </c>
      <c r="L1962" s="2">
        <v>6</v>
      </c>
      <c r="M1962" s="2"/>
      <c r="N1962" s="8">
        <v>41693.525046296294</v>
      </c>
      <c r="O1962" s="4" t="s">
        <v>682</v>
      </c>
      <c r="P1962" s="3" t="s">
        <v>11790</v>
      </c>
      <c r="Q1962" s="4"/>
      <c r="R1962" s="4"/>
      <c r="S1962" s="9" t="str">
        <f>HYPERLINK("https://pbs.twimg.com/profile_images/950824980069134336/cchESg7d.jpg","View")</f>
        <v>View</v>
      </c>
    </row>
    <row r="1963" spans="1:19" ht="30">
      <c r="A1963" s="8">
        <v>43346.534756944442</v>
      </c>
      <c r="B1963" s="11" t="str">
        <f>HYPERLINK("https://twitter.com/montaghedane","@montaghedane")</f>
        <v>@montaghedane</v>
      </c>
      <c r="C1963" s="6" t="s">
        <v>11779</v>
      </c>
      <c r="D1963" s="5" t="s">
        <v>11789</v>
      </c>
      <c r="E1963" s="9" t="str">
        <f>HYPERLINK("https://twitter.com/montaghedane/status/1036529239724457984","1036529239724457984")</f>
        <v>1036529239724457984</v>
      </c>
      <c r="F1963" s="4"/>
      <c r="G1963" s="4"/>
      <c r="H1963" s="4"/>
      <c r="I1963" s="10" t="str">
        <f>HYPERLINK("http://twitter.com/download/android","Twitter for Android")</f>
        <v>Twitter for Android</v>
      </c>
      <c r="J1963" s="2">
        <v>54</v>
      </c>
      <c r="K1963" s="2">
        <v>58</v>
      </c>
      <c r="L1963" s="2">
        <v>0</v>
      </c>
      <c r="M1963" s="2"/>
      <c r="N1963" s="8">
        <v>42745.962118055555</v>
      </c>
      <c r="O1963" s="4" t="s">
        <v>25</v>
      </c>
      <c r="P1963" s="3" t="s">
        <v>11777</v>
      </c>
      <c r="Q1963" s="4"/>
      <c r="R1963" s="4"/>
      <c r="S1963" s="9" t="str">
        <f>HYPERLINK("https://pbs.twimg.com/profile_images/976581931772076032/xh0wm21r.jpg","View")</f>
        <v>View</v>
      </c>
    </row>
    <row r="1964" spans="1:19" ht="20">
      <c r="A1964" s="8">
        <v>43346.530023148152</v>
      </c>
      <c r="B1964" s="11" t="str">
        <f>HYPERLINK("https://twitter.com/Aliale60","@Aliale60")</f>
        <v>@Aliale60</v>
      </c>
      <c r="C1964" s="6" t="s">
        <v>11788</v>
      </c>
      <c r="D1964" s="5" t="s">
        <v>11787</v>
      </c>
      <c r="E1964" s="9" t="str">
        <f>HYPERLINK("https://twitter.com/Aliale60/status/1036527524384268288","1036527524384268288")</f>
        <v>1036527524384268288</v>
      </c>
      <c r="F1964" s="4"/>
      <c r="G1964" s="10" t="s">
        <v>11786</v>
      </c>
      <c r="H1964" s="4"/>
      <c r="I1964" s="10" t="str">
        <f>HYPERLINK("http://twitter.com/download/android","Twitter for Android")</f>
        <v>Twitter for Android</v>
      </c>
      <c r="J1964" s="2">
        <v>8</v>
      </c>
      <c r="K1964" s="2">
        <v>60</v>
      </c>
      <c r="L1964" s="2">
        <v>0</v>
      </c>
      <c r="M1964" s="2"/>
      <c r="N1964" s="8">
        <v>43242.560023148151</v>
      </c>
      <c r="O1964" s="4" t="s">
        <v>11785</v>
      </c>
      <c r="P1964" s="3" t="s">
        <v>11784</v>
      </c>
      <c r="Q1964" s="4"/>
      <c r="R1964" s="4"/>
      <c r="S1964" s="9" t="str">
        <f>HYPERLINK("https://pbs.twimg.com/profile_images/1014592813932130304/HJypkMUB.jpg","View")</f>
        <v>View</v>
      </c>
    </row>
    <row r="1965" spans="1:19" ht="30">
      <c r="A1965" s="8">
        <v>43346.523206018523</v>
      </c>
      <c r="B1965" s="11" t="str">
        <f>HYPERLINK("https://twitter.com/Behan1990","@Behan1990")</f>
        <v>@Behan1990</v>
      </c>
      <c r="C1965" s="6" t="s">
        <v>4813</v>
      </c>
      <c r="D1965" s="5" t="s">
        <v>11783</v>
      </c>
      <c r="E1965" s="9" t="str">
        <f>HYPERLINK("https://twitter.com/Behan1990/status/1036525056774602752","1036525056774602752")</f>
        <v>1036525056774602752</v>
      </c>
      <c r="F1965" s="4"/>
      <c r="G1965" s="4"/>
      <c r="H1965" s="4"/>
      <c r="I1965" s="10" t="str">
        <f>HYPERLINK("http://twitter.com","Twitter Web Client")</f>
        <v>Twitter Web Client</v>
      </c>
      <c r="J1965" s="2">
        <v>1211</v>
      </c>
      <c r="K1965" s="2">
        <v>1008</v>
      </c>
      <c r="L1965" s="2">
        <v>1</v>
      </c>
      <c r="M1965" s="2"/>
      <c r="N1965" s="8">
        <v>43230.491979166662</v>
      </c>
      <c r="O1965" s="4" t="s">
        <v>4811</v>
      </c>
      <c r="P1965" s="3" t="s">
        <v>4810</v>
      </c>
      <c r="Q1965" s="4"/>
      <c r="R1965" s="4"/>
      <c r="S1965" s="9" t="str">
        <f>HYPERLINK("https://pbs.twimg.com/profile_images/994659530914041856/y3-u0dOR.jpg","View")</f>
        <v>View</v>
      </c>
    </row>
    <row r="1966" spans="1:19" ht="20">
      <c r="A1966" s="8">
        <v>43346.523206018523</v>
      </c>
      <c r="B1966" s="11" t="str">
        <f>HYPERLINK("https://twitter.com/hesammirahmadi","@hesammirahmadi")</f>
        <v>@hesammirahmadi</v>
      </c>
      <c r="C1966" s="6" t="s">
        <v>11782</v>
      </c>
      <c r="D1966" s="5" t="s">
        <v>11781</v>
      </c>
      <c r="E1966" s="9" t="str">
        <f>HYPERLINK("https://twitter.com/hesammirahmadi/status/1036525056728461315","1036525056728461315")</f>
        <v>1036525056728461315</v>
      </c>
      <c r="F1966" s="4"/>
      <c r="G1966" s="4"/>
      <c r="H1966" s="4"/>
      <c r="I1966" s="10" t="str">
        <f>HYPERLINK("http://twitter.com","Twitter Web Client")</f>
        <v>Twitter Web Client</v>
      </c>
      <c r="J1966" s="2">
        <v>4</v>
      </c>
      <c r="K1966" s="2">
        <v>31</v>
      </c>
      <c r="L1966" s="2">
        <v>0</v>
      </c>
      <c r="M1966" s="2"/>
      <c r="N1966" s="8">
        <v>43223.810046296298</v>
      </c>
      <c r="O1966" s="4" t="s">
        <v>6099</v>
      </c>
      <c r="P1966" s="3" t="s">
        <v>11780</v>
      </c>
      <c r="Q1966" s="4"/>
      <c r="R1966" s="4"/>
      <c r="S1966" s="9" t="str">
        <f>HYPERLINK("https://pbs.twimg.com/profile_images/992058249728819200/lkSh_F6a.jpg","View")</f>
        <v>View</v>
      </c>
    </row>
    <row r="1967" spans="1:19" ht="40">
      <c r="A1967" s="8">
        <v>43346.522638888884</v>
      </c>
      <c r="B1967" s="11" t="str">
        <f>HYPERLINK("https://twitter.com/montaghedane","@montaghedane")</f>
        <v>@montaghedane</v>
      </c>
      <c r="C1967" s="6" t="s">
        <v>11779</v>
      </c>
      <c r="D1967" s="5" t="s">
        <v>11778</v>
      </c>
      <c r="E1967" s="9" t="str">
        <f>HYPERLINK("https://twitter.com/montaghedane/status/1036524848242196480","1036524848242196480")</f>
        <v>1036524848242196480</v>
      </c>
      <c r="F1967" s="4"/>
      <c r="G1967" s="4"/>
      <c r="H1967" s="4"/>
      <c r="I1967" s="10" t="str">
        <f>HYPERLINK("http://twitter.com/download/android","Twitter for Android")</f>
        <v>Twitter for Android</v>
      </c>
      <c r="J1967" s="2">
        <v>54</v>
      </c>
      <c r="K1967" s="2">
        <v>58</v>
      </c>
      <c r="L1967" s="2">
        <v>0</v>
      </c>
      <c r="M1967" s="2"/>
      <c r="N1967" s="8">
        <v>42745.962118055555</v>
      </c>
      <c r="O1967" s="4" t="s">
        <v>25</v>
      </c>
      <c r="P1967" s="3" t="s">
        <v>11777</v>
      </c>
      <c r="Q1967" s="4"/>
      <c r="R1967" s="4"/>
      <c r="S1967" s="9" t="str">
        <f>HYPERLINK("https://pbs.twimg.com/profile_images/976581931772076032/xh0wm21r.jpg","View")</f>
        <v>View</v>
      </c>
    </row>
    <row r="1968" spans="1:19" ht="40">
      <c r="A1968" s="8">
        <v>43346.522511574076</v>
      </c>
      <c r="B1968" s="11" t="str">
        <f>HYPERLINK("https://twitter.com/saeedmaaleki","@saeedmaaleki")</f>
        <v>@saeedmaaleki</v>
      </c>
      <c r="C1968" s="6" t="s">
        <v>11776</v>
      </c>
      <c r="D1968" s="5" t="s">
        <v>11775</v>
      </c>
      <c r="E1968" s="9" t="str">
        <f>HYPERLINK("https://twitter.com/saeedmaaleki/status/1036524802377441280","1036524802377441280")</f>
        <v>1036524802377441280</v>
      </c>
      <c r="F1968" s="4"/>
      <c r="G1968" s="4"/>
      <c r="H1968" s="4"/>
      <c r="I1968" s="10" t="str">
        <f>HYPERLINK("http://twitter.com/download/android","Twitter for Android")</f>
        <v>Twitter for Android</v>
      </c>
      <c r="J1968" s="2">
        <v>344</v>
      </c>
      <c r="K1968" s="2">
        <v>643</v>
      </c>
      <c r="L1968" s="2">
        <v>0</v>
      </c>
      <c r="M1968" s="2"/>
      <c r="N1968" s="8">
        <v>43104.887372685189</v>
      </c>
      <c r="O1968" s="4" t="s">
        <v>4229</v>
      </c>
      <c r="P1968" s="3" t="s">
        <v>11774</v>
      </c>
      <c r="Q1968" s="4"/>
      <c r="R1968" s="4"/>
      <c r="S1968" s="9" t="str">
        <f>HYPERLINK("https://pbs.twimg.com/profile_images/948985484637765633/Hd90JAIx.jpg","View")</f>
        <v>View</v>
      </c>
    </row>
    <row r="1969" spans="1:19" ht="40">
      <c r="A1969" s="8">
        <v>43346.52244212963</v>
      </c>
      <c r="B1969" s="11" t="str">
        <f>HYPERLINK("https://twitter.com/DPeymanhaddadi","@DPeymanhaddadi")</f>
        <v>@DPeymanhaddadi</v>
      </c>
      <c r="C1969" s="6" t="s">
        <v>11773</v>
      </c>
      <c r="D1969" s="5" t="s">
        <v>11772</v>
      </c>
      <c r="E1969" s="9" t="str">
        <f>HYPERLINK("https://twitter.com/DPeymanhaddadi/status/1036524780269252609","1036524780269252609")</f>
        <v>1036524780269252609</v>
      </c>
      <c r="F1969" s="4"/>
      <c r="G1969" s="4"/>
      <c r="H1969" s="4"/>
      <c r="I1969" s="10" t="str">
        <f>HYPERLINK("http://twitter.com/download/android","Twitter for Android")</f>
        <v>Twitter for Android</v>
      </c>
      <c r="J1969" s="2">
        <v>3</v>
      </c>
      <c r="K1969" s="2">
        <v>77</v>
      </c>
      <c r="L1969" s="2">
        <v>0</v>
      </c>
      <c r="M1969" s="2"/>
      <c r="N1969" s="8">
        <v>43342.995451388888</v>
      </c>
      <c r="O1969" s="4" t="s">
        <v>34</v>
      </c>
      <c r="P1969" s="3" t="s">
        <v>11771</v>
      </c>
      <c r="Q1969" s="4"/>
      <c r="R1969" s="4"/>
      <c r="S1969" s="9" t="str">
        <f>HYPERLINK("https://pbs.twimg.com/profile_images/1035790419727134722/E_3h3uQ9.jpg","View")</f>
        <v>View</v>
      </c>
    </row>
    <row r="1970" spans="1:19" ht="30">
      <c r="A1970" s="8">
        <v>43346.522025462968</v>
      </c>
      <c r="B1970" s="11" t="str">
        <f>HYPERLINK("https://twitter.com/aliabadi_mehdi","@aliabadi_mehdi")</f>
        <v>@aliabadi_mehdi</v>
      </c>
      <c r="C1970" s="6" t="s">
        <v>11770</v>
      </c>
      <c r="D1970" s="5" t="s">
        <v>11769</v>
      </c>
      <c r="E1970" s="9" t="str">
        <f>HYPERLINK("https://twitter.com/aliabadi_mehdi/status/1036524627735052288","1036524627735052288")</f>
        <v>1036524627735052288</v>
      </c>
      <c r="F1970" s="4"/>
      <c r="G1970" s="4"/>
      <c r="H1970" s="4"/>
      <c r="I1970" s="10" t="str">
        <f>HYPERLINK("https://mobile.twitter.com","Twitter Lite")</f>
        <v>Twitter Lite</v>
      </c>
      <c r="J1970" s="2">
        <v>12</v>
      </c>
      <c r="K1970" s="2">
        <v>72</v>
      </c>
      <c r="L1970" s="2">
        <v>0</v>
      </c>
      <c r="M1970" s="2"/>
      <c r="N1970" s="8">
        <v>43302.974375000005</v>
      </c>
      <c r="O1970" s="4" t="s">
        <v>324</v>
      </c>
      <c r="P1970" s="3" t="s">
        <v>11768</v>
      </c>
      <c r="Q1970" s="4"/>
      <c r="R1970" s="4"/>
      <c r="S1970" s="9" t="str">
        <f>HYPERLINK("https://pbs.twimg.com/profile_images/1020748044415856640/Nc1-2F1S.jpg","View")</f>
        <v>View</v>
      </c>
    </row>
    <row r="1971" spans="1:19" ht="40">
      <c r="A1971" s="8">
        <v>43346.521319444444</v>
      </c>
      <c r="B1971" s="11" t="str">
        <f>HYPERLINK("https://twitter.com/Mickle_scofield","@Mickle_scofield")</f>
        <v>@Mickle_scofield</v>
      </c>
      <c r="C1971" s="6" t="s">
        <v>11767</v>
      </c>
      <c r="D1971" s="5" t="s">
        <v>11766</v>
      </c>
      <c r="E1971" s="9" t="str">
        <f>HYPERLINK("https://twitter.com/Mickle_scofield/status/1036524372092243968","1036524372092243968")</f>
        <v>1036524372092243968</v>
      </c>
      <c r="F1971" s="4"/>
      <c r="G1971" s="4"/>
      <c r="H1971" s="4"/>
      <c r="I1971" s="10" t="str">
        <f>HYPERLINK("http://twitter.com/download/android","Twitter for Android")</f>
        <v>Twitter for Android</v>
      </c>
      <c r="J1971" s="2">
        <v>472</v>
      </c>
      <c r="K1971" s="2">
        <v>356</v>
      </c>
      <c r="L1971" s="2">
        <v>0</v>
      </c>
      <c r="M1971" s="2"/>
      <c r="N1971" s="8">
        <v>39983.499108796299</v>
      </c>
      <c r="O1971" s="4"/>
      <c r="P1971" s="3" t="s">
        <v>11765</v>
      </c>
      <c r="Q1971" s="4"/>
      <c r="R1971" s="4"/>
      <c r="S1971" s="9" t="str">
        <f>HYPERLINK("https://pbs.twimg.com/profile_images/1012588885564641281/UTjrlDVp.jpg","View")</f>
        <v>View</v>
      </c>
    </row>
    <row r="1972" spans="1:19" ht="40">
      <c r="A1972" s="8">
        <v>43346.519803240742</v>
      </c>
      <c r="B1972" s="11" t="str">
        <f>HYPERLINK("https://twitter.com/AminPajhoohan","@AminPajhoohan")</f>
        <v>@AminPajhoohan</v>
      </c>
      <c r="C1972" s="6" t="s">
        <v>11764</v>
      </c>
      <c r="D1972" s="5" t="s">
        <v>11763</v>
      </c>
      <c r="E1972" s="9" t="str">
        <f>HYPERLINK("https://twitter.com/AminPajhoohan/status/1036523820943912960","1036523820943912960")</f>
        <v>1036523820943912960</v>
      </c>
      <c r="F1972" s="4"/>
      <c r="G1972" s="4"/>
      <c r="H1972" s="4"/>
      <c r="I1972" s="10" t="str">
        <f>HYPERLINK("http://twitter.com/download/android","Twitter for Android")</f>
        <v>Twitter for Android</v>
      </c>
      <c r="J1972" s="2">
        <v>3</v>
      </c>
      <c r="K1972" s="2">
        <v>8</v>
      </c>
      <c r="L1972" s="2">
        <v>0</v>
      </c>
      <c r="M1972" s="2"/>
      <c r="N1972" s="8">
        <v>42974.564120370371</v>
      </c>
      <c r="O1972" s="4" t="s">
        <v>17</v>
      </c>
      <c r="P1972" s="3" t="s">
        <v>11762</v>
      </c>
      <c r="Q1972" s="4"/>
      <c r="R1972" s="4"/>
      <c r="S1972" s="9" t="str">
        <f>HYPERLINK("https://pbs.twimg.com/profile_images/901739346151317504/H8gP5pMk.jpg","View")</f>
        <v>View</v>
      </c>
    </row>
    <row r="1973" spans="1:19" ht="20">
      <c r="A1973" s="8">
        <v>43346.516585648147</v>
      </c>
      <c r="B1973" s="11" t="str">
        <f>HYPERLINK("https://twitter.com/Hamid10011001","@Hamid10011001")</f>
        <v>@Hamid10011001</v>
      </c>
      <c r="C1973" s="6" t="s">
        <v>11761</v>
      </c>
      <c r="D1973" s="5" t="s">
        <v>11760</v>
      </c>
      <c r="E1973" s="9" t="str">
        <f>HYPERLINK("https://twitter.com/Hamid10011001/status/1036522656089219072","1036522656089219072")</f>
        <v>1036522656089219072</v>
      </c>
      <c r="F1973" s="4"/>
      <c r="G1973" s="4"/>
      <c r="H1973" s="4"/>
      <c r="I1973" s="10" t="str">
        <f>HYPERLINK("http://twitter.com/download/android","Twitter for Android")</f>
        <v>Twitter for Android</v>
      </c>
      <c r="J1973" s="2">
        <v>138</v>
      </c>
      <c r="K1973" s="2">
        <v>148</v>
      </c>
      <c r="L1973" s="2">
        <v>0</v>
      </c>
      <c r="M1973" s="2"/>
      <c r="N1973" s="8">
        <v>42819.052199074074</v>
      </c>
      <c r="O1973" s="4"/>
      <c r="P1973" s="3" t="s">
        <v>11759</v>
      </c>
      <c r="Q1973" s="4"/>
      <c r="R1973" s="4"/>
      <c r="S1973" s="9" t="str">
        <f>HYPERLINK("https://pbs.twimg.com/profile_images/988720045550424065/0brne_mW.jpg","View")</f>
        <v>View</v>
      </c>
    </row>
    <row r="1974" spans="1:19" ht="20">
      <c r="A1974" s="8">
        <v>43346.511192129634</v>
      </c>
      <c r="B1974" s="11" t="str">
        <f>HYPERLINK("https://twitter.com/salmaneshoon","@salmaneshoon")</f>
        <v>@salmaneshoon</v>
      </c>
      <c r="C1974" s="6" t="s">
        <v>11758</v>
      </c>
      <c r="D1974" s="5" t="s">
        <v>11757</v>
      </c>
      <c r="E1974" s="9" t="str">
        <f>HYPERLINK("https://twitter.com/salmaneshoon/status/1036520699500916737","1036520699500916737")</f>
        <v>1036520699500916737</v>
      </c>
      <c r="F1974" s="4"/>
      <c r="G1974" s="10" t="s">
        <v>11756</v>
      </c>
      <c r="H1974" s="4"/>
      <c r="I1974" s="10" t="str">
        <f>HYPERLINK("http://twitter.com/download/iphone","Twitter for iPhone")</f>
        <v>Twitter for iPhone</v>
      </c>
      <c r="J1974" s="2">
        <v>2403</v>
      </c>
      <c r="K1974" s="2">
        <v>1817</v>
      </c>
      <c r="L1974" s="2">
        <v>2</v>
      </c>
      <c r="M1974" s="2"/>
      <c r="N1974" s="8">
        <v>42694.725358796291</v>
      </c>
      <c r="O1974" s="4" t="s">
        <v>11755</v>
      </c>
      <c r="P1974" s="3" t="s">
        <v>11754</v>
      </c>
      <c r="Q1974" s="4"/>
      <c r="R1974" s="4"/>
      <c r="S1974" s="9" t="str">
        <f>HYPERLINK("https://pbs.twimg.com/profile_images/905893694317920256/G9bFTwGG.jpg","View")</f>
        <v>View</v>
      </c>
    </row>
    <row r="1975" spans="1:19" ht="30">
      <c r="A1975" s="8">
        <v>43346.509259259255</v>
      </c>
      <c r="B1975" s="11" t="str">
        <f>HYPERLINK("https://twitter.com/iranazadi1395","@iranazadi1395")</f>
        <v>@iranazadi1395</v>
      </c>
      <c r="C1975" s="6" t="s">
        <v>6787</v>
      </c>
      <c r="D1975" s="5" t="s">
        <v>11753</v>
      </c>
      <c r="E1975" s="9" t="str">
        <f>HYPERLINK("https://twitter.com/iranazadi1395/status/1036520000436281344","1036520000436281344")</f>
        <v>1036520000436281344</v>
      </c>
      <c r="F1975" s="4"/>
      <c r="G1975" s="10" t="s">
        <v>11752</v>
      </c>
      <c r="H1975" s="4"/>
      <c r="I1975" s="10" t="str">
        <f>HYPERLINK("http://twitter.com","Twitter Web Client")</f>
        <v>Twitter Web Client</v>
      </c>
      <c r="J1975" s="2">
        <v>11235</v>
      </c>
      <c r="K1975" s="2">
        <v>520</v>
      </c>
      <c r="L1975" s="2">
        <v>219</v>
      </c>
      <c r="M1975" s="2"/>
      <c r="N1975" s="8">
        <v>42252.595034722224</v>
      </c>
      <c r="O1975" s="4" t="s">
        <v>6784</v>
      </c>
      <c r="P1975" s="3" t="s">
        <v>6783</v>
      </c>
      <c r="Q1975" s="10" t="s">
        <v>6782</v>
      </c>
      <c r="R1975" s="4"/>
      <c r="S1975" s="9" t="str">
        <f>HYPERLINK("https://pbs.twimg.com/profile_images/963509098812600322/Te7cW6h8.jpg","View")</f>
        <v>View</v>
      </c>
    </row>
    <row r="1976" spans="1:19" ht="40">
      <c r="A1976" s="8">
        <v>43346.509120370371</v>
      </c>
      <c r="B1976" s="11" t="str">
        <f>HYPERLINK("https://twitter.com/mrzare1374","@mrzare1374")</f>
        <v>@mrzare1374</v>
      </c>
      <c r="C1976" s="6" t="s">
        <v>11751</v>
      </c>
      <c r="D1976" s="5" t="s">
        <v>11750</v>
      </c>
      <c r="E1976" s="9" t="str">
        <f>HYPERLINK("https://twitter.com/mrzare1374/status/1036519950486306816","1036519950486306816")</f>
        <v>1036519950486306816</v>
      </c>
      <c r="F1976" s="10" t="s">
        <v>11749</v>
      </c>
      <c r="G1976" s="10" t="s">
        <v>11748</v>
      </c>
      <c r="H1976" s="4"/>
      <c r="I1976" s="10" t="str">
        <f>HYPERLINK("http://twitter.com/download/android","Twitter for Android")</f>
        <v>Twitter for Android</v>
      </c>
      <c r="J1976" s="2">
        <v>1204</v>
      </c>
      <c r="K1976" s="2">
        <v>733</v>
      </c>
      <c r="L1976" s="2">
        <v>1</v>
      </c>
      <c r="M1976" s="2"/>
      <c r="N1976" s="8">
        <v>42791.701192129629</v>
      </c>
      <c r="O1976" s="4"/>
      <c r="P1976" s="3" t="s">
        <v>11747</v>
      </c>
      <c r="Q1976" s="4"/>
      <c r="R1976" s="4"/>
      <c r="S1976" s="9" t="str">
        <f>HYPERLINK("https://pbs.twimg.com/profile_images/1010896278530740224/7XS4YE1S.jpg","View")</f>
        <v>View</v>
      </c>
    </row>
    <row r="1977" spans="1:19" ht="40">
      <c r="A1977" s="8">
        <v>43346.507256944446</v>
      </c>
      <c r="B1977" s="11" t="str">
        <f>HYPERLINK("https://twitter.com/jahangiri70","@jahangiri70")</f>
        <v>@jahangiri70</v>
      </c>
      <c r="C1977" s="6" t="s">
        <v>11698</v>
      </c>
      <c r="D1977" s="5" t="s">
        <v>11746</v>
      </c>
      <c r="E1977" s="9" t="str">
        <f>HYPERLINK("https://twitter.com/jahangiri70/status/1036519274804928512","1036519274804928512")</f>
        <v>1036519274804928512</v>
      </c>
      <c r="F1977" s="4"/>
      <c r="G1977" s="4"/>
      <c r="H1977" s="4"/>
      <c r="I1977" s="10" t="str">
        <f>HYPERLINK("http://twitter.com/download/android","Twitter for Android")</f>
        <v>Twitter for Android</v>
      </c>
      <c r="J1977" s="2">
        <v>203</v>
      </c>
      <c r="K1977" s="2">
        <v>23</v>
      </c>
      <c r="L1977" s="2">
        <v>0</v>
      </c>
      <c r="M1977" s="2"/>
      <c r="N1977" s="8">
        <v>42807.02449074074</v>
      </c>
      <c r="O1977" s="4" t="s">
        <v>682</v>
      </c>
      <c r="P1977" s="3" t="s">
        <v>11696</v>
      </c>
      <c r="Q1977" s="4"/>
      <c r="R1977" s="4"/>
      <c r="S1977" s="9" t="str">
        <f>HYPERLINK("https://pbs.twimg.com/profile_images/848089486177259520/ba7iA0y_.jpg","View")</f>
        <v>View</v>
      </c>
    </row>
    <row r="1978" spans="1:19" ht="40">
      <c r="A1978" s="8">
        <v>43346.507002314815</v>
      </c>
      <c r="B1978" s="11" t="str">
        <f>HYPERLINK("https://twitter.com/mansooroola","@mansooroola")</f>
        <v>@mansooroola</v>
      </c>
      <c r="C1978" s="6" t="s">
        <v>620</v>
      </c>
      <c r="D1978" s="5" t="s">
        <v>11745</v>
      </c>
      <c r="E1978" s="9" t="str">
        <f>HYPERLINK("https://twitter.com/mansooroola/status/1036519184413409281","1036519184413409281")</f>
        <v>1036519184413409281</v>
      </c>
      <c r="F1978" s="4"/>
      <c r="G1978" s="4"/>
      <c r="H1978" s="4"/>
      <c r="I1978" s="10" t="str">
        <f>HYPERLINK("http://twitter.com/download/android","Twitter for Android")</f>
        <v>Twitter for Android</v>
      </c>
      <c r="J1978" s="2">
        <v>2120</v>
      </c>
      <c r="K1978" s="2">
        <v>1973</v>
      </c>
      <c r="L1978" s="2">
        <v>21</v>
      </c>
      <c r="M1978" s="2"/>
      <c r="N1978" s="8">
        <v>42213.823923611111</v>
      </c>
      <c r="O1978" s="4"/>
      <c r="P1978" s="3" t="s">
        <v>618</v>
      </c>
      <c r="Q1978" s="4"/>
      <c r="R1978" s="4"/>
      <c r="S1978" s="9" t="str">
        <f>HYPERLINK("https://pbs.twimg.com/profile_images/856157384066072577/GmKN4v8j.jpg","View")</f>
        <v>View</v>
      </c>
    </row>
    <row r="1979" spans="1:19" ht="30">
      <c r="A1979" s="8">
        <v>43346.504016203704</v>
      </c>
      <c r="B1979" s="11" t="str">
        <f>HYPERLINK("https://twitter.com/Mehdi_Norouzi14","@Mehdi_Norouzi14")</f>
        <v>@Mehdi_Norouzi14</v>
      </c>
      <c r="C1979" s="6" t="s">
        <v>11744</v>
      </c>
      <c r="D1979" s="5" t="s">
        <v>11743</v>
      </c>
      <c r="E1979" s="9" t="str">
        <f>HYPERLINK("https://twitter.com/Mehdi_Norouzi14/status/1036518101855215616","1036518101855215616")</f>
        <v>1036518101855215616</v>
      </c>
      <c r="F1979" s="4"/>
      <c r="G1979" s="4"/>
      <c r="H1979" s="4"/>
      <c r="I1979" s="10" t="str">
        <f>HYPERLINK("http://twitter.com/download/android","Twitter for Android")</f>
        <v>Twitter for Android</v>
      </c>
      <c r="J1979" s="2">
        <v>83</v>
      </c>
      <c r="K1979" s="2">
        <v>82</v>
      </c>
      <c r="L1979" s="2">
        <v>0</v>
      </c>
      <c r="M1979" s="2"/>
      <c r="N1979" s="8">
        <v>42393.933067129634</v>
      </c>
      <c r="O1979" s="4" t="s">
        <v>133</v>
      </c>
      <c r="P1979" s="3" t="s">
        <v>11742</v>
      </c>
      <c r="Q1979" s="10" t="s">
        <v>11741</v>
      </c>
      <c r="R1979" s="4"/>
      <c r="S1979" s="9" t="str">
        <f>HYPERLINK("https://pbs.twimg.com/profile_images/931377221725577216/7q9I5QPP.jpg","View")</f>
        <v>View</v>
      </c>
    </row>
    <row r="1980" spans="1:19" ht="30">
      <c r="A1980" s="8">
        <v>43346.503055555557</v>
      </c>
      <c r="B1980" s="11" t="str">
        <f>HYPERLINK("https://twitter.com/P_Salahshouri","@P_Salahshouri")</f>
        <v>@P_Salahshouri</v>
      </c>
      <c r="C1980" s="6" t="s">
        <v>11740</v>
      </c>
      <c r="D1980" s="5" t="s">
        <v>11739</v>
      </c>
      <c r="E1980" s="9" t="str">
        <f>HYPERLINK("https://twitter.com/P_Salahshouri/status/1036517753543438336","1036517753543438336")</f>
        <v>1036517753543438336</v>
      </c>
      <c r="F1980" s="4"/>
      <c r="G1980" s="4"/>
      <c r="H1980" s="4"/>
      <c r="I1980" s="10" t="str">
        <f>HYPERLINK("http://twitter.com/download/iphone","Twitter for iPhone")</f>
        <v>Twitter for iPhone</v>
      </c>
      <c r="J1980" s="2">
        <v>859</v>
      </c>
      <c r="K1980" s="2">
        <v>20</v>
      </c>
      <c r="L1980" s="2">
        <v>4</v>
      </c>
      <c r="M1980" s="2"/>
      <c r="N1980" s="8">
        <v>43333.582488425927</v>
      </c>
      <c r="O1980" s="4" t="s">
        <v>34</v>
      </c>
      <c r="P1980" s="3" t="s">
        <v>11738</v>
      </c>
      <c r="Q1980" s="4"/>
      <c r="R1980" s="4"/>
      <c r="S1980" s="9" t="str">
        <f>HYPERLINK("https://pbs.twimg.com/profile_images/1031838230772101120/sV_5Rq7f.jpg","View")</f>
        <v>View</v>
      </c>
    </row>
    <row r="1981" spans="1:19" ht="20">
      <c r="A1981" s="8">
        <v>43346.502824074079</v>
      </c>
      <c r="B1981" s="11" t="str">
        <f>HYPERLINK("https://twitter.com/MuhamadHashemi","@MuhamadHashemi")</f>
        <v>@MuhamadHashemi</v>
      </c>
      <c r="C1981" s="6" t="s">
        <v>11737</v>
      </c>
      <c r="D1981" s="5" t="s">
        <v>11736</v>
      </c>
      <c r="E1981" s="9" t="str">
        <f>HYPERLINK("https://twitter.com/MuhamadHashemi/status/1036517667660865538","1036517667660865538")</f>
        <v>1036517667660865538</v>
      </c>
      <c r="F1981" s="4"/>
      <c r="G1981" s="10" t="s">
        <v>11735</v>
      </c>
      <c r="H1981" s="4"/>
      <c r="I1981" s="10" t="str">
        <f>HYPERLINK("http://twitter.com/download/android","Twitter for Android")</f>
        <v>Twitter for Android</v>
      </c>
      <c r="J1981" s="2">
        <v>60</v>
      </c>
      <c r="K1981" s="2">
        <v>115</v>
      </c>
      <c r="L1981" s="2">
        <v>0</v>
      </c>
      <c r="M1981" s="2"/>
      <c r="N1981" s="8">
        <v>42894.115115740744</v>
      </c>
      <c r="O1981" s="4"/>
      <c r="P1981" s="3" t="s">
        <v>11734</v>
      </c>
      <c r="Q1981" s="4"/>
      <c r="R1981" s="4"/>
      <c r="S1981" s="9" t="str">
        <f>HYPERLINK("https://pbs.twimg.com/profile_images/920352673869844480/y-CFYGyV.jpg","View")</f>
        <v>View</v>
      </c>
    </row>
    <row r="1982" spans="1:19" ht="40">
      <c r="A1982" s="8">
        <v>43346.501550925925</v>
      </c>
      <c r="B1982" s="11" t="str">
        <f>HYPERLINK("https://twitter.com/boroumand60","@boroumand60")</f>
        <v>@boroumand60</v>
      </c>
      <c r="C1982" s="6" t="s">
        <v>11733</v>
      </c>
      <c r="D1982" s="5" t="s">
        <v>11732</v>
      </c>
      <c r="E1982" s="9" t="str">
        <f>HYPERLINK("https://twitter.com/boroumand60/status/1036517208510357505","1036517208510357505")</f>
        <v>1036517208510357505</v>
      </c>
      <c r="F1982" s="4"/>
      <c r="G1982" s="10" t="s">
        <v>11731</v>
      </c>
      <c r="H1982" s="4"/>
      <c r="I1982" s="10" t="str">
        <f>HYPERLINK("http://twitter.com/download/android","Twitter for Android")</f>
        <v>Twitter for Android</v>
      </c>
      <c r="J1982" s="2">
        <v>194</v>
      </c>
      <c r="K1982" s="2">
        <v>56</v>
      </c>
      <c r="L1982" s="2">
        <v>2</v>
      </c>
      <c r="M1982" s="2"/>
      <c r="N1982" s="8">
        <v>43148.784155092595</v>
      </c>
      <c r="O1982" s="4"/>
      <c r="P1982" s="3" t="s">
        <v>11730</v>
      </c>
      <c r="Q1982" s="4"/>
      <c r="R1982" s="4"/>
      <c r="S1982" s="9" t="str">
        <f>HYPERLINK("https://pbs.twimg.com/profile_images/1035603111094702082/E_S94D-_.jpg","View")</f>
        <v>View</v>
      </c>
    </row>
    <row r="1983" spans="1:19" ht="20">
      <c r="A1983" s="8">
        <v>43346.501481481479</v>
      </c>
      <c r="B1983" s="11" t="str">
        <f>HYPERLINK("https://twitter.com/ARAD1368","@ARAD1368")</f>
        <v>@ARAD1368</v>
      </c>
      <c r="C1983" s="6" t="s">
        <v>11729</v>
      </c>
      <c r="D1983" s="5" t="s">
        <v>11728</v>
      </c>
      <c r="E1983" s="9" t="str">
        <f>HYPERLINK("https://twitter.com/ARAD1368/status/1036517182199525376","1036517182199525376")</f>
        <v>1036517182199525376</v>
      </c>
      <c r="F1983" s="4"/>
      <c r="G1983" s="4"/>
      <c r="H1983" s="4"/>
      <c r="I1983" s="10" t="str">
        <f>HYPERLINK("http://twitter.com/download/android","Twitter for Android")</f>
        <v>Twitter for Android</v>
      </c>
      <c r="J1983" s="2">
        <v>176</v>
      </c>
      <c r="K1983" s="2">
        <v>655</v>
      </c>
      <c r="L1983" s="2">
        <v>1</v>
      </c>
      <c r="M1983" s="2"/>
      <c r="N1983" s="8">
        <v>42848.492581018523</v>
      </c>
      <c r="O1983" s="4" t="s">
        <v>11259</v>
      </c>
      <c r="P1983" s="3" t="s">
        <v>11727</v>
      </c>
      <c r="Q1983" s="4"/>
      <c r="R1983" s="4"/>
      <c r="S1983" s="9" t="str">
        <f>HYPERLINK("https://pbs.twimg.com/profile_images/995000717311201281/4-KvrFd5.jpg","View")</f>
        <v>View</v>
      </c>
    </row>
    <row r="1984" spans="1:19" ht="12.5">
      <c r="A1984" s="8">
        <v>43346.500648148147</v>
      </c>
      <c r="B1984" s="11" t="str">
        <f>HYPERLINK("https://twitter.com/mimaleahmad5","@mimaleahmad5")</f>
        <v>@mimaleahmad5</v>
      </c>
      <c r="C1984" s="6" t="s">
        <v>8799</v>
      </c>
      <c r="D1984" s="5" t="s">
        <v>11726</v>
      </c>
      <c r="E1984" s="9" t="str">
        <f>HYPERLINK("https://twitter.com/mimaleahmad5/status/1036516879190372352","1036516879190372352")</f>
        <v>1036516879190372352</v>
      </c>
      <c r="F1984" s="4"/>
      <c r="G1984" s="4"/>
      <c r="H1984" s="4"/>
      <c r="I1984" s="10" t="str">
        <f>HYPERLINK("http://twitter.com/download/iphone","Twitter for iPhone")</f>
        <v>Twitter for iPhone</v>
      </c>
      <c r="J1984" s="2">
        <v>2540</v>
      </c>
      <c r="K1984" s="2">
        <v>3134</v>
      </c>
      <c r="L1984" s="2">
        <v>6</v>
      </c>
      <c r="M1984" s="2"/>
      <c r="N1984" s="8">
        <v>43211.788541666669</v>
      </c>
      <c r="O1984" s="4"/>
      <c r="P1984" s="3" t="s">
        <v>11725</v>
      </c>
      <c r="Q1984" s="4"/>
      <c r="R1984" s="4"/>
      <c r="S1984" s="9" t="str">
        <f>HYPERLINK("https://pbs.twimg.com/profile_images/987702030209835008/LuUNAqdx.jpg","View")</f>
        <v>View</v>
      </c>
    </row>
    <row r="1985" spans="1:19" ht="40">
      <c r="A1985" s="8">
        <v>43346.498391203699</v>
      </c>
      <c r="B1985" s="11" t="str">
        <f>HYPERLINK("https://twitter.com/sholesadi","@sholesadi")</f>
        <v>@sholesadi</v>
      </c>
      <c r="C1985" s="6" t="s">
        <v>11724</v>
      </c>
      <c r="D1985" s="5" t="s">
        <v>11723</v>
      </c>
      <c r="E1985" s="9" t="str">
        <f>HYPERLINK("https://twitter.com/sholesadi/status/1036516063700238338","1036516063700238338")</f>
        <v>1036516063700238338</v>
      </c>
      <c r="F1985" s="4"/>
      <c r="G1985" s="10" t="s">
        <v>11722</v>
      </c>
      <c r="H1985" s="4"/>
      <c r="I1985" s="10" t="str">
        <f>HYPERLINK("http://twitter.com/download/iphone","Twitter for iPhone")</f>
        <v>Twitter for iPhone</v>
      </c>
      <c r="J1985" s="2">
        <v>8332</v>
      </c>
      <c r="K1985" s="2">
        <v>182</v>
      </c>
      <c r="L1985" s="2">
        <v>29</v>
      </c>
      <c r="M1985" s="2"/>
      <c r="N1985" s="8">
        <v>43263.832731481481</v>
      </c>
      <c r="O1985" s="4" t="s">
        <v>34</v>
      </c>
      <c r="P1985" s="3" t="s">
        <v>11721</v>
      </c>
      <c r="Q1985" s="4"/>
      <c r="R1985" s="4"/>
      <c r="S1985" s="9" t="str">
        <f>HYPERLINK("https://pbs.twimg.com/profile_images/1031891364563353600/uZGo_jxt.jpg","View")</f>
        <v>View</v>
      </c>
    </row>
    <row r="1986" spans="1:19" ht="30">
      <c r="A1986" s="8">
        <v>43346.497152777782</v>
      </c>
      <c r="B1986" s="11" t="str">
        <f>HYPERLINK("https://twitter.com/AmirAli1344","@AmirAli1344")</f>
        <v>@AmirAli1344</v>
      </c>
      <c r="C1986" s="6" t="s">
        <v>1719</v>
      </c>
      <c r="D1986" s="5" t="s">
        <v>11720</v>
      </c>
      <c r="E1986" s="9" t="str">
        <f>HYPERLINK("https://twitter.com/AmirAli1344/status/1036515611952726017","1036515611952726017")</f>
        <v>1036515611952726017</v>
      </c>
      <c r="F1986" s="4"/>
      <c r="G1986" s="10" t="s">
        <v>11719</v>
      </c>
      <c r="H1986" s="4"/>
      <c r="I1986" s="10" t="str">
        <f>HYPERLINK("http://twitter.com","Twitter Web Client")</f>
        <v>Twitter Web Client</v>
      </c>
      <c r="J1986" s="2">
        <v>3527</v>
      </c>
      <c r="K1986" s="2">
        <v>2608</v>
      </c>
      <c r="L1986" s="2">
        <v>4</v>
      </c>
      <c r="M1986" s="2"/>
      <c r="N1986" s="8">
        <v>42814.762604166666</v>
      </c>
      <c r="O1986" s="4" t="s">
        <v>1716</v>
      </c>
      <c r="P1986" s="3" t="s">
        <v>1715</v>
      </c>
      <c r="Q1986" s="4"/>
      <c r="R1986" s="4"/>
      <c r="S1986" s="9" t="str">
        <f>HYPERLINK("https://pbs.twimg.com/profile_images/986167816570195969/G1B7kO7v.jpg","View")</f>
        <v>View</v>
      </c>
    </row>
    <row r="1987" spans="1:19" ht="20">
      <c r="A1987" s="8">
        <v>43346.495381944449</v>
      </c>
      <c r="B1987" s="11" t="str">
        <f>HYPERLINK("https://twitter.com/mersadirani","@mersadirani")</f>
        <v>@mersadirani</v>
      </c>
      <c r="C1987" s="6" t="s">
        <v>10660</v>
      </c>
      <c r="D1987" s="5" t="s">
        <v>11718</v>
      </c>
      <c r="E1987" s="9" t="str">
        <f>HYPERLINK("https://twitter.com/mersadirani/status/1036514973881708545","1036514973881708545")</f>
        <v>1036514973881708545</v>
      </c>
      <c r="F1987" s="4"/>
      <c r="G1987" s="10" t="s">
        <v>11717</v>
      </c>
      <c r="H1987" s="4"/>
      <c r="I1987" s="10" t="str">
        <f>HYPERLINK("http://twitter.com","Twitter Web Client")</f>
        <v>Twitter Web Client</v>
      </c>
      <c r="J1987" s="2">
        <v>81</v>
      </c>
      <c r="K1987" s="2">
        <v>99</v>
      </c>
      <c r="L1987" s="2">
        <v>1</v>
      </c>
      <c r="M1987" s="2"/>
      <c r="N1987" s="8">
        <v>42818.974259259259</v>
      </c>
      <c r="O1987" s="4" t="s">
        <v>682</v>
      </c>
      <c r="P1987" s="3"/>
      <c r="Q1987" s="4"/>
      <c r="R1987" s="4"/>
      <c r="S1987" s="9" t="str">
        <f>HYPERLINK("https://pbs.twimg.com/profile_images/919513494508261377/ufN6oOut.jpg","View")</f>
        <v>View</v>
      </c>
    </row>
    <row r="1988" spans="1:19" ht="20">
      <c r="A1988" s="8">
        <v>43346.492685185185</v>
      </c>
      <c r="B1988" s="11" t="str">
        <f>HYPERLINK("https://twitter.com/ilnanews","@ilnanews")</f>
        <v>@ilnanews</v>
      </c>
      <c r="C1988" s="6" t="s">
        <v>6413</v>
      </c>
      <c r="D1988" s="5" t="s">
        <v>11716</v>
      </c>
      <c r="E1988" s="9" t="str">
        <f>HYPERLINK("https://twitter.com/ilnanews/status/1036513993735778304","1036513993735778304")</f>
        <v>1036513993735778304</v>
      </c>
      <c r="F1988" s="10" t="s">
        <v>11715</v>
      </c>
      <c r="G1988" s="10" t="s">
        <v>11714</v>
      </c>
      <c r="H1988" s="4"/>
      <c r="I1988" s="10" t="str">
        <f>HYPERLINK("http://twitter.com/download/android","Twitter for Android")</f>
        <v>Twitter for Android</v>
      </c>
      <c r="J1988" s="2">
        <v>32391</v>
      </c>
      <c r="K1988" s="2">
        <v>67</v>
      </c>
      <c r="L1988" s="2">
        <v>161</v>
      </c>
      <c r="M1988" s="2"/>
      <c r="N1988" s="8">
        <v>42062.024768518517</v>
      </c>
      <c r="O1988" s="4" t="s">
        <v>34</v>
      </c>
      <c r="P1988" s="3" t="s">
        <v>6409</v>
      </c>
      <c r="Q1988" s="10" t="s">
        <v>6408</v>
      </c>
      <c r="R1988" s="4"/>
      <c r="S1988" s="9" t="str">
        <f>HYPERLINK("https://pbs.twimg.com/profile_images/760387216782848000/TS1QyYLo.jpg","View")</f>
        <v>View</v>
      </c>
    </row>
    <row r="1989" spans="1:19" ht="12.5">
      <c r="A1989" s="8">
        <v>43346.492303240739</v>
      </c>
      <c r="B1989" s="11" t="str">
        <f>HYPERLINK("https://twitter.com/aminqazviny","@aminqazviny")</f>
        <v>@aminqazviny</v>
      </c>
      <c r="C1989" s="6" t="s">
        <v>11713</v>
      </c>
      <c r="D1989" s="5" t="s">
        <v>11712</v>
      </c>
      <c r="E1989" s="9" t="str">
        <f>HYPERLINK("https://twitter.com/aminqazviny/status/1036513855667617792","1036513855667617792")</f>
        <v>1036513855667617792</v>
      </c>
      <c r="F1989" s="4"/>
      <c r="G1989" s="4"/>
      <c r="H1989" s="4"/>
      <c r="I1989" s="10" t="str">
        <f>HYPERLINK("http://twitter.com/download/android","Twitter for Android")</f>
        <v>Twitter for Android</v>
      </c>
      <c r="J1989" s="2">
        <v>10803</v>
      </c>
      <c r="K1989" s="2">
        <v>948</v>
      </c>
      <c r="L1989" s="2">
        <v>77</v>
      </c>
      <c r="M1989" s="2"/>
      <c r="N1989" s="8">
        <v>41845.998506944445</v>
      </c>
      <c r="O1989" s="4" t="s">
        <v>11711</v>
      </c>
      <c r="P1989" s="3" t="s">
        <v>11710</v>
      </c>
      <c r="Q1989" s="4"/>
      <c r="R1989" s="4"/>
      <c r="S1989" s="9" t="str">
        <f>HYPERLINK("https://pbs.twimg.com/profile_images/949364793206562816/O9UNYqkg.jpg","View")</f>
        <v>View</v>
      </c>
    </row>
    <row r="1990" spans="1:19" ht="20">
      <c r="A1990" s="8">
        <v>43346.48101851852</v>
      </c>
      <c r="B1990" s="11" t="str">
        <f>HYPERLINK("https://twitter.com/OmidPouraziz","@OmidPouraziz")</f>
        <v>@OmidPouraziz</v>
      </c>
      <c r="C1990" s="6" t="s">
        <v>4605</v>
      </c>
      <c r="D1990" s="5" t="s">
        <v>11709</v>
      </c>
      <c r="E1990" s="9" t="str">
        <f>HYPERLINK("https://twitter.com/OmidPouraziz/status/1036509768813342720","1036509768813342720")</f>
        <v>1036509768813342720</v>
      </c>
      <c r="F1990" s="4"/>
      <c r="G1990" s="4"/>
      <c r="H1990" s="4"/>
      <c r="I1990" s="10" t="str">
        <f>HYPERLINK("http://twitter.com/download/iphone","Twitter for iPhone")</f>
        <v>Twitter for iPhone</v>
      </c>
      <c r="J1990" s="2">
        <v>172</v>
      </c>
      <c r="K1990" s="2">
        <v>669</v>
      </c>
      <c r="L1990" s="2">
        <v>1</v>
      </c>
      <c r="M1990" s="2"/>
      <c r="N1990" s="8">
        <v>41593.060752314814</v>
      </c>
      <c r="O1990" s="4" t="s">
        <v>4603</v>
      </c>
      <c r="P1990" s="3" t="s">
        <v>11708</v>
      </c>
      <c r="Q1990" s="10" t="s">
        <v>4601</v>
      </c>
      <c r="R1990" s="4"/>
      <c r="S1990" s="9" t="str">
        <f>HYPERLINK("https://pbs.twimg.com/profile_images/1007528872282378240/IzFlT-Cm.jpg","View")</f>
        <v>View</v>
      </c>
    </row>
    <row r="1991" spans="1:19" ht="30">
      <c r="A1991" s="8">
        <v>43346.473854166667</v>
      </c>
      <c r="B1991" s="11" t="str">
        <f>HYPERLINK("https://twitter.com/reza76424019","@reza76424019")</f>
        <v>@reza76424019</v>
      </c>
      <c r="C1991" s="6" t="s">
        <v>11707</v>
      </c>
      <c r="D1991" s="5" t="s">
        <v>11706</v>
      </c>
      <c r="E1991" s="9" t="str">
        <f>HYPERLINK("https://twitter.com/reza76424019/status/1036507169305362437","1036507169305362437")</f>
        <v>1036507169305362437</v>
      </c>
      <c r="F1991" s="4"/>
      <c r="G1991" s="10" t="s">
        <v>11705</v>
      </c>
      <c r="H1991" s="4"/>
      <c r="I1991" s="10" t="str">
        <f>HYPERLINK("http://twitter.com","Twitter Web Client")</f>
        <v>Twitter Web Client</v>
      </c>
      <c r="J1991" s="2">
        <v>64</v>
      </c>
      <c r="K1991" s="2">
        <v>195</v>
      </c>
      <c r="L1991" s="2">
        <v>0</v>
      </c>
      <c r="M1991" s="2"/>
      <c r="N1991" s="8">
        <v>43343.953611111108</v>
      </c>
      <c r="O1991" s="4" t="s">
        <v>1415</v>
      </c>
      <c r="P1991" s="3" t="s">
        <v>11704</v>
      </c>
      <c r="Q1991" s="10" t="s">
        <v>11703</v>
      </c>
      <c r="R1991" s="4"/>
      <c r="S1991" s="9" t="str">
        <f>HYPERLINK("https://pbs.twimg.com/profile_images/1035604537078427652/gfB4g4wQ.jpg","View")</f>
        <v>View</v>
      </c>
    </row>
    <row r="1992" spans="1:19" ht="40">
      <c r="A1992" s="8">
        <v>43346.473275462966</v>
      </c>
      <c r="B1992" s="11" t="str">
        <f>HYPERLINK("https://twitter.com/Beeman93397010","@Beeman93397010")</f>
        <v>@Beeman93397010</v>
      </c>
      <c r="C1992" s="6" t="s">
        <v>1335</v>
      </c>
      <c r="D1992" s="5" t="s">
        <v>11702</v>
      </c>
      <c r="E1992" s="9" t="str">
        <f>HYPERLINK("https://twitter.com/Beeman93397010/status/1036506962056359936","1036506962056359936")</f>
        <v>1036506962056359936</v>
      </c>
      <c r="F1992" s="4"/>
      <c r="G1992" s="4"/>
      <c r="H1992" s="4"/>
      <c r="I1992" s="10" t="str">
        <f>HYPERLINK("http://twitter.com/download/android","Twitter for Android")</f>
        <v>Twitter for Android</v>
      </c>
      <c r="J1992" s="2">
        <v>147</v>
      </c>
      <c r="K1992" s="2">
        <v>69</v>
      </c>
      <c r="L1992" s="2">
        <v>0</v>
      </c>
      <c r="M1992" s="2"/>
      <c r="N1992" s="8">
        <v>43201.467928240745</v>
      </c>
      <c r="O1992" s="4" t="s">
        <v>1333</v>
      </c>
      <c r="P1992" s="3" t="s">
        <v>1332</v>
      </c>
      <c r="Q1992" s="4"/>
      <c r="R1992" s="4"/>
      <c r="S1992" s="9" t="str">
        <f>HYPERLINK("https://pbs.twimg.com/profile_images/1035388374511706112/v6qk7301.jpg","View")</f>
        <v>View</v>
      </c>
    </row>
    <row r="1993" spans="1:19" ht="20">
      <c r="A1993" s="8">
        <v>43346.472500000003</v>
      </c>
      <c r="B1993" s="11" t="str">
        <f>HYPERLINK("https://twitter.com/arezoo_farshid","@arezoo_farshid")</f>
        <v>@arezoo_farshid</v>
      </c>
      <c r="C1993" s="6" t="s">
        <v>11701</v>
      </c>
      <c r="D1993" s="5" t="s">
        <v>11700</v>
      </c>
      <c r="E1993" s="9" t="str">
        <f>HYPERLINK("https://twitter.com/arezoo_farshid/status/1036506680576671744","1036506680576671744")</f>
        <v>1036506680576671744</v>
      </c>
      <c r="F1993" s="4"/>
      <c r="G1993" s="4"/>
      <c r="H1993" s="4"/>
      <c r="I1993" s="10" t="str">
        <f>HYPERLINK("http://twitter.com/download/android","Twitter for Android")</f>
        <v>Twitter for Android</v>
      </c>
      <c r="J1993" s="2">
        <v>194</v>
      </c>
      <c r="K1993" s="2">
        <v>340</v>
      </c>
      <c r="L1993" s="2">
        <v>1</v>
      </c>
      <c r="M1993" s="2"/>
      <c r="N1993" s="8">
        <v>42259.589745370366</v>
      </c>
      <c r="O1993" s="4" t="s">
        <v>104</v>
      </c>
      <c r="P1993" s="3" t="s">
        <v>11699</v>
      </c>
      <c r="Q1993" s="4"/>
      <c r="R1993" s="4"/>
      <c r="S1993" s="9" t="str">
        <f>HYPERLINK("https://pbs.twimg.com/profile_images/985206441748455425/TFqi-CYn.jpg","View")</f>
        <v>View</v>
      </c>
    </row>
    <row r="1994" spans="1:19" ht="40">
      <c r="A1994" s="8">
        <v>43346.471226851849</v>
      </c>
      <c r="B1994" s="11" t="str">
        <f>HYPERLINK("https://twitter.com/jahangiri70","@jahangiri70")</f>
        <v>@jahangiri70</v>
      </c>
      <c r="C1994" s="6" t="s">
        <v>11698</v>
      </c>
      <c r="D1994" s="5" t="s">
        <v>11697</v>
      </c>
      <c r="E1994" s="9" t="str">
        <f>HYPERLINK("https://twitter.com/jahangiri70/status/1036506218414657536","1036506218414657536")</f>
        <v>1036506218414657536</v>
      </c>
      <c r="F1994" s="4"/>
      <c r="G1994" s="4"/>
      <c r="H1994" s="4"/>
      <c r="I1994" s="10" t="str">
        <f>HYPERLINK("http://twitter.com/download/android","Twitter for Android")</f>
        <v>Twitter for Android</v>
      </c>
      <c r="J1994" s="2">
        <v>203</v>
      </c>
      <c r="K1994" s="2">
        <v>23</v>
      </c>
      <c r="L1994" s="2">
        <v>0</v>
      </c>
      <c r="M1994" s="2"/>
      <c r="N1994" s="8">
        <v>42807.02449074074</v>
      </c>
      <c r="O1994" s="4" t="s">
        <v>682</v>
      </c>
      <c r="P1994" s="3" t="s">
        <v>11696</v>
      </c>
      <c r="Q1994" s="4"/>
      <c r="R1994" s="4"/>
      <c r="S1994" s="9" t="str">
        <f>HYPERLINK("https://pbs.twimg.com/profile_images/848089486177259520/ba7iA0y_.jpg","View")</f>
        <v>View</v>
      </c>
    </row>
    <row r="1995" spans="1:19" ht="20">
      <c r="A1995" s="8">
        <v>43346.466493055559</v>
      </c>
      <c r="B1995" s="11" t="str">
        <f>HYPERLINK("https://twitter.com/ghoghnoos20","@ghoghnoos20")</f>
        <v>@ghoghnoos20</v>
      </c>
      <c r="C1995" s="6" t="s">
        <v>4691</v>
      </c>
      <c r="D1995" s="5" t="s">
        <v>11695</v>
      </c>
      <c r="E1995" s="9" t="str">
        <f>HYPERLINK("https://twitter.com/ghoghnoos20/status/1036504504072585216","1036504504072585216")</f>
        <v>1036504504072585216</v>
      </c>
      <c r="F1995" s="4"/>
      <c r="G1995" s="4"/>
      <c r="H1995" s="4"/>
      <c r="I1995" s="10" t="str">
        <f>HYPERLINK("http://twitter.com/download/android","Twitter for Android")</f>
        <v>Twitter for Android</v>
      </c>
      <c r="J1995" s="2">
        <v>3518</v>
      </c>
      <c r="K1995" s="2">
        <v>4113</v>
      </c>
      <c r="L1995" s="2">
        <v>7</v>
      </c>
      <c r="M1995" s="2"/>
      <c r="N1995" s="8">
        <v>42787.976851851854</v>
      </c>
      <c r="O1995" s="4" t="s">
        <v>5369</v>
      </c>
      <c r="P1995" s="3" t="s">
        <v>5368</v>
      </c>
      <c r="Q1995" s="4"/>
      <c r="R1995" s="4"/>
      <c r="S1995" s="9" t="str">
        <f>HYPERLINK("https://pbs.twimg.com/profile_images/966638259760713728/89SW9L_Z.jpg","View")</f>
        <v>View</v>
      </c>
    </row>
    <row r="1996" spans="1:19" ht="20">
      <c r="A1996" s="8">
        <v>43346.461828703701</v>
      </c>
      <c r="B1996" s="11" t="str">
        <f>HYPERLINK("https://twitter.com/ahmad_jannesari","@ahmad_jannesari")</f>
        <v>@ahmad_jannesari</v>
      </c>
      <c r="C1996" s="6" t="s">
        <v>11694</v>
      </c>
      <c r="D1996" s="5" t="s">
        <v>11693</v>
      </c>
      <c r="E1996" s="9" t="str">
        <f>HYPERLINK("https://twitter.com/ahmad_jannesari/status/1036502811830308865","1036502811830308865")</f>
        <v>1036502811830308865</v>
      </c>
      <c r="F1996" s="4"/>
      <c r="G1996" s="10" t="s">
        <v>11692</v>
      </c>
      <c r="H1996" s="4"/>
      <c r="I1996" s="10" t="str">
        <f>HYPERLINK("http://twitter.com","Twitter Web Client")</f>
        <v>Twitter Web Client</v>
      </c>
      <c r="J1996" s="2">
        <v>1040</v>
      </c>
      <c r="K1996" s="2">
        <v>595</v>
      </c>
      <c r="L1996" s="2">
        <v>2</v>
      </c>
      <c r="M1996" s="2"/>
      <c r="N1996" s="8">
        <v>42736.944652777776</v>
      </c>
      <c r="O1996" s="4" t="s">
        <v>11677</v>
      </c>
      <c r="P1996" s="3" t="s">
        <v>11691</v>
      </c>
      <c r="Q1996" s="10" t="s">
        <v>11690</v>
      </c>
      <c r="R1996" s="4"/>
      <c r="S1996" s="9" t="str">
        <f>HYPERLINK("https://pbs.twimg.com/profile_images/1036227563104817152/lPoP94m1.jpg","View")</f>
        <v>View</v>
      </c>
    </row>
    <row r="1997" spans="1:19" ht="30">
      <c r="A1997" s="8">
        <v>43346.460405092592</v>
      </c>
      <c r="B1997" s="11" t="str">
        <f>HYPERLINK("https://twitter.com/458_reza","@458_reza")</f>
        <v>@458_reza</v>
      </c>
      <c r="C1997" s="6" t="s">
        <v>1221</v>
      </c>
      <c r="D1997" s="5" t="s">
        <v>11689</v>
      </c>
      <c r="E1997" s="9" t="str">
        <f>HYPERLINK("https://twitter.com/458_reza/status/1036502297025630208","1036502297025630208")</f>
        <v>1036502297025630208</v>
      </c>
      <c r="F1997" s="4"/>
      <c r="G1997" s="4"/>
      <c r="H1997" s="4"/>
      <c r="I1997" s="10" t="str">
        <f>HYPERLINK("http://twitter.com/download/iphone","Twitter for iPhone")</f>
        <v>Twitter for iPhone</v>
      </c>
      <c r="J1997" s="2">
        <v>128</v>
      </c>
      <c r="K1997" s="2">
        <v>188</v>
      </c>
      <c r="L1997" s="2">
        <v>1</v>
      </c>
      <c r="M1997" s="2"/>
      <c r="N1997" s="8">
        <v>41812.539317129631</v>
      </c>
      <c r="O1997" s="4" t="s">
        <v>1219</v>
      </c>
      <c r="P1997" s="3" t="s">
        <v>1218</v>
      </c>
      <c r="Q1997" s="4"/>
      <c r="R1997" s="4"/>
      <c r="S1997" s="9" t="str">
        <f>HYPERLINK("https://pbs.twimg.com/profile_images/940287487728947201/gzGWxfmy.jpg","View")</f>
        <v>View</v>
      </c>
    </row>
    <row r="1998" spans="1:19" ht="20">
      <c r="A1998" s="8">
        <v>43346.457627314812</v>
      </c>
      <c r="B1998" s="11" t="str">
        <f>HYPERLINK("https://twitter.com/peymanbarsam","@peymanbarsam")</f>
        <v>@peymanbarsam</v>
      </c>
      <c r="C1998" s="6" t="s">
        <v>11688</v>
      </c>
      <c r="D1998" s="5" t="s">
        <v>11687</v>
      </c>
      <c r="E1998" s="9" t="str">
        <f>HYPERLINK("https://twitter.com/peymanbarsam/status/1036501289365118976","1036501289365118976")</f>
        <v>1036501289365118976</v>
      </c>
      <c r="F1998" s="10" t="s">
        <v>11686</v>
      </c>
      <c r="G1998" s="4"/>
      <c r="H1998" s="4"/>
      <c r="I1998" s="10" t="str">
        <f>HYPERLINK("http://instagram.com","Instagram")</f>
        <v>Instagram</v>
      </c>
      <c r="J1998" s="2">
        <v>90</v>
      </c>
      <c r="K1998" s="2">
        <v>11</v>
      </c>
      <c r="L1998" s="2">
        <v>0</v>
      </c>
      <c r="M1998" s="2"/>
      <c r="N1998" s="8">
        <v>43096.604120370372</v>
      </c>
      <c r="O1998" s="4"/>
      <c r="P1998" s="3"/>
      <c r="Q1998" s="4"/>
      <c r="R1998" s="4"/>
      <c r="S1998" s="9" t="str">
        <f>HYPERLINK("https://pbs.twimg.com/profile_images/1005723114205048832/wc0UOr4s.jpg","View")</f>
        <v>View</v>
      </c>
    </row>
    <row r="1999" spans="1:19" ht="40">
      <c r="A1999" s="8">
        <v>43346.454027777778</v>
      </c>
      <c r="B1999" s="11" t="str">
        <f>HYPERLINK("https://twitter.com/Tasnimnews_Fa","@Tasnimnews_Fa")</f>
        <v>@Tasnimnews_Fa</v>
      </c>
      <c r="C1999" s="6" t="s">
        <v>603</v>
      </c>
      <c r="D1999" s="5" t="s">
        <v>11685</v>
      </c>
      <c r="E1999" s="9" t="str">
        <f>HYPERLINK("https://twitter.com/Tasnimnews_Fa/status/1036499985767059456","1036499985767059456")</f>
        <v>1036499985767059456</v>
      </c>
      <c r="F1999" s="10" t="s">
        <v>11684</v>
      </c>
      <c r="G1999" s="10" t="s">
        <v>11683</v>
      </c>
      <c r="H1999" s="4"/>
      <c r="I1999" s="10" t="str">
        <f>HYPERLINK("http://twitter.com","Twitter Web Client")</f>
        <v>Twitter Web Client</v>
      </c>
      <c r="J1999" s="2">
        <v>109647</v>
      </c>
      <c r="K1999" s="2">
        <v>20</v>
      </c>
      <c r="L1999" s="2">
        <v>378</v>
      </c>
      <c r="M1999" s="2" t="s">
        <v>80</v>
      </c>
      <c r="N1999" s="8">
        <v>41868.671585648146</v>
      </c>
      <c r="O1999" s="4" t="s">
        <v>133</v>
      </c>
      <c r="P1999" s="3" t="s">
        <v>599</v>
      </c>
      <c r="Q1999" s="10" t="s">
        <v>598</v>
      </c>
      <c r="R1999" s="4"/>
      <c r="S1999" s="9" t="str">
        <f>HYPERLINK("https://pbs.twimg.com/profile_images/942003149430239232/hvLw_1_E.jpg","View")</f>
        <v>View</v>
      </c>
    </row>
    <row r="2000" spans="1:19" ht="30">
      <c r="A2000" s="8">
        <v>43346.44703703704</v>
      </c>
      <c r="B2000" s="11" t="str">
        <f>HYPERLINK("https://twitter.com/mersadirani","@mersadirani")</f>
        <v>@mersadirani</v>
      </c>
      <c r="C2000" s="6" t="s">
        <v>10660</v>
      </c>
      <c r="D2000" s="5" t="s">
        <v>11682</v>
      </c>
      <c r="E2000" s="9" t="str">
        <f>HYPERLINK("https://twitter.com/mersadirani/status/1036497453820911616","1036497453820911616")</f>
        <v>1036497453820911616</v>
      </c>
      <c r="F2000" s="4"/>
      <c r="G2000" s="10" t="s">
        <v>11681</v>
      </c>
      <c r="H2000" s="4"/>
      <c r="I2000" s="10" t="str">
        <f>HYPERLINK("http://twitter.com","Twitter Web Client")</f>
        <v>Twitter Web Client</v>
      </c>
      <c r="J2000" s="2">
        <v>81</v>
      </c>
      <c r="K2000" s="2">
        <v>99</v>
      </c>
      <c r="L2000" s="2">
        <v>1</v>
      </c>
      <c r="M2000" s="2"/>
      <c r="N2000" s="8">
        <v>42818.974259259259</v>
      </c>
      <c r="O2000" s="4" t="s">
        <v>682</v>
      </c>
      <c r="P2000" s="3"/>
      <c r="Q2000" s="4"/>
      <c r="R2000" s="4"/>
      <c r="S2000" s="9" t="str">
        <f>HYPERLINK("https://pbs.twimg.com/profile_images/919513494508261377/ufN6oOut.jpg","View")</f>
        <v>View</v>
      </c>
    </row>
    <row r="2001" spans="1:19" ht="40">
      <c r="A2001" s="8">
        <v>43346.446747685186</v>
      </c>
      <c r="B2001" s="11" t="str">
        <f>HYPERLINK("https://twitter.com/amdanesh","@amdanesh")</f>
        <v>@amdanesh</v>
      </c>
      <c r="C2001" s="6" t="s">
        <v>11680</v>
      </c>
      <c r="D2001" s="5" t="s">
        <v>11679</v>
      </c>
      <c r="E2001" s="9" t="str">
        <f>HYPERLINK("https://twitter.com/amdanesh/status/1036497346085957632","1036497346085957632")</f>
        <v>1036497346085957632</v>
      </c>
      <c r="F2001" s="10" t="s">
        <v>11678</v>
      </c>
      <c r="G2001" s="4"/>
      <c r="H2001" s="4"/>
      <c r="I2001" s="10" t="str">
        <f>HYPERLINK("http://twitter.com","Twitter Web Client")</f>
        <v>Twitter Web Client</v>
      </c>
      <c r="J2001" s="2">
        <v>2758</v>
      </c>
      <c r="K2001" s="2">
        <v>747</v>
      </c>
      <c r="L2001" s="2">
        <v>34</v>
      </c>
      <c r="M2001" s="2"/>
      <c r="N2001" s="8">
        <v>41116.417407407411</v>
      </c>
      <c r="O2001" s="4" t="s">
        <v>11677</v>
      </c>
      <c r="P2001" s="3" t="s">
        <v>11676</v>
      </c>
      <c r="Q2001" s="10" t="s">
        <v>11675</v>
      </c>
      <c r="R2001" s="4"/>
      <c r="S2001" s="9" t="str">
        <f>HYPERLINK("https://pbs.twimg.com/profile_images/872806134834483200/9Y6CQ8zM.jpg","View")</f>
        <v>View</v>
      </c>
    </row>
    <row r="2002" spans="1:19" ht="20">
      <c r="A2002" s="8">
        <v>43346.446134259255</v>
      </c>
      <c r="B2002" s="11" t="str">
        <f>HYPERLINK("https://twitter.com/BorooYare","@BorooYare")</f>
        <v>@BorooYare</v>
      </c>
      <c r="C2002" s="6" t="s">
        <v>2806</v>
      </c>
      <c r="D2002" s="5" t="s">
        <v>11674</v>
      </c>
      <c r="E2002" s="9" t="str">
        <f>HYPERLINK("https://twitter.com/BorooYare/status/1036497123502710784","1036497123502710784")</f>
        <v>1036497123502710784</v>
      </c>
      <c r="F2002" s="4"/>
      <c r="G2002" s="4"/>
      <c r="H2002" s="4"/>
      <c r="I2002" s="10" t="str">
        <f>HYPERLINK("http://twitter.com/download/android","Twitter for Android")</f>
        <v>Twitter for Android</v>
      </c>
      <c r="J2002" s="2">
        <v>184</v>
      </c>
      <c r="K2002" s="2">
        <v>116</v>
      </c>
      <c r="L2002" s="2">
        <v>0</v>
      </c>
      <c r="M2002" s="2"/>
      <c r="N2002" s="8">
        <v>43275.715601851851</v>
      </c>
      <c r="O2002" s="4" t="s">
        <v>2804</v>
      </c>
      <c r="P2002" s="3" t="s">
        <v>2803</v>
      </c>
      <c r="Q2002" s="10" t="s">
        <v>2802</v>
      </c>
      <c r="R2002" s="4"/>
      <c r="S2002" s="9" t="str">
        <f>HYPERLINK("https://pbs.twimg.com/profile_images/1010888803211345920/USKeZIhG.jpg","View")</f>
        <v>View</v>
      </c>
    </row>
    <row r="2003" spans="1:19" ht="20">
      <c r="A2003" s="8">
        <v>43346.445358796293</v>
      </c>
      <c r="B2003" s="11" t="str">
        <f>HYPERLINK("https://twitter.com/petrosetalabkar","@petrosetalabkar")</f>
        <v>@petrosetalabkar</v>
      </c>
      <c r="C2003" s="6" t="s">
        <v>11673</v>
      </c>
      <c r="D2003" s="5" t="s">
        <v>11672</v>
      </c>
      <c r="E2003" s="9" t="str">
        <f>HYPERLINK("https://twitter.com/petrosetalabkar/status/1036496843277062144","1036496843277062144")</f>
        <v>1036496843277062144</v>
      </c>
      <c r="F2003" s="4"/>
      <c r="G2003" s="4"/>
      <c r="H2003" s="4"/>
      <c r="I2003" s="10" t="str">
        <f>HYPERLINK("http://twitter.com/download/android","Twitter for Android")</f>
        <v>Twitter for Android</v>
      </c>
      <c r="J2003" s="2">
        <v>312</v>
      </c>
      <c r="K2003" s="2">
        <v>365</v>
      </c>
      <c r="L2003" s="2">
        <v>0</v>
      </c>
      <c r="M2003" s="2"/>
      <c r="N2003" s="8">
        <v>43072.028078703705</v>
      </c>
      <c r="O2003" s="4" t="s">
        <v>2921</v>
      </c>
      <c r="P2003" s="3" t="s">
        <v>11671</v>
      </c>
      <c r="Q2003" s="4"/>
      <c r="R2003" s="4"/>
      <c r="S2003" s="9" t="str">
        <f>HYPERLINK("https://pbs.twimg.com/profile_images/937070877434351621/_YEFARhN.jpg","View")</f>
        <v>View</v>
      </c>
    </row>
    <row r="2004" spans="1:19" ht="30">
      <c r="A2004" s="8">
        <v>43346.444074074076</v>
      </c>
      <c r="B2004" s="11" t="str">
        <f>HYPERLINK("https://twitter.com/sajad_art","@sajad_art")</f>
        <v>@sajad_art</v>
      </c>
      <c r="C2004" s="6" t="s">
        <v>11435</v>
      </c>
      <c r="D2004" s="5" t="s">
        <v>11670</v>
      </c>
      <c r="E2004" s="9" t="str">
        <f>HYPERLINK("https://twitter.com/sajad_art/status/1036496378694959104","1036496378694959104")</f>
        <v>1036496378694959104</v>
      </c>
      <c r="F2004" s="4"/>
      <c r="G2004" s="4"/>
      <c r="H2004" s="4"/>
      <c r="I2004" s="10" t="str">
        <f>HYPERLINK("http://twitter.com/download/android","Twitter for Android")</f>
        <v>Twitter for Android</v>
      </c>
      <c r="J2004" s="2">
        <v>2</v>
      </c>
      <c r="K2004" s="2">
        <v>9</v>
      </c>
      <c r="L2004" s="2">
        <v>0</v>
      </c>
      <c r="M2004" s="2"/>
      <c r="N2004" s="8">
        <v>43344.920208333337</v>
      </c>
      <c r="O2004" s="4" t="s">
        <v>11432</v>
      </c>
      <c r="P2004" s="3" t="s">
        <v>11431</v>
      </c>
      <c r="Q2004" s="4"/>
      <c r="R2004" s="4"/>
      <c r="S2004" s="9" t="str">
        <f>HYPERLINK("https://pbs.twimg.com/profile_images/1035947360461963266/Y_J0k9SA.jpg","View")</f>
        <v>View</v>
      </c>
    </row>
    <row r="2005" spans="1:19" ht="20">
      <c r="A2005" s="8">
        <v>43346.442013888889</v>
      </c>
      <c r="B2005" s="11" t="str">
        <f>HYPERLINK("https://twitter.com/WBqvixoJIQAVlyE","@WBqvixoJIQAVlyE")</f>
        <v>@WBqvixoJIQAVlyE</v>
      </c>
      <c r="C2005" s="6" t="s">
        <v>11669</v>
      </c>
      <c r="D2005" s="5" t="s">
        <v>11668</v>
      </c>
      <c r="E2005" s="9" t="str">
        <f>HYPERLINK("https://twitter.com/WBqvixoJIQAVlyE/status/1036495630019919872","1036495630019919872")</f>
        <v>1036495630019919872</v>
      </c>
      <c r="F2005" s="4"/>
      <c r="G2005" s="4"/>
      <c r="H2005" s="4"/>
      <c r="I2005" s="10" t="str">
        <f>HYPERLINK("http://twitter.com","Twitter Web Client")</f>
        <v>Twitter Web Client</v>
      </c>
      <c r="J2005" s="2">
        <v>4</v>
      </c>
      <c r="K2005" s="2">
        <v>101</v>
      </c>
      <c r="L2005" s="2">
        <v>0</v>
      </c>
      <c r="M2005" s="2"/>
      <c r="N2005" s="8">
        <v>43346.377280092594</v>
      </c>
      <c r="O2005" s="4"/>
      <c r="P2005" s="3" t="s">
        <v>11667</v>
      </c>
      <c r="Q2005" s="4"/>
      <c r="R2005" s="4"/>
      <c r="S2005" s="9" t="str">
        <f>HYPERLINK("https://pbs.twimg.com/profile_images/1036472909445791744/ItztWBVn.jpg","View")</f>
        <v>View</v>
      </c>
    </row>
    <row r="2006" spans="1:19" ht="40">
      <c r="A2006" s="8">
        <v>43346.441192129627</v>
      </c>
      <c r="B2006" s="11" t="str">
        <f>HYPERLINK("https://twitter.com/AkhbarFori","@AkhbarFori")</f>
        <v>@AkhbarFori</v>
      </c>
      <c r="C2006" s="6" t="s">
        <v>703</v>
      </c>
      <c r="D2006" s="5" t="s">
        <v>11666</v>
      </c>
      <c r="E2006" s="9" t="str">
        <f>HYPERLINK("https://twitter.com/AkhbarFori/status/1036495334820786177","1036495334820786177")</f>
        <v>1036495334820786177</v>
      </c>
      <c r="F2006" s="4"/>
      <c r="G2006" s="4"/>
      <c r="H2006" s="4"/>
      <c r="I2006" s="10" t="str">
        <f>HYPERLINK("http://twitter.com/download/android","Twitter for Android")</f>
        <v>Twitter for Android</v>
      </c>
      <c r="J2006" s="2">
        <v>2277</v>
      </c>
      <c r="K2006" s="2">
        <v>57</v>
      </c>
      <c r="L2006" s="2">
        <v>10</v>
      </c>
      <c r="M2006" s="2"/>
      <c r="N2006" s="8">
        <v>42681.433865740742</v>
      </c>
      <c r="O2006" s="4" t="s">
        <v>34</v>
      </c>
      <c r="P2006" s="3" t="s">
        <v>700</v>
      </c>
      <c r="Q2006" s="10" t="s">
        <v>699</v>
      </c>
      <c r="R2006" s="4"/>
      <c r="S2006" s="9" t="str">
        <f>HYPERLINK("https://pbs.twimg.com/profile_images/966310274599964674/M_bW7CfD.jpg","View")</f>
        <v>View</v>
      </c>
    </row>
    <row r="2007" spans="1:19" ht="40">
      <c r="A2007" s="8">
        <v>43346.435081018513</v>
      </c>
      <c r="B2007" s="11" t="str">
        <f>HYPERLINK("https://twitter.com/karimi309","@karimi309")</f>
        <v>@karimi309</v>
      </c>
      <c r="C2007" s="6" t="s">
        <v>5527</v>
      </c>
      <c r="D2007" s="5" t="s">
        <v>11665</v>
      </c>
      <c r="E2007" s="9" t="str">
        <f>HYPERLINK("https://twitter.com/karimi309/status/1036493119104208896","1036493119104208896")</f>
        <v>1036493119104208896</v>
      </c>
      <c r="F2007" s="4"/>
      <c r="G2007" s="4"/>
      <c r="H2007" s="4"/>
      <c r="I2007" s="10" t="str">
        <f>HYPERLINK("http://twitter.com/download/android","Twitter for Android")</f>
        <v>Twitter for Android</v>
      </c>
      <c r="J2007" s="2">
        <v>1031</v>
      </c>
      <c r="K2007" s="2">
        <v>896</v>
      </c>
      <c r="L2007" s="2">
        <v>1</v>
      </c>
      <c r="M2007" s="2"/>
      <c r="N2007" s="8">
        <v>43111.408750000002</v>
      </c>
      <c r="O2007" s="4" t="s">
        <v>17</v>
      </c>
      <c r="P2007" s="3" t="s">
        <v>5525</v>
      </c>
      <c r="Q2007" s="4"/>
      <c r="R2007" s="4"/>
      <c r="S2007" s="9" t="str">
        <f>HYPERLINK("https://pbs.twimg.com/profile_images/985076498821500928/aLGZdbvJ.jpg","View")</f>
        <v>View</v>
      </c>
    </row>
    <row r="2008" spans="1:19" ht="30">
      <c r="A2008" s="8">
        <v>43346.434942129628</v>
      </c>
      <c r="B2008" s="11" t="str">
        <f>HYPERLINK("https://twitter.com/AkhbarFori","@AkhbarFori")</f>
        <v>@AkhbarFori</v>
      </c>
      <c r="C2008" s="6" t="s">
        <v>703</v>
      </c>
      <c r="D2008" s="5" t="s">
        <v>11664</v>
      </c>
      <c r="E2008" s="9" t="str">
        <f>HYPERLINK("https://twitter.com/AkhbarFori/status/1036493068382478336","1036493068382478336")</f>
        <v>1036493068382478336</v>
      </c>
      <c r="F2008" s="10" t="s">
        <v>11663</v>
      </c>
      <c r="G2008" s="4"/>
      <c r="H2008" s="4"/>
      <c r="I2008" s="10" t="str">
        <f>HYPERLINK("http://twitter.com/download/android","Twitter for Android")</f>
        <v>Twitter for Android</v>
      </c>
      <c r="J2008" s="2">
        <v>2277</v>
      </c>
      <c r="K2008" s="2">
        <v>57</v>
      </c>
      <c r="L2008" s="2">
        <v>10</v>
      </c>
      <c r="M2008" s="2"/>
      <c r="N2008" s="8">
        <v>42681.433865740742</v>
      </c>
      <c r="O2008" s="4" t="s">
        <v>34</v>
      </c>
      <c r="P2008" s="3" t="s">
        <v>700</v>
      </c>
      <c r="Q2008" s="10" t="s">
        <v>699</v>
      </c>
      <c r="R2008" s="4"/>
      <c r="S2008" s="9" t="str">
        <f>HYPERLINK("https://pbs.twimg.com/profile_images/966310274599964674/M_bW7CfD.jpg","View")</f>
        <v>View</v>
      </c>
    </row>
    <row r="2009" spans="1:19" ht="20">
      <c r="A2009" s="8">
        <v>43346.433136574073</v>
      </c>
      <c r="B2009" s="11" t="str">
        <f>HYPERLINK("https://twitter.com/SayedEsMaeelJ","@SayedEsMaeelJ")</f>
        <v>@SayedEsMaeelJ</v>
      </c>
      <c r="C2009" s="6" t="s">
        <v>11662</v>
      </c>
      <c r="D2009" s="5" t="s">
        <v>11661</v>
      </c>
      <c r="E2009" s="9" t="str">
        <f>HYPERLINK("https://twitter.com/SayedEsMaeelJ/status/1036492416906350592","1036492416906350592")</f>
        <v>1036492416906350592</v>
      </c>
      <c r="F2009" s="4"/>
      <c r="G2009" s="4"/>
      <c r="H2009" s="4"/>
      <c r="I2009" s="10" t="str">
        <f>HYPERLINK("http://twitter.com","Twitter Web Client")</f>
        <v>Twitter Web Client</v>
      </c>
      <c r="J2009" s="2">
        <v>164</v>
      </c>
      <c r="K2009" s="2">
        <v>266</v>
      </c>
      <c r="L2009" s="2">
        <v>1</v>
      </c>
      <c r="M2009" s="2"/>
      <c r="N2009" s="8">
        <v>43131.394606481481</v>
      </c>
      <c r="O2009" s="4" t="s">
        <v>1415</v>
      </c>
      <c r="P2009" s="3" t="s">
        <v>11660</v>
      </c>
      <c r="Q2009" s="4"/>
      <c r="R2009" s="4"/>
      <c r="S2009" s="9" t="str">
        <f>HYPERLINK("https://pbs.twimg.com/profile_images/988161425494478848/mKAUasza.jpg","View")</f>
        <v>View</v>
      </c>
    </row>
    <row r="2010" spans="1:19" ht="40">
      <c r="A2010" s="8">
        <v>43346.432812500003</v>
      </c>
      <c r="B2010" s="11" t="str">
        <f>HYPERLINK("https://twitter.com/abbasemahdavi","@abbasemahdavi")</f>
        <v>@abbasemahdavi</v>
      </c>
      <c r="C2010" s="6" t="s">
        <v>6046</v>
      </c>
      <c r="D2010" s="5" t="s">
        <v>11659</v>
      </c>
      <c r="E2010" s="9" t="str">
        <f>HYPERLINK("https://twitter.com/abbasemahdavi/status/1036492298572316672","1036492298572316672")</f>
        <v>1036492298572316672</v>
      </c>
      <c r="F2010" s="4"/>
      <c r="G2010" s="4"/>
      <c r="H2010" s="4"/>
      <c r="I2010" s="10" t="str">
        <f>HYPERLINK("http://twitter.com","Twitter Web Client")</f>
        <v>Twitter Web Client</v>
      </c>
      <c r="J2010" s="2">
        <v>172</v>
      </c>
      <c r="K2010" s="2">
        <v>134</v>
      </c>
      <c r="L2010" s="2">
        <v>2</v>
      </c>
      <c r="M2010" s="2"/>
      <c r="N2010" s="8">
        <v>42459.729050925926</v>
      </c>
      <c r="O2010" s="4"/>
      <c r="P2010" s="3"/>
      <c r="Q2010" s="10" t="s">
        <v>6042</v>
      </c>
      <c r="R2010" s="4"/>
      <c r="S2010" s="9" t="str">
        <f>HYPERLINK("https://pbs.twimg.com/profile_images/997185930728431616/0pC7tQCU.jpg","View")</f>
        <v>View</v>
      </c>
    </row>
    <row r="2011" spans="1:19" ht="50">
      <c r="A2011" s="8">
        <v>43346.424398148149</v>
      </c>
      <c r="B2011" s="11" t="str">
        <f>HYPERLINK("https://twitter.com/babak_sheibani","@babak_sheibani")</f>
        <v>@babak_sheibani</v>
      </c>
      <c r="C2011" s="6" t="s">
        <v>11656</v>
      </c>
      <c r="D2011" s="5" t="s">
        <v>11658</v>
      </c>
      <c r="E2011" s="9" t="str">
        <f>HYPERLINK("https://twitter.com/babak_sheibani/status/1036489247476396033","1036489247476396033")</f>
        <v>1036489247476396033</v>
      </c>
      <c r="F2011" s="4"/>
      <c r="G2011" s="10" t="s">
        <v>11657</v>
      </c>
      <c r="H2011" s="4"/>
      <c r="I2011" s="10" t="str">
        <f>HYPERLINK("http://twitter.com/download/iphone","Twitter for iPhone")</f>
        <v>Twitter for iPhone</v>
      </c>
      <c r="J2011" s="2">
        <v>139</v>
      </c>
      <c r="K2011" s="2">
        <v>157</v>
      </c>
      <c r="L2011" s="2">
        <v>0</v>
      </c>
      <c r="M2011" s="2"/>
      <c r="N2011" s="8">
        <v>42832.340949074074</v>
      </c>
      <c r="O2011" s="4" t="s">
        <v>34</v>
      </c>
      <c r="P2011" s="3" t="s">
        <v>11654</v>
      </c>
      <c r="Q2011" s="4"/>
      <c r="R2011" s="4"/>
      <c r="S2011" s="9" t="str">
        <f>HYPERLINK("https://pbs.twimg.com/profile_images/936335939294715904/HsneU7vm.jpg","View")</f>
        <v>View</v>
      </c>
    </row>
    <row r="2012" spans="1:19" ht="40">
      <c r="A2012" s="8">
        <v>43346.423263888893</v>
      </c>
      <c r="B2012" s="11" t="str">
        <f>HYPERLINK("https://twitter.com/babak_sheibani","@babak_sheibani")</f>
        <v>@babak_sheibani</v>
      </c>
      <c r="C2012" s="6" t="s">
        <v>11656</v>
      </c>
      <c r="D2012" s="5" t="s">
        <v>11655</v>
      </c>
      <c r="E2012" s="9" t="str">
        <f>HYPERLINK("https://twitter.com/babak_sheibani/status/1036488835562196992","1036488835562196992")</f>
        <v>1036488835562196992</v>
      </c>
      <c r="F2012" s="4"/>
      <c r="G2012" s="4"/>
      <c r="H2012" s="4"/>
      <c r="I2012" s="10" t="str">
        <f>HYPERLINK("http://twitter.com/download/iphone","Twitter for iPhone")</f>
        <v>Twitter for iPhone</v>
      </c>
      <c r="J2012" s="2">
        <v>139</v>
      </c>
      <c r="K2012" s="2">
        <v>157</v>
      </c>
      <c r="L2012" s="2">
        <v>0</v>
      </c>
      <c r="M2012" s="2"/>
      <c r="N2012" s="8">
        <v>42832.340949074074</v>
      </c>
      <c r="O2012" s="4" t="s">
        <v>34</v>
      </c>
      <c r="P2012" s="3" t="s">
        <v>11654</v>
      </c>
      <c r="Q2012" s="4"/>
      <c r="R2012" s="4"/>
      <c r="S2012" s="9" t="str">
        <f>HYPERLINK("https://pbs.twimg.com/profile_images/936335939294715904/HsneU7vm.jpg","View")</f>
        <v>View</v>
      </c>
    </row>
    <row r="2013" spans="1:19" ht="30">
      <c r="A2013" s="8">
        <v>43346.422361111108</v>
      </c>
      <c r="B2013" s="11" t="str">
        <f>HYPERLINK("https://twitter.com/marzban316","@marzban316")</f>
        <v>@marzban316</v>
      </c>
      <c r="C2013" s="6" t="s">
        <v>11653</v>
      </c>
      <c r="D2013" s="5" t="s">
        <v>11652</v>
      </c>
      <c r="E2013" s="9" t="str">
        <f>HYPERLINK("https://twitter.com/marzban316/status/1036488511417982976","1036488511417982976")</f>
        <v>1036488511417982976</v>
      </c>
      <c r="F2013" s="4"/>
      <c r="G2013" s="10" t="s">
        <v>11651</v>
      </c>
      <c r="H2013" s="4"/>
      <c r="I2013" s="10" t="str">
        <f>HYPERLINK("http://twitter.com/download/android","Twitter for Android")</f>
        <v>Twitter for Android</v>
      </c>
      <c r="J2013" s="2">
        <v>2535</v>
      </c>
      <c r="K2013" s="2">
        <v>450</v>
      </c>
      <c r="L2013" s="2">
        <v>17</v>
      </c>
      <c r="M2013" s="2"/>
      <c r="N2013" s="8">
        <v>42112.570648148147</v>
      </c>
      <c r="O2013" s="4" t="s">
        <v>11650</v>
      </c>
      <c r="P2013" s="3" t="s">
        <v>11649</v>
      </c>
      <c r="Q2013" s="4"/>
      <c r="R2013" s="4"/>
      <c r="S2013" s="9" t="str">
        <f>HYPERLINK("https://pbs.twimg.com/profile_images/1013562578629480448/VZ8YHMRF.jpg","View")</f>
        <v>View</v>
      </c>
    </row>
    <row r="2014" spans="1:19" ht="30">
      <c r="A2014" s="8">
        <v>43346.416851851856</v>
      </c>
      <c r="B2014" s="11" t="str">
        <f>HYPERLINK("https://twitter.com/shamidmojtabavi","@shamidmojtabavi")</f>
        <v>@shamidmojtabavi</v>
      </c>
      <c r="C2014" s="6" t="s">
        <v>11648</v>
      </c>
      <c r="D2014" s="5" t="s">
        <v>11647</v>
      </c>
      <c r="E2014" s="9" t="str">
        <f>HYPERLINK("https://twitter.com/shamidmojtabavi/status/1036486511578046464","1036486511578046464")</f>
        <v>1036486511578046464</v>
      </c>
      <c r="F2014" s="4"/>
      <c r="G2014" s="10" t="s">
        <v>11646</v>
      </c>
      <c r="H2014" s="4"/>
      <c r="I2014" s="10" t="str">
        <f>HYPERLINK("http://twitter.com/download/android","Twitter for Android")</f>
        <v>Twitter for Android</v>
      </c>
      <c r="J2014" s="2">
        <v>218</v>
      </c>
      <c r="K2014" s="2">
        <v>217</v>
      </c>
      <c r="L2014" s="2">
        <v>1</v>
      </c>
      <c r="M2014" s="2"/>
      <c r="N2014" s="8">
        <v>43147.21938657407</v>
      </c>
      <c r="O2014" s="4" t="s">
        <v>34</v>
      </c>
      <c r="P2014" s="3" t="s">
        <v>11645</v>
      </c>
      <c r="Q2014" s="4"/>
      <c r="R2014" s="4"/>
      <c r="S2014" s="9" t="str">
        <f>HYPERLINK("https://pbs.twimg.com/profile_images/964324222045696001/3AzzESw-.jpg","View")</f>
        <v>View</v>
      </c>
    </row>
    <row r="2015" spans="1:19" ht="30">
      <c r="A2015" s="8">
        <v>43346.409710648149</v>
      </c>
      <c r="B2015" s="11" t="str">
        <f>HYPERLINK("https://twitter.com/Hamid__Vakili","@Hamid__Vakili")</f>
        <v>@Hamid__Vakili</v>
      </c>
      <c r="C2015" s="6" t="s">
        <v>11644</v>
      </c>
      <c r="D2015" s="5" t="s">
        <v>11643</v>
      </c>
      <c r="E2015" s="9" t="str">
        <f>HYPERLINK("https://twitter.com/Hamid__Vakili/status/1036483924569059328","1036483924569059328")</f>
        <v>1036483924569059328</v>
      </c>
      <c r="F2015" s="4"/>
      <c r="G2015" s="4"/>
      <c r="H2015" s="4"/>
      <c r="I2015" s="10" t="str">
        <f>HYPERLINK("http://twitter.com/download/iphone","Twitter for iPhone")</f>
        <v>Twitter for iPhone</v>
      </c>
      <c r="J2015" s="2">
        <v>358</v>
      </c>
      <c r="K2015" s="2">
        <v>1019</v>
      </c>
      <c r="L2015" s="2">
        <v>1</v>
      </c>
      <c r="M2015" s="2"/>
      <c r="N2015" s="8">
        <v>43019.473344907412</v>
      </c>
      <c r="O2015" s="4" t="s">
        <v>17</v>
      </c>
      <c r="P2015" s="3" t="s">
        <v>11642</v>
      </c>
      <c r="Q2015" s="10" t="s">
        <v>11641</v>
      </c>
      <c r="R2015" s="4"/>
      <c r="S2015" s="9" t="str">
        <f>HYPERLINK("https://pbs.twimg.com/profile_images/918027471722774529/msNRg8Bq.jpg","View")</f>
        <v>View</v>
      </c>
    </row>
    <row r="2016" spans="1:19" ht="40">
      <c r="A2016" s="8">
        <v>43346.409560185188</v>
      </c>
      <c r="B2016" s="11" t="str">
        <f>HYPERLINK("https://twitter.com/ata_afs","@ata_afs")</f>
        <v>@ata_afs</v>
      </c>
      <c r="C2016" s="6" t="s">
        <v>1217</v>
      </c>
      <c r="D2016" s="5" t="s">
        <v>11640</v>
      </c>
      <c r="E2016" s="9" t="str">
        <f>HYPERLINK("https://twitter.com/ata_afs/status/1036483869300543490","1036483869300543490")</f>
        <v>1036483869300543490</v>
      </c>
      <c r="F2016" s="4"/>
      <c r="G2016" s="4"/>
      <c r="H2016" s="4"/>
      <c r="I2016" s="10" t="str">
        <f>HYPERLINK("http://twitter.com/download/iphone","Twitter for iPhone")</f>
        <v>Twitter for iPhone</v>
      </c>
      <c r="J2016" s="2">
        <v>376</v>
      </c>
      <c r="K2016" s="2">
        <v>695</v>
      </c>
      <c r="L2016" s="2">
        <v>0</v>
      </c>
      <c r="M2016" s="2"/>
      <c r="N2016" s="8">
        <v>41833.536099537036</v>
      </c>
      <c r="O2016" s="4" t="s">
        <v>34</v>
      </c>
      <c r="P2016" s="3" t="s">
        <v>1213</v>
      </c>
      <c r="Q2016" s="4"/>
      <c r="R2016" s="4"/>
      <c r="S2016" s="9" t="str">
        <f>HYPERLINK("https://pbs.twimg.com/profile_images/958374868008960000/IRXSv5-C.jpg","View")</f>
        <v>View</v>
      </c>
    </row>
    <row r="2017" spans="1:19" ht="20">
      <c r="A2017" s="8">
        <v>43346.407627314809</v>
      </c>
      <c r="B2017" s="11" t="str">
        <f>HYPERLINK("https://twitter.com/kamran_sh1788","@kamran_sh1788")</f>
        <v>@kamran_sh1788</v>
      </c>
      <c r="C2017" s="6" t="s">
        <v>6763</v>
      </c>
      <c r="D2017" s="5" t="s">
        <v>11639</v>
      </c>
      <c r="E2017" s="9" t="str">
        <f>HYPERLINK("https://twitter.com/kamran_sh1788/status/1036483171389530112","1036483171389530112")</f>
        <v>1036483171389530112</v>
      </c>
      <c r="F2017" s="4"/>
      <c r="G2017" s="4"/>
      <c r="H2017" s="4"/>
      <c r="I2017" s="10" t="str">
        <f>HYPERLINK("http://twitter.com","Twitter Web Client")</f>
        <v>Twitter Web Client</v>
      </c>
      <c r="J2017" s="2">
        <v>787</v>
      </c>
      <c r="K2017" s="2">
        <v>386</v>
      </c>
      <c r="L2017" s="2">
        <v>9</v>
      </c>
      <c r="M2017" s="2"/>
      <c r="N2017" s="8">
        <v>42742.941400462965</v>
      </c>
      <c r="O2017" s="4" t="s">
        <v>17</v>
      </c>
      <c r="P2017" s="3" t="s">
        <v>6760</v>
      </c>
      <c r="Q2017" s="10" t="s">
        <v>77</v>
      </c>
      <c r="R2017" s="4"/>
      <c r="S2017" s="9" t="str">
        <f>HYPERLINK("https://pbs.twimg.com/profile_images/856539454735097857/BXwne9hh.jpg","View")</f>
        <v>View</v>
      </c>
    </row>
    <row r="2018" spans="1:19" ht="40">
      <c r="A2018" s="8">
        <v>43346.407523148147</v>
      </c>
      <c r="B2018" s="11" t="str">
        <f>HYPERLINK("https://twitter.com/ilnanews","@ilnanews")</f>
        <v>@ilnanews</v>
      </c>
      <c r="C2018" s="6" t="s">
        <v>6413</v>
      </c>
      <c r="D2018" s="5" t="s">
        <v>11638</v>
      </c>
      <c r="E2018" s="9" t="str">
        <f>HYPERLINK("https://twitter.com/ilnanews/status/1036483134773256192","1036483134773256192")</f>
        <v>1036483134773256192</v>
      </c>
      <c r="F2018" s="10" t="s">
        <v>11637</v>
      </c>
      <c r="G2018" s="10" t="s">
        <v>11636</v>
      </c>
      <c r="H2018" s="4"/>
      <c r="I2018" s="10" t="str">
        <f>HYPERLINK("http://twitter.com/download/android","Twitter for Android")</f>
        <v>Twitter for Android</v>
      </c>
      <c r="J2018" s="2">
        <v>32378</v>
      </c>
      <c r="K2018" s="2">
        <v>67</v>
      </c>
      <c r="L2018" s="2">
        <v>161</v>
      </c>
      <c r="M2018" s="2"/>
      <c r="N2018" s="8">
        <v>42062.024768518517</v>
      </c>
      <c r="O2018" s="4" t="s">
        <v>34</v>
      </c>
      <c r="P2018" s="3" t="s">
        <v>6409</v>
      </c>
      <c r="Q2018" s="10" t="s">
        <v>6408</v>
      </c>
      <c r="R2018" s="4"/>
      <c r="S2018" s="9" t="str">
        <f>HYPERLINK("https://pbs.twimg.com/profile_images/760387216782848000/TS1QyYLo.jpg","View")</f>
        <v>View</v>
      </c>
    </row>
    <row r="2019" spans="1:19" ht="40">
      <c r="A2019" s="8">
        <v>43346.402928240743</v>
      </c>
      <c r="B2019" s="11" t="str">
        <f>HYPERLINK("https://twitter.com/asad_1317131","@asad_1317131")</f>
        <v>@asad_1317131</v>
      </c>
      <c r="C2019" s="6" t="s">
        <v>10967</v>
      </c>
      <c r="D2019" s="5" t="s">
        <v>11635</v>
      </c>
      <c r="E2019" s="9" t="str">
        <f>HYPERLINK("https://twitter.com/asad_1317131/status/1036481469181505541","1036481469181505541")</f>
        <v>1036481469181505541</v>
      </c>
      <c r="F2019" s="4"/>
      <c r="G2019" s="4"/>
      <c r="H2019" s="4"/>
      <c r="I2019" s="10" t="str">
        <f>HYPERLINK("http://twitter.com","Twitter Web Client")</f>
        <v>Twitter Web Client</v>
      </c>
      <c r="J2019" s="2">
        <v>207</v>
      </c>
      <c r="K2019" s="2">
        <v>295</v>
      </c>
      <c r="L2019" s="2">
        <v>1</v>
      </c>
      <c r="M2019" s="2"/>
      <c r="N2019" s="8">
        <v>42954.458831018521</v>
      </c>
      <c r="O2019" s="4"/>
      <c r="P2019" s="3"/>
      <c r="Q2019" s="4"/>
      <c r="R2019" s="4"/>
      <c r="S2019" s="9" t="str">
        <f>HYPERLINK("https://pbs.twimg.com/profile_images/1018012747034963968/i1eIG-RV.jpg","View")</f>
        <v>View</v>
      </c>
    </row>
    <row r="2020" spans="1:19" ht="30">
      <c r="A2020" s="8">
        <v>43346.397407407407</v>
      </c>
      <c r="B2020" s="11" t="str">
        <f>HYPERLINK("https://twitter.com/jalali_ma","@jalali_ma")</f>
        <v>@jalali_ma</v>
      </c>
      <c r="C2020" s="6" t="s">
        <v>11634</v>
      </c>
      <c r="D2020" s="5" t="s">
        <v>11633</v>
      </c>
      <c r="E2020" s="9" t="str">
        <f>HYPERLINK("https://twitter.com/jalali_ma/status/1036479468490186752","1036479468490186752")</f>
        <v>1036479468490186752</v>
      </c>
      <c r="F2020" s="10" t="s">
        <v>11632</v>
      </c>
      <c r="G2020" s="10" t="s">
        <v>11631</v>
      </c>
      <c r="H2020" s="4"/>
      <c r="I2020" s="10" t="str">
        <f>HYPERLINK("http://twitter.com/download/iphone","Twitter for iPhone")</f>
        <v>Twitter for iPhone</v>
      </c>
      <c r="J2020" s="2">
        <v>130</v>
      </c>
      <c r="K2020" s="2">
        <v>125</v>
      </c>
      <c r="L2020" s="2">
        <v>0</v>
      </c>
      <c r="M2020" s="2"/>
      <c r="N2020" s="8">
        <v>42717.296006944445</v>
      </c>
      <c r="O2020" s="4" t="s">
        <v>6163</v>
      </c>
      <c r="P2020" s="3"/>
      <c r="Q2020" s="4"/>
      <c r="R2020" s="4"/>
      <c r="S2020" s="9" t="str">
        <f>HYPERLINK("https://pbs.twimg.com/profile_images/988107766333104129/teAoNGUS.jpg","View")</f>
        <v>View</v>
      </c>
    </row>
    <row r="2021" spans="1:19" ht="30">
      <c r="A2021" s="8">
        <v>43346.381504629629</v>
      </c>
      <c r="B2021" s="11" t="str">
        <f>HYPERLINK("https://twitter.com/amin_k22","@amin_k22")</f>
        <v>@amin_k22</v>
      </c>
      <c r="C2021" s="6" t="s">
        <v>11630</v>
      </c>
      <c r="D2021" s="5" t="s">
        <v>11629</v>
      </c>
      <c r="E2021" s="9" t="str">
        <f>HYPERLINK("https://twitter.com/amin_k22/status/1036473703033462784","1036473703033462784")</f>
        <v>1036473703033462784</v>
      </c>
      <c r="F2021" s="4"/>
      <c r="G2021" s="4"/>
      <c r="H2021" s="4"/>
      <c r="I2021" s="10" t="str">
        <f>HYPERLINK("http://twitter.com","Twitter Web Client")</f>
        <v>Twitter Web Client</v>
      </c>
      <c r="J2021" s="2">
        <v>291</v>
      </c>
      <c r="K2021" s="2">
        <v>529</v>
      </c>
      <c r="L2021" s="2">
        <v>1</v>
      </c>
      <c r="M2021" s="2"/>
      <c r="N2021" s="8">
        <v>42463.837418981479</v>
      </c>
      <c r="O2021" s="4" t="s">
        <v>104</v>
      </c>
      <c r="P2021" s="3" t="s">
        <v>11628</v>
      </c>
      <c r="Q2021" s="4"/>
      <c r="R2021" s="4"/>
      <c r="S2021" s="9" t="str">
        <f>HYPERLINK("https://pbs.twimg.com/profile_images/1015493247949344768/CghuzEfJ.jpg","View")</f>
        <v>View</v>
      </c>
    </row>
    <row r="2022" spans="1:19" ht="30">
      <c r="A2022" s="8">
        <v>43346.369745370372</v>
      </c>
      <c r="B2022" s="11" t="str">
        <f>HYPERLINK("https://twitter.com/AlamdaryAli","@AlamdaryAli")</f>
        <v>@AlamdaryAli</v>
      </c>
      <c r="C2022" s="6" t="s">
        <v>11627</v>
      </c>
      <c r="D2022" s="5" t="s">
        <v>11626</v>
      </c>
      <c r="E2022" s="9" t="str">
        <f>HYPERLINK("https://twitter.com/AlamdaryAli/status/1036469442992123904","1036469442992123904")</f>
        <v>1036469442992123904</v>
      </c>
      <c r="F2022" s="4"/>
      <c r="G2022" s="4"/>
      <c r="H2022" s="4"/>
      <c r="I2022" s="10" t="str">
        <f>HYPERLINK("http://twitter.com/download/iphone","Twitter for iPhone")</f>
        <v>Twitter for iPhone</v>
      </c>
      <c r="J2022" s="2">
        <v>64</v>
      </c>
      <c r="K2022" s="2">
        <v>130</v>
      </c>
      <c r="L2022" s="2">
        <v>0</v>
      </c>
      <c r="M2022" s="2"/>
      <c r="N2022" s="8">
        <v>43283.440636574072</v>
      </c>
      <c r="O2022" s="4" t="s">
        <v>133</v>
      </c>
      <c r="P2022" s="3" t="s">
        <v>11625</v>
      </c>
      <c r="Q2022" s="4"/>
      <c r="R2022" s="4"/>
      <c r="S2022" s="9" t="str">
        <f>HYPERLINK("https://pbs.twimg.com/profile_images/1013666147391229952/HC4S2Rij.jpg","View")</f>
        <v>View</v>
      </c>
    </row>
    <row r="2023" spans="1:19" ht="30">
      <c r="A2023" s="8">
        <v>43346.36782407407</v>
      </c>
      <c r="B2023" s="11" t="str">
        <f>HYPERLINK("https://twitter.com/H_khosroabadi","@H_khosroabadi")</f>
        <v>@H_khosroabadi</v>
      </c>
      <c r="C2023" s="6" t="s">
        <v>6300</v>
      </c>
      <c r="D2023" s="5" t="s">
        <v>11624</v>
      </c>
      <c r="E2023" s="9" t="str">
        <f>HYPERLINK("https://twitter.com/H_khosroabadi/status/1036468745483575297","1036468745483575297")</f>
        <v>1036468745483575297</v>
      </c>
      <c r="F2023" s="4"/>
      <c r="G2023" s="4"/>
      <c r="H2023" s="4"/>
      <c r="I2023" s="10" t="str">
        <f>HYPERLINK("http://twitter.com/download/android","Twitter for Android")</f>
        <v>Twitter for Android</v>
      </c>
      <c r="J2023" s="2">
        <v>976</v>
      </c>
      <c r="K2023" s="2">
        <v>488</v>
      </c>
      <c r="L2023" s="2">
        <v>5</v>
      </c>
      <c r="M2023" s="2"/>
      <c r="N2023" s="8">
        <v>42739.460787037038</v>
      </c>
      <c r="O2023" s="4" t="s">
        <v>145</v>
      </c>
      <c r="P2023" s="3" t="s">
        <v>6297</v>
      </c>
      <c r="Q2023" s="10" t="s">
        <v>6296</v>
      </c>
      <c r="R2023" s="4"/>
      <c r="S2023" s="9" t="str">
        <f>HYPERLINK("https://pbs.twimg.com/profile_images/1017979322886475776/kAlXzCqs.jpg","View")</f>
        <v>View</v>
      </c>
    </row>
    <row r="2024" spans="1:19" ht="20">
      <c r="A2024" s="8">
        <v>43346.354976851857</v>
      </c>
      <c r="B2024" s="11" t="str">
        <f>HYPERLINK("https://twitter.com/Entekhab_News","@Entekhab_News")</f>
        <v>@Entekhab_News</v>
      </c>
      <c r="C2024" s="6" t="s">
        <v>519</v>
      </c>
      <c r="D2024" s="5" t="s">
        <v>11623</v>
      </c>
      <c r="E2024" s="9" t="str">
        <f>HYPERLINK("https://twitter.com/Entekhab_News/status/1036464092469444609","1036464092469444609")</f>
        <v>1036464092469444609</v>
      </c>
      <c r="F2024" s="4"/>
      <c r="G2024" s="10" t="s">
        <v>11622</v>
      </c>
      <c r="H2024" s="4"/>
      <c r="I2024" s="10" t="str">
        <f>HYPERLINK("http://twitter.com/download/android","Twitter for Android")</f>
        <v>Twitter for Android</v>
      </c>
      <c r="J2024" s="2">
        <v>16198</v>
      </c>
      <c r="K2024" s="2">
        <v>0</v>
      </c>
      <c r="L2024" s="2">
        <v>153</v>
      </c>
      <c r="M2024" s="2"/>
      <c r="N2024" s="8">
        <v>41846.90483796296</v>
      </c>
      <c r="O2024" s="4" t="s">
        <v>244</v>
      </c>
      <c r="P2024" s="3" t="s">
        <v>517</v>
      </c>
      <c r="Q2024" s="10" t="s">
        <v>516</v>
      </c>
      <c r="R2024" s="4"/>
      <c r="S2024" s="9" t="str">
        <f>HYPERLINK("https://pbs.twimg.com/profile_images/840302676332146689/objFI1sw.jpg","View")</f>
        <v>View</v>
      </c>
    </row>
    <row r="2025" spans="1:19" ht="12.5">
      <c r="A2025" s="8">
        <v>43346.348356481481</v>
      </c>
      <c r="B2025" s="11" t="str">
        <f>HYPERLINK("https://twitter.com/vejdane_shoma","@vejdane_shoma")</f>
        <v>@vejdane_shoma</v>
      </c>
      <c r="C2025" s="6" t="s">
        <v>6732</v>
      </c>
      <c r="D2025" s="5" t="s">
        <v>11621</v>
      </c>
      <c r="E2025" s="9" t="str">
        <f>HYPERLINK("https://twitter.com/vejdane_shoma/status/1036461689934372864","1036461689934372864")</f>
        <v>1036461689934372864</v>
      </c>
      <c r="F2025" s="4"/>
      <c r="G2025" s="10" t="s">
        <v>11620</v>
      </c>
      <c r="H2025" s="4"/>
      <c r="I2025" s="10" t="str">
        <f>HYPERLINK("http://twitter.com/download/android","Twitter for Android")</f>
        <v>Twitter for Android</v>
      </c>
      <c r="J2025" s="2">
        <v>218</v>
      </c>
      <c r="K2025" s="2">
        <v>427</v>
      </c>
      <c r="L2025" s="2">
        <v>0</v>
      </c>
      <c r="M2025" s="2"/>
      <c r="N2025" s="8">
        <v>43247.378611111111</v>
      </c>
      <c r="O2025" s="4" t="s">
        <v>6730</v>
      </c>
      <c r="P2025" s="3" t="s">
        <v>6729</v>
      </c>
      <c r="Q2025" s="4"/>
      <c r="R2025" s="4"/>
      <c r="S2025" s="9" t="str">
        <f>HYPERLINK("https://pbs.twimg.com/profile_images/1000602139775963136/2KElpfIu.jpg","View")</f>
        <v>View</v>
      </c>
    </row>
    <row r="2026" spans="1:19" ht="20">
      <c r="A2026" s="8">
        <v>43346.347939814819</v>
      </c>
      <c r="B2026" s="11" t="str">
        <f>HYPERLINK("https://twitter.com/hajkazem","@hajkazem")</f>
        <v>@hajkazem</v>
      </c>
      <c r="C2026" s="6" t="s">
        <v>11619</v>
      </c>
      <c r="D2026" s="5" t="s">
        <v>11618</v>
      </c>
      <c r="E2026" s="9" t="str">
        <f>HYPERLINK("https://twitter.com/hajkazem/status/1036461542835933186","1036461542835933186")</f>
        <v>1036461542835933186</v>
      </c>
      <c r="F2026" s="4"/>
      <c r="G2026" s="4"/>
      <c r="H2026" s="4"/>
      <c r="I2026" s="10" t="str">
        <f>HYPERLINK("http://twitter.com/download/iphone","Twitter for iPhone")</f>
        <v>Twitter for iPhone</v>
      </c>
      <c r="J2026" s="2">
        <v>6813</v>
      </c>
      <c r="K2026" s="2">
        <v>7457</v>
      </c>
      <c r="L2026" s="2">
        <v>23</v>
      </c>
      <c r="M2026" s="2"/>
      <c r="N2026" s="8">
        <v>40910.409537037034</v>
      </c>
      <c r="O2026" s="4"/>
      <c r="P2026" s="3" t="s">
        <v>11617</v>
      </c>
      <c r="Q2026" s="4"/>
      <c r="R2026" s="4"/>
      <c r="S2026" s="9" t="str">
        <f>HYPERLINK("https://pbs.twimg.com/profile_images/2166944217/agans.jpg","View")</f>
        <v>View</v>
      </c>
    </row>
    <row r="2027" spans="1:19" ht="12.5">
      <c r="A2027" s="8">
        <v>43346.34642361111</v>
      </c>
      <c r="B2027" s="11" t="str">
        <f>HYPERLINK("https://twitter.com/YasharDarabian","@YasharDarabian")</f>
        <v>@YasharDarabian</v>
      </c>
      <c r="C2027" s="6" t="s">
        <v>11616</v>
      </c>
      <c r="D2027" s="5" t="s">
        <v>11615</v>
      </c>
      <c r="E2027" s="9" t="str">
        <f>HYPERLINK("https://twitter.com/YasharDarabian/status/1036460993386303488","1036460993386303488")</f>
        <v>1036460993386303488</v>
      </c>
      <c r="F2027" s="4"/>
      <c r="G2027" s="4"/>
      <c r="H2027" s="4"/>
      <c r="I2027" s="10" t="str">
        <f>HYPERLINK("http://twitter.com/download/android","Twitter for Android")</f>
        <v>Twitter for Android</v>
      </c>
      <c r="J2027" s="2">
        <v>89</v>
      </c>
      <c r="K2027" s="2">
        <v>128</v>
      </c>
      <c r="L2027" s="2">
        <v>0</v>
      </c>
      <c r="M2027" s="2"/>
      <c r="N2027" s="8">
        <v>43101.086504629631</v>
      </c>
      <c r="O2027" s="4" t="s">
        <v>133</v>
      </c>
      <c r="P2027" s="3"/>
      <c r="Q2027" s="4"/>
      <c r="R2027" s="4"/>
      <c r="S2027" s="9" t="str">
        <f>HYPERLINK("https://pbs.twimg.com/profile_images/997131472501923840/4aIQ7rgE.jpg","View")</f>
        <v>View</v>
      </c>
    </row>
    <row r="2028" spans="1:19" ht="40">
      <c r="A2028" s="8">
        <v>43346.340509259258</v>
      </c>
      <c r="B2028" s="11" t="str">
        <f>HYPERLINK("https://twitter.com/hojat_mortaji","@hojat_mortaji")</f>
        <v>@hojat_mortaji</v>
      </c>
      <c r="C2028" s="6" t="s">
        <v>5547</v>
      </c>
      <c r="D2028" s="5" t="s">
        <v>11614</v>
      </c>
      <c r="E2028" s="9" t="str">
        <f>HYPERLINK("https://twitter.com/hojat_mortaji/status/1036458846401773570","1036458846401773570")</f>
        <v>1036458846401773570</v>
      </c>
      <c r="F2028" s="4"/>
      <c r="G2028" s="4"/>
      <c r="H2028" s="4"/>
      <c r="I2028" s="10" t="str">
        <f>HYPERLINK("https://mobile.twitter.com","Twitter Lite")</f>
        <v>Twitter Lite</v>
      </c>
      <c r="J2028" s="2">
        <v>495</v>
      </c>
      <c r="K2028" s="2">
        <v>1425</v>
      </c>
      <c r="L2028" s="2">
        <v>9</v>
      </c>
      <c r="M2028" s="2"/>
      <c r="N2028" s="8">
        <v>42995.431273148148</v>
      </c>
      <c r="O2028" s="4"/>
      <c r="P2028" s="3" t="s">
        <v>5544</v>
      </c>
      <c r="Q2028" s="4"/>
      <c r="R2028" s="4"/>
      <c r="S2028" s="9" t="str">
        <f>HYPERLINK("https://pbs.twimg.com/profile_images/909726781187424257/quSmnJsQ.jpg","View")</f>
        <v>View</v>
      </c>
    </row>
    <row r="2029" spans="1:19" ht="20">
      <c r="A2029" s="8">
        <v>43346.332245370373</v>
      </c>
      <c r="B2029" s="11" t="str">
        <f>HYPERLINK("https://twitter.com/Mahdiyar313Sh","@Mahdiyar313Sh")</f>
        <v>@Mahdiyar313Sh</v>
      </c>
      <c r="C2029" s="6" t="s">
        <v>11613</v>
      </c>
      <c r="D2029" s="5" t="s">
        <v>11612</v>
      </c>
      <c r="E2029" s="9" t="str">
        <f>HYPERLINK("https://twitter.com/Mahdiyar313Sh/status/1036455853799485440","1036455853799485440")</f>
        <v>1036455853799485440</v>
      </c>
      <c r="F2029" s="4"/>
      <c r="G2029" s="4"/>
      <c r="H2029" s="4"/>
      <c r="I2029" s="10" t="str">
        <f>HYPERLINK("http://twitter.com/download/android","Twitter for Android")</f>
        <v>Twitter for Android</v>
      </c>
      <c r="J2029" s="2">
        <v>83</v>
      </c>
      <c r="K2029" s="2">
        <v>88</v>
      </c>
      <c r="L2029" s="2">
        <v>0</v>
      </c>
      <c r="M2029" s="2"/>
      <c r="N2029" s="8">
        <v>41813.096250000002</v>
      </c>
      <c r="O2029" s="4"/>
      <c r="P2029" s="3" t="s">
        <v>11611</v>
      </c>
      <c r="Q2029" s="10" t="s">
        <v>746</v>
      </c>
      <c r="R2029" s="4"/>
      <c r="S2029" s="9" t="str">
        <f>HYPERLINK("https://pbs.twimg.com/profile_images/824602671357329408/F9AmwQQH.jpg","View")</f>
        <v>View</v>
      </c>
    </row>
    <row r="2030" spans="1:19" ht="20">
      <c r="A2030" s="8">
        <v>43346.325289351851</v>
      </c>
      <c r="B2030" s="11" t="str">
        <f>HYPERLINK("https://twitter.com/Klm1373","@Klm1373")</f>
        <v>@Klm1373</v>
      </c>
      <c r="C2030" s="6" t="s">
        <v>11610</v>
      </c>
      <c r="D2030" s="5" t="s">
        <v>11609</v>
      </c>
      <c r="E2030" s="9" t="str">
        <f>HYPERLINK("https://twitter.com/Klm1373/status/1036453334364954626","1036453334364954626")</f>
        <v>1036453334364954626</v>
      </c>
      <c r="F2030" s="4"/>
      <c r="G2030" s="4"/>
      <c r="H2030" s="4"/>
      <c r="I2030" s="10" t="str">
        <f>HYPERLINK("http://twitter.com/download/iphone","Twitter for iPhone")</f>
        <v>Twitter for iPhone</v>
      </c>
      <c r="J2030" s="2">
        <v>112</v>
      </c>
      <c r="K2030" s="2">
        <v>503</v>
      </c>
      <c r="L2030" s="2">
        <v>0</v>
      </c>
      <c r="M2030" s="2"/>
      <c r="N2030" s="8">
        <v>41533.768993055557</v>
      </c>
      <c r="O2030" s="4" t="s">
        <v>1415</v>
      </c>
      <c r="P2030" s="3" t="s">
        <v>11608</v>
      </c>
      <c r="Q2030" s="4"/>
      <c r="R2030" s="4"/>
      <c r="S2030" s="9" t="str">
        <f>HYPERLINK("https://pbs.twimg.com/profile_images/1022376486211407872/zejoLchi.jpg","View")</f>
        <v>View</v>
      </c>
    </row>
    <row r="2031" spans="1:19" ht="20">
      <c r="A2031" s="8">
        <v>43346.316979166666</v>
      </c>
      <c r="B2031" s="11" t="str">
        <f>HYPERLINK("https://twitter.com/siroos23664793","@siroos23664793")</f>
        <v>@siroos23664793</v>
      </c>
      <c r="C2031" s="6" t="s">
        <v>11607</v>
      </c>
      <c r="D2031" s="5" t="s">
        <v>11606</v>
      </c>
      <c r="E2031" s="9" t="str">
        <f>HYPERLINK("https://twitter.com/siroos23664793/status/1036450318945529856","1036450318945529856")</f>
        <v>1036450318945529856</v>
      </c>
      <c r="F2031" s="4"/>
      <c r="G2031" s="4"/>
      <c r="H2031" s="4"/>
      <c r="I2031" s="10" t="str">
        <f>HYPERLINK("http://twitter.com","Twitter Web Client")</f>
        <v>Twitter Web Client</v>
      </c>
      <c r="J2031" s="2">
        <v>11</v>
      </c>
      <c r="K2031" s="2">
        <v>47</v>
      </c>
      <c r="L2031" s="2">
        <v>0</v>
      </c>
      <c r="M2031" s="2"/>
      <c r="N2031" s="8">
        <v>43331.958032407405</v>
      </c>
      <c r="O2031" s="4"/>
      <c r="P2031" s="3" t="s">
        <v>11605</v>
      </c>
      <c r="Q2031" s="4"/>
      <c r="R2031" s="4"/>
      <c r="S2031" s="9" t="str">
        <f>HYPERLINK("https://pbs.twimg.com/profile_images/1035756316126572544/bcHJMASx.jpg","View")</f>
        <v>View</v>
      </c>
    </row>
    <row r="2032" spans="1:19" ht="40">
      <c r="A2032" s="8">
        <v>43346.284907407404</v>
      </c>
      <c r="B2032" s="11" t="str">
        <f>HYPERLINK("https://twitter.com/shabnambrume","@shabnambrume")</f>
        <v>@shabnambrume</v>
      </c>
      <c r="C2032" s="6" t="s">
        <v>761</v>
      </c>
      <c r="D2032" s="5" t="s">
        <v>11604</v>
      </c>
      <c r="E2032" s="9" t="str">
        <f>HYPERLINK("https://twitter.com/shabnambrume/status/1036438700576653312","1036438700576653312")</f>
        <v>1036438700576653312</v>
      </c>
      <c r="F2032" s="4"/>
      <c r="G2032" s="4"/>
      <c r="H2032" s="4"/>
      <c r="I2032" s="10" t="str">
        <f>HYPERLINK("http://twitter.com/download/iphone","Twitter for iPhone")</f>
        <v>Twitter for iPhone</v>
      </c>
      <c r="J2032" s="2">
        <v>118</v>
      </c>
      <c r="K2032" s="2">
        <v>170</v>
      </c>
      <c r="L2032" s="2">
        <v>0</v>
      </c>
      <c r="M2032" s="2"/>
      <c r="N2032" s="8">
        <v>41168.58221064815</v>
      </c>
      <c r="O2032" s="4" t="s">
        <v>759</v>
      </c>
      <c r="P2032" s="3" t="s">
        <v>758</v>
      </c>
      <c r="Q2032" s="4"/>
      <c r="R2032" s="4"/>
      <c r="S2032" s="9" t="str">
        <f>HYPERLINK("https://pbs.twimg.com/profile_images/1010716146289393665/ed0sCiZ1.jpg","View")</f>
        <v>View</v>
      </c>
    </row>
    <row r="2033" spans="1:19" ht="40">
      <c r="A2033" s="8">
        <v>43346.281944444447</v>
      </c>
      <c r="B2033" s="11" t="str">
        <f>HYPERLINK("https://twitter.com/hizxScBVEQrqf9W","@hizxScBVEQrqf9W")</f>
        <v>@hizxScBVEQrqf9W</v>
      </c>
      <c r="C2033" s="6" t="s">
        <v>11498</v>
      </c>
      <c r="D2033" s="5" t="s">
        <v>11497</v>
      </c>
      <c r="E2033" s="9" t="str">
        <f>HYPERLINK("https://twitter.com/hizxScBVEQrqf9W/status/1036437623219216385","1036437623219216385")</f>
        <v>1036437623219216385</v>
      </c>
      <c r="F2033" s="4"/>
      <c r="G2033" s="10" t="s">
        <v>11603</v>
      </c>
      <c r="H2033" s="4"/>
      <c r="I2033" s="10" t="str">
        <f>HYPERLINK("http://twitter.com","Twitter Web Client")</f>
        <v>Twitter Web Client</v>
      </c>
      <c r="J2033" s="2">
        <v>1156</v>
      </c>
      <c r="K2033" s="2">
        <v>3219</v>
      </c>
      <c r="L2033" s="2">
        <v>1</v>
      </c>
      <c r="M2033" s="2"/>
      <c r="N2033" s="8">
        <v>42713.922777777778</v>
      </c>
      <c r="O2033" s="4" t="s">
        <v>11496</v>
      </c>
      <c r="P2033" s="3" t="s">
        <v>11495</v>
      </c>
      <c r="Q2033" s="10" t="s">
        <v>11494</v>
      </c>
      <c r="R2033" s="4"/>
      <c r="S2033" s="9" t="str">
        <f>HYPERLINK("https://pbs.twimg.com/profile_images/807526881276805120/y75tY_Uj.jpg","View")</f>
        <v>View</v>
      </c>
    </row>
    <row r="2034" spans="1:19" ht="30">
      <c r="A2034" s="8">
        <v>43346.251643518517</v>
      </c>
      <c r="B2034" s="11" t="str">
        <f>HYPERLINK("https://twitter.com/mirza_borjerdi","@mirza_borjerdi")</f>
        <v>@mirza_borjerdi</v>
      </c>
      <c r="C2034" s="6" t="s">
        <v>9560</v>
      </c>
      <c r="D2034" s="5" t="s">
        <v>11602</v>
      </c>
      <c r="E2034" s="9" t="str">
        <f>HYPERLINK("https://twitter.com/mirza_borjerdi/status/1036426644439949312","1036426644439949312")</f>
        <v>1036426644439949312</v>
      </c>
      <c r="F2034" s="4"/>
      <c r="G2034" s="4"/>
      <c r="H2034" s="4"/>
      <c r="I2034" s="10" t="str">
        <f>HYPERLINK("http://twitter.com/download/android","Twitter for Android")</f>
        <v>Twitter for Android</v>
      </c>
      <c r="J2034" s="2">
        <v>479</v>
      </c>
      <c r="K2034" s="2">
        <v>737</v>
      </c>
      <c r="L2034" s="2">
        <v>1</v>
      </c>
      <c r="M2034" s="2"/>
      <c r="N2034" s="8">
        <v>43235.710023148145</v>
      </c>
      <c r="O2034" s="4"/>
      <c r="P2034" s="3" t="s">
        <v>9558</v>
      </c>
      <c r="Q2034" s="4"/>
      <c r="R2034" s="4"/>
      <c r="S2034" s="9" t="str">
        <f>HYPERLINK("https://pbs.twimg.com/profile_images/1034539644019507201/zudHXYEh.jpg","View")</f>
        <v>View</v>
      </c>
    </row>
    <row r="2035" spans="1:19" ht="30">
      <c r="A2035" s="8">
        <v>43346.198692129634</v>
      </c>
      <c r="B2035" s="11" t="str">
        <f>HYPERLINK("https://twitter.com/Zvy2xXgVT60iu3v","@Zvy2xXgVT60iu3v")</f>
        <v>@Zvy2xXgVT60iu3v</v>
      </c>
      <c r="C2035" s="6" t="s">
        <v>4790</v>
      </c>
      <c r="D2035" s="5" t="s">
        <v>11601</v>
      </c>
      <c r="E2035" s="9" t="str">
        <f>HYPERLINK("https://twitter.com/Zvy2xXgVT60iu3v/status/1036407454215688193","1036407454215688193")</f>
        <v>1036407454215688193</v>
      </c>
      <c r="F2035" s="4"/>
      <c r="G2035" s="4"/>
      <c r="H2035" s="4"/>
      <c r="I2035" s="10" t="str">
        <f>HYPERLINK("http://twitter.com/download/android","Twitter for Android")</f>
        <v>Twitter for Android</v>
      </c>
      <c r="J2035" s="2">
        <v>329</v>
      </c>
      <c r="K2035" s="2">
        <v>463</v>
      </c>
      <c r="L2035" s="2">
        <v>1</v>
      </c>
      <c r="M2035" s="2"/>
      <c r="N2035" s="8">
        <v>42927.924907407403</v>
      </c>
      <c r="O2035" s="4"/>
      <c r="P2035" s="3" t="s">
        <v>4788</v>
      </c>
      <c r="Q2035" s="4"/>
      <c r="R2035" s="4"/>
      <c r="S2035" s="9" t="str">
        <f>HYPERLINK("https://pbs.twimg.com/profile_images/885243982648881152/8Xgxbt0p.jpg","View")</f>
        <v>View</v>
      </c>
    </row>
    <row r="2036" spans="1:19" ht="30">
      <c r="A2036" s="8">
        <v>43346.187476851846</v>
      </c>
      <c r="B2036" s="11" t="str">
        <f>HYPERLINK("https://twitter.com/fsmoghadam","@fsmoghadam")</f>
        <v>@fsmoghadam</v>
      </c>
      <c r="C2036" s="6" t="s">
        <v>11599</v>
      </c>
      <c r="D2036" s="5" t="s">
        <v>11600</v>
      </c>
      <c r="E2036" s="9" t="str">
        <f>HYPERLINK("https://twitter.com/fsmoghadam/status/1036403389180141569","1036403389180141569")</f>
        <v>1036403389180141569</v>
      </c>
      <c r="F2036" s="4"/>
      <c r="G2036" s="4"/>
      <c r="H2036" s="4"/>
      <c r="I2036" s="10" t="str">
        <f>HYPERLINK("http://twitter.com/download/android","Twitter for Android")</f>
        <v>Twitter for Android</v>
      </c>
      <c r="J2036" s="2">
        <v>769</v>
      </c>
      <c r="K2036" s="2">
        <v>2759</v>
      </c>
      <c r="L2036" s="2">
        <v>2</v>
      </c>
      <c r="M2036" s="2"/>
      <c r="N2036" s="8">
        <v>42760.00712962963</v>
      </c>
      <c r="O2036" s="4" t="s">
        <v>34</v>
      </c>
      <c r="P2036" s="3" t="s">
        <v>11597</v>
      </c>
      <c r="Q2036" s="10" t="s">
        <v>11596</v>
      </c>
      <c r="R2036" s="4"/>
      <c r="S2036" s="9" t="str">
        <f>HYPERLINK("https://pbs.twimg.com/profile_images/878430088764813312/t4flT2RQ.jpg","View")</f>
        <v>View</v>
      </c>
    </row>
    <row r="2037" spans="1:19" ht="40">
      <c r="A2037" s="8">
        <v>43346.186192129629</v>
      </c>
      <c r="B2037" s="11" t="str">
        <f>HYPERLINK("https://twitter.com/fsmoghadam","@fsmoghadam")</f>
        <v>@fsmoghadam</v>
      </c>
      <c r="C2037" s="6" t="s">
        <v>11599</v>
      </c>
      <c r="D2037" s="5" t="s">
        <v>11598</v>
      </c>
      <c r="E2037" s="9" t="str">
        <f>HYPERLINK("https://twitter.com/fsmoghadam/status/1036402927169163264","1036402927169163264")</f>
        <v>1036402927169163264</v>
      </c>
      <c r="F2037" s="4"/>
      <c r="G2037" s="4"/>
      <c r="H2037" s="4"/>
      <c r="I2037" s="10" t="str">
        <f>HYPERLINK("http://twitter.com/download/android","Twitter for Android")</f>
        <v>Twitter for Android</v>
      </c>
      <c r="J2037" s="2">
        <v>769</v>
      </c>
      <c r="K2037" s="2">
        <v>2759</v>
      </c>
      <c r="L2037" s="2">
        <v>2</v>
      </c>
      <c r="M2037" s="2"/>
      <c r="N2037" s="8">
        <v>42760.00712962963</v>
      </c>
      <c r="O2037" s="4" t="s">
        <v>34</v>
      </c>
      <c r="P2037" s="3" t="s">
        <v>11597</v>
      </c>
      <c r="Q2037" s="10" t="s">
        <v>11596</v>
      </c>
      <c r="R2037" s="4"/>
      <c r="S2037" s="9" t="str">
        <f>HYPERLINK("https://pbs.twimg.com/profile_images/878430088764813312/t4flT2RQ.jpg","View")</f>
        <v>View</v>
      </c>
    </row>
    <row r="2038" spans="1:19" ht="30">
      <c r="A2038" s="8">
        <v>43346.181435185186</v>
      </c>
      <c r="B2038" s="11" t="str">
        <f>HYPERLINK("https://twitter.com/Amirhosein_AHF","@Amirhosein_AHF")</f>
        <v>@Amirhosein_AHF</v>
      </c>
      <c r="C2038" s="6" t="s">
        <v>7924</v>
      </c>
      <c r="D2038" s="5" t="s">
        <v>11595</v>
      </c>
      <c r="E2038" s="9" t="str">
        <f>HYPERLINK("https://twitter.com/Amirhosein_AHF/status/1036401202576203776","1036401202576203776")</f>
        <v>1036401202576203776</v>
      </c>
      <c r="F2038" s="4"/>
      <c r="G2038" s="4"/>
      <c r="H2038" s="4"/>
      <c r="I2038" s="10" t="str">
        <f>HYPERLINK("http://twitter.com/download/android","Twitter for Android")</f>
        <v>Twitter for Android</v>
      </c>
      <c r="J2038" s="2">
        <v>95</v>
      </c>
      <c r="K2038" s="2">
        <v>229</v>
      </c>
      <c r="L2038" s="2">
        <v>0</v>
      </c>
      <c r="M2038" s="2"/>
      <c r="N2038" s="8">
        <v>42882.596354166672</v>
      </c>
      <c r="O2038" s="4" t="s">
        <v>7922</v>
      </c>
      <c r="P2038" s="3" t="s">
        <v>7921</v>
      </c>
      <c r="Q2038" s="4"/>
      <c r="R2038" s="4"/>
      <c r="S2038" s="9" t="str">
        <f>HYPERLINK("https://pbs.twimg.com/profile_images/991118971876397058/MwmRrxyc.jpg","View")</f>
        <v>View</v>
      </c>
    </row>
    <row r="2039" spans="1:19" ht="40">
      <c r="A2039" s="8">
        <v>43346.16369212963</v>
      </c>
      <c r="B2039" s="11" t="str">
        <f>HYPERLINK("https://twitter.com/safinews_agency","@safinews_agency")</f>
        <v>@safinews_agency</v>
      </c>
      <c r="C2039" s="6" t="s">
        <v>6629</v>
      </c>
      <c r="D2039" s="5" t="s">
        <v>11594</v>
      </c>
      <c r="E2039" s="9" t="str">
        <f>HYPERLINK("https://twitter.com/safinews_agency/status/1036394772049670144","1036394772049670144")</f>
        <v>1036394772049670144</v>
      </c>
      <c r="F2039" s="4"/>
      <c r="G2039" s="4"/>
      <c r="H2039" s="4"/>
      <c r="I2039" s="10" t="str">
        <f>HYPERLINK("http://twitter.com/download/android","Twitter for Android")</f>
        <v>Twitter for Android</v>
      </c>
      <c r="J2039" s="2">
        <v>1</v>
      </c>
      <c r="K2039" s="2">
        <v>24</v>
      </c>
      <c r="L2039" s="2">
        <v>0</v>
      </c>
      <c r="M2039" s="2"/>
      <c r="N2039" s="8">
        <v>43338.947662037041</v>
      </c>
      <c r="O2039" s="4" t="s">
        <v>17</v>
      </c>
      <c r="P2039" s="3" t="s">
        <v>6627</v>
      </c>
      <c r="Q2039" s="10" t="s">
        <v>6626</v>
      </c>
      <c r="R2039" s="4"/>
      <c r="S2039" s="9" t="str">
        <f>HYPERLINK("https://pbs.twimg.com/profile_images/1033780562333458432/fkaRvmaN.jpg","View")</f>
        <v>View</v>
      </c>
    </row>
    <row r="2040" spans="1:19" ht="40">
      <c r="A2040" s="8">
        <v>43346.134143518517</v>
      </c>
      <c r="B2040" s="11" t="str">
        <f>HYPERLINK("https://twitter.com/Migh_Ir","@Migh_Ir")</f>
        <v>@Migh_Ir</v>
      </c>
      <c r="C2040" s="6" t="s">
        <v>5860</v>
      </c>
      <c r="D2040" s="5" t="s">
        <v>11593</v>
      </c>
      <c r="E2040" s="9" t="str">
        <f>HYPERLINK("https://twitter.com/Migh_Ir/status/1036384061726580736","1036384061726580736")</f>
        <v>1036384061726580736</v>
      </c>
      <c r="F2040" s="4"/>
      <c r="G2040" s="4"/>
      <c r="H2040" s="4"/>
      <c r="I2040" s="10" t="str">
        <f>HYPERLINK("http://twitter.com/download/android","Twitter for Android")</f>
        <v>Twitter for Android</v>
      </c>
      <c r="J2040" s="2">
        <v>91</v>
      </c>
      <c r="K2040" s="2">
        <v>349</v>
      </c>
      <c r="L2040" s="2">
        <v>0</v>
      </c>
      <c r="M2040" s="2"/>
      <c r="N2040" s="8">
        <v>43182.809849537036</v>
      </c>
      <c r="O2040" s="4" t="s">
        <v>34</v>
      </c>
      <c r="P2040" s="3" t="s">
        <v>5858</v>
      </c>
      <c r="Q2040" s="10" t="s">
        <v>5857</v>
      </c>
      <c r="R2040" s="4"/>
      <c r="S2040" s="9" t="str">
        <f>HYPERLINK("https://pbs.twimg.com/profile_images/1012657502931116032/_EAANLvT.jpg","View")</f>
        <v>View</v>
      </c>
    </row>
    <row r="2041" spans="1:19" ht="30">
      <c r="A2041" s="8">
        <v>43346.114745370374</v>
      </c>
      <c r="B2041" s="11" t="str">
        <f>HYPERLINK("https://twitter.com/Persianbdr","@Persianbdr")</f>
        <v>@Persianbdr</v>
      </c>
      <c r="C2041" s="6" t="s">
        <v>11592</v>
      </c>
      <c r="D2041" s="5" t="s">
        <v>11591</v>
      </c>
      <c r="E2041" s="9" t="str">
        <f>HYPERLINK("https://twitter.com/Persianbdr/status/1036377035747160064","1036377035747160064")</f>
        <v>1036377035747160064</v>
      </c>
      <c r="F2041" s="4"/>
      <c r="G2041" s="4"/>
      <c r="H2041" s="4"/>
      <c r="I2041" s="10" t="str">
        <f>HYPERLINK("http://twitter.com/download/android","Twitter for Android")</f>
        <v>Twitter for Android</v>
      </c>
      <c r="J2041" s="2">
        <v>80</v>
      </c>
      <c r="K2041" s="2">
        <v>96</v>
      </c>
      <c r="L2041" s="2">
        <v>0</v>
      </c>
      <c r="M2041" s="2"/>
      <c r="N2041" s="8">
        <v>43104.403749999998</v>
      </c>
      <c r="O2041" s="4"/>
      <c r="P2041" s="3" t="s">
        <v>11590</v>
      </c>
      <c r="Q2041" s="4"/>
      <c r="R2041" s="4"/>
      <c r="S2041" s="9" t="str">
        <f>HYPERLINK("https://pbs.twimg.com/profile_images/1022752136684130304/nUjCmpUy.jpg","View")</f>
        <v>View</v>
      </c>
    </row>
    <row r="2042" spans="1:19" ht="12.5">
      <c r="A2042" s="8">
        <v>43346.113912037035</v>
      </c>
      <c r="B2042" s="11" t="str">
        <f>HYPERLINK("https://twitter.com/SiminAsadi3","@SiminAsadi3")</f>
        <v>@SiminAsadi3</v>
      </c>
      <c r="C2042" s="6" t="s">
        <v>11589</v>
      </c>
      <c r="D2042" s="5" t="s">
        <v>11588</v>
      </c>
      <c r="E2042" s="9" t="str">
        <f>HYPERLINK("https://twitter.com/SiminAsadi3/status/1036376733136637952","1036376733136637952")</f>
        <v>1036376733136637952</v>
      </c>
      <c r="F2042" s="4"/>
      <c r="G2042" s="10" t="s">
        <v>11587</v>
      </c>
      <c r="H2042" s="4"/>
      <c r="I2042" s="10" t="str">
        <f>HYPERLINK("http://twitter.com/download/android","Twitter for Android")</f>
        <v>Twitter for Android</v>
      </c>
      <c r="J2042" s="2">
        <v>2</v>
      </c>
      <c r="K2042" s="2">
        <v>15</v>
      </c>
      <c r="L2042" s="2">
        <v>0</v>
      </c>
      <c r="M2042" s="2"/>
      <c r="N2042" s="8">
        <v>43346.014710648145</v>
      </c>
      <c r="O2042" s="4"/>
      <c r="P2042" s="3" t="s">
        <v>11586</v>
      </c>
      <c r="Q2042" s="4"/>
      <c r="R2042" s="4"/>
      <c r="S2042" s="9" t="str">
        <f>HYPERLINK("https://pbs.twimg.com/profile_images/1036346469832384512/2k1ZLQwg.jpg","View")</f>
        <v>View</v>
      </c>
    </row>
    <row r="2043" spans="1:19" ht="40">
      <c r="A2043" s="8">
        <v>43346.112199074079</v>
      </c>
      <c r="B2043" s="11" t="str">
        <f>HYPERLINK("https://twitter.com/AzadehAssadi","@AzadehAssadi")</f>
        <v>@AzadehAssadi</v>
      </c>
      <c r="C2043" s="6" t="s">
        <v>11585</v>
      </c>
      <c r="D2043" s="5" t="s">
        <v>11584</v>
      </c>
      <c r="E2043" s="9" t="str">
        <f>HYPERLINK("https://twitter.com/AzadehAssadi/status/1036376112820113408","1036376112820113408")</f>
        <v>1036376112820113408</v>
      </c>
      <c r="F2043" s="4"/>
      <c r="G2043" s="4"/>
      <c r="H2043" s="4"/>
      <c r="I2043" s="10" t="str">
        <f>HYPERLINK("http://twitter.com/download/iphone","Twitter for iPhone")</f>
        <v>Twitter for iPhone</v>
      </c>
      <c r="J2043" s="2">
        <v>1479</v>
      </c>
      <c r="K2043" s="2">
        <v>1243</v>
      </c>
      <c r="L2043" s="2">
        <v>6</v>
      </c>
      <c r="M2043" s="2"/>
      <c r="N2043" s="8">
        <v>40047.617395833331</v>
      </c>
      <c r="O2043" s="4" t="s">
        <v>460</v>
      </c>
      <c r="P2043" s="3" t="s">
        <v>11583</v>
      </c>
      <c r="Q2043" s="4"/>
      <c r="R2043" s="4"/>
      <c r="S2043" s="9" t="str">
        <f>HYPERLINK("https://pbs.twimg.com/profile_images/831249051966390273/_Ogl-9JA.jpg","View")</f>
        <v>View</v>
      </c>
    </row>
    <row r="2044" spans="1:19" ht="20">
      <c r="A2044" s="8">
        <v>43346.110289351855</v>
      </c>
      <c r="B2044" s="11" t="str">
        <f>HYPERLINK("https://twitter.com/r12121342","@r12121342")</f>
        <v>@r12121342</v>
      </c>
      <c r="C2044" s="6" t="s">
        <v>2744</v>
      </c>
      <c r="D2044" s="5" t="s">
        <v>11582</v>
      </c>
      <c r="E2044" s="9" t="str">
        <f>HYPERLINK("https://twitter.com/r12121342/status/1036375417920385025","1036375417920385025")</f>
        <v>1036375417920385025</v>
      </c>
      <c r="F2044" s="4"/>
      <c r="G2044" s="4"/>
      <c r="H2044" s="4"/>
      <c r="I2044" s="10" t="str">
        <f>HYPERLINK("https://mobile.twitter.com","Twitter Lite")</f>
        <v>Twitter Lite</v>
      </c>
      <c r="J2044" s="2">
        <v>24</v>
      </c>
      <c r="K2044" s="2">
        <v>110</v>
      </c>
      <c r="L2044" s="2">
        <v>0</v>
      </c>
      <c r="M2044" s="2"/>
      <c r="N2044" s="8">
        <v>42054.974976851852</v>
      </c>
      <c r="O2044" s="4"/>
      <c r="P2044" s="3"/>
      <c r="Q2044" s="4"/>
      <c r="R2044" s="4"/>
      <c r="S2044" s="9" t="str">
        <f>HYPERLINK("https://pbs.twimg.com/profile_images/568500031255093248/2rIRSIVE.jpeg","View")</f>
        <v>View</v>
      </c>
    </row>
    <row r="2045" spans="1:19" ht="30">
      <c r="A2045" s="8">
        <v>43346.109699074077</v>
      </c>
      <c r="B2045" s="11" t="str">
        <f>HYPERLINK("https://twitter.com/nmahdi1396","@nmahdi1396")</f>
        <v>@nmahdi1396</v>
      </c>
      <c r="C2045" s="6" t="s">
        <v>11581</v>
      </c>
      <c r="D2045" s="5" t="s">
        <v>11580</v>
      </c>
      <c r="E2045" s="9" t="str">
        <f>HYPERLINK("https://twitter.com/nmahdi1396/status/1036375204866531328","1036375204866531328")</f>
        <v>1036375204866531328</v>
      </c>
      <c r="F2045" s="4"/>
      <c r="G2045" s="10" t="s">
        <v>11579</v>
      </c>
      <c r="H2045" s="4"/>
      <c r="I2045" s="10" t="str">
        <f>HYPERLINK("http://twitter.com/download/android","Twitter for Android")</f>
        <v>Twitter for Android</v>
      </c>
      <c r="J2045" s="2">
        <v>250</v>
      </c>
      <c r="K2045" s="2">
        <v>150</v>
      </c>
      <c r="L2045" s="2">
        <v>0</v>
      </c>
      <c r="M2045" s="2"/>
      <c r="N2045" s="8">
        <v>43256.672962962963</v>
      </c>
      <c r="O2045" s="4"/>
      <c r="P2045" s="3" t="s">
        <v>11578</v>
      </c>
      <c r="Q2045" s="4"/>
      <c r="R2045" s="4"/>
      <c r="S2045" s="9" t="str">
        <f>HYPERLINK("https://pbs.twimg.com/profile_images/1029870763606728704/AKgJ28sL.jpg","View")</f>
        <v>View</v>
      </c>
    </row>
    <row r="2046" spans="1:19" ht="40">
      <c r="A2046" s="8">
        <v>43346.099641203706</v>
      </c>
      <c r="B2046" s="11" t="str">
        <f>HYPERLINK("https://twitter.com/simayazaditv","@simayazaditv")</f>
        <v>@simayazaditv</v>
      </c>
      <c r="C2046" s="6" t="s">
        <v>1758</v>
      </c>
      <c r="D2046" s="5" t="s">
        <v>11577</v>
      </c>
      <c r="E2046" s="9" t="str">
        <f>HYPERLINK("https://twitter.com/simayazaditv/status/1036371559429165056","1036371559429165056")</f>
        <v>1036371559429165056</v>
      </c>
      <c r="F2046" s="4"/>
      <c r="G2046" s="10" t="s">
        <v>11576</v>
      </c>
      <c r="H2046" s="4"/>
      <c r="I2046" s="10" t="str">
        <f>HYPERLINK("http://twitter.com","Twitter Web Client")</f>
        <v>Twitter Web Client</v>
      </c>
      <c r="J2046" s="2">
        <v>6064</v>
      </c>
      <c r="K2046" s="2">
        <v>1</v>
      </c>
      <c r="L2046" s="2">
        <v>101</v>
      </c>
      <c r="M2046" s="2"/>
      <c r="N2046" s="8">
        <v>42209.662442129629</v>
      </c>
      <c r="O2046" s="4" t="s">
        <v>252</v>
      </c>
      <c r="P2046" s="3"/>
      <c r="Q2046" s="10" t="s">
        <v>1755</v>
      </c>
      <c r="R2046" s="4"/>
      <c r="S2046" s="9" t="str">
        <f>HYPERLINK("https://pbs.twimg.com/profile_images/624546008937144321/5aqccHix.png","View")</f>
        <v>View</v>
      </c>
    </row>
    <row r="2047" spans="1:19" ht="30">
      <c r="A2047" s="8">
        <v>43346.098703703705</v>
      </c>
      <c r="B2047" s="11" t="str">
        <f>HYPERLINK("https://twitter.com/Moanna_Tmk_IR","@Moanna_Tmk_IR")</f>
        <v>@Moanna_Tmk_IR</v>
      </c>
      <c r="C2047" s="6" t="s">
        <v>9176</v>
      </c>
      <c r="D2047" s="5" t="s">
        <v>11575</v>
      </c>
      <c r="E2047" s="9" t="str">
        <f>HYPERLINK("https://twitter.com/Moanna_Tmk_IR/status/1036371222370639872","1036371222370639872")</f>
        <v>1036371222370639872</v>
      </c>
      <c r="F2047" s="4"/>
      <c r="G2047" s="4"/>
      <c r="H2047" s="4"/>
      <c r="I2047" s="10" t="str">
        <f>HYPERLINK("https://mobile.twitter.com","Twitter Lite")</f>
        <v>Twitter Lite</v>
      </c>
      <c r="J2047" s="2">
        <v>66</v>
      </c>
      <c r="K2047" s="2">
        <v>126</v>
      </c>
      <c r="L2047" s="2">
        <v>0</v>
      </c>
      <c r="M2047" s="2"/>
      <c r="N2047" s="8">
        <v>42896.616087962961</v>
      </c>
      <c r="O2047" s="4"/>
      <c r="P2047" s="3" t="s">
        <v>8747</v>
      </c>
      <c r="Q2047" s="4"/>
      <c r="R2047" s="4"/>
      <c r="S2047" s="9" t="str">
        <f>HYPERLINK("https://pbs.twimg.com/profile_images/1035923884195885056/kl3HMZa0.jpg","View")</f>
        <v>View</v>
      </c>
    </row>
    <row r="2048" spans="1:19" ht="80">
      <c r="A2048" s="8">
        <v>43346.09778935185</v>
      </c>
      <c r="B2048" s="11" t="str">
        <f>HYPERLINK("https://twitter.com/Peyman4835","@Peyman4835")</f>
        <v>@Peyman4835</v>
      </c>
      <c r="C2048" s="6" t="s">
        <v>9537</v>
      </c>
      <c r="D2048" s="5" t="s">
        <v>11574</v>
      </c>
      <c r="E2048" s="9" t="str">
        <f>HYPERLINK("https://twitter.com/Peyman4835/status/1036370888151769090","1036370888151769090")</f>
        <v>1036370888151769090</v>
      </c>
      <c r="F2048" s="10" t="s">
        <v>11573</v>
      </c>
      <c r="G2048" s="4"/>
      <c r="H2048" s="4"/>
      <c r="I2048" s="10" t="str">
        <f>HYPERLINK("http://twitter.com/download/android","Twitter for Android")</f>
        <v>Twitter for Android</v>
      </c>
      <c r="J2048" s="2">
        <v>1059</v>
      </c>
      <c r="K2048" s="2">
        <v>1070</v>
      </c>
      <c r="L2048" s="2">
        <v>1</v>
      </c>
      <c r="M2048" s="2"/>
      <c r="N2048" s="8">
        <v>43104.043472222227</v>
      </c>
      <c r="O2048" s="4" t="s">
        <v>9535</v>
      </c>
      <c r="P2048" s="3" t="s">
        <v>9534</v>
      </c>
      <c r="Q2048" s="4"/>
      <c r="R2048" s="4"/>
      <c r="S2048" s="9" t="str">
        <f>HYPERLINK("https://pbs.twimg.com/profile_images/1007404905408139272/CxFLze6T.jpg","View")</f>
        <v>View</v>
      </c>
    </row>
    <row r="2049" spans="1:19" ht="30">
      <c r="A2049" s="8">
        <v>43346.096979166672</v>
      </c>
      <c r="B2049" s="11" t="str">
        <f>HYPERLINK("https://twitter.com/mmmahdavi95","@mmmahdavi95")</f>
        <v>@mmmahdavi95</v>
      </c>
      <c r="C2049" s="6" t="s">
        <v>11572</v>
      </c>
      <c r="D2049" s="5" t="s">
        <v>11571</v>
      </c>
      <c r="E2049" s="9" t="str">
        <f>HYPERLINK("https://twitter.com/mmmahdavi95/status/1036370595439685632","1036370595439685632")</f>
        <v>1036370595439685632</v>
      </c>
      <c r="F2049" s="4"/>
      <c r="G2049" s="4"/>
      <c r="H2049" s="4"/>
      <c r="I2049" s="10" t="str">
        <f>HYPERLINK("http://twitter.com/download/android","Twitter for Android")</f>
        <v>Twitter for Android</v>
      </c>
      <c r="J2049" s="2">
        <v>115</v>
      </c>
      <c r="K2049" s="2">
        <v>162</v>
      </c>
      <c r="L2049" s="2">
        <v>0</v>
      </c>
      <c r="M2049" s="2"/>
      <c r="N2049" s="8">
        <v>43107.90289351852</v>
      </c>
      <c r="O2049" s="4"/>
      <c r="P2049" s="3" t="s">
        <v>11570</v>
      </c>
      <c r="Q2049" s="4"/>
      <c r="R2049" s="4"/>
      <c r="S2049" s="9" t="str">
        <f>HYPERLINK("https://pbs.twimg.com/profile_images/1036371790153625600/Unyozagz.jpg","View")</f>
        <v>View</v>
      </c>
    </row>
    <row r="2050" spans="1:19" ht="30">
      <c r="A2050" s="8">
        <v>43346.096898148149</v>
      </c>
      <c r="B2050" s="11" t="str">
        <f>HYPERLINK("https://twitter.com/mhmdrza_l","@mhmdrza_l")</f>
        <v>@mhmdrza_l</v>
      </c>
      <c r="C2050" s="6" t="s">
        <v>11569</v>
      </c>
      <c r="D2050" s="5" t="s">
        <v>11568</v>
      </c>
      <c r="E2050" s="9" t="str">
        <f>HYPERLINK("https://twitter.com/mhmdrza_l/status/1036370567379787777","1036370567379787777")</f>
        <v>1036370567379787777</v>
      </c>
      <c r="F2050" s="4"/>
      <c r="G2050" s="4"/>
      <c r="H2050" s="4"/>
      <c r="I2050" s="10" t="str">
        <f>HYPERLINK("http://twitter.com/download/iphone","Twitter for iPhone")</f>
        <v>Twitter for iPhone</v>
      </c>
      <c r="J2050" s="2">
        <v>48</v>
      </c>
      <c r="K2050" s="2">
        <v>72</v>
      </c>
      <c r="L2050" s="2">
        <v>0</v>
      </c>
      <c r="M2050" s="2"/>
      <c r="N2050" s="8">
        <v>43150.956886574073</v>
      </c>
      <c r="O2050" s="4" t="s">
        <v>34</v>
      </c>
      <c r="P2050" s="3" t="s">
        <v>11567</v>
      </c>
      <c r="Q2050" s="4"/>
      <c r="R2050" s="4"/>
      <c r="S2050" s="9" t="str">
        <f>HYPERLINK("https://pbs.twimg.com/profile_images/1036197736897495040/UTmSmbBJ.jpg","View")</f>
        <v>View</v>
      </c>
    </row>
    <row r="2051" spans="1:19" ht="40">
      <c r="A2051" s="8">
        <v>43346.089942129634</v>
      </c>
      <c r="B2051" s="11" t="str">
        <f>HYPERLINK("https://twitter.com/simayazaditv","@simayazaditv")</f>
        <v>@simayazaditv</v>
      </c>
      <c r="C2051" s="6" t="s">
        <v>1758</v>
      </c>
      <c r="D2051" s="5" t="s">
        <v>11566</v>
      </c>
      <c r="E2051" s="9" t="str">
        <f>HYPERLINK("https://twitter.com/simayazaditv/status/1036368044665327616","1036368044665327616")</f>
        <v>1036368044665327616</v>
      </c>
      <c r="F2051" s="4"/>
      <c r="G2051" s="10" t="s">
        <v>11565</v>
      </c>
      <c r="H2051" s="4"/>
      <c r="I2051" s="10" t="str">
        <f>HYPERLINK("http://twitter.com","Twitter Web Client")</f>
        <v>Twitter Web Client</v>
      </c>
      <c r="J2051" s="2">
        <v>6065</v>
      </c>
      <c r="K2051" s="2">
        <v>1</v>
      </c>
      <c r="L2051" s="2">
        <v>101</v>
      </c>
      <c r="M2051" s="2"/>
      <c r="N2051" s="8">
        <v>42209.662442129629</v>
      </c>
      <c r="O2051" s="4" t="s">
        <v>252</v>
      </c>
      <c r="P2051" s="3"/>
      <c r="Q2051" s="10" t="s">
        <v>1755</v>
      </c>
      <c r="R2051" s="4"/>
      <c r="S2051" s="9" t="str">
        <f>HYPERLINK("https://pbs.twimg.com/profile_images/624546008937144321/5aqccHix.png","View")</f>
        <v>View</v>
      </c>
    </row>
    <row r="2052" spans="1:19" ht="30">
      <c r="A2052" s="8">
        <v>43346.085798611108</v>
      </c>
      <c r="B2052" s="11" t="str">
        <f>HYPERLINK("https://twitter.com/ehsanp71","@ehsanp71")</f>
        <v>@ehsanp71</v>
      </c>
      <c r="C2052" s="6" t="s">
        <v>11564</v>
      </c>
      <c r="D2052" s="5" t="s">
        <v>11563</v>
      </c>
      <c r="E2052" s="9" t="str">
        <f>HYPERLINK("https://twitter.com/ehsanp71/status/1036366544127885312","1036366544127885312")</f>
        <v>1036366544127885312</v>
      </c>
      <c r="F2052" s="4"/>
      <c r="G2052" s="4"/>
      <c r="H2052" s="4"/>
      <c r="I2052" s="10" t="str">
        <f>HYPERLINK("http://twitter.com/download/android","Twitter for Android")</f>
        <v>Twitter for Android</v>
      </c>
      <c r="J2052" s="2">
        <v>613</v>
      </c>
      <c r="K2052" s="2">
        <v>673</v>
      </c>
      <c r="L2052" s="2">
        <v>2</v>
      </c>
      <c r="M2052" s="2"/>
      <c r="N2052" s="8">
        <v>42757.743090277778</v>
      </c>
      <c r="O2052" s="4" t="s">
        <v>11562</v>
      </c>
      <c r="P2052" s="3" t="s">
        <v>11561</v>
      </c>
      <c r="Q2052" s="4"/>
      <c r="R2052" s="4"/>
      <c r="S2052" s="9" t="str">
        <f>HYPERLINK("https://pbs.twimg.com/profile_images/987790337212022784/uQkHMplS.jpg","View")</f>
        <v>View</v>
      </c>
    </row>
    <row r="2053" spans="1:19" ht="30">
      <c r="A2053" s="8">
        <v>43346.080162037033</v>
      </c>
      <c r="B2053" s="11" t="str">
        <f>HYPERLINK("https://twitter.com/Ayatolahsiyaf","@Ayatolahsiyaf")</f>
        <v>@Ayatolahsiyaf</v>
      </c>
      <c r="C2053" s="6" t="s">
        <v>11560</v>
      </c>
      <c r="D2053" s="5" t="s">
        <v>11559</v>
      </c>
      <c r="E2053" s="9" t="str">
        <f>HYPERLINK("https://twitter.com/Ayatolahsiyaf/status/1036364501078220800","1036364501078220800")</f>
        <v>1036364501078220800</v>
      </c>
      <c r="F2053" s="4"/>
      <c r="G2053" s="4"/>
      <c r="H2053" s="4"/>
      <c r="I2053" s="10" t="str">
        <f>HYPERLINK("https://mobile.twitter.com","Twitter Lite")</f>
        <v>Twitter Lite</v>
      </c>
      <c r="J2053" s="2">
        <v>124</v>
      </c>
      <c r="K2053" s="2">
        <v>127</v>
      </c>
      <c r="L2053" s="2">
        <v>0</v>
      </c>
      <c r="M2053" s="2"/>
      <c r="N2053" s="8">
        <v>43303.333391203705</v>
      </c>
      <c r="O2053" s="4"/>
      <c r="P2053" s="3" t="s">
        <v>3955</v>
      </c>
      <c r="Q2053" s="4"/>
      <c r="R2053" s="4"/>
      <c r="S2053" s="9" t="str">
        <f>HYPERLINK("https://pbs.twimg.com/profile_images/1028672000036728832/jqtS8wmQ.jpg","View")</f>
        <v>View</v>
      </c>
    </row>
    <row r="2054" spans="1:19" ht="40">
      <c r="A2054" s="8">
        <v>43346.079942129625</v>
      </c>
      <c r="B2054" s="11" t="str">
        <f>HYPERLINK("https://twitter.com/Peyman4835","@Peyman4835")</f>
        <v>@Peyman4835</v>
      </c>
      <c r="C2054" s="6" t="s">
        <v>9537</v>
      </c>
      <c r="D2054" s="5" t="s">
        <v>11558</v>
      </c>
      <c r="E2054" s="9" t="str">
        <f>HYPERLINK("https://twitter.com/Peyman4835/status/1036364421554216961","1036364421554216961")</f>
        <v>1036364421554216961</v>
      </c>
      <c r="F2054" s="4"/>
      <c r="G2054" s="4"/>
      <c r="H2054" s="4"/>
      <c r="I2054" s="10" t="str">
        <f>HYPERLINK("https://mobile.twitter.com","Twitter Lite")</f>
        <v>Twitter Lite</v>
      </c>
      <c r="J2054" s="2">
        <v>1059</v>
      </c>
      <c r="K2054" s="2">
        <v>1070</v>
      </c>
      <c r="L2054" s="2">
        <v>1</v>
      </c>
      <c r="M2054" s="2"/>
      <c r="N2054" s="8">
        <v>43104.043472222227</v>
      </c>
      <c r="O2054" s="4" t="s">
        <v>9535</v>
      </c>
      <c r="P2054" s="3" t="s">
        <v>9534</v>
      </c>
      <c r="Q2054" s="4"/>
      <c r="R2054" s="4"/>
      <c r="S2054" s="9" t="str">
        <f>HYPERLINK("https://pbs.twimg.com/profile_images/1007404905408139272/CxFLze6T.jpg","View")</f>
        <v>View</v>
      </c>
    </row>
    <row r="2055" spans="1:19" ht="40">
      <c r="A2055" s="8">
        <v>43346.077719907407</v>
      </c>
      <c r="B2055" s="11" t="str">
        <f>HYPERLINK("https://twitter.com/amirwit","@amirwit")</f>
        <v>@amirwit</v>
      </c>
      <c r="C2055" s="6" t="s">
        <v>11557</v>
      </c>
      <c r="D2055" s="5" t="s">
        <v>11556</v>
      </c>
      <c r="E2055" s="9" t="str">
        <f>HYPERLINK("https://twitter.com/amirwit/status/1036363614322606082","1036363614322606082")</f>
        <v>1036363614322606082</v>
      </c>
      <c r="F2055" s="4"/>
      <c r="G2055" s="10" t="s">
        <v>11555</v>
      </c>
      <c r="H2055" s="4"/>
      <c r="I2055" s="10" t="str">
        <f>HYPERLINK("http://twitter.com/download/android","Twitter for Android")</f>
        <v>Twitter for Android</v>
      </c>
      <c r="J2055" s="2">
        <v>2</v>
      </c>
      <c r="K2055" s="2">
        <v>0</v>
      </c>
      <c r="L2055" s="2">
        <v>0</v>
      </c>
      <c r="M2055" s="2"/>
      <c r="N2055" s="8">
        <v>42078.60460648148</v>
      </c>
      <c r="O2055" s="4" t="s">
        <v>145</v>
      </c>
      <c r="P2055" s="3" t="s">
        <v>11554</v>
      </c>
      <c r="Q2055" s="10" t="s">
        <v>11553</v>
      </c>
      <c r="R2055" s="4"/>
      <c r="S2055" s="9" t="str">
        <f>HYPERLINK("https://pbs.twimg.com/profile_images/1036363963167072258/nGO0F2kb.jpg","View")</f>
        <v>View</v>
      </c>
    </row>
    <row r="2056" spans="1:19" ht="30">
      <c r="A2056" s="8">
        <v>43346.053310185191</v>
      </c>
      <c r="B2056" s="11" t="str">
        <f>HYPERLINK("https://twitter.com/Fatemeh_zr","@Fatemeh_zr")</f>
        <v>@Fatemeh_zr</v>
      </c>
      <c r="C2056" s="6" t="s">
        <v>11552</v>
      </c>
      <c r="D2056" s="5" t="s">
        <v>11551</v>
      </c>
      <c r="E2056" s="9" t="str">
        <f>HYPERLINK("https://twitter.com/Fatemeh_zr/status/1036354769483440129","1036354769483440129")</f>
        <v>1036354769483440129</v>
      </c>
      <c r="F2056" s="4"/>
      <c r="G2056" s="10" t="s">
        <v>11550</v>
      </c>
      <c r="H2056" s="4"/>
      <c r="I2056" s="10" t="str">
        <f>HYPERLINK("http://twitter.com/download/android","Twitter for Android")</f>
        <v>Twitter for Android</v>
      </c>
      <c r="J2056" s="2">
        <v>3144</v>
      </c>
      <c r="K2056" s="2">
        <v>2524</v>
      </c>
      <c r="L2056" s="2">
        <v>7</v>
      </c>
      <c r="M2056" s="2"/>
      <c r="N2056" s="8">
        <v>43106.965439814812</v>
      </c>
      <c r="O2056" s="4" t="s">
        <v>1415</v>
      </c>
      <c r="P2056" s="3" t="s">
        <v>11549</v>
      </c>
      <c r="Q2056" s="4"/>
      <c r="R2056" s="4"/>
      <c r="S2056" s="9" t="str">
        <f>HYPERLINK("https://pbs.twimg.com/profile_images/1035527755499098112/oJJTm-jP.jpg","View")</f>
        <v>View</v>
      </c>
    </row>
    <row r="2057" spans="1:19" ht="40">
      <c r="A2057" s="8">
        <v>43346.050902777773</v>
      </c>
      <c r="B2057" s="11" t="str">
        <f>HYPERLINK("https://twitter.com/AAbedi82","@AAbedi82")</f>
        <v>@AAbedi82</v>
      </c>
      <c r="C2057" s="6" t="s">
        <v>11548</v>
      </c>
      <c r="D2057" s="5" t="s">
        <v>11547</v>
      </c>
      <c r="E2057" s="9" t="str">
        <f>HYPERLINK("https://twitter.com/AAbedi82/status/1036353898024460291","1036353898024460291")</f>
        <v>1036353898024460291</v>
      </c>
      <c r="F2057" s="4"/>
      <c r="G2057" s="4"/>
      <c r="H2057" s="4"/>
      <c r="I2057" s="10" t="str">
        <f>HYPERLINK("http://twitter.com","Twitter Web Client")</f>
        <v>Twitter Web Client</v>
      </c>
      <c r="J2057" s="2">
        <v>7</v>
      </c>
      <c r="K2057" s="2">
        <v>81</v>
      </c>
      <c r="L2057" s="2">
        <v>0</v>
      </c>
      <c r="M2057" s="2"/>
      <c r="N2057" s="8">
        <v>42515.776180555556</v>
      </c>
      <c r="O2057" s="4"/>
      <c r="P2057" s="3"/>
      <c r="Q2057" s="4"/>
      <c r="R2057" s="4"/>
      <c r="S2057" s="9" t="str">
        <f>HYPERLINK("https://pbs.twimg.com/profile_images/735475350659072000/maPuuACS.jpg","View")</f>
        <v>View</v>
      </c>
    </row>
    <row r="2058" spans="1:19" ht="40">
      <c r="A2058" s="8">
        <v>43346.049479166672</v>
      </c>
      <c r="B2058" s="11" t="str">
        <f>HYPERLINK("https://twitter.com/haj_volter","@haj_volter")</f>
        <v>@haj_volter</v>
      </c>
      <c r="C2058" s="6" t="s">
        <v>11546</v>
      </c>
      <c r="D2058" s="5" t="s">
        <v>11545</v>
      </c>
      <c r="E2058" s="9" t="str">
        <f>HYPERLINK("https://twitter.com/haj_volter/status/1036353383773483008","1036353383773483008")</f>
        <v>1036353383773483008</v>
      </c>
      <c r="F2058" s="4"/>
      <c r="G2058" s="4"/>
      <c r="H2058" s="4"/>
      <c r="I2058" s="10" t="str">
        <f>HYPERLINK("http://twitter.com/download/android","Twitter for Android")</f>
        <v>Twitter for Android</v>
      </c>
      <c r="J2058" s="2">
        <v>164</v>
      </c>
      <c r="K2058" s="2">
        <v>303</v>
      </c>
      <c r="L2058" s="2">
        <v>0</v>
      </c>
      <c r="M2058" s="2"/>
      <c r="N2058" s="8">
        <v>43310.467210648145</v>
      </c>
      <c r="O2058" s="4" t="s">
        <v>17</v>
      </c>
      <c r="P2058" s="3" t="s">
        <v>11544</v>
      </c>
      <c r="Q2058" s="4"/>
      <c r="R2058" s="4"/>
      <c r="S2058" s="9" t="str">
        <f>HYPERLINK("https://pbs.twimg.com/profile_images/1023460803536711680/TtHczH_9.jpg","View")</f>
        <v>View</v>
      </c>
    </row>
    <row r="2059" spans="1:19" ht="40">
      <c r="A2059" s="8">
        <v>43346.042453703703</v>
      </c>
      <c r="B2059" s="11" t="str">
        <f>HYPERLINK("https://twitter.com/m_r_f_najafi","@m_r_f_najafi")</f>
        <v>@m_r_f_najafi</v>
      </c>
      <c r="C2059" s="6" t="s">
        <v>4383</v>
      </c>
      <c r="D2059" s="5" t="s">
        <v>11543</v>
      </c>
      <c r="E2059" s="9" t="str">
        <f>HYPERLINK("https://twitter.com/m_r_f_najafi/status/1036350837923168256","1036350837923168256")</f>
        <v>1036350837923168256</v>
      </c>
      <c r="F2059" s="4"/>
      <c r="G2059" s="4"/>
      <c r="H2059" s="4"/>
      <c r="I2059" s="10" t="str">
        <f>HYPERLINK("http://twitter.com/download/android","Twitter for Android")</f>
        <v>Twitter for Android</v>
      </c>
      <c r="J2059" s="2">
        <v>210</v>
      </c>
      <c r="K2059" s="2">
        <v>33</v>
      </c>
      <c r="L2059" s="2">
        <v>3</v>
      </c>
      <c r="M2059" s="2"/>
      <c r="N2059" s="8">
        <v>43032.872303240743</v>
      </c>
      <c r="O2059" s="4"/>
      <c r="P2059" s="3"/>
      <c r="Q2059" s="4"/>
      <c r="R2059" s="4"/>
      <c r="S2059" s="9" t="str">
        <f>HYPERLINK("https://pbs.twimg.com/profile_images/932731081786142720/P3d8Wbit.jpg","View")</f>
        <v>View</v>
      </c>
    </row>
    <row r="2060" spans="1:19" ht="30">
      <c r="A2060" s="8">
        <v>43346.041504629626</v>
      </c>
      <c r="B2060" s="11" t="str">
        <f>HYPERLINK("https://twitter.com/faran_i","@faran_i")</f>
        <v>@faran_i</v>
      </c>
      <c r="C2060" s="6" t="s">
        <v>11529</v>
      </c>
      <c r="D2060" s="5" t="s">
        <v>11542</v>
      </c>
      <c r="E2060" s="9" t="str">
        <f>HYPERLINK("https://twitter.com/faran_i/status/1036350491851145221","1036350491851145221")</f>
        <v>1036350491851145221</v>
      </c>
      <c r="F2060" s="4"/>
      <c r="G2060" s="4"/>
      <c r="H2060" s="4"/>
      <c r="I2060" s="10" t="str">
        <f>HYPERLINK("http://twitter.com/download/iphone","Twitter for iPhone")</f>
        <v>Twitter for iPhone</v>
      </c>
      <c r="J2060" s="2">
        <v>193</v>
      </c>
      <c r="K2060" s="2">
        <v>356</v>
      </c>
      <c r="L2060" s="2">
        <v>0</v>
      </c>
      <c r="M2060" s="2"/>
      <c r="N2060" s="8">
        <v>43334.07512731482</v>
      </c>
      <c r="O2060" s="4" t="s">
        <v>11527</v>
      </c>
      <c r="P2060" s="3" t="s">
        <v>11526</v>
      </c>
      <c r="Q2060" s="4"/>
      <c r="R2060" s="4"/>
      <c r="S2060" s="9" t="str">
        <f>HYPERLINK("https://pbs.twimg.com/profile_images/1032017718201987072/P5RGvOXd.jpg","View")</f>
        <v>View</v>
      </c>
    </row>
    <row r="2061" spans="1:19" ht="40">
      <c r="A2061" s="8">
        <v>43346.038275462968</v>
      </c>
      <c r="B2061" s="11" t="str">
        <f>HYPERLINK("https://twitter.com/ReStart66th","@ReStart66th")</f>
        <v>@ReStart66th</v>
      </c>
      <c r="C2061" s="6" t="s">
        <v>6480</v>
      </c>
      <c r="D2061" s="5" t="s">
        <v>11541</v>
      </c>
      <c r="E2061" s="9" t="str">
        <f>HYPERLINK("https://twitter.com/ReStart66th/status/1036349321195806720","1036349321195806720")</f>
        <v>1036349321195806720</v>
      </c>
      <c r="F2061" s="4"/>
      <c r="G2061" s="10" t="s">
        <v>11540</v>
      </c>
      <c r="H2061" s="4"/>
      <c r="I2061" s="10" t="str">
        <f>HYPERLINK("http://twitter.com/download/android","Twitter for Android")</f>
        <v>Twitter for Android</v>
      </c>
      <c r="J2061" s="2">
        <v>556</v>
      </c>
      <c r="K2061" s="2">
        <v>545</v>
      </c>
      <c r="L2061" s="2">
        <v>1</v>
      </c>
      <c r="M2061" s="2"/>
      <c r="N2061" s="8">
        <v>43115.601446759261</v>
      </c>
      <c r="O2061" s="4" t="s">
        <v>6476</v>
      </c>
      <c r="P2061" s="3" t="s">
        <v>6475</v>
      </c>
      <c r="Q2061" s="10" t="s">
        <v>6474</v>
      </c>
      <c r="R2061" s="4"/>
      <c r="S2061" s="9" t="str">
        <f>HYPERLINK("https://pbs.twimg.com/profile_images/1019512263156195328/pprca3n1.jpg","View")</f>
        <v>View</v>
      </c>
    </row>
    <row r="2062" spans="1:19" ht="20">
      <c r="A2062" s="8">
        <v>43346.037673611107</v>
      </c>
      <c r="B2062" s="11" t="str">
        <f>HYPERLINK("https://twitter.com/M_Amir_AKD","@M_Amir_AKD")</f>
        <v>@M_Amir_AKD</v>
      </c>
      <c r="C2062" s="6" t="s">
        <v>11539</v>
      </c>
      <c r="D2062" s="5" t="s">
        <v>11538</v>
      </c>
      <c r="E2062" s="9" t="str">
        <f>HYPERLINK("https://twitter.com/M_Amir_AKD/status/1036349103591055362","1036349103591055362")</f>
        <v>1036349103591055362</v>
      </c>
      <c r="F2062" s="4"/>
      <c r="G2062" s="4"/>
      <c r="H2062" s="4"/>
      <c r="I2062" s="10" t="str">
        <f>HYPERLINK("http://twitter.com","Twitter Web Client")</f>
        <v>Twitter Web Client</v>
      </c>
      <c r="J2062" s="2">
        <v>222</v>
      </c>
      <c r="K2062" s="2">
        <v>334</v>
      </c>
      <c r="L2062" s="2">
        <v>1</v>
      </c>
      <c r="M2062" s="2"/>
      <c r="N2062" s="8">
        <v>40994.072905092595</v>
      </c>
      <c r="O2062" s="4" t="s">
        <v>190</v>
      </c>
      <c r="P2062" s="3" t="s">
        <v>11537</v>
      </c>
      <c r="Q2062" s="4"/>
      <c r="R2062" s="4"/>
      <c r="S2062" s="9" t="str">
        <f>HYPERLINK("https://pbs.twimg.com/profile_images/1011139150664220672/F8FyPVI2.jpg","View")</f>
        <v>View</v>
      </c>
    </row>
    <row r="2063" spans="1:19" ht="30">
      <c r="A2063" s="8">
        <v>43346.036377314813</v>
      </c>
      <c r="B2063" s="11" t="str">
        <f>HYPERLINK("https://twitter.com/samsam_313","@samsam_313")</f>
        <v>@samsam_313</v>
      </c>
      <c r="C2063" s="6" t="s">
        <v>11196</v>
      </c>
      <c r="D2063" s="5" t="s">
        <v>11536</v>
      </c>
      <c r="E2063" s="9" t="str">
        <f>HYPERLINK("https://twitter.com/samsam_313/status/1036348636320346112","1036348636320346112")</f>
        <v>1036348636320346112</v>
      </c>
      <c r="F2063" s="4"/>
      <c r="G2063" s="10" t="s">
        <v>11535</v>
      </c>
      <c r="H2063" s="4"/>
      <c r="I2063" s="10" t="str">
        <f>HYPERLINK("http://twitter.com","Twitter Web Client")</f>
        <v>Twitter Web Client</v>
      </c>
      <c r="J2063" s="2">
        <v>78</v>
      </c>
      <c r="K2063" s="2">
        <v>110</v>
      </c>
      <c r="L2063" s="2">
        <v>1</v>
      </c>
      <c r="M2063" s="2"/>
      <c r="N2063" s="8">
        <v>43219.924722222218</v>
      </c>
      <c r="O2063" s="4" t="s">
        <v>5507</v>
      </c>
      <c r="P2063" s="3" t="s">
        <v>11193</v>
      </c>
      <c r="Q2063" s="10" t="s">
        <v>11192</v>
      </c>
      <c r="R2063" s="4"/>
      <c r="S2063" s="9" t="str">
        <f>HYPERLINK("https://pbs.twimg.com/profile_images/1034419990525440002/bIVQmb3z.jpg","View")</f>
        <v>View</v>
      </c>
    </row>
    <row r="2064" spans="1:19" ht="30">
      <c r="A2064" s="8">
        <v>43346.035717592589</v>
      </c>
      <c r="B2064" s="11" t="str">
        <f>HYPERLINK("https://twitter.com/hassansafarika","@hassansafarika")</f>
        <v>@hassansafarika</v>
      </c>
      <c r="C2064" s="6" t="s">
        <v>7160</v>
      </c>
      <c r="D2064" s="5" t="s">
        <v>11534</v>
      </c>
      <c r="E2064" s="9" t="str">
        <f>HYPERLINK("https://twitter.com/hassansafarika/status/1036348394418130944","1036348394418130944")</f>
        <v>1036348394418130944</v>
      </c>
      <c r="F2064" s="4"/>
      <c r="G2064" s="4"/>
      <c r="H2064" s="4"/>
      <c r="I2064" s="10" t="str">
        <f>HYPERLINK("http://twitter.com/download/android","Twitter for Android")</f>
        <v>Twitter for Android</v>
      </c>
      <c r="J2064" s="2">
        <v>1161</v>
      </c>
      <c r="K2064" s="2">
        <v>2227</v>
      </c>
      <c r="L2064" s="2">
        <v>3</v>
      </c>
      <c r="M2064" s="2"/>
      <c r="N2064" s="8">
        <v>43135.556874999995</v>
      </c>
      <c r="O2064" s="4" t="s">
        <v>17</v>
      </c>
      <c r="P2064" s="3" t="s">
        <v>7158</v>
      </c>
      <c r="Q2064" s="4"/>
      <c r="R2064" s="4"/>
      <c r="S2064" s="9" t="str">
        <f>HYPERLINK("https://pbs.twimg.com/profile_images/1009028943242985472/Rm6iR6ZA.jpg","View")</f>
        <v>View</v>
      </c>
    </row>
    <row r="2065" spans="1:19" ht="30">
      <c r="A2065" s="8">
        <v>43346.034432870365</v>
      </c>
      <c r="B2065" s="11" t="str">
        <f>HYPERLINK("https://twitter.com/Mct_aghp","@Mct_aghp")</f>
        <v>@Mct_aghp</v>
      </c>
      <c r="C2065" s="6" t="s">
        <v>11533</v>
      </c>
      <c r="D2065" s="5" t="s">
        <v>11532</v>
      </c>
      <c r="E2065" s="9" t="str">
        <f>HYPERLINK("https://twitter.com/Mct_aghp/status/1036347929257275392","1036347929257275392")</f>
        <v>1036347929257275392</v>
      </c>
      <c r="F2065" s="4"/>
      <c r="G2065" s="10" t="s">
        <v>11531</v>
      </c>
      <c r="H2065" s="4"/>
      <c r="I2065" s="10" t="str">
        <f>HYPERLINK("http://twitter.com/download/android","Twitter for Android")</f>
        <v>Twitter for Android</v>
      </c>
      <c r="J2065" s="2">
        <v>29</v>
      </c>
      <c r="K2065" s="2">
        <v>170</v>
      </c>
      <c r="L2065" s="2">
        <v>0</v>
      </c>
      <c r="M2065" s="2"/>
      <c r="N2065" s="8">
        <v>41136.999722222223</v>
      </c>
      <c r="O2065" s="4" t="s">
        <v>11530</v>
      </c>
      <c r="P2065" s="3"/>
      <c r="Q2065" s="4"/>
      <c r="R2065" s="4"/>
      <c r="S2065" s="9" t="str">
        <f>HYPERLINK("https://pbs.twimg.com/profile_images/993216036936839170/qW8dFi4F.jpg","View")</f>
        <v>View</v>
      </c>
    </row>
    <row r="2066" spans="1:19" ht="20">
      <c r="A2066" s="8">
        <v>43346.032002314816</v>
      </c>
      <c r="B2066" s="11" t="str">
        <f>HYPERLINK("https://twitter.com/faran_i","@faran_i")</f>
        <v>@faran_i</v>
      </c>
      <c r="C2066" s="6" t="s">
        <v>11529</v>
      </c>
      <c r="D2066" s="5" t="s">
        <v>11528</v>
      </c>
      <c r="E2066" s="9" t="str">
        <f>HYPERLINK("https://twitter.com/faran_i/status/1036347048331751424","1036347048331751424")</f>
        <v>1036347048331751424</v>
      </c>
      <c r="F2066" s="4"/>
      <c r="G2066" s="4"/>
      <c r="H2066" s="4"/>
      <c r="I2066" s="10" t="str">
        <f>HYPERLINK("http://twitter.com/download/iphone","Twitter for iPhone")</f>
        <v>Twitter for iPhone</v>
      </c>
      <c r="J2066" s="2">
        <v>193</v>
      </c>
      <c r="K2066" s="2">
        <v>356</v>
      </c>
      <c r="L2066" s="2">
        <v>0</v>
      </c>
      <c r="M2066" s="2"/>
      <c r="N2066" s="8">
        <v>43334.07512731482</v>
      </c>
      <c r="O2066" s="4" t="s">
        <v>11527</v>
      </c>
      <c r="P2066" s="3" t="s">
        <v>11526</v>
      </c>
      <c r="Q2066" s="4"/>
      <c r="R2066" s="4"/>
      <c r="S2066" s="9" t="str">
        <f>HYPERLINK("https://pbs.twimg.com/profile_images/1032017718201987072/P5RGvOXd.jpg","View")</f>
        <v>View</v>
      </c>
    </row>
    <row r="2067" spans="1:19" ht="30">
      <c r="A2067" s="8">
        <v>43346.031666666662</v>
      </c>
      <c r="B2067" s="11" t="str">
        <f>HYPERLINK("https://twitter.com/ir_teachers","@ir_teachers")</f>
        <v>@ir_teachers</v>
      </c>
      <c r="C2067" s="6" t="s">
        <v>9254</v>
      </c>
      <c r="D2067" s="5" t="s">
        <v>11525</v>
      </c>
      <c r="E2067" s="9" t="str">
        <f>HYPERLINK("https://twitter.com/ir_teachers/status/1036346927791722496","1036346927791722496")</f>
        <v>1036346927791722496</v>
      </c>
      <c r="F2067" s="10" t="s">
        <v>11524</v>
      </c>
      <c r="G2067" s="10" t="s">
        <v>11523</v>
      </c>
      <c r="H2067" s="4"/>
      <c r="I2067" s="10" t="str">
        <f>HYPERLINK("http://twitter.com/download/android","Twitter for Android")</f>
        <v>Twitter for Android</v>
      </c>
      <c r="J2067" s="2">
        <v>214</v>
      </c>
      <c r="K2067" s="2">
        <v>149</v>
      </c>
      <c r="L2067" s="2">
        <v>1</v>
      </c>
      <c r="M2067" s="2"/>
      <c r="N2067" s="8">
        <v>43298.857673611114</v>
      </c>
      <c r="O2067" s="4" t="s">
        <v>17</v>
      </c>
      <c r="P2067" s="3" t="s">
        <v>9252</v>
      </c>
      <c r="Q2067" s="4"/>
      <c r="R2067" s="4"/>
      <c r="S2067" s="9" t="str">
        <f>HYPERLINK("https://pbs.twimg.com/profile_images/1019255477149093888/nByjtYgL.jpg","View")</f>
        <v>View</v>
      </c>
    </row>
    <row r="2068" spans="1:19" ht="50">
      <c r="A2068" s="8">
        <v>43346.029780092591</v>
      </c>
      <c r="B2068" s="11" t="str">
        <f>HYPERLINK("https://twitter.com/MrZactly","@MrZactly")</f>
        <v>@MrZactly</v>
      </c>
      <c r="C2068" s="6" t="s">
        <v>10548</v>
      </c>
      <c r="D2068" s="5" t="s">
        <v>11522</v>
      </c>
      <c r="E2068" s="9" t="str">
        <f>HYPERLINK("https://twitter.com/MrZactly/status/1036346241649729536","1036346241649729536")</f>
        <v>1036346241649729536</v>
      </c>
      <c r="F2068" s="10" t="s">
        <v>11521</v>
      </c>
      <c r="G2068" s="4"/>
      <c r="H2068" s="4"/>
      <c r="I2068" s="10" t="str">
        <f>HYPERLINK("http://twitter.com/download/iphone","Twitter for iPhone")</f>
        <v>Twitter for iPhone</v>
      </c>
      <c r="J2068" s="2">
        <v>71</v>
      </c>
      <c r="K2068" s="2">
        <v>408</v>
      </c>
      <c r="L2068" s="2">
        <v>0</v>
      </c>
      <c r="M2068" s="2"/>
      <c r="N2068" s="8">
        <v>43109.704155092593</v>
      </c>
      <c r="O2068" s="4"/>
      <c r="P2068" s="3" t="s">
        <v>10546</v>
      </c>
      <c r="Q2068" s="4"/>
      <c r="R2068" s="4"/>
      <c r="S2068" s="9" t="str">
        <f>HYPERLINK("https://pbs.twimg.com/profile_images/959898854870081536/ULj7MPz2.jpg","View")</f>
        <v>View</v>
      </c>
    </row>
    <row r="2069" spans="1:19" ht="20">
      <c r="A2069" s="8">
        <v>43346.024085648147</v>
      </c>
      <c r="B2069" s="11" t="str">
        <f>HYPERLINK("https://twitter.com/13631016","@13631016")</f>
        <v>@13631016</v>
      </c>
      <c r="C2069" s="6" t="s">
        <v>11520</v>
      </c>
      <c r="D2069" s="5" t="s">
        <v>11519</v>
      </c>
      <c r="E2069" s="9" t="str">
        <f>HYPERLINK("https://twitter.com/13631016/status/1036344178630832128","1036344178630832128")</f>
        <v>1036344178630832128</v>
      </c>
      <c r="F2069" s="4"/>
      <c r="G2069" s="10" t="s">
        <v>11518</v>
      </c>
      <c r="H2069" s="4"/>
      <c r="I2069" s="10" t="str">
        <f>HYPERLINK("http://twitter.com/download/android","Twitter for Android")</f>
        <v>Twitter for Android</v>
      </c>
      <c r="J2069" s="2">
        <v>24</v>
      </c>
      <c r="K2069" s="2">
        <v>139</v>
      </c>
      <c r="L2069" s="2">
        <v>0</v>
      </c>
      <c r="M2069" s="2"/>
      <c r="N2069" s="8">
        <v>41368.963402777779</v>
      </c>
      <c r="O2069" s="4"/>
      <c r="P2069" s="3"/>
      <c r="Q2069" s="4"/>
      <c r="R2069" s="4"/>
      <c r="S2069" s="9" t="str">
        <f>HYPERLINK("https://pbs.twimg.com/profile_images/1034170734158000128/pC8VjbVz.jpg","View")</f>
        <v>View</v>
      </c>
    </row>
    <row r="2070" spans="1:19" ht="20">
      <c r="A2070" s="8">
        <v>43346.022210648152</v>
      </c>
      <c r="B2070" s="11" t="str">
        <f>HYPERLINK("https://twitter.com/samsam_313","@samsam_313")</f>
        <v>@samsam_313</v>
      </c>
      <c r="C2070" s="6" t="s">
        <v>11196</v>
      </c>
      <c r="D2070" s="5" t="s">
        <v>11517</v>
      </c>
      <c r="E2070" s="9" t="str">
        <f>HYPERLINK("https://twitter.com/samsam_313/status/1036343498876669952","1036343498876669952")</f>
        <v>1036343498876669952</v>
      </c>
      <c r="F2070" s="4"/>
      <c r="G2070" s="10" t="s">
        <v>11516</v>
      </c>
      <c r="H2070" s="4"/>
      <c r="I2070" s="10" t="str">
        <f>HYPERLINK("http://twitter.com","Twitter Web Client")</f>
        <v>Twitter Web Client</v>
      </c>
      <c r="J2070" s="2">
        <v>78</v>
      </c>
      <c r="K2070" s="2">
        <v>110</v>
      </c>
      <c r="L2070" s="2">
        <v>1</v>
      </c>
      <c r="M2070" s="2"/>
      <c r="N2070" s="8">
        <v>43219.924722222218</v>
      </c>
      <c r="O2070" s="4" t="s">
        <v>5507</v>
      </c>
      <c r="P2070" s="3" t="s">
        <v>11193</v>
      </c>
      <c r="Q2070" s="10" t="s">
        <v>11192</v>
      </c>
      <c r="R2070" s="4"/>
      <c r="S2070" s="9" t="str">
        <f>HYPERLINK("https://pbs.twimg.com/profile_images/1034419990525440002/bIVQmb3z.jpg","View")</f>
        <v>View</v>
      </c>
    </row>
    <row r="2071" spans="1:19" ht="20">
      <c r="A2071" s="8">
        <v>43346.019178240742</v>
      </c>
      <c r="B2071" s="11" t="str">
        <f>HYPERLINK("https://twitter.com/Mo_Azari","@Mo_Azari")</f>
        <v>@Mo_Azari</v>
      </c>
      <c r="C2071" s="6" t="s">
        <v>11515</v>
      </c>
      <c r="D2071" s="5" t="s">
        <v>11514</v>
      </c>
      <c r="E2071" s="9" t="str">
        <f>HYPERLINK("https://twitter.com/Mo_Azari/status/1036342402896805889","1036342402896805889")</f>
        <v>1036342402896805889</v>
      </c>
      <c r="F2071" s="4"/>
      <c r="G2071" s="4"/>
      <c r="H2071" s="4"/>
      <c r="I2071" s="10" t="str">
        <f>HYPERLINK("http://twitter.com/download/android","Twitter for Android")</f>
        <v>Twitter for Android</v>
      </c>
      <c r="J2071" s="2">
        <v>1274</v>
      </c>
      <c r="K2071" s="2">
        <v>863</v>
      </c>
      <c r="L2071" s="2">
        <v>1</v>
      </c>
      <c r="M2071" s="2"/>
      <c r="N2071" s="8">
        <v>41731.497291666667</v>
      </c>
      <c r="O2071" s="4" t="s">
        <v>17</v>
      </c>
      <c r="P2071" s="3" t="s">
        <v>11513</v>
      </c>
      <c r="Q2071" s="4"/>
      <c r="R2071" s="4"/>
      <c r="S2071" s="9" t="str">
        <f>HYPERLINK("https://pbs.twimg.com/profile_images/1025648564280745984/tcCHZk-B.jpg","View")</f>
        <v>View</v>
      </c>
    </row>
    <row r="2072" spans="1:19" ht="40">
      <c r="A2072" s="8">
        <v>43346.019016203703</v>
      </c>
      <c r="B2072" s="11" t="str">
        <f>HYPERLINK("https://twitter.com/kamran_sh1788","@kamran_sh1788")</f>
        <v>@kamran_sh1788</v>
      </c>
      <c r="C2072" s="6" t="s">
        <v>6763</v>
      </c>
      <c r="D2072" s="5" t="s">
        <v>11512</v>
      </c>
      <c r="E2072" s="9" t="str">
        <f>HYPERLINK("https://twitter.com/kamran_sh1788/status/1036342344788926465","1036342344788926465")</f>
        <v>1036342344788926465</v>
      </c>
      <c r="F2072" s="4"/>
      <c r="G2072" s="10" t="s">
        <v>11511</v>
      </c>
      <c r="H2072" s="4"/>
      <c r="I2072" s="10" t="str">
        <f>HYPERLINK("http://twitter.com/download/android","Twitter for Android")</f>
        <v>Twitter for Android</v>
      </c>
      <c r="J2072" s="2">
        <v>788</v>
      </c>
      <c r="K2072" s="2">
        <v>386</v>
      </c>
      <c r="L2072" s="2">
        <v>8</v>
      </c>
      <c r="M2072" s="2"/>
      <c r="N2072" s="8">
        <v>42742.941400462965</v>
      </c>
      <c r="O2072" s="4" t="s">
        <v>17</v>
      </c>
      <c r="P2072" s="3" t="s">
        <v>6760</v>
      </c>
      <c r="Q2072" s="10" t="s">
        <v>77</v>
      </c>
      <c r="R2072" s="4"/>
      <c r="S2072" s="9" t="str">
        <f>HYPERLINK("https://pbs.twimg.com/profile_images/856539454735097857/BXwne9hh.jpg","View")</f>
        <v>View</v>
      </c>
    </row>
    <row r="2073" spans="1:19" ht="30">
      <c r="A2073" s="8">
        <v>43346.018784722226</v>
      </c>
      <c r="B2073" s="11" t="str">
        <f>HYPERLINK("https://twitter.com/IranTehran313","@IranTehran313")</f>
        <v>@IranTehran313</v>
      </c>
      <c r="C2073" s="6">
        <v>13</v>
      </c>
      <c r="D2073" s="5" t="s">
        <v>11510</v>
      </c>
      <c r="E2073" s="9" t="str">
        <f>HYPERLINK("https://twitter.com/IranTehran313/status/1036342260550561793","1036342260550561793")</f>
        <v>1036342260550561793</v>
      </c>
      <c r="F2073" s="4"/>
      <c r="G2073" s="4"/>
      <c r="H2073" s="4"/>
      <c r="I2073" s="10" t="str">
        <f>HYPERLINK("http://twitter.com/download/iphone","Twitter for iPhone")</f>
        <v>Twitter for iPhone</v>
      </c>
      <c r="J2073" s="2">
        <v>4</v>
      </c>
      <c r="K2073" s="2">
        <v>0</v>
      </c>
      <c r="L2073" s="2">
        <v>0</v>
      </c>
      <c r="M2073" s="2"/>
      <c r="N2073" s="8">
        <v>41757.120173611111</v>
      </c>
      <c r="O2073" s="4"/>
      <c r="P2073" s="3"/>
      <c r="Q2073" s="4"/>
      <c r="R2073" s="4"/>
      <c r="S2073" s="9" t="str">
        <f>HYPERLINK("https://pbs.twimg.com/profile_images/461247865600221184/SdwNsg8d.jpeg","View")</f>
        <v>View</v>
      </c>
    </row>
    <row r="2074" spans="1:19" ht="50">
      <c r="A2074" s="8">
        <v>43346.018252314811</v>
      </c>
      <c r="B2074" s="11" t="str">
        <f>HYPERLINK("https://twitter.com/FarhaD_iR_","@FarhaD_iR_")</f>
        <v>@FarhaD_iR_</v>
      </c>
      <c r="C2074" s="6" t="s">
        <v>11509</v>
      </c>
      <c r="D2074" s="5" t="s">
        <v>11508</v>
      </c>
      <c r="E2074" s="9" t="str">
        <f>HYPERLINK("https://twitter.com/FarhaD_iR_/status/1036342064269672448","1036342064269672448")</f>
        <v>1036342064269672448</v>
      </c>
      <c r="F2074" s="10" t="s">
        <v>11164</v>
      </c>
      <c r="G2074" s="4"/>
      <c r="H2074" s="4"/>
      <c r="I2074" s="10" t="str">
        <f>HYPERLINK("http://twitter.com/download/android","Twitter for Android")</f>
        <v>Twitter for Android</v>
      </c>
      <c r="J2074" s="2">
        <v>336</v>
      </c>
      <c r="K2074" s="2">
        <v>460</v>
      </c>
      <c r="L2074" s="2">
        <v>0</v>
      </c>
      <c r="M2074" s="2"/>
      <c r="N2074" s="8">
        <v>43306.831574074073</v>
      </c>
      <c r="O2074" s="4" t="s">
        <v>2433</v>
      </c>
      <c r="P2074" s="3" t="s">
        <v>11507</v>
      </c>
      <c r="Q2074" s="4"/>
      <c r="R2074" s="4"/>
      <c r="S2074" s="9" t="str">
        <f>HYPERLINK("https://pbs.twimg.com/profile_images/1026014973947006976/mgyY6X0G.jpg","View")</f>
        <v>View</v>
      </c>
    </row>
    <row r="2075" spans="1:19" ht="40">
      <c r="A2075" s="8">
        <v>43346.014351851853</v>
      </c>
      <c r="B2075" s="11" t="str">
        <f>HYPERLINK("https://twitter.com/mr_banafsh","@mr_banafsh")</f>
        <v>@mr_banafsh</v>
      </c>
      <c r="C2075" s="6" t="s">
        <v>1267</v>
      </c>
      <c r="D2075" s="5" t="s">
        <v>11506</v>
      </c>
      <c r="E2075" s="9" t="str">
        <f>HYPERLINK("https://twitter.com/mr_banafsh/status/1036340653398138880","1036340653398138880")</f>
        <v>1036340653398138880</v>
      </c>
      <c r="F2075" s="4"/>
      <c r="G2075" s="4"/>
      <c r="H2075" s="4"/>
      <c r="I2075" s="10" t="str">
        <f>HYPERLINK("http://twitter.com","Twitter Web Client")</f>
        <v>Twitter Web Client</v>
      </c>
      <c r="J2075" s="2">
        <v>1260</v>
      </c>
      <c r="K2075" s="2">
        <v>118</v>
      </c>
      <c r="L2075" s="2">
        <v>17</v>
      </c>
      <c r="M2075" s="2"/>
      <c r="N2075" s="8">
        <v>41550.757592592592</v>
      </c>
      <c r="O2075" s="4"/>
      <c r="P2075" s="3" t="s">
        <v>11505</v>
      </c>
      <c r="Q2075" s="4"/>
      <c r="R2075" s="4"/>
      <c r="S2075" s="9" t="str">
        <f>HYPERLINK("https://pbs.twimg.com/profile_images/1031662037036875777/UsE92XAi.jpg","View")</f>
        <v>View</v>
      </c>
    </row>
    <row r="2076" spans="1:19" ht="20">
      <c r="A2076" s="8">
        <v>43346.012673611112</v>
      </c>
      <c r="B2076" s="11" t="str">
        <f>HYPERLINK("https://twitter.com/Tasnimnews_Fa","@Tasnimnews_Fa")</f>
        <v>@Tasnimnews_Fa</v>
      </c>
      <c r="C2076" s="6" t="s">
        <v>603</v>
      </c>
      <c r="D2076" s="5" t="s">
        <v>11504</v>
      </c>
      <c r="E2076" s="9" t="str">
        <f>HYPERLINK("https://twitter.com/Tasnimnews_Fa/status/1036340043340763136","1036340043340763136")</f>
        <v>1036340043340763136</v>
      </c>
      <c r="F2076" s="10" t="s">
        <v>11503</v>
      </c>
      <c r="G2076" s="10" t="s">
        <v>11502</v>
      </c>
      <c r="H2076" s="4"/>
      <c r="I2076" s="10" t="str">
        <f>HYPERLINK("http://twitter.com/download/iphone","Twitter for iPhone")</f>
        <v>Twitter for iPhone</v>
      </c>
      <c r="J2076" s="2">
        <v>109637</v>
      </c>
      <c r="K2076" s="2">
        <v>20</v>
      </c>
      <c r="L2076" s="2">
        <v>377</v>
      </c>
      <c r="M2076" s="2" t="s">
        <v>80</v>
      </c>
      <c r="N2076" s="8">
        <v>41868.671585648146</v>
      </c>
      <c r="O2076" s="4" t="s">
        <v>133</v>
      </c>
      <c r="P2076" s="3" t="s">
        <v>599</v>
      </c>
      <c r="Q2076" s="10" t="s">
        <v>598</v>
      </c>
      <c r="R2076" s="4"/>
      <c r="S2076" s="9" t="str">
        <f>HYPERLINK("https://pbs.twimg.com/profile_images/942003149430239232/hvLw_1_E.jpg","View")</f>
        <v>View</v>
      </c>
    </row>
    <row r="2077" spans="1:19" ht="40">
      <c r="A2077" s="8">
        <v>43346.011018518519</v>
      </c>
      <c r="B2077" s="11" t="str">
        <f>HYPERLINK("https://twitter.com/mahdi_mohandes","@mahdi_mohandes")</f>
        <v>@mahdi_mohandes</v>
      </c>
      <c r="C2077" s="6" t="s">
        <v>11501</v>
      </c>
      <c r="D2077" s="5" t="s">
        <v>11500</v>
      </c>
      <c r="E2077" s="9" t="str">
        <f>HYPERLINK("https://twitter.com/mahdi_mohandes/status/1036339443035254784","1036339443035254784")</f>
        <v>1036339443035254784</v>
      </c>
      <c r="F2077" s="4"/>
      <c r="G2077" s="4"/>
      <c r="H2077" s="4"/>
      <c r="I2077" s="10" t="str">
        <f>HYPERLINK("http://twitter.com/download/iphone","Twitter for iPhone")</f>
        <v>Twitter for iPhone</v>
      </c>
      <c r="J2077" s="2">
        <v>990</v>
      </c>
      <c r="K2077" s="2">
        <v>1893</v>
      </c>
      <c r="L2077" s="2">
        <v>0</v>
      </c>
      <c r="M2077" s="2"/>
      <c r="N2077" s="8">
        <v>42744.83525462963</v>
      </c>
      <c r="O2077" s="4" t="s">
        <v>34</v>
      </c>
      <c r="P2077" s="3" t="s">
        <v>11499</v>
      </c>
      <c r="Q2077" s="4"/>
      <c r="R2077" s="4"/>
      <c r="S2077" s="9" t="str">
        <f>HYPERLINK("https://pbs.twimg.com/profile_images/1034284416896516096/5o8ryEbr.jpg","View")</f>
        <v>View</v>
      </c>
    </row>
    <row r="2078" spans="1:19" ht="40">
      <c r="A2078" s="8">
        <v>43346.009826388894</v>
      </c>
      <c r="B2078" s="11" t="str">
        <f>HYPERLINK("https://twitter.com/hizxScBVEQrqf9W","@hizxScBVEQrqf9W")</f>
        <v>@hizxScBVEQrqf9W</v>
      </c>
      <c r="C2078" s="6" t="s">
        <v>11498</v>
      </c>
      <c r="D2078" s="5" t="s">
        <v>11497</v>
      </c>
      <c r="E2078" s="9" t="str">
        <f>HYPERLINK("https://twitter.com/hizxScBVEQrqf9W/status/1036339013156782080","1036339013156782080")</f>
        <v>1036339013156782080</v>
      </c>
      <c r="F2078" s="4"/>
      <c r="G2078" s="4"/>
      <c r="H2078" s="4"/>
      <c r="I2078" s="10" t="str">
        <f>HYPERLINK("http://twitter.com","Twitter Web Client")</f>
        <v>Twitter Web Client</v>
      </c>
      <c r="J2078" s="2">
        <v>1154</v>
      </c>
      <c r="K2078" s="2">
        <v>3220</v>
      </c>
      <c r="L2078" s="2">
        <v>1</v>
      </c>
      <c r="M2078" s="2"/>
      <c r="N2078" s="8">
        <v>42713.922777777778</v>
      </c>
      <c r="O2078" s="4" t="s">
        <v>11496</v>
      </c>
      <c r="P2078" s="3" t="s">
        <v>11495</v>
      </c>
      <c r="Q2078" s="10" t="s">
        <v>11494</v>
      </c>
      <c r="R2078" s="4"/>
      <c r="S2078" s="9" t="str">
        <f>HYPERLINK("https://pbs.twimg.com/profile_images/807526881276805120/y75tY_Uj.jpg","View")</f>
        <v>View</v>
      </c>
    </row>
    <row r="2079" spans="1:19" ht="20">
      <c r="A2079" s="8">
        <v>43346.008750000001</v>
      </c>
      <c r="B2079" s="11" t="str">
        <f>HYPERLINK("https://twitter.com/hajfathiir","@hajfathiir")</f>
        <v>@hajfathiir</v>
      </c>
      <c r="C2079" s="6" t="s">
        <v>1327</v>
      </c>
      <c r="D2079" s="5" t="s">
        <v>11493</v>
      </c>
      <c r="E2079" s="9" t="str">
        <f>HYPERLINK("https://twitter.com/hajfathiir/status/1036338623430451200","1036338623430451200")</f>
        <v>1036338623430451200</v>
      </c>
      <c r="F2079" s="4"/>
      <c r="G2079" s="4"/>
      <c r="H2079" s="4"/>
      <c r="I2079" s="10" t="str">
        <f>HYPERLINK("http://twitter.com/download/android","Twitter for Android")</f>
        <v>Twitter for Android</v>
      </c>
      <c r="J2079" s="2">
        <v>487</v>
      </c>
      <c r="K2079" s="2">
        <v>408</v>
      </c>
      <c r="L2079" s="2">
        <v>6</v>
      </c>
      <c r="M2079" s="2"/>
      <c r="N2079" s="8">
        <v>42640.430520833332</v>
      </c>
      <c r="O2079" s="4" t="s">
        <v>1325</v>
      </c>
      <c r="P2079" s="3" t="s">
        <v>1324</v>
      </c>
      <c r="Q2079" s="10" t="s">
        <v>1323</v>
      </c>
      <c r="R2079" s="4"/>
      <c r="S2079" s="9" t="str">
        <f>HYPERLINK("https://pbs.twimg.com/profile_images/1004377757177073665/t80o9yVp.jpg","View")</f>
        <v>View</v>
      </c>
    </row>
    <row r="2080" spans="1:19" ht="40">
      <c r="A2080" s="8">
        <v>43346.004548611112</v>
      </c>
      <c r="B2080" s="11" t="str">
        <f>HYPERLINK("https://twitter.com/shab___cheragh","@shab___cheragh")</f>
        <v>@shab___cheragh</v>
      </c>
      <c r="C2080" s="6" t="s">
        <v>11492</v>
      </c>
      <c r="D2080" s="5" t="s">
        <v>11491</v>
      </c>
      <c r="E2080" s="9" t="str">
        <f>HYPERLINK("https://twitter.com/shab___cheragh/status/1036337101200080897","1036337101200080897")</f>
        <v>1036337101200080897</v>
      </c>
      <c r="F2080" s="4"/>
      <c r="G2080" s="4"/>
      <c r="H2080" s="4"/>
      <c r="I2080" s="10" t="str">
        <f>HYPERLINK("http://twitter.com","Twitter Web Client")</f>
        <v>Twitter Web Client</v>
      </c>
      <c r="J2080" s="2">
        <v>5</v>
      </c>
      <c r="K2080" s="2">
        <v>14</v>
      </c>
      <c r="L2080" s="2">
        <v>0</v>
      </c>
      <c r="M2080" s="2"/>
      <c r="N2080" s="8">
        <v>41752.471377314811</v>
      </c>
      <c r="O2080" s="4"/>
      <c r="P2080" s="3"/>
      <c r="Q2080" s="4"/>
      <c r="R2080" s="4"/>
      <c r="S2080" s="2" t="s">
        <v>155</v>
      </c>
    </row>
    <row r="2081" spans="1:19" ht="40">
      <c r="A2081" s="8">
        <v>43346.003055555557</v>
      </c>
      <c r="B2081" s="11" t="str">
        <f>HYPERLINK("https://twitter.com/sab_behbahani","@sab_behbahani")</f>
        <v>@sab_behbahani</v>
      </c>
      <c r="C2081" s="11" t="s">
        <v>11490</v>
      </c>
      <c r="D2081" s="5" t="s">
        <v>11489</v>
      </c>
      <c r="E2081" s="9" t="str">
        <f>HYPERLINK("https://twitter.com/sab_behbahani/status/1036336559858098176","1036336559858098176")</f>
        <v>1036336559858098176</v>
      </c>
      <c r="F2081" s="4"/>
      <c r="G2081" s="4"/>
      <c r="H2081" s="4"/>
      <c r="I2081" s="10" t="str">
        <f>HYPERLINK("http://twitter.com/download/iphone","Twitter for iPhone")</f>
        <v>Twitter for iPhone</v>
      </c>
      <c r="J2081" s="2">
        <v>237</v>
      </c>
      <c r="K2081" s="2">
        <v>553</v>
      </c>
      <c r="L2081" s="2">
        <v>3</v>
      </c>
      <c r="M2081" s="2"/>
      <c r="N2081" s="8">
        <v>42453.145486111112</v>
      </c>
      <c r="O2081" s="4" t="s">
        <v>11488</v>
      </c>
      <c r="P2081" s="3" t="s">
        <v>11487</v>
      </c>
      <c r="Q2081" s="10" t="s">
        <v>11486</v>
      </c>
      <c r="R2081" s="4"/>
      <c r="S2081" s="9" t="str">
        <f>HYPERLINK("https://pbs.twimg.com/profile_images/1010303269388857344/2pBU8nu3.jpg","View")</f>
        <v>View</v>
      </c>
    </row>
    <row r="2082" spans="1:19" ht="40">
      <c r="A2082" s="8">
        <v>43345.999537037038</v>
      </c>
      <c r="B2082" s="11" t="str">
        <f>HYPERLINK("https://twitter.com/mortezaa_m","@mortezaa_m")</f>
        <v>@mortezaa_m</v>
      </c>
      <c r="C2082" s="6" t="s">
        <v>11485</v>
      </c>
      <c r="D2082" s="5" t="s">
        <v>11484</v>
      </c>
      <c r="E2082" s="9" t="str">
        <f>HYPERLINK("https://twitter.com/mortezaa_m/status/1036335282688335873","1036335282688335873")</f>
        <v>1036335282688335873</v>
      </c>
      <c r="F2082" s="4"/>
      <c r="G2082" s="4"/>
      <c r="H2082" s="4"/>
      <c r="I2082" s="10" t="str">
        <f>HYPERLINK("http://twitter.com/#!/download/ipad","Twitter for iPad")</f>
        <v>Twitter for iPad</v>
      </c>
      <c r="J2082" s="2">
        <v>1054</v>
      </c>
      <c r="K2082" s="2">
        <v>892</v>
      </c>
      <c r="L2082" s="2">
        <v>7</v>
      </c>
      <c r="M2082" s="2"/>
      <c r="N2082" s="8">
        <v>40007.004386574074</v>
      </c>
      <c r="O2082" s="4" t="s">
        <v>324</v>
      </c>
      <c r="P2082" s="3" t="s">
        <v>11483</v>
      </c>
      <c r="Q2082" s="4"/>
      <c r="R2082" s="4"/>
      <c r="S2082" s="9" t="str">
        <f>HYPERLINK("https://pbs.twimg.com/profile_images/989359510904102913/rKV6-R2A.jpg","View")</f>
        <v>View</v>
      </c>
    </row>
    <row r="2083" spans="1:19" ht="40">
      <c r="A2083" s="8">
        <v>43345.999085648145</v>
      </c>
      <c r="B2083" s="11" t="str">
        <f>HYPERLINK("https://twitter.com/mehr_joo","@mehr_joo")</f>
        <v>@mehr_joo</v>
      </c>
      <c r="C2083" s="6" t="s">
        <v>1776</v>
      </c>
      <c r="D2083" s="5" t="s">
        <v>11482</v>
      </c>
      <c r="E2083" s="9" t="str">
        <f>HYPERLINK("https://twitter.com/mehr_joo/status/1036335118506491904","1036335118506491904")</f>
        <v>1036335118506491904</v>
      </c>
      <c r="F2083" s="4"/>
      <c r="G2083" s="4"/>
      <c r="H2083" s="4"/>
      <c r="I2083" s="10" t="str">
        <f>HYPERLINK("http://twitter.com/download/android","Twitter for Android")</f>
        <v>Twitter for Android</v>
      </c>
      <c r="J2083" s="2">
        <v>46</v>
      </c>
      <c r="K2083" s="2">
        <v>79</v>
      </c>
      <c r="L2083" s="2">
        <v>0</v>
      </c>
      <c r="M2083" s="2"/>
      <c r="N2083" s="8">
        <v>43334.503553240742</v>
      </c>
      <c r="O2083" s="4" t="s">
        <v>34</v>
      </c>
      <c r="P2083" s="3" t="s">
        <v>11481</v>
      </c>
      <c r="Q2083" s="4"/>
      <c r="R2083" s="4"/>
      <c r="S2083" s="9" t="str">
        <f>HYPERLINK("https://pbs.twimg.com/profile_images/1033446887611879425/LDhVqud5.jpg","View")</f>
        <v>View</v>
      </c>
    </row>
    <row r="2084" spans="1:19" ht="30">
      <c r="A2084" s="8">
        <v>43345.998969907407</v>
      </c>
      <c r="B2084" s="11" t="str">
        <f>HYPERLINK("https://twitter.com/Ana_manatina","@Ana_manatina")</f>
        <v>@Ana_manatina</v>
      </c>
      <c r="C2084" s="6" t="s">
        <v>11480</v>
      </c>
      <c r="D2084" s="5" t="s">
        <v>11479</v>
      </c>
      <c r="E2084" s="9" t="str">
        <f>HYPERLINK("https://twitter.com/Ana_manatina/status/1036335079147163648","1036335079147163648")</f>
        <v>1036335079147163648</v>
      </c>
      <c r="F2084" s="4"/>
      <c r="G2084" s="4"/>
      <c r="H2084" s="4"/>
      <c r="I2084" s="10" t="str">
        <f>HYPERLINK("http://twitter.com/download/android","Twitter for Android")</f>
        <v>Twitter for Android</v>
      </c>
      <c r="J2084" s="2">
        <v>510</v>
      </c>
      <c r="K2084" s="2">
        <v>607</v>
      </c>
      <c r="L2084" s="2">
        <v>1</v>
      </c>
      <c r="M2084" s="2"/>
      <c r="N2084" s="8">
        <v>43266.93850694444</v>
      </c>
      <c r="O2084" s="4"/>
      <c r="P2084" s="3" t="s">
        <v>11478</v>
      </c>
      <c r="Q2084" s="4"/>
      <c r="R2084" s="4"/>
      <c r="S2084" s="9" t="str">
        <f>HYPERLINK("https://pbs.twimg.com/profile_images/1029768639086583808/A-FOlyCD.jpg","View")</f>
        <v>View</v>
      </c>
    </row>
    <row r="2085" spans="1:19" ht="30">
      <c r="A2085" s="8">
        <v>43345.99864583333</v>
      </c>
      <c r="B2085" s="11" t="str">
        <f>HYPERLINK("https://twitter.com/ali_yasami","@ali_yasami")</f>
        <v>@ali_yasami</v>
      </c>
      <c r="C2085" s="6" t="s">
        <v>10011</v>
      </c>
      <c r="D2085" s="5" t="s">
        <v>11477</v>
      </c>
      <c r="E2085" s="9" t="str">
        <f>HYPERLINK("https://twitter.com/ali_yasami/status/1036334959462686720","1036334959462686720")</f>
        <v>1036334959462686720</v>
      </c>
      <c r="F2085" s="4"/>
      <c r="G2085" s="10" t="s">
        <v>11476</v>
      </c>
      <c r="H2085" s="4"/>
      <c r="I2085" s="10" t="str">
        <f>HYPERLINK("http://twitter.com/download/android","Twitter for Android")</f>
        <v>Twitter for Android</v>
      </c>
      <c r="J2085" s="2">
        <v>466</v>
      </c>
      <c r="K2085" s="2">
        <v>687</v>
      </c>
      <c r="L2085" s="2">
        <v>0</v>
      </c>
      <c r="M2085" s="2"/>
      <c r="N2085" s="8">
        <v>42849.13899305556</v>
      </c>
      <c r="O2085" s="4" t="s">
        <v>10009</v>
      </c>
      <c r="P2085" s="3" t="s">
        <v>10008</v>
      </c>
      <c r="Q2085" s="10" t="s">
        <v>10007</v>
      </c>
      <c r="R2085" s="4"/>
      <c r="S2085" s="9" t="str">
        <f>HYPERLINK("https://pbs.twimg.com/profile_images/856341772020191234/IboWwPD8.jpg","View")</f>
        <v>View</v>
      </c>
    </row>
    <row r="2086" spans="1:19" ht="30">
      <c r="A2086" s="8">
        <v>43345.99391203704</v>
      </c>
      <c r="B2086" s="11" t="str">
        <f>HYPERLINK("https://twitter.com/maahdisss","@maahdisss")</f>
        <v>@maahdisss</v>
      </c>
      <c r="C2086" s="6" t="s">
        <v>11475</v>
      </c>
      <c r="D2086" s="5" t="s">
        <v>11474</v>
      </c>
      <c r="E2086" s="9" t="str">
        <f>HYPERLINK("https://twitter.com/maahdisss/status/1036333246013952001","1036333246013952001")</f>
        <v>1036333246013952001</v>
      </c>
      <c r="F2086" s="4"/>
      <c r="G2086" s="4"/>
      <c r="H2086" s="4"/>
      <c r="I2086" s="10" t="str">
        <f>HYPERLINK("http://twitter.com/download/android","Twitter for Android")</f>
        <v>Twitter for Android</v>
      </c>
      <c r="J2086" s="2">
        <v>23</v>
      </c>
      <c r="K2086" s="2">
        <v>138</v>
      </c>
      <c r="L2086" s="2">
        <v>0</v>
      </c>
      <c r="M2086" s="2"/>
      <c r="N2086" s="8">
        <v>43313.935648148152</v>
      </c>
      <c r="O2086" s="4" t="s">
        <v>25</v>
      </c>
      <c r="P2086" s="3" t="s">
        <v>11473</v>
      </c>
      <c r="Q2086" s="4"/>
      <c r="R2086" s="4"/>
      <c r="S2086" s="9" t="str">
        <f>HYPERLINK("https://pbs.twimg.com/profile_images/1036306486954287110/aAk4jO2R.jpg","View")</f>
        <v>View</v>
      </c>
    </row>
    <row r="2087" spans="1:19" ht="50">
      <c r="A2087" s="8">
        <v>43345.99381944444</v>
      </c>
      <c r="B2087" s="11" t="str">
        <f>HYPERLINK("https://twitter.com/shahabsmam","@shahabsmam")</f>
        <v>@shahabsmam</v>
      </c>
      <c r="C2087" s="6" t="s">
        <v>1939</v>
      </c>
      <c r="D2087" s="5" t="s">
        <v>11472</v>
      </c>
      <c r="E2087" s="9" t="str">
        <f>HYPERLINK("https://twitter.com/shahabsmam/status/1036333212954451969","1036333212954451969")</f>
        <v>1036333212954451969</v>
      </c>
      <c r="F2087" s="4"/>
      <c r="G2087" s="4"/>
      <c r="H2087" s="4"/>
      <c r="I2087" s="10" t="str">
        <f>HYPERLINK("http://twitter.com/download/android","Twitter for Android")</f>
        <v>Twitter for Android</v>
      </c>
      <c r="J2087" s="2">
        <v>898</v>
      </c>
      <c r="K2087" s="2">
        <v>675</v>
      </c>
      <c r="L2087" s="2">
        <v>3</v>
      </c>
      <c r="M2087" s="2"/>
      <c r="N2087" s="8">
        <v>42736.421018518522</v>
      </c>
      <c r="O2087" s="4" t="s">
        <v>1937</v>
      </c>
      <c r="P2087" s="3" t="s">
        <v>1936</v>
      </c>
      <c r="Q2087" s="4"/>
      <c r="R2087" s="4"/>
      <c r="S2087" s="9" t="str">
        <f>HYPERLINK("https://pbs.twimg.com/profile_images/906273560779513861/eGhkT1Z8.jpg","View")</f>
        <v>View</v>
      </c>
    </row>
    <row r="2088" spans="1:19" ht="20">
      <c r="A2088" s="8">
        <v>43345.993680555555</v>
      </c>
      <c r="B2088" s="11" t="str">
        <f>HYPERLINK("https://twitter.com/MehranShahrooz","@MehranShahrooz")</f>
        <v>@MehranShahrooz</v>
      </c>
      <c r="C2088" s="6" t="s">
        <v>11471</v>
      </c>
      <c r="D2088" s="5" t="s">
        <v>11470</v>
      </c>
      <c r="E2088" s="9" t="str">
        <f>HYPERLINK("https://twitter.com/MehranShahrooz/status/1036333161876283392","1036333161876283392")</f>
        <v>1036333161876283392</v>
      </c>
      <c r="F2088" s="4"/>
      <c r="G2088" s="10" t="s">
        <v>11469</v>
      </c>
      <c r="H2088" s="4"/>
      <c r="I2088" s="10" t="str">
        <f>HYPERLINK("http://twitter.com/download/android","Twitter for Android")</f>
        <v>Twitter for Android</v>
      </c>
      <c r="J2088" s="2">
        <v>913</v>
      </c>
      <c r="K2088" s="2">
        <v>1566</v>
      </c>
      <c r="L2088" s="2">
        <v>1</v>
      </c>
      <c r="M2088" s="2"/>
      <c r="N2088" s="8">
        <v>41425.869780092595</v>
      </c>
      <c r="O2088" s="4" t="s">
        <v>34</v>
      </c>
      <c r="P2088" s="3" t="s">
        <v>11468</v>
      </c>
      <c r="Q2088" s="4"/>
      <c r="R2088" s="4"/>
      <c r="S2088" s="9" t="str">
        <f>HYPERLINK("https://pbs.twimg.com/profile_images/1034187693310271495/yH2ty3ur.jpg","View")</f>
        <v>View</v>
      </c>
    </row>
    <row r="2089" spans="1:19" ht="40">
      <c r="A2089" s="8">
        <v>43345.989722222221</v>
      </c>
      <c r="B2089" s="11" t="str">
        <f>HYPERLINK("https://twitter.com/F_Shalforoosh","@F_Shalforoosh")</f>
        <v>@F_Shalforoosh</v>
      </c>
      <c r="C2089" s="6" t="s">
        <v>7526</v>
      </c>
      <c r="D2089" s="5" t="s">
        <v>11467</v>
      </c>
      <c r="E2089" s="9" t="str">
        <f>HYPERLINK("https://twitter.com/F_Shalforoosh/status/1036331729122783233","1036331729122783233")</f>
        <v>1036331729122783233</v>
      </c>
      <c r="F2089" s="4"/>
      <c r="G2089" s="4"/>
      <c r="H2089" s="4"/>
      <c r="I2089" s="10" t="str">
        <f>HYPERLINK("http://twitter.com/download/android","Twitter for Android")</f>
        <v>Twitter for Android</v>
      </c>
      <c r="J2089" s="2">
        <v>185</v>
      </c>
      <c r="K2089" s="2">
        <v>80</v>
      </c>
      <c r="L2089" s="2">
        <v>0</v>
      </c>
      <c r="M2089" s="2"/>
      <c r="N2089" s="8">
        <v>42020.817696759259</v>
      </c>
      <c r="O2089" s="4" t="s">
        <v>3822</v>
      </c>
      <c r="P2089" s="3" t="s">
        <v>7524</v>
      </c>
      <c r="Q2089" s="10" t="s">
        <v>7523</v>
      </c>
      <c r="R2089" s="4"/>
      <c r="S2089" s="9" t="str">
        <f>HYPERLINK("https://pbs.twimg.com/profile_images/999140379059404800/SnZ0lY57.jpg","View")</f>
        <v>View</v>
      </c>
    </row>
    <row r="2090" spans="1:19" ht="40">
      <c r="A2090" s="8">
        <v>43345.988958333328</v>
      </c>
      <c r="B2090" s="11" t="str">
        <f>HYPERLINK("https://twitter.com/suelasuz","@suelasuz")</f>
        <v>@suelasuz</v>
      </c>
      <c r="C2090" s="6" t="s">
        <v>11466</v>
      </c>
      <c r="D2090" s="5" t="s">
        <v>11465</v>
      </c>
      <c r="E2090" s="9" t="str">
        <f>HYPERLINK("https://twitter.com/suelasuz/status/1036331449664843778","1036331449664843778")</f>
        <v>1036331449664843778</v>
      </c>
      <c r="F2090" s="4"/>
      <c r="G2090" s="4"/>
      <c r="H2090" s="4"/>
      <c r="I2090" s="10" t="str">
        <f>HYPERLINK("http://twitter.com/download/iphone","Twitter for iPhone")</f>
        <v>Twitter for iPhone</v>
      </c>
      <c r="J2090" s="2">
        <v>1482</v>
      </c>
      <c r="K2090" s="2">
        <v>582</v>
      </c>
      <c r="L2090" s="2">
        <v>21</v>
      </c>
      <c r="M2090" s="2"/>
      <c r="N2090" s="8">
        <v>41553.447638888887</v>
      </c>
      <c r="O2090" s="4" t="s">
        <v>2338</v>
      </c>
      <c r="P2090" s="3" t="s">
        <v>11464</v>
      </c>
      <c r="Q2090" s="4"/>
      <c r="R2090" s="4"/>
      <c r="S2090" s="9" t="str">
        <f>HYPERLINK("https://pbs.twimg.com/profile_images/1032367972508225536/di44VPH4.jpg","View")</f>
        <v>View</v>
      </c>
    </row>
    <row r="2091" spans="1:19" ht="40">
      <c r="A2091" s="8">
        <v>43345.986354166671</v>
      </c>
      <c r="B2091" s="11" t="str">
        <f>HYPERLINK("https://twitter.com/HSelahvarzi","@HSelahvarzi")</f>
        <v>@HSelahvarzi</v>
      </c>
      <c r="C2091" s="6" t="s">
        <v>5378</v>
      </c>
      <c r="D2091" s="5" t="s">
        <v>11463</v>
      </c>
      <c r="E2091" s="9" t="str">
        <f>HYPERLINK("https://twitter.com/HSelahvarzi/status/1036330505187348481","1036330505187348481")</f>
        <v>1036330505187348481</v>
      </c>
      <c r="F2091" s="4"/>
      <c r="G2091" s="4"/>
      <c r="H2091" s="4"/>
      <c r="I2091" s="10" t="str">
        <f>HYPERLINK("http://twitter.com/download/iphone","Twitter for iPhone")</f>
        <v>Twitter for iPhone</v>
      </c>
      <c r="J2091" s="2">
        <v>1543</v>
      </c>
      <c r="K2091" s="2">
        <v>318</v>
      </c>
      <c r="L2091" s="2">
        <v>10</v>
      </c>
      <c r="M2091" s="2"/>
      <c r="N2091" s="8">
        <v>41211.954907407409</v>
      </c>
      <c r="O2091" s="4" t="s">
        <v>324</v>
      </c>
      <c r="P2091" s="3"/>
      <c r="Q2091" s="10" t="s">
        <v>5376</v>
      </c>
      <c r="R2091" s="4"/>
      <c r="S2091" s="9" t="str">
        <f>HYPERLINK("https://pbs.twimg.com/profile_images/988790805425946624/o-T22DmR.jpg","View")</f>
        <v>View</v>
      </c>
    </row>
    <row r="2092" spans="1:19" ht="30">
      <c r="A2092" s="8">
        <v>43345.985497685186</v>
      </c>
      <c r="B2092" s="11" t="str">
        <f>HYPERLINK("https://twitter.com/RoyaAhm96696018","@RoyaAhm96696018")</f>
        <v>@RoyaAhm96696018</v>
      </c>
      <c r="C2092" s="6" t="s">
        <v>11462</v>
      </c>
      <c r="D2092" s="5" t="s">
        <v>11461</v>
      </c>
      <c r="E2092" s="9" t="str">
        <f>HYPERLINK("https://twitter.com/RoyaAhm96696018/status/1036330196322975744","1036330196322975744")</f>
        <v>1036330196322975744</v>
      </c>
      <c r="F2092" s="4"/>
      <c r="G2092" s="4"/>
      <c r="H2092" s="4"/>
      <c r="I2092" s="10" t="str">
        <f>HYPERLINK("http://twitter.com/download/android","Twitter for Android")</f>
        <v>Twitter for Android</v>
      </c>
      <c r="J2092" s="2">
        <v>89</v>
      </c>
      <c r="K2092" s="2">
        <v>136</v>
      </c>
      <c r="L2092" s="2">
        <v>0</v>
      </c>
      <c r="M2092" s="2"/>
      <c r="N2092" s="8">
        <v>43334.560243055559</v>
      </c>
      <c r="O2092" s="4" t="s">
        <v>11460</v>
      </c>
      <c r="P2092" s="3" t="s">
        <v>11459</v>
      </c>
      <c r="Q2092" s="4"/>
      <c r="R2092" s="4"/>
      <c r="S2092" s="9" t="str">
        <f>HYPERLINK("https://pbs.twimg.com/profile_images/1032190829610389504/95ROGa0T.jpg","View")</f>
        <v>View</v>
      </c>
    </row>
    <row r="2093" spans="1:19" ht="40">
      <c r="A2093" s="8">
        <v>43345.985081018516</v>
      </c>
      <c r="B2093" s="11" t="str">
        <f>HYPERLINK("https://twitter.com/simayazaditv","@simayazaditv")</f>
        <v>@simayazaditv</v>
      </c>
      <c r="C2093" s="6" t="s">
        <v>1758</v>
      </c>
      <c r="D2093" s="5" t="s">
        <v>11458</v>
      </c>
      <c r="E2093" s="9" t="str">
        <f>HYPERLINK("https://twitter.com/simayazaditv/status/1036330046800187393","1036330046800187393")</f>
        <v>1036330046800187393</v>
      </c>
      <c r="F2093" s="4"/>
      <c r="G2093" s="10" t="s">
        <v>11457</v>
      </c>
      <c r="H2093" s="4"/>
      <c r="I2093" s="10" t="str">
        <f>HYPERLINK("http://twitter.com","Twitter Web Client")</f>
        <v>Twitter Web Client</v>
      </c>
      <c r="J2093" s="2">
        <v>6064</v>
      </c>
      <c r="K2093" s="2">
        <v>1</v>
      </c>
      <c r="L2093" s="2">
        <v>101</v>
      </c>
      <c r="M2093" s="2"/>
      <c r="N2093" s="8">
        <v>42209.662442129629</v>
      </c>
      <c r="O2093" s="4" t="s">
        <v>252</v>
      </c>
      <c r="P2093" s="3"/>
      <c r="Q2093" s="10" t="s">
        <v>1755</v>
      </c>
      <c r="R2093" s="4"/>
      <c r="S2093" s="9" t="str">
        <f>HYPERLINK("https://pbs.twimg.com/profile_images/624546008937144321/5aqccHix.png","View")</f>
        <v>View</v>
      </c>
    </row>
    <row r="2094" spans="1:19" ht="60">
      <c r="A2094" s="8">
        <v>43345.982824074075</v>
      </c>
      <c r="B2094" s="11" t="str">
        <f>HYPERLINK("https://twitter.com/alikishizadeh","@alikishizadeh")</f>
        <v>@alikishizadeh</v>
      </c>
      <c r="C2094" s="6" t="s">
        <v>4587</v>
      </c>
      <c r="D2094" s="5" t="s">
        <v>11456</v>
      </c>
      <c r="E2094" s="9" t="str">
        <f>HYPERLINK("https://twitter.com/alikishizadeh/status/1036329225937190913","1036329225937190913")</f>
        <v>1036329225937190913</v>
      </c>
      <c r="F2094" s="10" t="s">
        <v>10430</v>
      </c>
      <c r="G2094" s="4"/>
      <c r="H2094" s="4"/>
      <c r="I2094" s="10" t="str">
        <f>HYPERLINK("http://twitter.com/download/android","Twitter for Android")</f>
        <v>Twitter for Android</v>
      </c>
      <c r="J2094" s="2">
        <v>148</v>
      </c>
      <c r="K2094" s="2">
        <v>187</v>
      </c>
      <c r="L2094" s="2">
        <v>0</v>
      </c>
      <c r="M2094" s="2"/>
      <c r="N2094" s="8">
        <v>40593.031782407408</v>
      </c>
      <c r="O2094" s="4" t="s">
        <v>17</v>
      </c>
      <c r="P2094" s="3" t="s">
        <v>4585</v>
      </c>
      <c r="Q2094" s="4"/>
      <c r="R2094" s="4"/>
      <c r="S2094" s="9" t="str">
        <f>HYPERLINK("https://pbs.twimg.com/profile_images/968421759383941120/jFsq1KO5.jpg","View")</f>
        <v>View</v>
      </c>
    </row>
    <row r="2095" spans="1:19" ht="30">
      <c r="A2095" s="8">
        <v>43345.982303240744</v>
      </c>
      <c r="B2095" s="11" t="str">
        <f>HYPERLINK("https://twitter.com/ponezss","@ponezss")</f>
        <v>@ponezss</v>
      </c>
      <c r="C2095" s="6" t="s">
        <v>1011</v>
      </c>
      <c r="D2095" s="5" t="s">
        <v>11455</v>
      </c>
      <c r="E2095" s="9" t="str">
        <f>HYPERLINK("https://twitter.com/ponezss/status/1036329036690153475","1036329036690153475")</f>
        <v>1036329036690153475</v>
      </c>
      <c r="F2095" s="4"/>
      <c r="G2095" s="4"/>
      <c r="H2095" s="4"/>
      <c r="I2095" s="10" t="str">
        <f>HYPERLINK("http://twitter.com/download/android","Twitter for Android")</f>
        <v>Twitter for Android</v>
      </c>
      <c r="J2095" s="2">
        <v>1357</v>
      </c>
      <c r="K2095" s="2">
        <v>703</v>
      </c>
      <c r="L2095" s="2">
        <v>1</v>
      </c>
      <c r="M2095" s="2"/>
      <c r="N2095" s="8">
        <v>42876.615879629629</v>
      </c>
      <c r="O2095" s="4" t="s">
        <v>17</v>
      </c>
      <c r="P2095" s="3" t="s">
        <v>1009</v>
      </c>
      <c r="Q2095" s="4"/>
      <c r="R2095" s="4"/>
      <c r="S2095" s="9" t="str">
        <f>HYPERLINK("https://pbs.twimg.com/profile_images/998335956628357120/wWcDCWln.jpg","View")</f>
        <v>View</v>
      </c>
    </row>
    <row r="2096" spans="1:19" ht="30">
      <c r="A2096" s="8">
        <v>43345.981423611112</v>
      </c>
      <c r="B2096" s="11" t="str">
        <f>HYPERLINK("https://twitter.com/mrsarshar","@mrsarshar")</f>
        <v>@mrsarshar</v>
      </c>
      <c r="C2096" s="6" t="s">
        <v>11454</v>
      </c>
      <c r="D2096" s="5" t="s">
        <v>11453</v>
      </c>
      <c r="E2096" s="9" t="str">
        <f>HYPERLINK("https://twitter.com/mrsarshar/status/1036328719676260360","1036328719676260360")</f>
        <v>1036328719676260360</v>
      </c>
      <c r="F2096" s="4"/>
      <c r="G2096" s="4"/>
      <c r="H2096" s="4"/>
      <c r="I2096" s="10" t="str">
        <f>HYPERLINK("http://twitter.com/download/android","Twitter for Android")</f>
        <v>Twitter for Android</v>
      </c>
      <c r="J2096" s="2">
        <v>2202</v>
      </c>
      <c r="K2096" s="2">
        <v>15</v>
      </c>
      <c r="L2096" s="2">
        <v>17</v>
      </c>
      <c r="M2096" s="2"/>
      <c r="N2096" s="8">
        <v>42956.492384259254</v>
      </c>
      <c r="O2096" s="4" t="s">
        <v>17</v>
      </c>
      <c r="P2096" s="3" t="s">
        <v>11452</v>
      </c>
      <c r="Q2096" s="10" t="s">
        <v>11451</v>
      </c>
      <c r="R2096" s="4"/>
      <c r="S2096" s="9" t="str">
        <f>HYPERLINK("https://pbs.twimg.com/profile_images/902143079360200705/rJU5O4CZ.jpg","View")</f>
        <v>View</v>
      </c>
    </row>
    <row r="2097" spans="1:19" ht="30">
      <c r="A2097" s="8">
        <v>43345.981388888889</v>
      </c>
      <c r="B2097" s="11" t="str">
        <f>HYPERLINK("https://twitter.com/Revman10","@Revman10")</f>
        <v>@Revman10</v>
      </c>
      <c r="C2097" s="6" t="s">
        <v>4403</v>
      </c>
      <c r="D2097" s="5" t="s">
        <v>11450</v>
      </c>
      <c r="E2097" s="9" t="str">
        <f>HYPERLINK("https://twitter.com/Revman10/status/1036328705755414530","1036328705755414530")</f>
        <v>1036328705755414530</v>
      </c>
      <c r="F2097" s="4"/>
      <c r="G2097" s="4"/>
      <c r="H2097" s="4"/>
      <c r="I2097" s="10" t="str">
        <f>HYPERLINK("http://twitter.com/download/android","Twitter for Android")</f>
        <v>Twitter for Android</v>
      </c>
      <c r="J2097" s="2">
        <v>72</v>
      </c>
      <c r="K2097" s="2">
        <v>96</v>
      </c>
      <c r="L2097" s="2">
        <v>0</v>
      </c>
      <c r="M2097" s="2"/>
      <c r="N2097" s="8">
        <v>43271.257766203707</v>
      </c>
      <c r="O2097" s="4" t="s">
        <v>324</v>
      </c>
      <c r="P2097" s="3" t="s">
        <v>4401</v>
      </c>
      <c r="Q2097" s="4"/>
      <c r="R2097" s="4"/>
      <c r="S2097" s="9" t="str">
        <f>HYPERLINK("https://pbs.twimg.com/profile_images/1027487813896429568/Gbn1h0z3.jpg","View")</f>
        <v>View</v>
      </c>
    </row>
    <row r="2098" spans="1:19" ht="40">
      <c r="A2098" s="8">
        <v>43345.980532407411</v>
      </c>
      <c r="B2098" s="11" t="str">
        <f>HYPERLINK("https://twitter.com/stnews_ir","@stnews_ir")</f>
        <v>@stnews_ir</v>
      </c>
      <c r="C2098" s="6" t="s">
        <v>11449</v>
      </c>
      <c r="D2098" s="5" t="s">
        <v>11448</v>
      </c>
      <c r="E2098" s="9" t="str">
        <f>HYPERLINK("https://twitter.com/stnews_ir/status/1036328395544641536","1036328395544641536")</f>
        <v>1036328395544641536</v>
      </c>
      <c r="F2098" s="4"/>
      <c r="G2098" s="10" t="s">
        <v>11447</v>
      </c>
      <c r="H2098" s="4"/>
      <c r="I2098" s="10" t="str">
        <f>HYPERLINK("http://twitter.com/download/android","Twitter for Android")</f>
        <v>Twitter for Android</v>
      </c>
      <c r="J2098" s="2">
        <v>3692</v>
      </c>
      <c r="K2098" s="2">
        <v>4427</v>
      </c>
      <c r="L2098" s="2">
        <v>6</v>
      </c>
      <c r="M2098" s="2"/>
      <c r="N2098" s="8">
        <v>42890.602789351848</v>
      </c>
      <c r="O2098" s="4" t="s">
        <v>34</v>
      </c>
      <c r="P2098" s="3" t="s">
        <v>11446</v>
      </c>
      <c r="Q2098" s="10" t="s">
        <v>11445</v>
      </c>
      <c r="R2098" s="4"/>
      <c r="S2098" s="9" t="str">
        <f>HYPERLINK("https://pbs.twimg.com/profile_images/967471591952207873/4UTvrRAu.jpg","View")</f>
        <v>View</v>
      </c>
    </row>
    <row r="2099" spans="1:19" ht="20">
      <c r="A2099" s="8">
        <v>43345.979212962964</v>
      </c>
      <c r="B2099" s="11" t="str">
        <f>HYPERLINK("https://twitter.com/Samiparsi","@Samiparsi")</f>
        <v>@Samiparsi</v>
      </c>
      <c r="C2099" s="6" t="s">
        <v>11444</v>
      </c>
      <c r="D2099" s="5" t="s">
        <v>11443</v>
      </c>
      <c r="E2099" s="9" t="str">
        <f>HYPERLINK("https://twitter.com/Samiparsi/status/1036327920455757824","1036327920455757824")</f>
        <v>1036327920455757824</v>
      </c>
      <c r="F2099" s="4"/>
      <c r="G2099" s="10" t="s">
        <v>11442</v>
      </c>
      <c r="H2099" s="4"/>
      <c r="I2099" s="10" t="str">
        <f>HYPERLINK("http://twitter.com/download/android","Twitter for Android")</f>
        <v>Twitter for Android</v>
      </c>
      <c r="J2099" s="2">
        <v>1681</v>
      </c>
      <c r="K2099" s="2">
        <v>1132</v>
      </c>
      <c r="L2099" s="2">
        <v>0</v>
      </c>
      <c r="M2099" s="2"/>
      <c r="N2099" s="8">
        <v>43044.953831018516</v>
      </c>
      <c r="O2099" s="4"/>
      <c r="P2099" s="3" t="s">
        <v>11441</v>
      </c>
      <c r="Q2099" s="4"/>
      <c r="R2099" s="4"/>
      <c r="S2099" s="9" t="str">
        <f>HYPERLINK("https://pbs.twimg.com/profile_images/1022072729900593152/-iBMcZBs.jpg","View")</f>
        <v>View</v>
      </c>
    </row>
    <row r="2100" spans="1:19" ht="30">
      <c r="A2100" s="8">
        <v>43345.978680555556</v>
      </c>
      <c r="B2100" s="11" t="str">
        <f>HYPERLINK("https://twitter.com/Z0FRLCOXqn4zlQD","@Z0FRLCOXqn4zlQD")</f>
        <v>@Z0FRLCOXqn4zlQD</v>
      </c>
      <c r="C2100" s="6" t="s">
        <v>11440</v>
      </c>
      <c r="D2100" s="5" t="s">
        <v>11439</v>
      </c>
      <c r="E2100" s="9" t="str">
        <f>HYPERLINK("https://twitter.com/Z0FRLCOXqn4zlQD/status/1036327725190049792","1036327725190049792")</f>
        <v>1036327725190049792</v>
      </c>
      <c r="F2100" s="4"/>
      <c r="G2100" s="10" t="s">
        <v>11438</v>
      </c>
      <c r="H2100" s="4"/>
      <c r="I2100" s="10" t="str">
        <f>HYPERLINK("http://twitter.com/download/android","Twitter for Android")</f>
        <v>Twitter for Android</v>
      </c>
      <c r="J2100" s="2">
        <v>0</v>
      </c>
      <c r="K2100" s="2">
        <v>1</v>
      </c>
      <c r="L2100" s="2">
        <v>0</v>
      </c>
      <c r="M2100" s="2"/>
      <c r="N2100" s="8">
        <v>43345.96497685185</v>
      </c>
      <c r="O2100" s="4"/>
      <c r="P2100" s="3"/>
      <c r="Q2100" s="4"/>
      <c r="R2100" s="4"/>
      <c r="S2100" s="2" t="s">
        <v>155</v>
      </c>
    </row>
    <row r="2101" spans="1:19" ht="40">
      <c r="A2101" s="8">
        <v>43345.97761574074</v>
      </c>
      <c r="B2101" s="11" t="str">
        <f>HYPERLINK("https://twitter.com/simayazaditv","@simayazaditv")</f>
        <v>@simayazaditv</v>
      </c>
      <c r="C2101" s="6" t="s">
        <v>1758</v>
      </c>
      <c r="D2101" s="5" t="s">
        <v>11437</v>
      </c>
      <c r="E2101" s="9" t="str">
        <f>HYPERLINK("https://twitter.com/simayazaditv/status/1036327338236162048","1036327338236162048")</f>
        <v>1036327338236162048</v>
      </c>
      <c r="F2101" s="4"/>
      <c r="G2101" s="10" t="s">
        <v>11436</v>
      </c>
      <c r="H2101" s="4"/>
      <c r="I2101" s="10" t="str">
        <f>HYPERLINK("http://twitter.com","Twitter Web Client")</f>
        <v>Twitter Web Client</v>
      </c>
      <c r="J2101" s="2">
        <v>6064</v>
      </c>
      <c r="K2101" s="2">
        <v>1</v>
      </c>
      <c r="L2101" s="2">
        <v>101</v>
      </c>
      <c r="M2101" s="2"/>
      <c r="N2101" s="8">
        <v>42209.662442129629</v>
      </c>
      <c r="O2101" s="4" t="s">
        <v>252</v>
      </c>
      <c r="P2101" s="3"/>
      <c r="Q2101" s="10" t="s">
        <v>1755</v>
      </c>
      <c r="R2101" s="4"/>
      <c r="S2101" s="9" t="str">
        <f>HYPERLINK("https://pbs.twimg.com/profile_images/624546008937144321/5aqccHix.png","View")</f>
        <v>View</v>
      </c>
    </row>
    <row r="2102" spans="1:19" ht="30">
      <c r="A2102" s="8">
        <v>43345.974756944444</v>
      </c>
      <c r="B2102" s="11" t="str">
        <f>HYPERLINK("https://twitter.com/sajad_art","@sajad_art")</f>
        <v>@sajad_art</v>
      </c>
      <c r="C2102" s="6" t="s">
        <v>11435</v>
      </c>
      <c r="D2102" s="5" t="s">
        <v>11434</v>
      </c>
      <c r="E2102" s="9" t="str">
        <f>HYPERLINK("https://twitter.com/sajad_art/status/1036326304319262720","1036326304319262720")</f>
        <v>1036326304319262720</v>
      </c>
      <c r="F2102" s="4"/>
      <c r="G2102" s="10" t="s">
        <v>11433</v>
      </c>
      <c r="H2102" s="4"/>
      <c r="I2102" s="10" t="str">
        <f>HYPERLINK("http://twitter.com/download/android","Twitter for Android")</f>
        <v>Twitter for Android</v>
      </c>
      <c r="J2102" s="2">
        <v>1</v>
      </c>
      <c r="K2102" s="2">
        <v>9</v>
      </c>
      <c r="L2102" s="2">
        <v>0</v>
      </c>
      <c r="M2102" s="2"/>
      <c r="N2102" s="8">
        <v>43344.920208333337</v>
      </c>
      <c r="O2102" s="4" t="s">
        <v>11432</v>
      </c>
      <c r="P2102" s="3" t="s">
        <v>11431</v>
      </c>
      <c r="Q2102" s="4"/>
      <c r="R2102" s="4"/>
      <c r="S2102" s="9" t="str">
        <f>HYPERLINK("https://pbs.twimg.com/profile_images/1035947360461963266/Y_J0k9SA.jpg","View")</f>
        <v>View</v>
      </c>
    </row>
    <row r="2103" spans="1:19" ht="20">
      <c r="A2103" s="8">
        <v>43345.974432870367</v>
      </c>
      <c r="B2103" s="11" t="str">
        <f>HYPERLINK("https://twitter.com/East__44","@East__44")</f>
        <v>@East__44</v>
      </c>
      <c r="C2103" s="6" t="s">
        <v>11430</v>
      </c>
      <c r="D2103" s="5" t="s">
        <v>11429</v>
      </c>
      <c r="E2103" s="9" t="str">
        <f>HYPERLINK("https://twitter.com/East__44/status/1036326187897892870","1036326187897892870")</f>
        <v>1036326187897892870</v>
      </c>
      <c r="F2103" s="4"/>
      <c r="G2103" s="4"/>
      <c r="H2103" s="4"/>
      <c r="I2103" s="10" t="str">
        <f>HYPERLINK("http://twitter.com/download/android","Twitter for Android")</f>
        <v>Twitter for Android</v>
      </c>
      <c r="J2103" s="2">
        <v>800</v>
      </c>
      <c r="K2103" s="2">
        <v>382</v>
      </c>
      <c r="L2103" s="2">
        <v>1</v>
      </c>
      <c r="M2103" s="2"/>
      <c r="N2103" s="8">
        <v>42272.045486111107</v>
      </c>
      <c r="O2103" s="4" t="s">
        <v>11428</v>
      </c>
      <c r="P2103" s="3" t="s">
        <v>11427</v>
      </c>
      <c r="Q2103" s="4"/>
      <c r="R2103" s="4"/>
      <c r="S2103" s="9" t="str">
        <f>HYPERLINK("https://pbs.twimg.com/profile_images/966646851964370944/vF98xtbZ.jpg","View")</f>
        <v>View</v>
      </c>
    </row>
    <row r="2104" spans="1:19" ht="12.5">
      <c r="A2104" s="8">
        <v>43345.973923611113</v>
      </c>
      <c r="B2104" s="11" t="str">
        <f>HYPERLINK("https://twitter.com/nabavi8","@nabavi8")</f>
        <v>@nabavi8</v>
      </c>
      <c r="C2104" s="6" t="s">
        <v>4465</v>
      </c>
      <c r="D2104" s="5" t="s">
        <v>11426</v>
      </c>
      <c r="E2104" s="9" t="str">
        <f>HYPERLINK("https://twitter.com/nabavi8/status/1036326000991166469","1036326000991166469")</f>
        <v>1036326000991166469</v>
      </c>
      <c r="F2104" s="4"/>
      <c r="G2104" s="4"/>
      <c r="H2104" s="4"/>
      <c r="I2104" s="10" t="str">
        <f>HYPERLINK("http://twitter.com","Twitter Web Client")</f>
        <v>Twitter Web Client</v>
      </c>
      <c r="J2104" s="2">
        <v>113</v>
      </c>
      <c r="K2104" s="2">
        <v>474</v>
      </c>
      <c r="L2104" s="2">
        <v>1</v>
      </c>
      <c r="M2104" s="2"/>
      <c r="N2104" s="8">
        <v>41600.829421296294</v>
      </c>
      <c r="O2104" s="4" t="s">
        <v>794</v>
      </c>
      <c r="P2104" s="3" t="s">
        <v>4463</v>
      </c>
      <c r="Q2104" s="4"/>
      <c r="R2104" s="4"/>
      <c r="S2104" s="9" t="str">
        <f>HYPERLINK("https://pbs.twimg.com/profile_images/668534963575255041/4KqebuFh.jpg","View")</f>
        <v>View</v>
      </c>
    </row>
    <row r="2105" spans="1:19" ht="40">
      <c r="A2105" s="8">
        <v>43345.973657407405</v>
      </c>
      <c r="B2105" s="11" t="str">
        <f>HYPERLINK("https://twitter.com/simayazaditv","@simayazaditv")</f>
        <v>@simayazaditv</v>
      </c>
      <c r="C2105" s="6" t="s">
        <v>1758</v>
      </c>
      <c r="D2105" s="5" t="s">
        <v>11425</v>
      </c>
      <c r="E2105" s="9" t="str">
        <f>HYPERLINK("https://twitter.com/simayazaditv/status/1036325905524817921","1036325905524817921")</f>
        <v>1036325905524817921</v>
      </c>
      <c r="F2105" s="4"/>
      <c r="G2105" s="10" t="s">
        <v>11424</v>
      </c>
      <c r="H2105" s="4"/>
      <c r="I2105" s="10" t="str">
        <f>HYPERLINK("http://twitter.com","Twitter Web Client")</f>
        <v>Twitter Web Client</v>
      </c>
      <c r="J2105" s="2">
        <v>6064</v>
      </c>
      <c r="K2105" s="2">
        <v>1</v>
      </c>
      <c r="L2105" s="2">
        <v>101</v>
      </c>
      <c r="M2105" s="2"/>
      <c r="N2105" s="8">
        <v>42209.662442129629</v>
      </c>
      <c r="O2105" s="4" t="s">
        <v>252</v>
      </c>
      <c r="P2105" s="3"/>
      <c r="Q2105" s="10" t="s">
        <v>1755</v>
      </c>
      <c r="R2105" s="4"/>
      <c r="S2105" s="9" t="str">
        <f>HYPERLINK("https://pbs.twimg.com/profile_images/624546008937144321/5aqccHix.png","View")</f>
        <v>View</v>
      </c>
    </row>
    <row r="2106" spans="1:19" ht="70">
      <c r="A2106" s="8">
        <v>43345.972534722227</v>
      </c>
      <c r="B2106" s="11" t="str">
        <f>HYPERLINK("https://twitter.com/12121979manager","@12121979manager")</f>
        <v>@12121979manager</v>
      </c>
      <c r="C2106" s="6" t="s">
        <v>11423</v>
      </c>
      <c r="D2106" s="5" t="s">
        <v>11422</v>
      </c>
      <c r="E2106" s="9" t="str">
        <f>HYPERLINK("https://twitter.com/12121979manager/status/1036325498127888384","1036325498127888384")</f>
        <v>1036325498127888384</v>
      </c>
      <c r="F2106" s="10" t="s">
        <v>11421</v>
      </c>
      <c r="G2106" s="4"/>
      <c r="H2106" s="4"/>
      <c r="I2106" s="10" t="str">
        <f>HYPERLINK("http://twitter.com/download/android","Twitter for Android")</f>
        <v>Twitter for Android</v>
      </c>
      <c r="J2106" s="2">
        <v>1405</v>
      </c>
      <c r="K2106" s="2">
        <v>2968</v>
      </c>
      <c r="L2106" s="2">
        <v>3</v>
      </c>
      <c r="M2106" s="2"/>
      <c r="N2106" s="8">
        <v>43110.947442129633</v>
      </c>
      <c r="O2106" s="4" t="s">
        <v>7467</v>
      </c>
      <c r="P2106" s="3" t="s">
        <v>11420</v>
      </c>
      <c r="Q2106" s="4"/>
      <c r="R2106" s="4"/>
      <c r="S2106" s="9" t="str">
        <f>HYPERLINK("https://pbs.twimg.com/profile_images/963512943613706241/ysNX-RRz.jpg","View")</f>
        <v>View</v>
      </c>
    </row>
    <row r="2107" spans="1:19" ht="20">
      <c r="A2107" s="8">
        <v>43345.971759259264</v>
      </c>
      <c r="B2107" s="11" t="str">
        <f>HYPERLINK("https://twitter.com/rahim_tehrani","@rahim_tehrani")</f>
        <v>@rahim_tehrani</v>
      </c>
      <c r="C2107" s="6" t="s">
        <v>11419</v>
      </c>
      <c r="D2107" s="5" t="s">
        <v>11418</v>
      </c>
      <c r="E2107" s="9" t="str">
        <f>HYPERLINK("https://twitter.com/rahim_tehrani/status/1036325218514620416","1036325218514620416")</f>
        <v>1036325218514620416</v>
      </c>
      <c r="F2107" s="4"/>
      <c r="G2107" s="4"/>
      <c r="H2107" s="4"/>
      <c r="I2107" s="10" t="str">
        <f>HYPERLINK("http://twitter.com/download/android","Twitter for Android")</f>
        <v>Twitter for Android</v>
      </c>
      <c r="J2107" s="2">
        <v>184</v>
      </c>
      <c r="K2107" s="2">
        <v>217</v>
      </c>
      <c r="L2107" s="2">
        <v>1</v>
      </c>
      <c r="M2107" s="2"/>
      <c r="N2107" s="8">
        <v>42913.317569444444</v>
      </c>
      <c r="O2107" s="4" t="s">
        <v>11417</v>
      </c>
      <c r="P2107" s="3" t="s">
        <v>11416</v>
      </c>
      <c r="Q2107" s="4"/>
      <c r="R2107" s="4"/>
      <c r="S2107" s="9" t="str">
        <f>HYPERLINK("https://pbs.twimg.com/profile_images/994747520923381760/pnI-JqO5.jpg","View")</f>
        <v>View</v>
      </c>
    </row>
    <row r="2108" spans="1:19" ht="50">
      <c r="A2108" s="8">
        <v>43345.971087962964</v>
      </c>
      <c r="B2108" s="11" t="str">
        <f>HYPERLINK("https://twitter.com/FFighter1987","@FFighter1987")</f>
        <v>@FFighter1987</v>
      </c>
      <c r="C2108" s="6" t="s">
        <v>11415</v>
      </c>
      <c r="D2108" s="5" t="s">
        <v>11414</v>
      </c>
      <c r="E2108" s="9" t="str">
        <f>HYPERLINK("https://twitter.com/FFighter1987/status/1036324972766142464","1036324972766142464")</f>
        <v>1036324972766142464</v>
      </c>
      <c r="F2108" s="10" t="s">
        <v>11413</v>
      </c>
      <c r="G2108" s="10" t="s">
        <v>11412</v>
      </c>
      <c r="H2108" s="4"/>
      <c r="I2108" s="10" t="str">
        <f>HYPERLINK("http://twitter.com","Twitter Web Client")</f>
        <v>Twitter Web Client</v>
      </c>
      <c r="J2108" s="2">
        <v>1</v>
      </c>
      <c r="K2108" s="2">
        <v>2</v>
      </c>
      <c r="L2108" s="2">
        <v>0</v>
      </c>
      <c r="M2108" s="2"/>
      <c r="N2108" s="8">
        <v>43344.918692129635</v>
      </c>
      <c r="O2108" s="4"/>
      <c r="P2108" s="3"/>
      <c r="Q2108" s="4"/>
      <c r="R2108" s="4"/>
      <c r="S2108" s="9" t="str">
        <f>HYPERLINK("https://pbs.twimg.com/profile_images/1035949880668311554/IuV6P2LX.jpg","View")</f>
        <v>View</v>
      </c>
    </row>
    <row r="2109" spans="1:19" ht="50">
      <c r="A2109" s="8">
        <v>43345.970625000002</v>
      </c>
      <c r="B2109" s="11" t="str">
        <f>HYPERLINK("https://twitter.com/mhassandf","@mhassandf")</f>
        <v>@mhassandf</v>
      </c>
      <c r="C2109" s="6" t="s">
        <v>10042</v>
      </c>
      <c r="D2109" s="5" t="s">
        <v>11411</v>
      </c>
      <c r="E2109" s="9" t="str">
        <f>HYPERLINK("https://twitter.com/mhassandf/status/1036324806331752449","1036324806331752449")</f>
        <v>1036324806331752449</v>
      </c>
      <c r="F2109" s="4"/>
      <c r="G2109" s="10" t="s">
        <v>11410</v>
      </c>
      <c r="H2109" s="4"/>
      <c r="I2109" s="10" t="str">
        <f>HYPERLINK("http://twitter.com","Twitter Web Client")</f>
        <v>Twitter Web Client</v>
      </c>
      <c r="J2109" s="2">
        <v>1</v>
      </c>
      <c r="K2109" s="2">
        <v>3</v>
      </c>
      <c r="L2109" s="2">
        <v>0</v>
      </c>
      <c r="M2109" s="2"/>
      <c r="N2109" s="8">
        <v>41169.609930555554</v>
      </c>
      <c r="O2109" s="4"/>
      <c r="P2109" s="3"/>
      <c r="Q2109" s="4"/>
      <c r="R2109" s="4"/>
      <c r="S2109" s="9" t="str">
        <f>HYPERLINK("https://pbs.twimg.com/profile_images/1035558396013891584/-ct7OARa.jpg","View")</f>
        <v>View</v>
      </c>
    </row>
    <row r="2110" spans="1:19" ht="80">
      <c r="A2110" s="8">
        <v>43345.969409722224</v>
      </c>
      <c r="B2110" s="11" t="str">
        <f>HYPERLINK("https://twitter.com/abbas7293","@abbas7293")</f>
        <v>@abbas7293</v>
      </c>
      <c r="C2110" s="6" t="s">
        <v>4661</v>
      </c>
      <c r="D2110" s="5" t="s">
        <v>11409</v>
      </c>
      <c r="E2110" s="9" t="str">
        <f>HYPERLINK("https://twitter.com/abbas7293/status/1036324365879705600","1036324365879705600")</f>
        <v>1036324365879705600</v>
      </c>
      <c r="F2110" s="10" t="s">
        <v>11408</v>
      </c>
      <c r="G2110" s="4"/>
      <c r="H2110" s="4"/>
      <c r="I2110" s="10" t="str">
        <f>HYPERLINK("http://twitter.com/download/iphone","Twitter for iPhone")</f>
        <v>Twitter for iPhone</v>
      </c>
      <c r="J2110" s="2">
        <v>260</v>
      </c>
      <c r="K2110" s="2">
        <v>772</v>
      </c>
      <c r="L2110" s="2">
        <v>2</v>
      </c>
      <c r="M2110" s="2"/>
      <c r="N2110" s="8">
        <v>42960.999189814815</v>
      </c>
      <c r="O2110" s="4" t="s">
        <v>34</v>
      </c>
      <c r="P2110" s="3" t="s">
        <v>4659</v>
      </c>
      <c r="Q2110" s="4"/>
      <c r="R2110" s="4"/>
      <c r="S2110" s="9" t="str">
        <f>HYPERLINK("https://pbs.twimg.com/profile_images/1025129929283960833/tZ1l1bo-.jpg","View")</f>
        <v>View</v>
      </c>
    </row>
    <row r="2111" spans="1:19" ht="40">
      <c r="A2111" s="8">
        <v>43345.968032407407</v>
      </c>
      <c r="B2111" s="11" t="str">
        <f>HYPERLINK("https://twitter.com/simayazaditv","@simayazaditv")</f>
        <v>@simayazaditv</v>
      </c>
      <c r="C2111" s="6" t="s">
        <v>1758</v>
      </c>
      <c r="D2111" s="5" t="s">
        <v>11407</v>
      </c>
      <c r="E2111" s="9" t="str">
        <f>HYPERLINK("https://twitter.com/simayazaditv/status/1036323865235021830","1036323865235021830")</f>
        <v>1036323865235021830</v>
      </c>
      <c r="F2111" s="4"/>
      <c r="G2111" s="10" t="s">
        <v>11406</v>
      </c>
      <c r="H2111" s="4"/>
      <c r="I2111" s="10" t="str">
        <f>HYPERLINK("http://twitter.com","Twitter Web Client")</f>
        <v>Twitter Web Client</v>
      </c>
      <c r="J2111" s="2">
        <v>6061</v>
      </c>
      <c r="K2111" s="2">
        <v>1</v>
      </c>
      <c r="L2111" s="2">
        <v>101</v>
      </c>
      <c r="M2111" s="2"/>
      <c r="N2111" s="8">
        <v>42209.662442129629</v>
      </c>
      <c r="O2111" s="4" t="s">
        <v>252</v>
      </c>
      <c r="P2111" s="3"/>
      <c r="Q2111" s="10" t="s">
        <v>1755</v>
      </c>
      <c r="R2111" s="4"/>
      <c r="S2111" s="9" t="str">
        <f>HYPERLINK("https://pbs.twimg.com/profile_images/624546008937144321/5aqccHix.png","View")</f>
        <v>View</v>
      </c>
    </row>
    <row r="2112" spans="1:19" ht="20">
      <c r="A2112" s="8">
        <v>43345.964606481481</v>
      </c>
      <c r="B2112" s="11" t="str">
        <f>HYPERLINK("https://twitter.com/mojtabaa8","@mojtabaa8")</f>
        <v>@mojtabaa8</v>
      </c>
      <c r="C2112" s="6" t="s">
        <v>9023</v>
      </c>
      <c r="D2112" s="5" t="s">
        <v>11405</v>
      </c>
      <c r="E2112" s="9" t="str">
        <f>HYPERLINK("https://twitter.com/mojtabaa8/status/1036322626057265159","1036322626057265159")</f>
        <v>1036322626057265159</v>
      </c>
      <c r="F2112" s="4"/>
      <c r="G2112" s="4"/>
      <c r="H2112" s="4"/>
      <c r="I2112" s="10" t="str">
        <f>HYPERLINK("http://twitter.com/download/android","Twitter for Android")</f>
        <v>Twitter for Android</v>
      </c>
      <c r="J2112" s="2">
        <v>278</v>
      </c>
      <c r="K2112" s="2">
        <v>272</v>
      </c>
      <c r="L2112" s="2">
        <v>1</v>
      </c>
      <c r="M2112" s="2"/>
      <c r="N2112" s="8">
        <v>42527.544699074075</v>
      </c>
      <c r="O2112" s="4"/>
      <c r="P2112" s="3" t="s">
        <v>2586</v>
      </c>
      <c r="Q2112" s="4"/>
      <c r="R2112" s="4"/>
      <c r="S2112" s="9" t="str">
        <f>HYPERLINK("https://pbs.twimg.com/profile_images/933418340298706944/ttpFIA60.jpg","View")</f>
        <v>View</v>
      </c>
    </row>
    <row r="2113" spans="1:19" ht="30">
      <c r="A2113" s="8">
        <v>43345.962731481486</v>
      </c>
      <c r="B2113" s="11" t="str">
        <f>HYPERLINK("https://twitter.com/saman_313_ezad_","@saman_313_ezad_")</f>
        <v>@saman_313_ezad_</v>
      </c>
      <c r="C2113" s="6" t="s">
        <v>11404</v>
      </c>
      <c r="D2113" s="5" t="s">
        <v>11403</v>
      </c>
      <c r="E2113" s="9" t="str">
        <f>HYPERLINK("https://twitter.com/saman_313_ezad_/status/1036321944390512640","1036321944390512640")</f>
        <v>1036321944390512640</v>
      </c>
      <c r="F2113" s="4"/>
      <c r="G2113" s="10" t="s">
        <v>11402</v>
      </c>
      <c r="H2113" s="4"/>
      <c r="I2113" s="10" t="str">
        <f>HYPERLINK("http://twitter.com/download/android","Twitter for Android")</f>
        <v>Twitter for Android</v>
      </c>
      <c r="J2113" s="2">
        <v>561</v>
      </c>
      <c r="K2113" s="2">
        <v>1434</v>
      </c>
      <c r="L2113" s="2">
        <v>3</v>
      </c>
      <c r="M2113" s="2"/>
      <c r="N2113" s="8">
        <v>43316.025000000001</v>
      </c>
      <c r="O2113" s="4" t="s">
        <v>17</v>
      </c>
      <c r="P2113" s="3"/>
      <c r="Q2113" s="4"/>
      <c r="R2113" s="4"/>
      <c r="S2113" s="9" t="str">
        <f>HYPERLINK("https://pbs.twimg.com/profile_images/1026829741796585473/C6U1R3Sw.jpg","View")</f>
        <v>View</v>
      </c>
    </row>
    <row r="2114" spans="1:19" ht="40">
      <c r="A2114" s="8">
        <v>43345.961759259255</v>
      </c>
      <c r="B2114" s="11" t="str">
        <f>HYPERLINK("https://twitter.com/workersOil","@workersOil")</f>
        <v>@workersOil</v>
      </c>
      <c r="C2114" s="6" t="s">
        <v>11401</v>
      </c>
      <c r="D2114" s="5" t="s">
        <v>11400</v>
      </c>
      <c r="E2114" s="9" t="str">
        <f>HYPERLINK("https://twitter.com/workersOil/status/1036321595558699008","1036321595558699008")</f>
        <v>1036321595558699008</v>
      </c>
      <c r="F2114" s="4"/>
      <c r="G2114" s="4"/>
      <c r="H2114" s="4"/>
      <c r="I2114" s="10" t="str">
        <f>HYPERLINK("http://twitter.com/download/android","Twitter for Android")</f>
        <v>Twitter for Android</v>
      </c>
      <c r="J2114" s="2">
        <v>16</v>
      </c>
      <c r="K2114" s="2">
        <v>137</v>
      </c>
      <c r="L2114" s="2">
        <v>0</v>
      </c>
      <c r="M2114" s="2"/>
      <c r="N2114" s="8">
        <v>42810.981203703705</v>
      </c>
      <c r="O2114" s="4" t="s">
        <v>17</v>
      </c>
      <c r="P2114" s="3" t="s">
        <v>11399</v>
      </c>
      <c r="Q2114" s="4"/>
      <c r="R2114" s="4"/>
      <c r="S2114" s="9" t="str">
        <f>HYPERLINK("https://pbs.twimg.com/profile_images/958744266959880194/-TYszdKq.jpg","View")</f>
        <v>View</v>
      </c>
    </row>
    <row r="2115" spans="1:19" ht="40">
      <c r="A2115" s="8">
        <v>43345.961736111116</v>
      </c>
      <c r="B2115" s="11" t="str">
        <f>HYPERLINK("https://twitter.com/zalzalak88","@zalzalak88")</f>
        <v>@zalzalak88</v>
      </c>
      <c r="C2115" s="6" t="s">
        <v>9356</v>
      </c>
      <c r="D2115" s="5" t="s">
        <v>11398</v>
      </c>
      <c r="E2115" s="9" t="str">
        <f>HYPERLINK("https://twitter.com/zalzalak88/status/1036321586738089984","1036321586738089984")</f>
        <v>1036321586738089984</v>
      </c>
      <c r="F2115" s="4"/>
      <c r="G2115" s="4"/>
      <c r="H2115" s="4"/>
      <c r="I2115" s="10" t="str">
        <f>HYPERLINK("http://twitter.com","Twitter Web Client")</f>
        <v>Twitter Web Client</v>
      </c>
      <c r="J2115" s="2">
        <v>696</v>
      </c>
      <c r="K2115" s="2">
        <v>845</v>
      </c>
      <c r="L2115" s="2">
        <v>3</v>
      </c>
      <c r="M2115" s="2"/>
      <c r="N2115" s="8">
        <v>40349.90892361111</v>
      </c>
      <c r="O2115" s="4"/>
      <c r="P2115" s="3"/>
      <c r="Q2115" s="4"/>
      <c r="R2115" s="4"/>
      <c r="S2115" s="9" t="str">
        <f>HYPERLINK("https://pbs.twimg.com/profile_images/1117132249/Mazeh.jpg","View")</f>
        <v>View</v>
      </c>
    </row>
    <row r="2116" spans="1:19" ht="40">
      <c r="A2116" s="8">
        <v>43345.961377314816</v>
      </c>
      <c r="B2116" s="11" t="str">
        <f>HYPERLINK("https://twitter.com/simayazaditv","@simayazaditv")</f>
        <v>@simayazaditv</v>
      </c>
      <c r="C2116" s="6" t="s">
        <v>1758</v>
      </c>
      <c r="D2116" s="5" t="s">
        <v>11397</v>
      </c>
      <c r="E2116" s="9" t="str">
        <f>HYPERLINK("https://twitter.com/simayazaditv/status/1036321455577944064","1036321455577944064")</f>
        <v>1036321455577944064</v>
      </c>
      <c r="F2116" s="4"/>
      <c r="G2116" s="10" t="s">
        <v>11396</v>
      </c>
      <c r="H2116" s="4"/>
      <c r="I2116" s="10" t="str">
        <f>HYPERLINK("http://twitter.com","Twitter Web Client")</f>
        <v>Twitter Web Client</v>
      </c>
      <c r="J2116" s="2">
        <v>6061</v>
      </c>
      <c r="K2116" s="2">
        <v>1</v>
      </c>
      <c r="L2116" s="2">
        <v>101</v>
      </c>
      <c r="M2116" s="2"/>
      <c r="N2116" s="8">
        <v>42209.662442129629</v>
      </c>
      <c r="O2116" s="4" t="s">
        <v>252</v>
      </c>
      <c r="P2116" s="3"/>
      <c r="Q2116" s="10" t="s">
        <v>1755</v>
      </c>
      <c r="R2116" s="4"/>
      <c r="S2116" s="9" t="str">
        <f>HYPERLINK("https://pbs.twimg.com/profile_images/624546008937144321/5aqccHix.png","View")</f>
        <v>View</v>
      </c>
    </row>
    <row r="2117" spans="1:19" ht="40">
      <c r="A2117" s="8">
        <v>43345.957500000004</v>
      </c>
      <c r="B2117" s="11" t="str">
        <f>HYPERLINK("https://twitter.com/Masoudshahan13","@Masoudshahan13")</f>
        <v>@Masoudshahan13</v>
      </c>
      <c r="C2117" s="6" t="s">
        <v>546</v>
      </c>
      <c r="D2117" s="5" t="s">
        <v>11395</v>
      </c>
      <c r="E2117" s="9" t="str">
        <f>HYPERLINK("https://twitter.com/Masoudshahan13/status/1036320049999605765","1036320049999605765")</f>
        <v>1036320049999605765</v>
      </c>
      <c r="F2117" s="4"/>
      <c r="G2117" s="4"/>
      <c r="H2117" s="4"/>
      <c r="I2117" s="10" t="str">
        <f>HYPERLINK("http://twitter.com/download/android","Twitter for Android")</f>
        <v>Twitter for Android</v>
      </c>
      <c r="J2117" s="2">
        <v>199</v>
      </c>
      <c r="K2117" s="2">
        <v>64</v>
      </c>
      <c r="L2117" s="2">
        <v>1</v>
      </c>
      <c r="M2117" s="2"/>
      <c r="N2117" s="8">
        <v>42984.099363425921</v>
      </c>
      <c r="O2117" s="4"/>
      <c r="P2117" s="3" t="s">
        <v>544</v>
      </c>
      <c r="Q2117" s="4"/>
      <c r="R2117" s="4"/>
      <c r="S2117" s="9" t="str">
        <f>HYPERLINK("https://pbs.twimg.com/profile_images/1030279592001642496/k89PSRwy.jpg","View")</f>
        <v>View</v>
      </c>
    </row>
    <row r="2118" spans="1:19" ht="40">
      <c r="A2118" s="8">
        <v>43345.957083333335</v>
      </c>
      <c r="B2118" s="11" t="str">
        <f>HYPERLINK("https://twitter.com/Pouya34796383","@Pouya34796383")</f>
        <v>@Pouya34796383</v>
      </c>
      <c r="C2118" s="6" t="s">
        <v>5758</v>
      </c>
      <c r="D2118" s="5" t="s">
        <v>1456</v>
      </c>
      <c r="E2118" s="9" t="str">
        <f>HYPERLINK("https://twitter.com/Pouya34796383/status/1036319898769739776","1036319898769739776")</f>
        <v>1036319898769739776</v>
      </c>
      <c r="F2118" s="4"/>
      <c r="G2118" s="4"/>
      <c r="H2118" s="4"/>
      <c r="I2118" s="10" t="str">
        <f>HYPERLINK("http://twitter.com/download/android","Twitter for Android")</f>
        <v>Twitter for Android</v>
      </c>
      <c r="J2118" s="2">
        <v>0</v>
      </c>
      <c r="K2118" s="2">
        <v>1</v>
      </c>
      <c r="L2118" s="2">
        <v>0</v>
      </c>
      <c r="M2118" s="2"/>
      <c r="N2118" s="8">
        <v>43345.947928240741</v>
      </c>
      <c r="O2118" s="4" t="s">
        <v>11393</v>
      </c>
      <c r="P2118" s="3" t="s">
        <v>11392</v>
      </c>
      <c r="Q2118" s="4"/>
      <c r="R2118" s="4"/>
      <c r="S2118" s="9" t="str">
        <f>HYPERLINK("https://pbs.twimg.com/profile_images/1036321015369031680/_GsJirXd.jpg","View")</f>
        <v>View</v>
      </c>
    </row>
    <row r="2119" spans="1:19" ht="40">
      <c r="A2119" s="8">
        <v>43345.956863425927</v>
      </c>
      <c r="B2119" s="11" t="str">
        <f>HYPERLINK("https://twitter.com/Pouya34796383","@Pouya34796383")</f>
        <v>@Pouya34796383</v>
      </c>
      <c r="C2119" s="6" t="s">
        <v>5758</v>
      </c>
      <c r="D2119" s="5" t="s">
        <v>11394</v>
      </c>
      <c r="E2119" s="9" t="str">
        <f>HYPERLINK("https://twitter.com/Pouya34796383/status/1036319821284208640","1036319821284208640")</f>
        <v>1036319821284208640</v>
      </c>
      <c r="F2119" s="4"/>
      <c r="G2119" s="4"/>
      <c r="H2119" s="4"/>
      <c r="I2119" s="10" t="str">
        <f>HYPERLINK("http://twitter.com/download/android","Twitter for Android")</f>
        <v>Twitter for Android</v>
      </c>
      <c r="J2119" s="2">
        <v>0</v>
      </c>
      <c r="K2119" s="2">
        <v>1</v>
      </c>
      <c r="L2119" s="2">
        <v>0</v>
      </c>
      <c r="M2119" s="2"/>
      <c r="N2119" s="8">
        <v>43345.947928240741</v>
      </c>
      <c r="O2119" s="4" t="s">
        <v>11393</v>
      </c>
      <c r="P2119" s="3" t="s">
        <v>11392</v>
      </c>
      <c r="Q2119" s="4"/>
      <c r="R2119" s="4"/>
      <c r="S2119" s="9" t="str">
        <f>HYPERLINK("https://pbs.twimg.com/profile_images/1036321015369031680/_GsJirXd.jpg","View")</f>
        <v>View</v>
      </c>
    </row>
    <row r="2120" spans="1:19" ht="30">
      <c r="A2120" s="8">
        <v>43345.956423611111</v>
      </c>
      <c r="B2120" s="11" t="str">
        <f>HYPERLINK("https://twitter.com/Amir_075","@Amir_075")</f>
        <v>@Amir_075</v>
      </c>
      <c r="C2120" s="6" t="s">
        <v>11391</v>
      </c>
      <c r="D2120" s="5" t="s">
        <v>11390</v>
      </c>
      <c r="E2120" s="9" t="str">
        <f>HYPERLINK("https://twitter.com/Amir_075/status/1036319660386537472","1036319660386537472")</f>
        <v>1036319660386537472</v>
      </c>
      <c r="F2120" s="4"/>
      <c r="G2120" s="4"/>
      <c r="H2120" s="4"/>
      <c r="I2120" s="10" t="str">
        <f>HYPERLINK("http://twitter.com/download/android","Twitter for Android")</f>
        <v>Twitter for Android</v>
      </c>
      <c r="J2120" s="2">
        <v>129</v>
      </c>
      <c r="K2120" s="2">
        <v>135</v>
      </c>
      <c r="L2120" s="2">
        <v>0</v>
      </c>
      <c r="M2120" s="2"/>
      <c r="N2120" s="8">
        <v>43165.530914351853</v>
      </c>
      <c r="O2120" s="4"/>
      <c r="P2120" s="3" t="s">
        <v>11389</v>
      </c>
      <c r="Q2120" s="4"/>
      <c r="R2120" s="4"/>
      <c r="S2120" s="9" t="str">
        <f>HYPERLINK("https://pbs.twimg.com/profile_images/1012994051614834688/fGIlvWtu.jpg","View")</f>
        <v>View</v>
      </c>
    </row>
    <row r="2121" spans="1:19" ht="12.5">
      <c r="A2121" s="8">
        <v>43345.954791666663</v>
      </c>
      <c r="B2121" s="11" t="str">
        <f>HYPERLINK("https://twitter.com/tbfana","@tbfana")</f>
        <v>@tbfana</v>
      </c>
      <c r="C2121" s="6" t="s">
        <v>11388</v>
      </c>
      <c r="D2121" s="5" t="s">
        <v>11387</v>
      </c>
      <c r="E2121" s="9" t="str">
        <f>HYPERLINK("https://twitter.com/tbfana/status/1036319069740453888","1036319069740453888")</f>
        <v>1036319069740453888</v>
      </c>
      <c r="F2121" s="4"/>
      <c r="G2121" s="4"/>
      <c r="H2121" s="4"/>
      <c r="I2121" s="10" t="str">
        <f>HYPERLINK("http://twitter.com/download/android","Twitter for Android")</f>
        <v>Twitter for Android</v>
      </c>
      <c r="J2121" s="2">
        <v>369</v>
      </c>
      <c r="K2121" s="2">
        <v>50</v>
      </c>
      <c r="L2121" s="2">
        <v>2</v>
      </c>
      <c r="M2121" s="2"/>
      <c r="N2121" s="8">
        <v>42238.549907407403</v>
      </c>
      <c r="O2121" s="4" t="s">
        <v>133</v>
      </c>
      <c r="P2121" s="3" t="s">
        <v>11386</v>
      </c>
      <c r="Q2121" s="4"/>
      <c r="R2121" s="4"/>
      <c r="S2121" s="9" t="str">
        <f>HYPERLINK("https://pbs.twimg.com/profile_images/1000821939072634881/V9Vp63v0.jpg","View")</f>
        <v>View</v>
      </c>
    </row>
    <row r="2122" spans="1:19" ht="30">
      <c r="A2122" s="8">
        <v>43345.953078703707</v>
      </c>
      <c r="B2122" s="11" t="str">
        <f>HYPERLINK("https://twitter.com/eghtesadonline","@eghtesadonline")</f>
        <v>@eghtesadonline</v>
      </c>
      <c r="C2122" s="6" t="s">
        <v>5935</v>
      </c>
      <c r="D2122" s="5" t="s">
        <v>11385</v>
      </c>
      <c r="E2122" s="9" t="str">
        <f>HYPERLINK("https://twitter.com/eghtesadonline/status/1036318447544819712","1036318447544819712")</f>
        <v>1036318447544819712</v>
      </c>
      <c r="F2122" s="4"/>
      <c r="G2122" s="10" t="s">
        <v>11384</v>
      </c>
      <c r="H2122" s="4"/>
      <c r="I2122" s="10" t="str">
        <f>HYPERLINK("http://twitter.com/download/android","Twitter for Android")</f>
        <v>Twitter for Android</v>
      </c>
      <c r="J2122" s="2">
        <v>2097</v>
      </c>
      <c r="K2122" s="2">
        <v>7</v>
      </c>
      <c r="L2122" s="2">
        <v>43</v>
      </c>
      <c r="M2122" s="2"/>
      <c r="N2122" s="8">
        <v>41595.377060185187</v>
      </c>
      <c r="O2122" s="4" t="s">
        <v>17</v>
      </c>
      <c r="P2122" s="3" t="s">
        <v>5933</v>
      </c>
      <c r="Q2122" s="10" t="s">
        <v>5932</v>
      </c>
      <c r="R2122" s="4"/>
      <c r="S2122" s="9" t="str">
        <f>HYPERLINK("https://pbs.twimg.com/profile_images/1034350708475224064/4dNqWRJC.jpg","View")</f>
        <v>View</v>
      </c>
    </row>
    <row r="2123" spans="1:19" ht="30">
      <c r="A2123" s="8">
        <v>43345.948842592596</v>
      </c>
      <c r="B2123" s="11" t="str">
        <f>HYPERLINK("https://twitter.com/s_lotfi1412","@s_lotfi1412")</f>
        <v>@s_lotfi1412</v>
      </c>
      <c r="C2123" s="6" t="s">
        <v>11383</v>
      </c>
      <c r="D2123" s="5" t="s">
        <v>11382</v>
      </c>
      <c r="E2123" s="9" t="str">
        <f>HYPERLINK("https://twitter.com/s_lotfi1412/status/1036316914841251840","1036316914841251840")</f>
        <v>1036316914841251840</v>
      </c>
      <c r="F2123" s="4"/>
      <c r="G2123" s="4"/>
      <c r="H2123" s="4"/>
      <c r="I2123" s="10" t="str">
        <f>HYPERLINK("http://twitter.com/download/android","Twitter for Android")</f>
        <v>Twitter for Android</v>
      </c>
      <c r="J2123" s="2">
        <v>35</v>
      </c>
      <c r="K2123" s="2">
        <v>91</v>
      </c>
      <c r="L2123" s="2">
        <v>0</v>
      </c>
      <c r="M2123" s="2"/>
      <c r="N2123" s="8">
        <v>43183.038368055553</v>
      </c>
      <c r="O2123" s="4" t="s">
        <v>9097</v>
      </c>
      <c r="P2123" s="3" t="s">
        <v>11381</v>
      </c>
      <c r="Q2123" s="4"/>
      <c r="R2123" s="4"/>
      <c r="S2123" s="9" t="str">
        <f>HYPERLINK("https://pbs.twimg.com/profile_images/1035447813574942720/B7M-RiXl.jpg","View")</f>
        <v>View</v>
      </c>
    </row>
    <row r="2124" spans="1:19" ht="30">
      <c r="A2124" s="8">
        <v>43345.947581018518</v>
      </c>
      <c r="B2124" s="11" t="str">
        <f>HYPERLINK("https://twitter.com/VahidProg","@VahidProg")</f>
        <v>@VahidProg</v>
      </c>
      <c r="C2124" s="6" t="s">
        <v>11380</v>
      </c>
      <c r="D2124" s="5" t="s">
        <v>11379</v>
      </c>
      <c r="E2124" s="9" t="str">
        <f>HYPERLINK("https://twitter.com/VahidProg/status/1036316456152117248","1036316456152117248")</f>
        <v>1036316456152117248</v>
      </c>
      <c r="F2124" s="4"/>
      <c r="G2124" s="4"/>
      <c r="H2124" s="4"/>
      <c r="I2124" s="10" t="str">
        <f>HYPERLINK("https://mobile.twitter.com","Twitter Lite")</f>
        <v>Twitter Lite</v>
      </c>
      <c r="J2124" s="2">
        <v>127</v>
      </c>
      <c r="K2124" s="2">
        <v>41</v>
      </c>
      <c r="L2124" s="2">
        <v>0</v>
      </c>
      <c r="M2124" s="2"/>
      <c r="N2124" s="8">
        <v>43141.611087962963</v>
      </c>
      <c r="O2124" s="4" t="s">
        <v>34</v>
      </c>
      <c r="P2124" s="3" t="s">
        <v>11378</v>
      </c>
      <c r="Q2124" s="4"/>
      <c r="R2124" s="4"/>
      <c r="S2124" s="9" t="str">
        <f>HYPERLINK("https://pbs.twimg.com/profile_images/1003990794242547712/W4M7awrb.jpg","View")</f>
        <v>View</v>
      </c>
    </row>
    <row r="2125" spans="1:19" ht="30">
      <c r="A2125" s="8">
        <v>43345.943738425922</v>
      </c>
      <c r="B2125" s="11" t="str">
        <f>HYPERLINK("https://twitter.com/VARES_ZAMIN","@VARES_ZAMIN")</f>
        <v>@VARES_ZAMIN</v>
      </c>
      <c r="C2125" s="6" t="s">
        <v>3905</v>
      </c>
      <c r="D2125" s="5" t="s">
        <v>11377</v>
      </c>
      <c r="E2125" s="9" t="str">
        <f>HYPERLINK("https://twitter.com/VARES_ZAMIN/status/1036315062930169857","1036315062930169857")</f>
        <v>1036315062930169857</v>
      </c>
      <c r="F2125" s="4"/>
      <c r="G2125" s="4"/>
      <c r="H2125" s="4"/>
      <c r="I2125" s="10" t="str">
        <f>HYPERLINK("http://twitter.com/download/android","Twitter for Android")</f>
        <v>Twitter for Android</v>
      </c>
      <c r="J2125" s="2">
        <v>2237</v>
      </c>
      <c r="K2125" s="2">
        <v>1946</v>
      </c>
      <c r="L2125" s="2">
        <v>1</v>
      </c>
      <c r="M2125" s="2"/>
      <c r="N2125" s="8">
        <v>43107.059293981481</v>
      </c>
      <c r="O2125" s="4" t="s">
        <v>3902</v>
      </c>
      <c r="P2125" s="3" t="s">
        <v>3901</v>
      </c>
      <c r="Q2125" s="4"/>
      <c r="R2125" s="4"/>
      <c r="S2125" s="9" t="str">
        <f>HYPERLINK("https://pbs.twimg.com/profile_images/1034559046609772544/cpsUC1yJ.jpg","View")</f>
        <v>View</v>
      </c>
    </row>
    <row r="2126" spans="1:19" ht="90">
      <c r="A2126" s="8">
        <v>43345.94358796296</v>
      </c>
      <c r="B2126" s="11" t="str">
        <f>HYPERLINK("https://twitter.com/rajabi_meisam","@rajabi_meisam")</f>
        <v>@rajabi_meisam</v>
      </c>
      <c r="C2126" s="6" t="s">
        <v>9877</v>
      </c>
      <c r="D2126" s="5" t="s">
        <v>11376</v>
      </c>
      <c r="E2126" s="9" t="str">
        <f>HYPERLINK("https://twitter.com/rajabi_meisam/status/1036315006655234050","1036315006655234050")</f>
        <v>1036315006655234050</v>
      </c>
      <c r="F2126" s="10" t="s">
        <v>11375</v>
      </c>
      <c r="G2126" s="4"/>
      <c r="H2126" s="4"/>
      <c r="I2126" s="10" t="str">
        <f>HYPERLINK("http://twitter.com/download/android","Twitter for Android")</f>
        <v>Twitter for Android</v>
      </c>
      <c r="J2126" s="2">
        <v>158</v>
      </c>
      <c r="K2126" s="2">
        <v>425</v>
      </c>
      <c r="L2126" s="2">
        <v>0</v>
      </c>
      <c r="M2126" s="2"/>
      <c r="N2126" s="8">
        <v>43327.369247685187</v>
      </c>
      <c r="O2126" s="4" t="s">
        <v>9874</v>
      </c>
      <c r="P2126" s="3" t="s">
        <v>9873</v>
      </c>
      <c r="Q2126" s="10" t="s">
        <v>9872</v>
      </c>
      <c r="R2126" s="4"/>
      <c r="S2126" s="9" t="str">
        <f>HYPERLINK("https://pbs.twimg.com/profile_images/1029615308263317504/px0RNwpV.jpg","View")</f>
        <v>View</v>
      </c>
    </row>
    <row r="2127" spans="1:19" ht="20">
      <c r="A2127" s="8">
        <v>43345.942708333328</v>
      </c>
      <c r="B2127" s="11" t="str">
        <f>HYPERLINK("https://twitter.com/sohrabfarsi","@sohrabfarsi")</f>
        <v>@sohrabfarsi</v>
      </c>
      <c r="C2127" s="6" t="s">
        <v>11374</v>
      </c>
      <c r="D2127" s="5" t="s">
        <v>11373</v>
      </c>
      <c r="E2127" s="9" t="str">
        <f>HYPERLINK("https://twitter.com/sohrabfarsi/status/1036314688701837312","1036314688701837312")</f>
        <v>1036314688701837312</v>
      </c>
      <c r="F2127" s="4"/>
      <c r="G2127" s="4"/>
      <c r="H2127" s="4"/>
      <c r="I2127" s="10" t="str">
        <f>HYPERLINK("http://twitter.com/download/android","Twitter for Android")</f>
        <v>Twitter for Android</v>
      </c>
      <c r="J2127" s="2">
        <v>3272</v>
      </c>
      <c r="K2127" s="2">
        <v>2267</v>
      </c>
      <c r="L2127" s="2">
        <v>9</v>
      </c>
      <c r="M2127" s="2"/>
      <c r="N2127" s="8">
        <v>42182.914108796293</v>
      </c>
      <c r="O2127" s="4" t="s">
        <v>34</v>
      </c>
      <c r="P2127" s="3" t="s">
        <v>11372</v>
      </c>
      <c r="Q2127" s="4"/>
      <c r="R2127" s="4"/>
      <c r="S2127" s="9" t="str">
        <f>HYPERLINK("https://pbs.twimg.com/profile_images/967850146934468608/L6o3C_VW.jpg","View")</f>
        <v>View</v>
      </c>
    </row>
    <row r="2128" spans="1:19" ht="20">
      <c r="A2128" s="8">
        <v>43345.940567129626</v>
      </c>
      <c r="B2128" s="11" t="str">
        <f>HYPERLINK("https://twitter.com/izadi_javad","@izadi_javad")</f>
        <v>@izadi_javad</v>
      </c>
      <c r="C2128" s="6" t="s">
        <v>10853</v>
      </c>
      <c r="D2128" s="5" t="s">
        <v>11371</v>
      </c>
      <c r="E2128" s="9" t="str">
        <f>HYPERLINK("https://twitter.com/izadi_javad/status/1036313911983779841","1036313911983779841")</f>
        <v>1036313911983779841</v>
      </c>
      <c r="F2128" s="4"/>
      <c r="G2128" s="10" t="s">
        <v>11370</v>
      </c>
      <c r="H2128" s="4"/>
      <c r="I2128" s="10" t="str">
        <f>HYPERLINK("http://twitter.com/download/iphone","Twitter for iPhone")</f>
        <v>Twitter for iPhone</v>
      </c>
      <c r="J2128" s="2">
        <v>128</v>
      </c>
      <c r="K2128" s="2">
        <v>237</v>
      </c>
      <c r="L2128" s="2">
        <v>2</v>
      </c>
      <c r="M2128" s="2"/>
      <c r="N2128" s="8">
        <v>40956.108252314814</v>
      </c>
      <c r="O2128" s="4" t="s">
        <v>324</v>
      </c>
      <c r="P2128" s="3" t="s">
        <v>10851</v>
      </c>
      <c r="Q2128" s="10" t="s">
        <v>10850</v>
      </c>
      <c r="R2128" s="4"/>
      <c r="S2128" s="9" t="str">
        <f>HYPERLINK("https://pbs.twimg.com/profile_images/378800000581977066/46c1ede5afc2646132cb4fb5f0ee85d1.jpeg","View")</f>
        <v>View</v>
      </c>
    </row>
    <row r="2129" spans="1:19" ht="30">
      <c r="A2129" s="8">
        <v>43345.938912037032</v>
      </c>
      <c r="B2129" s="11" t="str">
        <f>HYPERLINK("https://twitter.com/jenab_sarvan","@jenab_sarvan")</f>
        <v>@jenab_sarvan</v>
      </c>
      <c r="C2129" s="6" t="s">
        <v>11369</v>
      </c>
      <c r="D2129" s="5" t="s">
        <v>11368</v>
      </c>
      <c r="E2129" s="9" t="str">
        <f>HYPERLINK("https://twitter.com/jenab_sarvan/status/1036313314547167234","1036313314547167234")</f>
        <v>1036313314547167234</v>
      </c>
      <c r="F2129" s="4"/>
      <c r="G2129" s="4"/>
      <c r="H2129" s="4"/>
      <c r="I2129" s="10" t="str">
        <f>HYPERLINK("http://twitter.com/download/android","Twitter for Android")</f>
        <v>Twitter for Android</v>
      </c>
      <c r="J2129" s="2">
        <v>1682</v>
      </c>
      <c r="K2129" s="2">
        <v>1488</v>
      </c>
      <c r="L2129" s="2">
        <v>3</v>
      </c>
      <c r="M2129" s="2"/>
      <c r="N2129" s="8">
        <v>42978.961412037039</v>
      </c>
      <c r="O2129" s="4"/>
      <c r="P2129" s="3" t="s">
        <v>11367</v>
      </c>
      <c r="Q2129" s="4"/>
      <c r="R2129" s="4"/>
      <c r="S2129" s="9" t="str">
        <f>HYPERLINK("https://pbs.twimg.com/profile_images/1033061316104212482/qkP8VvTf.jpg","View")</f>
        <v>View</v>
      </c>
    </row>
    <row r="2130" spans="1:19" ht="30">
      <c r="A2130" s="8">
        <v>43345.938356481478</v>
      </c>
      <c r="B2130" s="11" t="str">
        <f>HYPERLINK("https://twitter.com/hashtagbime","@hashtagbime")</f>
        <v>@hashtagbime</v>
      </c>
      <c r="C2130" s="6" t="s">
        <v>11366</v>
      </c>
      <c r="D2130" s="5" t="s">
        <v>11365</v>
      </c>
      <c r="E2130" s="9" t="str">
        <f>HYPERLINK("https://twitter.com/hashtagbime/status/1036313113728040963","1036313113728040963")</f>
        <v>1036313113728040963</v>
      </c>
      <c r="F2130" s="4"/>
      <c r="G2130" s="10" t="s">
        <v>11364</v>
      </c>
      <c r="H2130" s="4"/>
      <c r="I2130" s="10" t="str">
        <f>HYPERLINK("http://twitter.com/download/iphone","Twitter for iPhone")</f>
        <v>Twitter for iPhone</v>
      </c>
      <c r="J2130" s="2">
        <v>4</v>
      </c>
      <c r="K2130" s="2">
        <v>6</v>
      </c>
      <c r="L2130" s="2">
        <v>0</v>
      </c>
      <c r="M2130" s="2"/>
      <c r="N2130" s="8">
        <v>43251.726064814815</v>
      </c>
      <c r="O2130" s="4" t="s">
        <v>34</v>
      </c>
      <c r="P2130" s="3" t="s">
        <v>11363</v>
      </c>
      <c r="Q2130" s="10" t="s">
        <v>11362</v>
      </c>
      <c r="R2130" s="4"/>
      <c r="S2130" s="9" t="str">
        <f>HYPERLINK("https://pbs.twimg.com/profile_images/1026430861313499137/PurFIMsd.jpg","View")</f>
        <v>View</v>
      </c>
    </row>
    <row r="2131" spans="1:19" ht="20">
      <c r="A2131" s="8">
        <v>43345.9371412037</v>
      </c>
      <c r="B2131" s="11" t="str">
        <f>HYPERLINK("https://twitter.com/khashayarfahim","@khashayarfahim")</f>
        <v>@khashayarfahim</v>
      </c>
      <c r="C2131" s="6" t="s">
        <v>11361</v>
      </c>
      <c r="D2131" s="5" t="s">
        <v>11360</v>
      </c>
      <c r="E2131" s="9" t="str">
        <f>HYPERLINK("https://twitter.com/khashayarfahim/status/1036312673074511873","1036312673074511873")</f>
        <v>1036312673074511873</v>
      </c>
      <c r="F2131" s="4"/>
      <c r="G2131" s="4"/>
      <c r="H2131" s="4"/>
      <c r="I2131" s="10" t="str">
        <f>HYPERLINK("http://twitter.com/download/android","Twitter for Android")</f>
        <v>Twitter for Android</v>
      </c>
      <c r="J2131" s="2">
        <v>280</v>
      </c>
      <c r="K2131" s="2">
        <v>329</v>
      </c>
      <c r="L2131" s="2">
        <v>1</v>
      </c>
      <c r="M2131" s="2"/>
      <c r="N2131" s="8">
        <v>42622.735590277778</v>
      </c>
      <c r="O2131" s="4"/>
      <c r="P2131" s="3" t="s">
        <v>11359</v>
      </c>
      <c r="Q2131" s="4"/>
      <c r="R2131" s="4"/>
      <c r="S2131" s="9" t="str">
        <f>HYPERLINK("https://pbs.twimg.com/profile_images/858926234683691009/ZChDbPRq.jpg","View")</f>
        <v>View</v>
      </c>
    </row>
    <row r="2132" spans="1:19" ht="30">
      <c r="A2132" s="8">
        <v>43345.935104166667</v>
      </c>
      <c r="B2132" s="11" t="str">
        <f>HYPERLINK("https://twitter.com/sobhe_no","@sobhe_no")</f>
        <v>@sobhe_no</v>
      </c>
      <c r="C2132" s="6" t="s">
        <v>4185</v>
      </c>
      <c r="D2132" s="5" t="s">
        <v>11358</v>
      </c>
      <c r="E2132" s="9" t="str">
        <f>HYPERLINK("https://twitter.com/sobhe_no/status/1036311933908123650","1036311933908123650")</f>
        <v>1036311933908123650</v>
      </c>
      <c r="F2132" s="4"/>
      <c r="G2132" s="10" t="s">
        <v>11357</v>
      </c>
      <c r="H2132" s="4"/>
      <c r="I2132" s="10" t="str">
        <f>HYPERLINK("http://twitter.com/download/iphone","Twitter for iPhone")</f>
        <v>Twitter for iPhone</v>
      </c>
      <c r="J2132" s="2">
        <v>10667</v>
      </c>
      <c r="K2132" s="2">
        <v>31</v>
      </c>
      <c r="L2132" s="2">
        <v>72</v>
      </c>
      <c r="M2132" s="2"/>
      <c r="N2132" s="8">
        <v>42471.601400462961</v>
      </c>
      <c r="O2132" s="4" t="s">
        <v>34</v>
      </c>
      <c r="P2132" s="3" t="s">
        <v>4182</v>
      </c>
      <c r="Q2132" s="10" t="s">
        <v>4181</v>
      </c>
      <c r="R2132" s="4"/>
      <c r="S2132" s="9" t="str">
        <f>HYPERLINK("https://pbs.twimg.com/profile_images/737719828429963265/nghJhp_N.jpg","View")</f>
        <v>View</v>
      </c>
    </row>
    <row r="2133" spans="1:19" ht="30">
      <c r="A2133" s="8">
        <v>43345.934687500005</v>
      </c>
      <c r="B2133" s="11" t="str">
        <f>HYPERLINK("https://twitter.com/Mahmoud_ST_","@Mahmoud_ST_")</f>
        <v>@Mahmoud_ST_</v>
      </c>
      <c r="C2133" s="6" t="s">
        <v>11349</v>
      </c>
      <c r="D2133" s="5" t="s">
        <v>11356</v>
      </c>
      <c r="E2133" s="9" t="str">
        <f>HYPERLINK("https://twitter.com/Mahmoud_ST_/status/1036311782246285313","1036311782246285313")</f>
        <v>1036311782246285313</v>
      </c>
      <c r="F2133" s="4"/>
      <c r="G2133" s="4"/>
      <c r="H2133" s="4"/>
      <c r="I2133" s="10" t="str">
        <f>HYPERLINK("http://twitter.com","Twitter Web Client")</f>
        <v>Twitter Web Client</v>
      </c>
      <c r="J2133" s="2">
        <v>271</v>
      </c>
      <c r="K2133" s="2">
        <v>318</v>
      </c>
      <c r="L2133" s="2">
        <v>2</v>
      </c>
      <c r="M2133" s="2"/>
      <c r="N2133" s="8">
        <v>42034.006481481483</v>
      </c>
      <c r="O2133" s="4" t="s">
        <v>324</v>
      </c>
      <c r="P2133" s="3" t="s">
        <v>11347</v>
      </c>
      <c r="Q2133" s="4"/>
      <c r="R2133" s="4"/>
      <c r="S2133" s="9" t="str">
        <f>HYPERLINK("https://pbs.twimg.com/profile_images/867018421950697474/KCNbozYC.jpg","View")</f>
        <v>View</v>
      </c>
    </row>
    <row r="2134" spans="1:19" ht="30">
      <c r="A2134" s="8">
        <v>43345.934525462959</v>
      </c>
      <c r="B2134" s="11" t="str">
        <f>HYPERLINK("https://twitter.com/ebi19730","@ebi19730")</f>
        <v>@ebi19730</v>
      </c>
      <c r="C2134" s="6" t="s">
        <v>2079</v>
      </c>
      <c r="D2134" s="5" t="s">
        <v>11355</v>
      </c>
      <c r="E2134" s="9" t="str">
        <f>HYPERLINK("https://twitter.com/ebi19730/status/1036311726109728768","1036311726109728768")</f>
        <v>1036311726109728768</v>
      </c>
      <c r="F2134" s="4"/>
      <c r="G2134" s="4"/>
      <c r="H2134" s="4"/>
      <c r="I2134" s="10" t="str">
        <f>HYPERLINK("http://twitter.com/download/android","Twitter for Android")</f>
        <v>Twitter for Android</v>
      </c>
      <c r="J2134" s="2">
        <v>1828</v>
      </c>
      <c r="K2134" s="2">
        <v>1429</v>
      </c>
      <c r="L2134" s="2">
        <v>6</v>
      </c>
      <c r="M2134" s="2"/>
      <c r="N2134" s="8">
        <v>42702.629560185189</v>
      </c>
      <c r="O2134" s="4" t="s">
        <v>104</v>
      </c>
      <c r="P2134" s="3" t="s">
        <v>2077</v>
      </c>
      <c r="Q2134" s="10" t="s">
        <v>2076</v>
      </c>
      <c r="R2134" s="4"/>
      <c r="S2134" s="9" t="str">
        <f>HYPERLINK("https://pbs.twimg.com/profile_images/954283267397648386/suO6kchi.jpg","View")</f>
        <v>View</v>
      </c>
    </row>
    <row r="2135" spans="1:19" ht="30">
      <c r="A2135" s="8">
        <v>43345.933171296296</v>
      </c>
      <c r="B2135" s="11" t="str">
        <f>HYPERLINK("https://twitter.com/Milad1593","@Milad1593")</f>
        <v>@Milad1593</v>
      </c>
      <c r="C2135" s="6" t="s">
        <v>8935</v>
      </c>
      <c r="D2135" s="5" t="s">
        <v>11354</v>
      </c>
      <c r="E2135" s="9" t="str">
        <f>HYPERLINK("https://twitter.com/Milad1593/status/1036311235439091712","1036311235439091712")</f>
        <v>1036311235439091712</v>
      </c>
      <c r="F2135" s="4"/>
      <c r="G2135" s="4"/>
      <c r="H2135" s="4"/>
      <c r="I2135" s="10" t="str">
        <f>HYPERLINK("http://twitter.com/download/iphone","Twitter for iPhone")</f>
        <v>Twitter for iPhone</v>
      </c>
      <c r="J2135" s="2">
        <v>38</v>
      </c>
      <c r="K2135" s="2">
        <v>82</v>
      </c>
      <c r="L2135" s="2">
        <v>0</v>
      </c>
      <c r="M2135" s="2"/>
      <c r="N2135" s="8">
        <v>43111.919398148151</v>
      </c>
      <c r="O2135" s="4" t="s">
        <v>34</v>
      </c>
      <c r="P2135" s="3"/>
      <c r="Q2135" s="4"/>
      <c r="R2135" s="4"/>
      <c r="S2135" s="9" t="str">
        <f>HYPERLINK("https://pbs.twimg.com/profile_images/1034295646323449856/5CikDeKG.jpg","View")</f>
        <v>View</v>
      </c>
    </row>
    <row r="2136" spans="1:19" ht="40">
      <c r="A2136" s="8">
        <v>43345.932951388888</v>
      </c>
      <c r="B2136" s="11" t="str">
        <f>HYPERLINK("https://twitter.com/ojan_akbari","@ojan_akbari")</f>
        <v>@ojan_akbari</v>
      </c>
      <c r="C2136" s="6" t="s">
        <v>5611</v>
      </c>
      <c r="D2136" s="5" t="s">
        <v>11353</v>
      </c>
      <c r="E2136" s="9" t="str">
        <f>HYPERLINK("https://twitter.com/ojan_akbari/status/1036311153989709826","1036311153989709826")</f>
        <v>1036311153989709826</v>
      </c>
      <c r="F2136" s="4"/>
      <c r="G2136" s="4"/>
      <c r="H2136" s="4"/>
      <c r="I2136" s="10" t="str">
        <f>HYPERLINK("http://twitter.com/download/android","Twitter for Android")</f>
        <v>Twitter for Android</v>
      </c>
      <c r="J2136" s="2">
        <v>77</v>
      </c>
      <c r="K2136" s="2">
        <v>238</v>
      </c>
      <c r="L2136" s="2">
        <v>0</v>
      </c>
      <c r="M2136" s="2"/>
      <c r="N2136" s="8">
        <v>43189.757523148146</v>
      </c>
      <c r="O2136" s="4"/>
      <c r="P2136" s="3"/>
      <c r="Q2136" s="4"/>
      <c r="R2136" s="4"/>
      <c r="S2136" s="2" t="s">
        <v>155</v>
      </c>
    </row>
    <row r="2137" spans="1:19" ht="40">
      <c r="A2137" s="8">
        <v>43345.929849537039</v>
      </c>
      <c r="B2137" s="11" t="str">
        <f>HYPERLINK("https://twitter.com/mostafa_zaheri_","@mostafa_zaheri_")</f>
        <v>@mostafa_zaheri_</v>
      </c>
      <c r="C2137" s="6" t="s">
        <v>8118</v>
      </c>
      <c r="D2137" s="5" t="s">
        <v>11352</v>
      </c>
      <c r="E2137" s="9" t="str">
        <f>HYPERLINK("https://twitter.com/mostafa_zaheri_/status/1036310030641844224","1036310030641844224")</f>
        <v>1036310030641844224</v>
      </c>
      <c r="F2137" s="4"/>
      <c r="G2137" s="4"/>
      <c r="H2137" s="4"/>
      <c r="I2137" s="10" t="str">
        <f>HYPERLINK("http://twitter.com","Twitter Web Client")</f>
        <v>Twitter Web Client</v>
      </c>
      <c r="J2137" s="2">
        <v>5866</v>
      </c>
      <c r="K2137" s="2">
        <v>134</v>
      </c>
      <c r="L2137" s="2">
        <v>9</v>
      </c>
      <c r="M2137" s="2"/>
      <c r="N2137" s="8">
        <v>42726.055289351847</v>
      </c>
      <c r="O2137" s="4" t="s">
        <v>34</v>
      </c>
      <c r="P2137" s="3" t="s">
        <v>8116</v>
      </c>
      <c r="Q2137" s="4"/>
      <c r="R2137" s="4"/>
      <c r="S2137" s="9" t="str">
        <f>HYPERLINK("https://pbs.twimg.com/profile_images/942153668681400320/EvkIA47X.jpg","View")</f>
        <v>View</v>
      </c>
    </row>
    <row r="2138" spans="1:19" ht="30">
      <c r="A2138" s="8">
        <v>43345.929849537039</v>
      </c>
      <c r="B2138" s="11" t="str">
        <f>HYPERLINK("https://twitter.com/OstadHasht8","@OstadHasht8")</f>
        <v>@OstadHasht8</v>
      </c>
      <c r="C2138" s="6" t="s">
        <v>11351</v>
      </c>
      <c r="D2138" s="5" t="s">
        <v>11350</v>
      </c>
      <c r="E2138" s="9" t="str">
        <f>HYPERLINK("https://twitter.com/OstadHasht8/status/1036310028314132481","1036310028314132481")</f>
        <v>1036310028314132481</v>
      </c>
      <c r="F2138" s="4"/>
      <c r="G2138" s="4"/>
      <c r="H2138" s="4"/>
      <c r="I2138" s="10" t="str">
        <f>HYPERLINK("http://twitter.com/download/android","Twitter for Android")</f>
        <v>Twitter for Android</v>
      </c>
      <c r="J2138" s="2">
        <v>13</v>
      </c>
      <c r="K2138" s="2">
        <v>38</v>
      </c>
      <c r="L2138" s="2">
        <v>0</v>
      </c>
      <c r="M2138" s="2"/>
      <c r="N2138" s="8">
        <v>41418.124953703707</v>
      </c>
      <c r="O2138" s="4"/>
      <c r="P2138" s="3"/>
      <c r="Q2138" s="4"/>
      <c r="R2138" s="4"/>
      <c r="S2138" s="9" t="str">
        <f>HYPERLINK("https://pbs.twimg.com/profile_images/992546369909993472/i1yiG8Yw.jpg","View")</f>
        <v>View</v>
      </c>
    </row>
    <row r="2139" spans="1:19" ht="20">
      <c r="A2139" s="8">
        <v>43345.925925925927</v>
      </c>
      <c r="B2139" s="11" t="str">
        <f>HYPERLINK("https://twitter.com/Mahmoud_ST_","@Mahmoud_ST_")</f>
        <v>@Mahmoud_ST_</v>
      </c>
      <c r="C2139" s="6" t="s">
        <v>11349</v>
      </c>
      <c r="D2139" s="5" t="s">
        <v>11348</v>
      </c>
      <c r="E2139" s="9" t="str">
        <f>HYPERLINK("https://twitter.com/Mahmoud_ST_/status/1036308609200730112","1036308609200730112")</f>
        <v>1036308609200730112</v>
      </c>
      <c r="F2139" s="4"/>
      <c r="G2139" s="4"/>
      <c r="H2139" s="4"/>
      <c r="I2139" s="10" t="str">
        <f>HYPERLINK("http://twitter.com","Twitter Web Client")</f>
        <v>Twitter Web Client</v>
      </c>
      <c r="J2139" s="2">
        <v>271</v>
      </c>
      <c r="K2139" s="2">
        <v>318</v>
      </c>
      <c r="L2139" s="2">
        <v>2</v>
      </c>
      <c r="M2139" s="2"/>
      <c r="N2139" s="8">
        <v>42034.006481481483</v>
      </c>
      <c r="O2139" s="4" t="s">
        <v>324</v>
      </c>
      <c r="P2139" s="3" t="s">
        <v>11347</v>
      </c>
      <c r="Q2139" s="4"/>
      <c r="R2139" s="4"/>
      <c r="S2139" s="9" t="str">
        <f>HYPERLINK("https://pbs.twimg.com/profile_images/867018421950697474/KCNbozYC.jpg","View")</f>
        <v>View</v>
      </c>
    </row>
    <row r="2140" spans="1:19" ht="40">
      <c r="A2140" s="8">
        <v>43345.924988425926</v>
      </c>
      <c r="B2140" s="11" t="str">
        <f>HYPERLINK("https://twitter.com/Peyman4835","@Peyman4835")</f>
        <v>@Peyman4835</v>
      </c>
      <c r="C2140" s="6" t="s">
        <v>9537</v>
      </c>
      <c r="D2140" s="5" t="s">
        <v>11346</v>
      </c>
      <c r="E2140" s="9" t="str">
        <f>HYPERLINK("https://twitter.com/Peyman4835/status/1036308267901829120","1036308267901829120")</f>
        <v>1036308267901829120</v>
      </c>
      <c r="F2140" s="4"/>
      <c r="G2140" s="4"/>
      <c r="H2140" s="4"/>
      <c r="I2140" s="10" t="str">
        <f>HYPERLINK("http://twitter.com/download/android","Twitter for Android")</f>
        <v>Twitter for Android</v>
      </c>
      <c r="J2140" s="2">
        <v>1056</v>
      </c>
      <c r="K2140" s="2">
        <v>1065</v>
      </c>
      <c r="L2140" s="2">
        <v>1</v>
      </c>
      <c r="M2140" s="2"/>
      <c r="N2140" s="8">
        <v>43104.043472222227</v>
      </c>
      <c r="O2140" s="4" t="s">
        <v>9535</v>
      </c>
      <c r="P2140" s="3" t="s">
        <v>9534</v>
      </c>
      <c r="Q2140" s="4"/>
      <c r="R2140" s="4"/>
      <c r="S2140" s="9" t="str">
        <f>HYPERLINK("https://pbs.twimg.com/profile_images/1007404905408139272/CxFLze6T.jpg","View")</f>
        <v>View</v>
      </c>
    </row>
    <row r="2141" spans="1:19" ht="20">
      <c r="A2141" s="8">
        <v>43345.924016203702</v>
      </c>
      <c r="B2141" s="11" t="str">
        <f>HYPERLINK("https://twitter.com/mehdi88992003","@mehdi88992003")</f>
        <v>@mehdi88992003</v>
      </c>
      <c r="C2141" s="6" t="s">
        <v>11345</v>
      </c>
      <c r="D2141" s="5" t="s">
        <v>11344</v>
      </c>
      <c r="E2141" s="9" t="str">
        <f>HYPERLINK("https://twitter.com/mehdi88992003/status/1036307916024958976","1036307916024958976")</f>
        <v>1036307916024958976</v>
      </c>
      <c r="F2141" s="4"/>
      <c r="G2141" s="4"/>
      <c r="H2141" s="4"/>
      <c r="I2141" s="10" t="str">
        <f>HYPERLINK("http://twitter.com/download/android","Twitter for Android")</f>
        <v>Twitter for Android</v>
      </c>
      <c r="J2141" s="2">
        <v>2825</v>
      </c>
      <c r="K2141" s="2">
        <v>3294</v>
      </c>
      <c r="L2141" s="2">
        <v>3</v>
      </c>
      <c r="M2141" s="2"/>
      <c r="N2141" s="8">
        <v>41322.678368055553</v>
      </c>
      <c r="O2141" s="4" t="s">
        <v>133</v>
      </c>
      <c r="P2141" s="3" t="s">
        <v>11343</v>
      </c>
      <c r="Q2141" s="10" t="s">
        <v>11342</v>
      </c>
      <c r="R2141" s="4"/>
      <c r="S2141" s="9" t="str">
        <f>HYPERLINK("https://pbs.twimg.com/profile_images/948460889430257664/ctPrl5jc.jpg","View")</f>
        <v>View</v>
      </c>
    </row>
    <row r="2142" spans="1:19" ht="40">
      <c r="A2142" s="8">
        <v>43345.92086805556</v>
      </c>
      <c r="B2142" s="11" t="str">
        <f>HYPERLINK("https://twitter.com/HachalHaft","@HachalHaft")</f>
        <v>@HachalHaft</v>
      </c>
      <c r="C2142" s="6" t="s">
        <v>8742</v>
      </c>
      <c r="D2142" s="5" t="s">
        <v>11341</v>
      </c>
      <c r="E2142" s="9" t="str">
        <f>HYPERLINK("https://twitter.com/HachalHaft/status/1036306774364758016","1036306774364758016")</f>
        <v>1036306774364758016</v>
      </c>
      <c r="F2142" s="4"/>
      <c r="G2142" s="10" t="s">
        <v>11340</v>
      </c>
      <c r="H2142" s="4"/>
      <c r="I2142" s="10" t="str">
        <f>HYPERLINK("http://twitter.com/download/android","Twitter for Android")</f>
        <v>Twitter for Android</v>
      </c>
      <c r="J2142" s="2">
        <v>610</v>
      </c>
      <c r="K2142" s="2">
        <v>721</v>
      </c>
      <c r="L2142" s="2">
        <v>0</v>
      </c>
      <c r="M2142" s="2"/>
      <c r="N2142" s="8">
        <v>43245.780914351853</v>
      </c>
      <c r="O2142" s="4" t="s">
        <v>8739</v>
      </c>
      <c r="P2142" s="3" t="s">
        <v>10034</v>
      </c>
      <c r="Q2142" s="10" t="s">
        <v>8737</v>
      </c>
      <c r="R2142" s="4"/>
      <c r="S2142" s="9" t="str">
        <f>HYPERLINK("https://pbs.twimg.com/profile_images/1033789475434967040/IGGjEid5.jpg","View")</f>
        <v>View</v>
      </c>
    </row>
    <row r="2143" spans="1:19" ht="30">
      <c r="A2143" s="8">
        <v>43345.917025462964</v>
      </c>
      <c r="B2143" s="11" t="str">
        <f>HYPERLINK("https://twitter.com/SohaBellon","@SohaBellon")</f>
        <v>@SohaBellon</v>
      </c>
      <c r="C2143" s="6" t="s">
        <v>11339</v>
      </c>
      <c r="D2143" s="5" t="s">
        <v>11338</v>
      </c>
      <c r="E2143" s="9" t="str">
        <f>HYPERLINK("https://twitter.com/SohaBellon/status/1036305382057144320","1036305382057144320")</f>
        <v>1036305382057144320</v>
      </c>
      <c r="F2143" s="4"/>
      <c r="G2143" s="4"/>
      <c r="H2143" s="4"/>
      <c r="I2143" s="10" t="str">
        <f>HYPERLINK("http://twitter.com/download/iphone","Twitter for iPhone")</f>
        <v>Twitter for iPhone</v>
      </c>
      <c r="J2143" s="2">
        <v>7</v>
      </c>
      <c r="K2143" s="2">
        <v>23</v>
      </c>
      <c r="L2143" s="2">
        <v>0</v>
      </c>
      <c r="M2143" s="2"/>
      <c r="N2143" s="8">
        <v>43344.964583333334</v>
      </c>
      <c r="O2143" s="4" t="s">
        <v>11337</v>
      </c>
      <c r="P2143" s="3" t="s">
        <v>11336</v>
      </c>
      <c r="Q2143" s="4"/>
      <c r="R2143" s="4"/>
      <c r="S2143" s="9" t="str">
        <f>HYPERLINK("https://pbs.twimg.com/profile_images/1035976180099362818/wsfLcW1H.jpg","View")</f>
        <v>View</v>
      </c>
    </row>
    <row r="2144" spans="1:19" ht="30">
      <c r="A2144" s="8">
        <v>43345.916666666672</v>
      </c>
      <c r="B2144" s="11" t="str">
        <f>HYPERLINK("https://twitter.com/trtpersiancom","@trtpersiancom")</f>
        <v>@trtpersiancom</v>
      </c>
      <c r="C2144" s="11" t="s">
        <v>9413</v>
      </c>
      <c r="D2144" s="5" t="s">
        <v>11335</v>
      </c>
      <c r="E2144" s="9" t="str">
        <f>HYPERLINK("https://twitter.com/trtpersiancom/status/1036305252201443335","1036305252201443335")</f>
        <v>1036305252201443335</v>
      </c>
      <c r="F2144" s="10" t="s">
        <v>11334</v>
      </c>
      <c r="G2144" s="4"/>
      <c r="H2144" s="4"/>
      <c r="I2144" s="10" t="str">
        <f>HYPERLINK("https://about.twitter.com/products/tweetdeck","TweetDeck")</f>
        <v>TweetDeck</v>
      </c>
      <c r="J2144" s="2">
        <v>11173</v>
      </c>
      <c r="K2144" s="2">
        <v>23</v>
      </c>
      <c r="L2144" s="2">
        <v>36</v>
      </c>
      <c r="M2144" s="2"/>
      <c r="N2144" s="8">
        <v>40759.756018518521</v>
      </c>
      <c r="O2144" s="4" t="s">
        <v>9410</v>
      </c>
      <c r="P2144" s="3" t="s">
        <v>9409</v>
      </c>
      <c r="Q2144" s="10" t="s">
        <v>9408</v>
      </c>
      <c r="R2144" s="4"/>
      <c r="S2144" s="9" t="str">
        <f>HYPERLINK("https://pbs.twimg.com/profile_images/767693483855478784/KAluA1uF.jpg","View")</f>
        <v>View</v>
      </c>
    </row>
    <row r="2145" spans="1:19" ht="40">
      <c r="A2145" s="8">
        <v>43345.91479166667</v>
      </c>
      <c r="B2145" s="11" t="str">
        <f>HYPERLINK("https://twitter.com/Lavasani_saeid","@Lavasani_saeid")</f>
        <v>@Lavasani_saeid</v>
      </c>
      <c r="C2145" s="6" t="s">
        <v>1918</v>
      </c>
      <c r="D2145" s="5" t="s">
        <v>11333</v>
      </c>
      <c r="E2145" s="9" t="str">
        <f>HYPERLINK("https://twitter.com/Lavasani_saeid/status/1036304575182131200","1036304575182131200")</f>
        <v>1036304575182131200</v>
      </c>
      <c r="F2145" s="4"/>
      <c r="G2145" s="4"/>
      <c r="H2145" s="4"/>
      <c r="I2145" s="10" t="str">
        <f>HYPERLINK("http://twitter.com/download/android","Twitter for Android")</f>
        <v>Twitter for Android</v>
      </c>
      <c r="J2145" s="2">
        <v>406</v>
      </c>
      <c r="K2145" s="2">
        <v>22</v>
      </c>
      <c r="L2145" s="2">
        <v>5</v>
      </c>
      <c r="M2145" s="2"/>
      <c r="N2145" s="8">
        <v>43163.625590277778</v>
      </c>
      <c r="O2145" s="4"/>
      <c r="P2145" s="3" t="s">
        <v>1916</v>
      </c>
      <c r="Q2145" s="4"/>
      <c r="R2145" s="4"/>
      <c r="S2145" s="9" t="str">
        <f>HYPERLINK("https://pbs.twimg.com/profile_images/973796550190264320/vRtmEfv1.jpg","View")</f>
        <v>View</v>
      </c>
    </row>
    <row r="2146" spans="1:19" ht="40">
      <c r="A2146" s="8">
        <v>43345.911273148144</v>
      </c>
      <c r="B2146" s="11" t="str">
        <f>HYPERLINK("https://twitter.com/velgardedarma","@velgardedarma")</f>
        <v>@velgardedarma</v>
      </c>
      <c r="C2146" s="6" t="s">
        <v>11332</v>
      </c>
      <c r="D2146" s="5" t="s">
        <v>11331</v>
      </c>
      <c r="E2146" s="9" t="str">
        <f>HYPERLINK("https://twitter.com/velgardedarma/status/1036303299945873408","1036303299945873408")</f>
        <v>1036303299945873408</v>
      </c>
      <c r="F2146" s="4"/>
      <c r="G2146" s="4"/>
      <c r="H2146" s="4"/>
      <c r="I2146" s="10" t="str">
        <f>HYPERLINK("http://twitter.com/download/android","Twitter for Android")</f>
        <v>Twitter for Android</v>
      </c>
      <c r="J2146" s="2">
        <v>79</v>
      </c>
      <c r="K2146" s="2">
        <v>553</v>
      </c>
      <c r="L2146" s="2">
        <v>1</v>
      </c>
      <c r="M2146" s="2"/>
      <c r="N2146" s="8">
        <v>41584.777731481481</v>
      </c>
      <c r="O2146" s="4"/>
      <c r="P2146" s="3"/>
      <c r="Q2146" s="4"/>
      <c r="R2146" s="4"/>
      <c r="S2146" s="9" t="str">
        <f>HYPERLINK("https://pbs.twimg.com/profile_images/938865869781983237/6A82kBZF.jpg","View")</f>
        <v>View</v>
      </c>
    </row>
    <row r="2147" spans="1:19" ht="40">
      <c r="A2147" s="8">
        <v>43345.909525462965</v>
      </c>
      <c r="B2147" s="11" t="str">
        <f>HYPERLINK("https://twitter.com/ata_afs","@ata_afs")</f>
        <v>@ata_afs</v>
      </c>
      <c r="C2147" s="6" t="s">
        <v>1217</v>
      </c>
      <c r="D2147" s="5" t="s">
        <v>11330</v>
      </c>
      <c r="E2147" s="9" t="str">
        <f>HYPERLINK("https://twitter.com/ata_afs/status/1036302664580005890","1036302664580005890")</f>
        <v>1036302664580005890</v>
      </c>
      <c r="F2147" s="4"/>
      <c r="G2147" s="4"/>
      <c r="H2147" s="4"/>
      <c r="I2147" s="10" t="str">
        <f>HYPERLINK("http://twitter.com/download/iphone","Twitter for iPhone")</f>
        <v>Twitter for iPhone</v>
      </c>
      <c r="J2147" s="2">
        <v>375</v>
      </c>
      <c r="K2147" s="2">
        <v>695</v>
      </c>
      <c r="L2147" s="2">
        <v>0</v>
      </c>
      <c r="M2147" s="2"/>
      <c r="N2147" s="8">
        <v>41833.536099537036</v>
      </c>
      <c r="O2147" s="4" t="s">
        <v>34</v>
      </c>
      <c r="P2147" s="3" t="s">
        <v>1213</v>
      </c>
      <c r="Q2147" s="4"/>
      <c r="R2147" s="4"/>
      <c r="S2147" s="9" t="str">
        <f>HYPERLINK("https://pbs.twimg.com/profile_images/958374868008960000/IRXSv5-C.jpg","View")</f>
        <v>View</v>
      </c>
    </row>
    <row r="2148" spans="1:19" ht="20">
      <c r="A2148" s="8">
        <v>43345.907118055555</v>
      </c>
      <c r="B2148" s="11" t="str">
        <f>HYPERLINK("https://twitter.com/iammahdimsf","@iammahdimsf")</f>
        <v>@iammahdimsf</v>
      </c>
      <c r="C2148" s="6" t="s">
        <v>5469</v>
      </c>
      <c r="D2148" s="5" t="s">
        <v>11329</v>
      </c>
      <c r="E2148" s="9" t="str">
        <f>HYPERLINK("https://twitter.com/iammahdimsf/status/1036301791669903360","1036301791669903360")</f>
        <v>1036301791669903360</v>
      </c>
      <c r="F2148" s="4"/>
      <c r="G2148" s="4"/>
      <c r="H2148" s="4"/>
      <c r="I2148" s="10" t="str">
        <f>HYPERLINK("http://twitter.com/download/android","Twitter for Android")</f>
        <v>Twitter for Android</v>
      </c>
      <c r="J2148" s="2">
        <v>58</v>
      </c>
      <c r="K2148" s="2">
        <v>63</v>
      </c>
      <c r="L2148" s="2">
        <v>0</v>
      </c>
      <c r="M2148" s="2"/>
      <c r="N2148" s="8">
        <v>43260.889004629629</v>
      </c>
      <c r="O2148" s="4" t="s">
        <v>11292</v>
      </c>
      <c r="P2148" s="3" t="s">
        <v>11291</v>
      </c>
      <c r="Q2148" s="4"/>
      <c r="R2148" s="4"/>
      <c r="S2148" s="9" t="str">
        <f>HYPERLINK("https://pbs.twimg.com/profile_images/1034337129868845056/zAoPDZEG.jpg","View")</f>
        <v>View</v>
      </c>
    </row>
    <row r="2149" spans="1:19" ht="20">
      <c r="A2149" s="8">
        <v>43345.906967592593</v>
      </c>
      <c r="B2149" s="11" t="str">
        <f>HYPERLINK("https://twitter.com/akharinkhabar","@akharinkhabar")</f>
        <v>@akharinkhabar</v>
      </c>
      <c r="C2149" s="6" t="s">
        <v>6060</v>
      </c>
      <c r="D2149" s="5" t="s">
        <v>11328</v>
      </c>
      <c r="E2149" s="9" t="str">
        <f>HYPERLINK("https://twitter.com/akharinkhabar/status/1036301738406563842","1036301738406563842")</f>
        <v>1036301738406563842</v>
      </c>
      <c r="F2149" s="10" t="s">
        <v>11327</v>
      </c>
      <c r="G2149" s="4"/>
      <c r="H2149" s="4"/>
      <c r="I2149" s="10" t="str">
        <f>HYPERLINK("http://twitter.com","Twitter Web Client")</f>
        <v>Twitter Web Client</v>
      </c>
      <c r="J2149" s="2">
        <v>6156</v>
      </c>
      <c r="K2149" s="2">
        <v>160</v>
      </c>
      <c r="L2149" s="2">
        <v>38</v>
      </c>
      <c r="M2149" s="2"/>
      <c r="N2149" s="8">
        <v>41664.528194444443</v>
      </c>
      <c r="O2149" s="4" t="s">
        <v>34</v>
      </c>
      <c r="P2149" s="3" t="s">
        <v>6057</v>
      </c>
      <c r="Q2149" s="10" t="s">
        <v>6056</v>
      </c>
      <c r="R2149" s="4"/>
      <c r="S2149" s="9" t="str">
        <f>HYPERLINK("https://pbs.twimg.com/profile_images/907548400987537408/C7mr0GDN.jpg","View")</f>
        <v>View</v>
      </c>
    </row>
    <row r="2150" spans="1:19" ht="20">
      <c r="A2150" s="8">
        <v>43345.906898148147</v>
      </c>
      <c r="B2150" s="11" t="str">
        <f>HYPERLINK("https://twitter.com/Alca_One","@Alca_One")</f>
        <v>@Alca_One</v>
      </c>
      <c r="C2150" s="6" t="s">
        <v>11326</v>
      </c>
      <c r="D2150" s="5" t="s">
        <v>11325</v>
      </c>
      <c r="E2150" s="9" t="str">
        <f>HYPERLINK("https://twitter.com/Alca_One/status/1036301712062070785","1036301712062070785")</f>
        <v>1036301712062070785</v>
      </c>
      <c r="F2150" s="4"/>
      <c r="G2150" s="4"/>
      <c r="H2150" s="4"/>
      <c r="I2150" s="10" t="str">
        <f>HYPERLINK("http://twitter.com/download/android","Twitter for Android")</f>
        <v>Twitter for Android</v>
      </c>
      <c r="J2150" s="2">
        <v>443</v>
      </c>
      <c r="K2150" s="2">
        <v>1043</v>
      </c>
      <c r="L2150" s="2">
        <v>4</v>
      </c>
      <c r="M2150" s="2"/>
      <c r="N2150" s="8">
        <v>41183.349479166667</v>
      </c>
      <c r="O2150" s="4"/>
      <c r="P2150" s="3" t="s">
        <v>11324</v>
      </c>
      <c r="Q2150" s="4"/>
      <c r="R2150" s="4"/>
      <c r="S2150" s="9" t="str">
        <f>HYPERLINK("https://pbs.twimg.com/profile_images/879578842444255232/FnKgkWqr.jpg","View")</f>
        <v>View</v>
      </c>
    </row>
    <row r="2151" spans="1:19" ht="20">
      <c r="A2151" s="8">
        <v>43345.906701388885</v>
      </c>
      <c r="B2151" s="11" t="str">
        <f>HYPERLINK("https://twitter.com/akharinkhabar","@akharinkhabar")</f>
        <v>@akharinkhabar</v>
      </c>
      <c r="C2151" s="6" t="s">
        <v>6060</v>
      </c>
      <c r="D2151" s="5" t="s">
        <v>11323</v>
      </c>
      <c r="E2151" s="9" t="str">
        <f>HYPERLINK("https://twitter.com/akharinkhabar/status/1036301642096947200","1036301642096947200")</f>
        <v>1036301642096947200</v>
      </c>
      <c r="F2151" s="10" t="s">
        <v>11322</v>
      </c>
      <c r="G2151" s="4"/>
      <c r="H2151" s="4"/>
      <c r="I2151" s="10" t="str">
        <f>HYPERLINK("http://twitter.com","Twitter Web Client")</f>
        <v>Twitter Web Client</v>
      </c>
      <c r="J2151" s="2">
        <v>6156</v>
      </c>
      <c r="K2151" s="2">
        <v>160</v>
      </c>
      <c r="L2151" s="2">
        <v>38</v>
      </c>
      <c r="M2151" s="2"/>
      <c r="N2151" s="8">
        <v>41664.528194444443</v>
      </c>
      <c r="O2151" s="4" t="s">
        <v>34</v>
      </c>
      <c r="P2151" s="3" t="s">
        <v>6057</v>
      </c>
      <c r="Q2151" s="10" t="s">
        <v>6056</v>
      </c>
      <c r="R2151" s="4"/>
      <c r="S2151" s="9" t="str">
        <f>HYPERLINK("https://pbs.twimg.com/profile_images/907548400987537408/C7mr0GDN.jpg","View")</f>
        <v>View</v>
      </c>
    </row>
    <row r="2152" spans="1:19" ht="20">
      <c r="A2152" s="8">
        <v>43345.904583333337</v>
      </c>
      <c r="B2152" s="11" t="str">
        <f>HYPERLINK("https://twitter.com/ESMAEELZAMANI1","@ESMAEELZAMANI1")</f>
        <v>@ESMAEELZAMANI1</v>
      </c>
      <c r="C2152" s="6" t="s">
        <v>8068</v>
      </c>
      <c r="D2152" s="5" t="s">
        <v>11321</v>
      </c>
      <c r="E2152" s="9" t="str">
        <f>HYPERLINK("https://twitter.com/ESMAEELZAMANI1/status/1036300872953806848","1036300872953806848")</f>
        <v>1036300872953806848</v>
      </c>
      <c r="F2152" s="4"/>
      <c r="G2152" s="4"/>
      <c r="H2152" s="4"/>
      <c r="I2152" s="10" t="str">
        <f>HYPERLINK("http://twitter.com","Twitter Web Client")</f>
        <v>Twitter Web Client</v>
      </c>
      <c r="J2152" s="2">
        <v>0</v>
      </c>
      <c r="K2152" s="2">
        <v>2</v>
      </c>
      <c r="L2152" s="2">
        <v>0</v>
      </c>
      <c r="M2152" s="2"/>
      <c r="N2152" s="8">
        <v>43327.992314814815</v>
      </c>
      <c r="O2152" s="4"/>
      <c r="P2152" s="3"/>
      <c r="Q2152" s="4"/>
      <c r="R2152" s="4"/>
      <c r="S2152" s="9" t="str">
        <f>HYPERLINK("https://pbs.twimg.com/profile_images/1031256571446054912/pOHI-dEc.jpg","View")</f>
        <v>View</v>
      </c>
    </row>
    <row r="2153" spans="1:19" ht="30">
      <c r="A2153" s="8">
        <v>43345.903067129635</v>
      </c>
      <c r="B2153" s="11" t="str">
        <f>HYPERLINK("https://twitter.com/last_soldier73","@last_soldier73")</f>
        <v>@last_soldier73</v>
      </c>
      <c r="C2153" s="6" t="s">
        <v>8935</v>
      </c>
      <c r="D2153" s="5" t="s">
        <v>11320</v>
      </c>
      <c r="E2153" s="9" t="str">
        <f>HYPERLINK("https://twitter.com/last_soldier73/status/1036300326092132355","1036300326092132355")</f>
        <v>1036300326092132355</v>
      </c>
      <c r="F2153" s="4"/>
      <c r="G2153" s="10" t="s">
        <v>11319</v>
      </c>
      <c r="H2153" s="4"/>
      <c r="I2153" s="10" t="str">
        <f>HYPERLINK("http://twitter.com/download/android","Twitter for Android")</f>
        <v>Twitter for Android</v>
      </c>
      <c r="J2153" s="2">
        <v>575</v>
      </c>
      <c r="K2153" s="2">
        <v>493</v>
      </c>
      <c r="L2153" s="2">
        <v>0</v>
      </c>
      <c r="M2153" s="2"/>
      <c r="N2153" s="8">
        <v>42946.765879629631</v>
      </c>
      <c r="O2153" s="4"/>
      <c r="P2153" s="3" t="s">
        <v>11318</v>
      </c>
      <c r="Q2153" s="4"/>
      <c r="R2153" s="4"/>
      <c r="S2153" s="9" t="str">
        <f>HYPERLINK("https://pbs.twimg.com/profile_images/1028552077369389056/FXhI1ljg.jpg","View")</f>
        <v>View</v>
      </c>
    </row>
    <row r="2154" spans="1:19" ht="40">
      <c r="A2154" s="8">
        <v>43345.901828703703</v>
      </c>
      <c r="B2154" s="11" t="str">
        <f>HYPERLINK("https://twitter.com/Aliei96","@Aliei96")</f>
        <v>@Aliei96</v>
      </c>
      <c r="C2154" s="6" t="s">
        <v>11317</v>
      </c>
      <c r="D2154" s="5" t="s">
        <v>11316</v>
      </c>
      <c r="E2154" s="9" t="str">
        <f>HYPERLINK("https://twitter.com/Aliei96/status/1036299875070164993","1036299875070164993")</f>
        <v>1036299875070164993</v>
      </c>
      <c r="F2154" s="4"/>
      <c r="G2154" s="10" t="s">
        <v>11315</v>
      </c>
      <c r="H2154" s="4"/>
      <c r="I2154" s="10" t="str">
        <f>HYPERLINK("http://twitter.com/download/android","Twitter for Android")</f>
        <v>Twitter for Android</v>
      </c>
      <c r="J2154" s="2">
        <v>625</v>
      </c>
      <c r="K2154" s="2">
        <v>722</v>
      </c>
      <c r="L2154" s="2">
        <v>0</v>
      </c>
      <c r="M2154" s="2"/>
      <c r="N2154" s="8">
        <v>43128.933553240742</v>
      </c>
      <c r="O2154" s="4"/>
      <c r="P2154" s="3" t="s">
        <v>11314</v>
      </c>
      <c r="Q2154" s="4"/>
      <c r="R2154" s="4"/>
      <c r="S2154" s="9" t="str">
        <f>HYPERLINK("https://pbs.twimg.com/profile_images/957964500421914624/k4NUBKtv.jpg","View")</f>
        <v>View</v>
      </c>
    </row>
    <row r="2155" spans="1:19" ht="30">
      <c r="A2155" s="8">
        <v>43345.901712962965</v>
      </c>
      <c r="B2155" s="11" t="str">
        <f>HYPERLINK("https://twitter.com/hamonmehrAndish","@hamonmehrAndish")</f>
        <v>@hamonmehrAndish</v>
      </c>
      <c r="C2155" s="6" t="s">
        <v>9160</v>
      </c>
      <c r="D2155" s="5" t="s">
        <v>11313</v>
      </c>
      <c r="E2155" s="9" t="str">
        <f>HYPERLINK("https://twitter.com/hamonmehrAndish/status/1036299832456105986","1036299832456105986")</f>
        <v>1036299832456105986</v>
      </c>
      <c r="F2155" s="4"/>
      <c r="G2155" s="4"/>
      <c r="H2155" s="4"/>
      <c r="I2155" s="10" t="str">
        <f>HYPERLINK("http://twitter.com/download/android","Twitter for Android")</f>
        <v>Twitter for Android</v>
      </c>
      <c r="J2155" s="2">
        <v>833</v>
      </c>
      <c r="K2155" s="2">
        <v>840</v>
      </c>
      <c r="L2155" s="2">
        <v>0</v>
      </c>
      <c r="M2155" s="2"/>
      <c r="N2155" s="8">
        <v>43227.332083333335</v>
      </c>
      <c r="O2155" s="4" t="s">
        <v>9158</v>
      </c>
      <c r="P2155" s="3" t="s">
        <v>9157</v>
      </c>
      <c r="Q2155" s="4"/>
      <c r="R2155" s="4"/>
      <c r="S2155" s="9" t="str">
        <f>HYPERLINK("https://pbs.twimg.com/profile_images/1035180456285810688/4jJvdtbA.jpg","View")</f>
        <v>View</v>
      </c>
    </row>
    <row r="2156" spans="1:19" ht="30">
      <c r="A2156" s="8">
        <v>43345.900543981479</v>
      </c>
      <c r="B2156" s="11" t="str">
        <f>HYPERLINK("https://twitter.com/rahimi_hastam","@rahimi_hastam")</f>
        <v>@rahimi_hastam</v>
      </c>
      <c r="C2156" s="6" t="s">
        <v>11312</v>
      </c>
      <c r="D2156" s="5" t="s">
        <v>11311</v>
      </c>
      <c r="E2156" s="9" t="str">
        <f>HYPERLINK("https://twitter.com/rahimi_hastam/status/1036299410035101699","1036299410035101699")</f>
        <v>1036299410035101699</v>
      </c>
      <c r="F2156" s="4"/>
      <c r="G2156" s="10" t="s">
        <v>11310</v>
      </c>
      <c r="H2156" s="4"/>
      <c r="I2156" s="10" t="str">
        <f>HYPERLINK("http://twitter.com/download/android","Twitter for Android")</f>
        <v>Twitter for Android</v>
      </c>
      <c r="J2156" s="2">
        <v>549</v>
      </c>
      <c r="K2156" s="2">
        <v>1462</v>
      </c>
      <c r="L2156" s="2">
        <v>0</v>
      </c>
      <c r="M2156" s="2"/>
      <c r="N2156" s="8">
        <v>43204.437337962961</v>
      </c>
      <c r="O2156" s="4" t="s">
        <v>104</v>
      </c>
      <c r="P2156" s="3" t="s">
        <v>11309</v>
      </c>
      <c r="Q2156" s="4"/>
      <c r="R2156" s="4"/>
      <c r="S2156" s="9" t="str">
        <f>HYPERLINK("https://pbs.twimg.com/profile_images/1032575473132482561/Qf6TCt9-.jpg","View")</f>
        <v>View</v>
      </c>
    </row>
    <row r="2157" spans="1:19" ht="30">
      <c r="A2157" s="8">
        <v>43345.895740740743</v>
      </c>
      <c r="B2157" s="11" t="str">
        <f>HYPERLINK("https://twitter.com/davood274","@davood274")</f>
        <v>@davood274</v>
      </c>
      <c r="C2157" s="6" t="s">
        <v>1575</v>
      </c>
      <c r="D2157" s="5" t="s">
        <v>11308</v>
      </c>
      <c r="E2157" s="9" t="str">
        <f>HYPERLINK("https://twitter.com/davood274/status/1036297667268288512","1036297667268288512")</f>
        <v>1036297667268288512</v>
      </c>
      <c r="F2157" s="4"/>
      <c r="G2157" s="4"/>
      <c r="H2157" s="4"/>
      <c r="I2157" s="10" t="str">
        <f>HYPERLINK("http://twitter.com/download/android","Twitter for Android")</f>
        <v>Twitter for Android</v>
      </c>
      <c r="J2157" s="2">
        <v>293</v>
      </c>
      <c r="K2157" s="2">
        <v>643</v>
      </c>
      <c r="L2157" s="2">
        <v>0</v>
      </c>
      <c r="M2157" s="2"/>
      <c r="N2157" s="8">
        <v>41805.405289351853</v>
      </c>
      <c r="O2157" s="4" t="s">
        <v>17</v>
      </c>
      <c r="P2157" s="3" t="s">
        <v>6663</v>
      </c>
      <c r="Q2157" s="4"/>
      <c r="R2157" s="4"/>
      <c r="S2157" s="9" t="str">
        <f>HYPERLINK("https://pbs.twimg.com/profile_images/1005366993006936067/F_JGdASe.jpg","View")</f>
        <v>View</v>
      </c>
    </row>
    <row r="2158" spans="1:19" ht="20">
      <c r="A2158" s="8">
        <v>43345.893171296295</v>
      </c>
      <c r="B2158" s="11" t="str">
        <f>HYPERLINK("https://twitter.com/mim__ta","@mim__ta")</f>
        <v>@mim__ta</v>
      </c>
      <c r="C2158" s="6" t="s">
        <v>1559</v>
      </c>
      <c r="D2158" s="5" t="s">
        <v>11307</v>
      </c>
      <c r="E2158" s="9" t="str">
        <f>HYPERLINK("https://twitter.com/mim__ta/status/1036296738062192640","1036296738062192640")</f>
        <v>1036296738062192640</v>
      </c>
      <c r="F2158" s="4"/>
      <c r="G2158" s="10" t="s">
        <v>11306</v>
      </c>
      <c r="H2158" s="4"/>
      <c r="I2158" s="10" t="str">
        <f>HYPERLINK("http://twitter.com/download/android","Twitter for Android")</f>
        <v>Twitter for Android</v>
      </c>
      <c r="J2158" s="2">
        <v>2236</v>
      </c>
      <c r="K2158" s="2">
        <v>936</v>
      </c>
      <c r="L2158" s="2">
        <v>8</v>
      </c>
      <c r="M2158" s="2"/>
      <c r="N2158" s="8">
        <v>42670.917094907403</v>
      </c>
      <c r="O2158" s="4" t="s">
        <v>1556</v>
      </c>
      <c r="P2158" s="3" t="s">
        <v>1555</v>
      </c>
      <c r="Q2158" s="4"/>
      <c r="R2158" s="4"/>
      <c r="S2158" s="9" t="str">
        <f>HYPERLINK("https://pbs.twimg.com/profile_images/791710360923435008/hEOXFdCh.jpg","View")</f>
        <v>View</v>
      </c>
    </row>
    <row r="2159" spans="1:19" ht="20">
      <c r="A2159" s="8">
        <v>43345.89261574074</v>
      </c>
      <c r="B2159" s="11" t="str">
        <f>HYPERLINK("https://twitter.com/moaldes","@moaldes")</f>
        <v>@moaldes</v>
      </c>
      <c r="C2159" s="6" t="s">
        <v>11305</v>
      </c>
      <c r="D2159" s="5" t="s">
        <v>11304</v>
      </c>
      <c r="E2159" s="9" t="str">
        <f>HYPERLINK("https://twitter.com/moaldes/status/1036296537351942146","1036296537351942146")</f>
        <v>1036296537351942146</v>
      </c>
      <c r="F2159" s="4"/>
      <c r="G2159" s="4"/>
      <c r="H2159" s="4"/>
      <c r="I2159" s="10" t="str">
        <f>HYPERLINK("http://twitter.com","Twitter Web Client")</f>
        <v>Twitter Web Client</v>
      </c>
      <c r="J2159" s="2">
        <v>730</v>
      </c>
      <c r="K2159" s="2">
        <v>421</v>
      </c>
      <c r="L2159" s="2">
        <v>3</v>
      </c>
      <c r="M2159" s="2"/>
      <c r="N2159" s="8">
        <v>42708.01326388889</v>
      </c>
      <c r="O2159" s="4" t="s">
        <v>11303</v>
      </c>
      <c r="P2159" s="3" t="s">
        <v>11302</v>
      </c>
      <c r="Q2159" s="4"/>
      <c r="R2159" s="4"/>
      <c r="S2159" s="9" t="str">
        <f>HYPERLINK("https://pbs.twimg.com/profile_images/969525424865906688/y6F-51KV.jpg","View")</f>
        <v>View</v>
      </c>
    </row>
    <row r="2160" spans="1:19" ht="30">
      <c r="A2160" s="8">
        <v>43345.891550925924</v>
      </c>
      <c r="B2160" s="11" t="str">
        <f>HYPERLINK("https://twitter.com/namayandh","@namayandh")</f>
        <v>@namayandh</v>
      </c>
      <c r="C2160" s="6" t="s">
        <v>11301</v>
      </c>
      <c r="D2160" s="5" t="s">
        <v>11300</v>
      </c>
      <c r="E2160" s="9" t="str">
        <f>HYPERLINK("https://twitter.com/namayandh/status/1036296152885469185","1036296152885469185")</f>
        <v>1036296152885469185</v>
      </c>
      <c r="F2160" s="4"/>
      <c r="G2160" s="10" t="s">
        <v>11299</v>
      </c>
      <c r="H2160" s="4"/>
      <c r="I2160" s="10" t="str">
        <f>HYPERLINK("https://mobile.twitter.com","Twitter Lite")</f>
        <v>Twitter Lite</v>
      </c>
      <c r="J2160" s="2">
        <v>971</v>
      </c>
      <c r="K2160" s="2">
        <v>2311</v>
      </c>
      <c r="L2160" s="2">
        <v>0</v>
      </c>
      <c r="M2160" s="2"/>
      <c r="N2160" s="8">
        <v>40776.247141203705</v>
      </c>
      <c r="O2160" s="4"/>
      <c r="P2160" s="3" t="s">
        <v>11298</v>
      </c>
      <c r="Q2160" s="4"/>
      <c r="R2160" s="4"/>
      <c r="S2160" s="9" t="str">
        <f>HYPERLINK("https://pbs.twimg.com/profile_images/1017673488935604225/y34u1H-c.jpg","View")</f>
        <v>View</v>
      </c>
    </row>
    <row r="2161" spans="1:19" ht="20">
      <c r="A2161" s="8">
        <v>43345.88961805556</v>
      </c>
      <c r="B2161" s="11" t="str">
        <f>HYPERLINK("https://twitter.com/jigsawirani","@jigsawirani")</f>
        <v>@jigsawirani</v>
      </c>
      <c r="C2161" s="6" t="s">
        <v>11297</v>
      </c>
      <c r="D2161" s="5" t="s">
        <v>11296</v>
      </c>
      <c r="E2161" s="9" t="str">
        <f>HYPERLINK("https://twitter.com/jigsawirani/status/1036295448909234176","1036295448909234176")</f>
        <v>1036295448909234176</v>
      </c>
      <c r="F2161" s="4"/>
      <c r="G2161" s="4"/>
      <c r="H2161" s="4"/>
      <c r="I2161" s="10" t="str">
        <f>HYPERLINK("http://twitter.com/download/android","Twitter for Android")</f>
        <v>Twitter for Android</v>
      </c>
      <c r="J2161" s="2">
        <v>1180</v>
      </c>
      <c r="K2161" s="2">
        <v>2974</v>
      </c>
      <c r="L2161" s="2">
        <v>0</v>
      </c>
      <c r="M2161" s="2"/>
      <c r="N2161" s="8">
        <v>43224.007326388892</v>
      </c>
      <c r="O2161" s="4" t="s">
        <v>11295</v>
      </c>
      <c r="P2161" s="3" t="s">
        <v>11294</v>
      </c>
      <c r="Q2161" s="4"/>
      <c r="R2161" s="4"/>
      <c r="S2161" s="9" t="str">
        <f>HYPERLINK("https://pbs.twimg.com/profile_images/992128402864951296/JQDQdmq-.jpg","View")</f>
        <v>View</v>
      </c>
    </row>
    <row r="2162" spans="1:19" ht="20">
      <c r="A2162" s="8">
        <v>43345.889155092591</v>
      </c>
      <c r="B2162" s="11" t="str">
        <f>HYPERLINK("https://twitter.com/iammahdimsf","@iammahdimsf")</f>
        <v>@iammahdimsf</v>
      </c>
      <c r="C2162" s="6" t="s">
        <v>5469</v>
      </c>
      <c r="D2162" s="5" t="s">
        <v>11293</v>
      </c>
      <c r="E2162" s="9" t="str">
        <f>HYPERLINK("https://twitter.com/iammahdimsf/status/1036295283603173379","1036295283603173379")</f>
        <v>1036295283603173379</v>
      </c>
      <c r="F2162" s="4"/>
      <c r="G2162" s="4"/>
      <c r="H2162" s="4"/>
      <c r="I2162" s="10" t="str">
        <f>HYPERLINK("http://twitter.com/download/android","Twitter for Android")</f>
        <v>Twitter for Android</v>
      </c>
      <c r="J2162" s="2">
        <v>58</v>
      </c>
      <c r="K2162" s="2">
        <v>63</v>
      </c>
      <c r="L2162" s="2">
        <v>0</v>
      </c>
      <c r="M2162" s="2"/>
      <c r="N2162" s="8">
        <v>43260.889004629629</v>
      </c>
      <c r="O2162" s="4" t="s">
        <v>11292</v>
      </c>
      <c r="P2162" s="3" t="s">
        <v>11291</v>
      </c>
      <c r="Q2162" s="4"/>
      <c r="R2162" s="4"/>
      <c r="S2162" s="9" t="str">
        <f>HYPERLINK("https://pbs.twimg.com/profile_images/1034337129868845056/zAoPDZEG.jpg","View")</f>
        <v>View</v>
      </c>
    </row>
    <row r="2163" spans="1:19" ht="20">
      <c r="A2163" s="8">
        <v>43345.884826388894</v>
      </c>
      <c r="B2163" s="11" t="str">
        <f>HYPERLINK("https://twitter.com/rezaabdifard","@rezaabdifard")</f>
        <v>@rezaabdifard</v>
      </c>
      <c r="C2163" s="6" t="s">
        <v>7043</v>
      </c>
      <c r="D2163" s="5" t="s">
        <v>11290</v>
      </c>
      <c r="E2163" s="9" t="str">
        <f>HYPERLINK("https://twitter.com/rezaabdifard/status/1036293711993262080","1036293711993262080")</f>
        <v>1036293711993262080</v>
      </c>
      <c r="F2163" s="4"/>
      <c r="G2163" s="10" t="s">
        <v>11289</v>
      </c>
      <c r="H2163" s="4"/>
      <c r="I2163" s="10" t="str">
        <f>HYPERLINK("http://twitter.com/download/iphone","Twitter for iPhone")</f>
        <v>Twitter for iPhone</v>
      </c>
      <c r="J2163" s="2">
        <v>34</v>
      </c>
      <c r="K2163" s="2">
        <v>54</v>
      </c>
      <c r="L2163" s="2">
        <v>0</v>
      </c>
      <c r="M2163" s="2"/>
      <c r="N2163" s="8">
        <v>43314.774097222224</v>
      </c>
      <c r="O2163" s="4"/>
      <c r="P2163" s="3" t="s">
        <v>7041</v>
      </c>
      <c r="Q2163" s="4"/>
      <c r="R2163" s="4"/>
      <c r="S2163" s="9" t="str">
        <f>HYPERLINK("https://pbs.twimg.com/profile_images/1031898132886351872/W4GE4KhP.jpg","View")</f>
        <v>View</v>
      </c>
    </row>
    <row r="2164" spans="1:19" ht="70">
      <c r="A2164" s="8">
        <v>43345.884375000001</v>
      </c>
      <c r="B2164" s="11" t="str">
        <f>HYPERLINK("https://twitter.com/moein_sha","@moein_sha")</f>
        <v>@moein_sha</v>
      </c>
      <c r="C2164" s="6" t="s">
        <v>11288</v>
      </c>
      <c r="D2164" s="5" t="s">
        <v>11287</v>
      </c>
      <c r="E2164" s="9" t="str">
        <f>HYPERLINK("https://twitter.com/moein_sha/status/1036293549078147072","1036293549078147072")</f>
        <v>1036293549078147072</v>
      </c>
      <c r="F2164" s="4" t="s">
        <v>11286</v>
      </c>
      <c r="G2164" s="4"/>
      <c r="H2164" s="4"/>
      <c r="I2164" s="10" t="str">
        <f>HYPERLINK("http://twitter.com","Twitter Web Client")</f>
        <v>Twitter Web Client</v>
      </c>
      <c r="J2164" s="2">
        <v>117</v>
      </c>
      <c r="K2164" s="2">
        <v>227</v>
      </c>
      <c r="L2164" s="2">
        <v>0</v>
      </c>
      <c r="M2164" s="2"/>
      <c r="N2164" s="8">
        <v>43077.829652777778</v>
      </c>
      <c r="O2164" s="4" t="s">
        <v>34</v>
      </c>
      <c r="P2164" s="3" t="s">
        <v>11285</v>
      </c>
      <c r="Q2164" s="4"/>
      <c r="R2164" s="4"/>
      <c r="S2164" s="9" t="str">
        <f>HYPERLINK("https://pbs.twimg.com/profile_images/939175328173273088/zVcUcZvw.jpg","View")</f>
        <v>View</v>
      </c>
    </row>
    <row r="2165" spans="1:19" ht="20">
      <c r="A2165" s="8">
        <v>43345.879756944443</v>
      </c>
      <c r="B2165" s="11" t="str">
        <f>HYPERLINK("https://twitter.com/vahidajorlou","@vahidajorlou")</f>
        <v>@vahidajorlou</v>
      </c>
      <c r="C2165" s="6" t="s">
        <v>11284</v>
      </c>
      <c r="D2165" s="5" t="s">
        <v>11283</v>
      </c>
      <c r="E2165" s="9" t="str">
        <f>HYPERLINK("https://twitter.com/vahidajorlou/status/1036291875387400192","1036291875387400192")</f>
        <v>1036291875387400192</v>
      </c>
      <c r="F2165" s="4"/>
      <c r="G2165" s="4"/>
      <c r="H2165" s="4"/>
      <c r="I2165" s="10" t="str">
        <f>HYPERLINK("http://twitter.com/download/android","Twitter for Android")</f>
        <v>Twitter for Android</v>
      </c>
      <c r="J2165" s="2">
        <v>293</v>
      </c>
      <c r="K2165" s="2">
        <v>390</v>
      </c>
      <c r="L2165" s="2">
        <v>0</v>
      </c>
      <c r="M2165" s="2"/>
      <c r="N2165" s="8">
        <v>43199.844988425924</v>
      </c>
      <c r="O2165" s="4" t="s">
        <v>1841</v>
      </c>
      <c r="P2165" s="3" t="s">
        <v>11282</v>
      </c>
      <c r="Q2165" s="4"/>
      <c r="R2165" s="4"/>
      <c r="S2165" s="9" t="str">
        <f>HYPERLINK("https://pbs.twimg.com/profile_images/1030830125271662592/_9QHdlTq.jpg","View")</f>
        <v>View</v>
      </c>
    </row>
    <row r="2166" spans="1:19" ht="30">
      <c r="A2166" s="8">
        <v>43345.879004629634</v>
      </c>
      <c r="B2166" s="11" t="str">
        <f>HYPERLINK("https://twitter.com/shoresh61","@shoresh61")</f>
        <v>@shoresh61</v>
      </c>
      <c r="C2166" s="6" t="s">
        <v>2540</v>
      </c>
      <c r="D2166" s="5" t="s">
        <v>11281</v>
      </c>
      <c r="E2166" s="9" t="str">
        <f>HYPERLINK("https://twitter.com/shoresh61/status/1036291604091420672","1036291604091420672")</f>
        <v>1036291604091420672</v>
      </c>
      <c r="F2166" s="4"/>
      <c r="G2166" s="4"/>
      <c r="H2166" s="4"/>
      <c r="I2166" s="10" t="str">
        <f>HYPERLINK("http://twitter.com/download/android","Twitter for Android")</f>
        <v>Twitter for Android</v>
      </c>
      <c r="J2166" s="2">
        <v>12149</v>
      </c>
      <c r="K2166" s="2">
        <v>7380</v>
      </c>
      <c r="L2166" s="2">
        <v>17</v>
      </c>
      <c r="M2166" s="2"/>
      <c r="N2166" s="8">
        <v>41707.846446759257</v>
      </c>
      <c r="O2166" s="4" t="s">
        <v>2538</v>
      </c>
      <c r="P2166" s="3" t="s">
        <v>2537</v>
      </c>
      <c r="Q2166" s="10" t="s">
        <v>2536</v>
      </c>
      <c r="R2166" s="4"/>
      <c r="S2166" s="9" t="str">
        <f>HYPERLINK("https://pbs.twimg.com/profile_images/944544717194301442/frY1ROFo.jpg","View")</f>
        <v>View</v>
      </c>
    </row>
    <row r="2167" spans="1:19" ht="12.5">
      <c r="A2167" s="8">
        <v>43345.878738425927</v>
      </c>
      <c r="B2167" s="11" t="str">
        <f>HYPERLINK("https://twitter.com/Omiderfanmanesh","@Omiderfanmanesh")</f>
        <v>@Omiderfanmanesh</v>
      </c>
      <c r="C2167" s="6" t="s">
        <v>11280</v>
      </c>
      <c r="D2167" s="5" t="s">
        <v>11279</v>
      </c>
      <c r="E2167" s="9" t="str">
        <f>HYPERLINK("https://twitter.com/Omiderfanmanesh/status/1036291508079681536","1036291508079681536")</f>
        <v>1036291508079681536</v>
      </c>
      <c r="F2167" s="4"/>
      <c r="G2167" s="10" t="s">
        <v>11278</v>
      </c>
      <c r="H2167" s="4"/>
      <c r="I2167" s="10" t="str">
        <f>HYPERLINK("http://twitter.com/download/android","Twitter for Android")</f>
        <v>Twitter for Android</v>
      </c>
      <c r="J2167" s="2">
        <v>951</v>
      </c>
      <c r="K2167" s="2">
        <v>1120</v>
      </c>
      <c r="L2167" s="2">
        <v>2</v>
      </c>
      <c r="M2167" s="2"/>
      <c r="N2167" s="8">
        <v>42701.033217592594</v>
      </c>
      <c r="O2167" s="4" t="s">
        <v>11277</v>
      </c>
      <c r="P2167" s="3" t="s">
        <v>11276</v>
      </c>
      <c r="Q2167" s="4"/>
      <c r="R2167" s="4"/>
      <c r="S2167" s="9" t="str">
        <f>HYPERLINK("https://pbs.twimg.com/profile_images/1028990298305658880/JAdUYLZr.jpg","View")</f>
        <v>View</v>
      </c>
    </row>
    <row r="2168" spans="1:19" ht="30">
      <c r="A2168" s="8">
        <v>43345.878009259264</v>
      </c>
      <c r="B2168" s="11" t="str">
        <f>HYPERLINK("https://twitter.com/barmiz3","@barmiz3")</f>
        <v>@barmiz3</v>
      </c>
      <c r="C2168" s="6" t="s">
        <v>9604</v>
      </c>
      <c r="D2168" s="5" t="s">
        <v>11275</v>
      </c>
      <c r="E2168" s="9" t="str">
        <f>HYPERLINK("https://twitter.com/barmiz3/status/1036291244035588097","1036291244035588097")</f>
        <v>1036291244035588097</v>
      </c>
      <c r="F2168" s="4"/>
      <c r="G2168" s="4"/>
      <c r="H2168" s="4"/>
      <c r="I2168" s="10" t="str">
        <f>HYPERLINK("https://mobile.twitter.com","Twitter Lite")</f>
        <v>Twitter Lite</v>
      </c>
      <c r="J2168" s="2">
        <v>339</v>
      </c>
      <c r="K2168" s="2">
        <v>193</v>
      </c>
      <c r="L2168" s="2">
        <v>0</v>
      </c>
      <c r="M2168" s="2"/>
      <c r="N2168" s="8">
        <v>43179.97456018519</v>
      </c>
      <c r="O2168" s="4"/>
      <c r="P2168" s="3"/>
      <c r="Q2168" s="4"/>
      <c r="R2168" s="4"/>
      <c r="S2168" s="2" t="s">
        <v>155</v>
      </c>
    </row>
    <row r="2169" spans="1:19" ht="40">
      <c r="A2169" s="8">
        <v>43345.875960648147</v>
      </c>
      <c r="B2169" s="11" t="str">
        <f>HYPERLINK("https://twitter.com/OkhtayHosseini","@OkhtayHosseini")</f>
        <v>@OkhtayHosseini</v>
      </c>
      <c r="C2169" s="6" t="s">
        <v>3338</v>
      </c>
      <c r="D2169" s="5" t="s">
        <v>11274</v>
      </c>
      <c r="E2169" s="9" t="str">
        <f>HYPERLINK("https://twitter.com/OkhtayHosseini/status/1036290501530406912","1036290501530406912")</f>
        <v>1036290501530406912</v>
      </c>
      <c r="F2169" s="4"/>
      <c r="G2169" s="4"/>
      <c r="H2169" s="4"/>
      <c r="I2169" s="10" t="str">
        <f>HYPERLINK("http://twitter.com","Twitter Web Client")</f>
        <v>Twitter Web Client</v>
      </c>
      <c r="J2169" s="2">
        <v>378</v>
      </c>
      <c r="K2169" s="2">
        <v>356</v>
      </c>
      <c r="L2169" s="2">
        <v>1</v>
      </c>
      <c r="M2169" s="2"/>
      <c r="N2169" s="8">
        <v>40864.101226851853</v>
      </c>
      <c r="O2169" s="4"/>
      <c r="P2169" s="3" t="s">
        <v>3336</v>
      </c>
      <c r="Q2169" s="4"/>
      <c r="R2169" s="4"/>
      <c r="S2169" s="9" t="str">
        <f>HYPERLINK("https://pbs.twimg.com/profile_images/619107514630561792/Qe51h3Wl.jpg","View")</f>
        <v>View</v>
      </c>
    </row>
    <row r="2170" spans="1:19" ht="40">
      <c r="A2170" s="8">
        <v>43345.875856481478</v>
      </c>
      <c r="B2170" s="11" t="str">
        <f>HYPERLINK("https://twitter.com/ghourobsefid","@ghourobsefid")</f>
        <v>@ghourobsefid</v>
      </c>
      <c r="C2170" s="6" t="s">
        <v>10065</v>
      </c>
      <c r="D2170" s="5" t="s">
        <v>11273</v>
      </c>
      <c r="E2170" s="9" t="str">
        <f>HYPERLINK("https://twitter.com/ghourobsefid/status/1036290462343155712","1036290462343155712")</f>
        <v>1036290462343155712</v>
      </c>
      <c r="F2170" s="4"/>
      <c r="G2170" s="10" t="s">
        <v>11272</v>
      </c>
      <c r="H2170" s="4"/>
      <c r="I2170" s="10" t="str">
        <f>HYPERLINK("http://twitter.com/download/iphone","Twitter for iPhone")</f>
        <v>Twitter for iPhone</v>
      </c>
      <c r="J2170" s="2">
        <v>19</v>
      </c>
      <c r="K2170" s="2">
        <v>41</v>
      </c>
      <c r="L2170" s="2">
        <v>0</v>
      </c>
      <c r="M2170" s="2"/>
      <c r="N2170" s="8">
        <v>43200.732685185183</v>
      </c>
      <c r="O2170" s="4"/>
      <c r="P2170" s="3" t="s">
        <v>10062</v>
      </c>
      <c r="Q2170" s="4"/>
      <c r="R2170" s="4"/>
      <c r="S2170" s="9" t="str">
        <f>HYPERLINK("https://pbs.twimg.com/profile_images/997895887774015488/TyVthehN.jpg","View")</f>
        <v>View</v>
      </c>
    </row>
    <row r="2171" spans="1:19" ht="30">
      <c r="A2171" s="8">
        <v>43345.874606481477</v>
      </c>
      <c r="B2171" s="11" t="str">
        <f>HYPERLINK("https://twitter.com/Maziyarr2","@Maziyarr2")</f>
        <v>@Maziyarr2</v>
      </c>
      <c r="C2171" s="6" t="s">
        <v>11271</v>
      </c>
      <c r="D2171" s="5" t="s">
        <v>11270</v>
      </c>
      <c r="E2171" s="9" t="str">
        <f>HYPERLINK("https://twitter.com/Maziyarr2/status/1036290011241611265","1036290011241611265")</f>
        <v>1036290011241611265</v>
      </c>
      <c r="F2171" s="4"/>
      <c r="G2171" s="4"/>
      <c r="H2171" s="4"/>
      <c r="I2171" s="10" t="str">
        <f>HYPERLINK("http://twitter.com/download/iphone","Twitter for iPhone")</f>
        <v>Twitter for iPhone</v>
      </c>
      <c r="J2171" s="2">
        <v>8</v>
      </c>
      <c r="K2171" s="2">
        <v>19</v>
      </c>
      <c r="L2171" s="2">
        <v>0</v>
      </c>
      <c r="M2171" s="2"/>
      <c r="N2171" s="8">
        <v>43268.377025462964</v>
      </c>
      <c r="O2171" s="4" t="s">
        <v>1770</v>
      </c>
      <c r="P2171" s="3"/>
      <c r="Q2171" s="4"/>
      <c r="R2171" s="4"/>
      <c r="S2171" s="9" t="str">
        <f>HYPERLINK("https://pbs.twimg.com/profile_images/1011801877241999360/3_Fw1cap.jpg","View")</f>
        <v>View</v>
      </c>
    </row>
    <row r="2172" spans="1:19" ht="30">
      <c r="A2172" s="8">
        <v>43345.870729166665</v>
      </c>
      <c r="B2172" s="11" t="str">
        <f>HYPERLINK("https://twitter.com/HashemiVaDustan","@HashemiVaDustan")</f>
        <v>@HashemiVaDustan</v>
      </c>
      <c r="C2172" s="6" t="s">
        <v>3591</v>
      </c>
      <c r="D2172" s="5" t="s">
        <v>11269</v>
      </c>
      <c r="E2172" s="9" t="str">
        <f>HYPERLINK("https://twitter.com/HashemiVaDustan/status/1036288603419275264","1036288603419275264")</f>
        <v>1036288603419275264</v>
      </c>
      <c r="F2172" s="4"/>
      <c r="G2172" s="4"/>
      <c r="H2172" s="4"/>
      <c r="I2172" s="10" t="str">
        <f>HYPERLINK("http://twitter.com/download/android","Twitter for Android")</f>
        <v>Twitter for Android</v>
      </c>
      <c r="J2172" s="2">
        <v>121</v>
      </c>
      <c r="K2172" s="2">
        <v>128</v>
      </c>
      <c r="L2172" s="2">
        <v>0</v>
      </c>
      <c r="M2172" s="2"/>
      <c r="N2172" s="8">
        <v>43050.518969907411</v>
      </c>
      <c r="O2172" s="4" t="s">
        <v>3589</v>
      </c>
      <c r="P2172" s="3" t="s">
        <v>3588</v>
      </c>
      <c r="Q2172" s="4"/>
      <c r="R2172" s="4"/>
      <c r="S2172" s="9" t="str">
        <f>HYPERLINK("https://pbs.twimg.com/profile_images/1031827415214030849/ZPHG-OBn.jpg","View")</f>
        <v>View</v>
      </c>
    </row>
    <row r="2173" spans="1:19" ht="40">
      <c r="A2173" s="8">
        <v>43345.869652777779</v>
      </c>
      <c r="B2173" s="11" t="str">
        <f>HYPERLINK("https://twitter.com/sobhe_no","@sobhe_no")</f>
        <v>@sobhe_no</v>
      </c>
      <c r="C2173" s="6" t="s">
        <v>4185</v>
      </c>
      <c r="D2173" s="5" t="s">
        <v>11268</v>
      </c>
      <c r="E2173" s="9" t="str">
        <f>HYPERLINK("https://twitter.com/sobhe_no/status/1036288213814530049","1036288213814530049")</f>
        <v>1036288213814530049</v>
      </c>
      <c r="F2173" s="4"/>
      <c r="G2173" s="4"/>
      <c r="H2173" s="4"/>
      <c r="I2173" s="10" t="str">
        <f>HYPERLINK("http://twitter.com/download/iphone","Twitter for iPhone")</f>
        <v>Twitter for iPhone</v>
      </c>
      <c r="J2173" s="2">
        <v>10678</v>
      </c>
      <c r="K2173" s="2">
        <v>31</v>
      </c>
      <c r="L2173" s="2">
        <v>72</v>
      </c>
      <c r="M2173" s="2"/>
      <c r="N2173" s="8">
        <v>42471.601400462961</v>
      </c>
      <c r="O2173" s="4" t="s">
        <v>34</v>
      </c>
      <c r="P2173" s="3" t="s">
        <v>4182</v>
      </c>
      <c r="Q2173" s="10" t="s">
        <v>4181</v>
      </c>
      <c r="R2173" s="4"/>
      <c r="S2173" s="9" t="str">
        <f>HYPERLINK("https://pbs.twimg.com/profile_images/737719828429963265/nghJhp_N.jpg","View")</f>
        <v>View</v>
      </c>
    </row>
    <row r="2174" spans="1:19" ht="30">
      <c r="A2174" s="8">
        <v>43345.869155092594</v>
      </c>
      <c r="B2174" s="11" t="str">
        <f>HYPERLINK("https://twitter.com/simayazaditv","@simayazaditv")</f>
        <v>@simayazaditv</v>
      </c>
      <c r="C2174" s="6" t="s">
        <v>1758</v>
      </c>
      <c r="D2174" s="5" t="s">
        <v>11267</v>
      </c>
      <c r="E2174" s="9" t="str">
        <f>HYPERLINK("https://twitter.com/simayazaditv/status/1036288035036561411","1036288035036561411")</f>
        <v>1036288035036561411</v>
      </c>
      <c r="F2174" s="4"/>
      <c r="G2174" s="10" t="s">
        <v>11266</v>
      </c>
      <c r="H2174" s="4"/>
      <c r="I2174" s="10" t="str">
        <f>HYPERLINK("http://twitter.com","Twitter Web Client")</f>
        <v>Twitter Web Client</v>
      </c>
      <c r="J2174" s="2">
        <v>6063</v>
      </c>
      <c r="K2174" s="2">
        <v>1</v>
      </c>
      <c r="L2174" s="2">
        <v>101</v>
      </c>
      <c r="M2174" s="2"/>
      <c r="N2174" s="8">
        <v>42209.662442129629</v>
      </c>
      <c r="O2174" s="4" t="s">
        <v>252</v>
      </c>
      <c r="P2174" s="3"/>
      <c r="Q2174" s="10" t="s">
        <v>1755</v>
      </c>
      <c r="R2174" s="4"/>
      <c r="S2174" s="9" t="str">
        <f>HYPERLINK("https://pbs.twimg.com/profile_images/624546008937144321/5aqccHix.png","View")</f>
        <v>View</v>
      </c>
    </row>
    <row r="2175" spans="1:19" ht="30">
      <c r="A2175" s="8">
        <v>43345.863159722227</v>
      </c>
      <c r="B2175" s="11" t="str">
        <f>HYPERLINK("https://twitter.com/as_o_pas","@as_o_pas")</f>
        <v>@as_o_pas</v>
      </c>
      <c r="C2175" s="6" t="s">
        <v>11265</v>
      </c>
      <c r="D2175" s="5" t="s">
        <v>11264</v>
      </c>
      <c r="E2175" s="9" t="str">
        <f>HYPERLINK("https://twitter.com/as_o_pas/status/1036285864014311425","1036285864014311425")</f>
        <v>1036285864014311425</v>
      </c>
      <c r="F2175" s="4"/>
      <c r="G2175" s="4"/>
      <c r="H2175" s="4"/>
      <c r="I2175" s="10" t="str">
        <f>HYPERLINK("http://twitter.com/download/android","Twitter for Android")</f>
        <v>Twitter for Android</v>
      </c>
      <c r="J2175" s="2">
        <v>133</v>
      </c>
      <c r="K2175" s="2">
        <v>309</v>
      </c>
      <c r="L2175" s="2">
        <v>0</v>
      </c>
      <c r="M2175" s="2"/>
      <c r="N2175" s="8">
        <v>43320.818888888884</v>
      </c>
      <c r="O2175" s="4" t="s">
        <v>34</v>
      </c>
      <c r="P2175" s="3" t="s">
        <v>11263</v>
      </c>
      <c r="Q2175" s="4"/>
      <c r="R2175" s="4"/>
      <c r="S2175" s="9" t="str">
        <f>HYPERLINK("https://pbs.twimg.com/profile_images/1027234927820066822/CwH1cTmB.jpg","View")</f>
        <v>View</v>
      </c>
    </row>
    <row r="2176" spans="1:19" ht="30">
      <c r="A2176" s="8">
        <v>43345.862777777773</v>
      </c>
      <c r="B2176" s="11" t="str">
        <f>HYPERLINK("https://twitter.com/hamshahrinews","@hamshahrinews")</f>
        <v>@hamshahrinews</v>
      </c>
      <c r="C2176" s="6" t="s">
        <v>2149</v>
      </c>
      <c r="D2176" s="5" t="s">
        <v>11262</v>
      </c>
      <c r="E2176" s="9" t="str">
        <f>HYPERLINK("https://twitter.com/hamshahrinews/status/1036285724306415620","1036285724306415620")</f>
        <v>1036285724306415620</v>
      </c>
      <c r="F2176" s="4"/>
      <c r="G2176" s="4"/>
      <c r="H2176" s="4"/>
      <c r="I2176" s="10" t="str">
        <f>HYPERLINK("https://about.twitter.com/products/tweetdeck","TweetDeck")</f>
        <v>TweetDeck</v>
      </c>
      <c r="J2176" s="2">
        <v>1897</v>
      </c>
      <c r="K2176" s="2">
        <v>13</v>
      </c>
      <c r="L2176" s="2">
        <v>37</v>
      </c>
      <c r="M2176" s="2"/>
      <c r="N2176" s="8">
        <v>42984.575752314813</v>
      </c>
      <c r="O2176" s="4" t="s">
        <v>133</v>
      </c>
      <c r="P2176" s="3" t="s">
        <v>2146</v>
      </c>
      <c r="Q2176" s="10" t="s">
        <v>2145</v>
      </c>
      <c r="R2176" s="4"/>
      <c r="S2176" s="9" t="str">
        <f>HYPERLINK("https://pbs.twimg.com/profile_images/918008480631533568/-awyAU90.jpg","View")</f>
        <v>View</v>
      </c>
    </row>
    <row r="2177" spans="1:19" ht="30">
      <c r="A2177" s="8">
        <v>43345.862453703703</v>
      </c>
      <c r="B2177" s="11" t="str">
        <f>HYPERLINK("https://twitter.com/hosseinmashad","@hosseinmashad")</f>
        <v>@hosseinmashad</v>
      </c>
      <c r="C2177" s="6" t="s">
        <v>11261</v>
      </c>
      <c r="D2177" s="5" t="s">
        <v>11260</v>
      </c>
      <c r="E2177" s="9" t="str">
        <f>HYPERLINK("https://twitter.com/hosseinmashad/status/1036285608279371782","1036285608279371782")</f>
        <v>1036285608279371782</v>
      </c>
      <c r="F2177" s="4"/>
      <c r="G2177" s="4"/>
      <c r="H2177" s="4"/>
      <c r="I2177" s="10" t="str">
        <f>HYPERLINK("http://twitter.com/download/android","Twitter for Android")</f>
        <v>Twitter for Android</v>
      </c>
      <c r="J2177" s="2">
        <v>76</v>
      </c>
      <c r="K2177" s="2">
        <v>20</v>
      </c>
      <c r="L2177" s="2">
        <v>0</v>
      </c>
      <c r="M2177" s="2"/>
      <c r="N2177" s="8">
        <v>43335.012476851851</v>
      </c>
      <c r="O2177" s="4" t="s">
        <v>11259</v>
      </c>
      <c r="P2177" s="3" t="s">
        <v>11258</v>
      </c>
      <c r="Q2177" s="4"/>
      <c r="R2177" s="4"/>
      <c r="S2177" s="9" t="str">
        <f>HYPERLINK("https://pbs.twimg.com/profile_images/1033021472774795264/mPXtKqMg.jpg","View")</f>
        <v>View</v>
      </c>
    </row>
    <row r="2178" spans="1:19" ht="20">
      <c r="A2178" s="8">
        <v>43345.861192129625</v>
      </c>
      <c r="B2178" s="11" t="str">
        <f>HYPERLINK("https://twitter.com/abooreyhan1","@abooreyhan1")</f>
        <v>@abooreyhan1</v>
      </c>
      <c r="C2178" s="6" t="s">
        <v>11257</v>
      </c>
      <c r="D2178" s="5" t="s">
        <v>11256</v>
      </c>
      <c r="E2178" s="9" t="str">
        <f>HYPERLINK("https://twitter.com/abooreyhan1/status/1036285147602190336","1036285147602190336")</f>
        <v>1036285147602190336</v>
      </c>
      <c r="F2178" s="4"/>
      <c r="G2178" s="10" t="s">
        <v>11255</v>
      </c>
      <c r="H2178" s="4"/>
      <c r="I2178" s="10" t="str">
        <f>HYPERLINK("http://twitter.com/download/android","Twitter for Android")</f>
        <v>Twitter for Android</v>
      </c>
      <c r="J2178" s="2">
        <v>1637</v>
      </c>
      <c r="K2178" s="2">
        <v>2391</v>
      </c>
      <c r="L2178" s="2">
        <v>4</v>
      </c>
      <c r="M2178" s="2"/>
      <c r="N2178" s="8">
        <v>42952.353518518517</v>
      </c>
      <c r="O2178" s="4"/>
      <c r="P2178" s="3" t="s">
        <v>11254</v>
      </c>
      <c r="Q2178" s="4"/>
      <c r="R2178" s="4"/>
      <c r="S2178" s="9" t="str">
        <f>HYPERLINK("https://pbs.twimg.com/profile_images/978313539784990721/si8KXXt1.jpg","View")</f>
        <v>View</v>
      </c>
    </row>
    <row r="2179" spans="1:19" ht="20">
      <c r="A2179" s="8">
        <v>43345.860625000001</v>
      </c>
      <c r="B2179" s="11" t="str">
        <f>HYPERLINK("https://twitter.com/2wZBX5ZjIXuUUjp","@2wZBX5ZjIXuUUjp")</f>
        <v>@2wZBX5ZjIXuUUjp</v>
      </c>
      <c r="C2179" s="6" t="s">
        <v>7193</v>
      </c>
      <c r="D2179" s="5" t="s">
        <v>11253</v>
      </c>
      <c r="E2179" s="9" t="str">
        <f>HYPERLINK("https://twitter.com/2wZBX5ZjIXuUUjp/status/1036284945797455872","1036284945797455872")</f>
        <v>1036284945797455872</v>
      </c>
      <c r="F2179" s="4"/>
      <c r="G2179" s="4"/>
      <c r="H2179" s="4"/>
      <c r="I2179" s="10" t="str">
        <f>HYPERLINK("http://twitter.com/download/android","Twitter for Android")</f>
        <v>Twitter for Android</v>
      </c>
      <c r="J2179" s="2">
        <v>24</v>
      </c>
      <c r="K2179" s="2">
        <v>21</v>
      </c>
      <c r="L2179" s="2">
        <v>0</v>
      </c>
      <c r="M2179" s="2"/>
      <c r="N2179" s="8">
        <v>43329.861805555556</v>
      </c>
      <c r="O2179" s="4"/>
      <c r="P2179" s="3" t="s">
        <v>7190</v>
      </c>
      <c r="Q2179" s="4"/>
      <c r="R2179" s="4"/>
      <c r="S2179" s="9" t="str">
        <f>HYPERLINK("https://pbs.twimg.com/profile_images/1030522263362318336/Bp9iLWPi.jpg","View")</f>
        <v>View</v>
      </c>
    </row>
    <row r="2180" spans="1:19" ht="20">
      <c r="A2180" s="8">
        <v>43345.857754629629</v>
      </c>
      <c r="B2180" s="11" t="str">
        <f>HYPERLINK("https://twitter.com/2wZBX5ZjIXuUUjp","@2wZBX5ZjIXuUUjp")</f>
        <v>@2wZBX5ZjIXuUUjp</v>
      </c>
      <c r="C2180" s="6" t="s">
        <v>7193</v>
      </c>
      <c r="D2180" s="5" t="s">
        <v>11252</v>
      </c>
      <c r="E2180" s="9" t="str">
        <f>HYPERLINK("https://twitter.com/2wZBX5ZjIXuUUjp/status/1036283902200086528","1036283902200086528")</f>
        <v>1036283902200086528</v>
      </c>
      <c r="F2180" s="4"/>
      <c r="G2180" s="4"/>
      <c r="H2180" s="4"/>
      <c r="I2180" s="10" t="str">
        <f>HYPERLINK("http://twitter.com/download/android","Twitter for Android")</f>
        <v>Twitter for Android</v>
      </c>
      <c r="J2180" s="2">
        <v>24</v>
      </c>
      <c r="K2180" s="2">
        <v>21</v>
      </c>
      <c r="L2180" s="2">
        <v>0</v>
      </c>
      <c r="M2180" s="2"/>
      <c r="N2180" s="8">
        <v>43329.861805555556</v>
      </c>
      <c r="O2180" s="4"/>
      <c r="P2180" s="3" t="s">
        <v>7190</v>
      </c>
      <c r="Q2180" s="4"/>
      <c r="R2180" s="4"/>
      <c r="S2180" s="9" t="str">
        <f>HYPERLINK("https://pbs.twimg.com/profile_images/1030522263362318336/Bp9iLWPi.jpg","View")</f>
        <v>View</v>
      </c>
    </row>
    <row r="2181" spans="1:19" ht="20">
      <c r="A2181" s="8">
        <v>43345.85601851852</v>
      </c>
      <c r="B2181" s="11" t="str">
        <f>HYPERLINK("https://twitter.com/kiavashhafezi","@kiavashhafezi")</f>
        <v>@kiavashhafezi</v>
      </c>
      <c r="C2181" s="6" t="s">
        <v>11251</v>
      </c>
      <c r="D2181" s="5" t="s">
        <v>11250</v>
      </c>
      <c r="E2181" s="9" t="str">
        <f>HYPERLINK("https://twitter.com/kiavashhafezi/status/1036283276246306822","1036283276246306822")</f>
        <v>1036283276246306822</v>
      </c>
      <c r="F2181" s="4"/>
      <c r="G2181" s="4"/>
      <c r="H2181" s="4"/>
      <c r="I2181" s="10" t="str">
        <f>HYPERLINK("http://twitter.com/download/android","Twitter for Android")</f>
        <v>Twitter for Android</v>
      </c>
      <c r="J2181" s="2">
        <v>242</v>
      </c>
      <c r="K2181" s="2">
        <v>195</v>
      </c>
      <c r="L2181" s="2">
        <v>1</v>
      </c>
      <c r="M2181" s="2"/>
      <c r="N2181" s="8">
        <v>41660.625671296293</v>
      </c>
      <c r="O2181" s="4" t="s">
        <v>34</v>
      </c>
      <c r="P2181" s="3" t="s">
        <v>11249</v>
      </c>
      <c r="Q2181" s="4"/>
      <c r="R2181" s="4"/>
      <c r="S2181" s="9" t="str">
        <f>HYPERLINK("https://pbs.twimg.com/profile_images/1024329948042080256/Vpao4IPe.jpg","View")</f>
        <v>View</v>
      </c>
    </row>
    <row r="2182" spans="1:19" ht="30">
      <c r="A2182" s="8">
        <v>43345.854189814811</v>
      </c>
      <c r="B2182" s="11" t="str">
        <f>HYPERLINK("https://twitter.com/trtpersiancom","@trtpersiancom")</f>
        <v>@trtpersiancom</v>
      </c>
      <c r="C2182" s="11" t="s">
        <v>9413</v>
      </c>
      <c r="D2182" s="5" t="s">
        <v>11248</v>
      </c>
      <c r="E2182" s="9" t="str">
        <f>HYPERLINK("https://twitter.com/trtpersiancom/status/1036282609737687041","1036282609737687041")</f>
        <v>1036282609737687041</v>
      </c>
      <c r="F2182" s="10" t="s">
        <v>11247</v>
      </c>
      <c r="G2182" s="4"/>
      <c r="H2182" s="4"/>
      <c r="I2182" s="10" t="str">
        <f>HYPERLINK("https://about.twitter.com/products/tweetdeck","TweetDeck")</f>
        <v>TweetDeck</v>
      </c>
      <c r="J2182" s="2">
        <v>11179</v>
      </c>
      <c r="K2182" s="2">
        <v>23</v>
      </c>
      <c r="L2182" s="2">
        <v>37</v>
      </c>
      <c r="M2182" s="2"/>
      <c r="N2182" s="8">
        <v>40759.756018518521</v>
      </c>
      <c r="O2182" s="4" t="s">
        <v>9410</v>
      </c>
      <c r="P2182" s="3" t="s">
        <v>9409</v>
      </c>
      <c r="Q2182" s="10" t="s">
        <v>9408</v>
      </c>
      <c r="R2182" s="4"/>
      <c r="S2182" s="9" t="str">
        <f>HYPERLINK("https://pbs.twimg.com/profile_images/767693483855478784/KAluA1uF.jpg","View")</f>
        <v>View</v>
      </c>
    </row>
    <row r="2183" spans="1:19" ht="20">
      <c r="A2183" s="8">
        <v>43345.853506944448</v>
      </c>
      <c r="B2183" s="11" t="str">
        <f>HYPERLINK("https://twitter.com/hra_news","@hra_news")</f>
        <v>@hra_news</v>
      </c>
      <c r="C2183" s="6" t="s">
        <v>4272</v>
      </c>
      <c r="D2183" s="5" t="s">
        <v>11246</v>
      </c>
      <c r="E2183" s="9" t="str">
        <f>HYPERLINK("https://twitter.com/hra_news/status/1036282365486743552","1036282365486743552")</f>
        <v>1036282365486743552</v>
      </c>
      <c r="F2183" s="10" t="s">
        <v>11245</v>
      </c>
      <c r="G2183" s="10" t="s">
        <v>11244</v>
      </c>
      <c r="H2183" s="4"/>
      <c r="I2183" s="10" t="str">
        <f>HYPERLINK("http://twitter.com/download/android","Twitter for Android")</f>
        <v>Twitter for Android</v>
      </c>
      <c r="J2183" s="2">
        <v>5769</v>
      </c>
      <c r="K2183" s="2">
        <v>25</v>
      </c>
      <c r="L2183" s="2">
        <v>130</v>
      </c>
      <c r="M2183" s="2"/>
      <c r="N2183" s="8">
        <v>40166.766736111109</v>
      </c>
      <c r="O2183" s="4" t="s">
        <v>1415</v>
      </c>
      <c r="P2183" s="3" t="s">
        <v>4268</v>
      </c>
      <c r="Q2183" s="10" t="s">
        <v>4267</v>
      </c>
      <c r="R2183" s="4"/>
      <c r="S2183" s="9" t="str">
        <f>HYPERLINK("https://pbs.twimg.com/profile_images/1020299248456253441/3S_8IvTU.jpg","View")</f>
        <v>View</v>
      </c>
    </row>
    <row r="2184" spans="1:19" ht="40">
      <c r="A2184" s="8">
        <v>43345.851678240739</v>
      </c>
      <c r="B2184" s="11" t="str">
        <f>HYPERLINK("https://twitter.com/neuromore60","@neuromore60")</f>
        <v>@neuromore60</v>
      </c>
      <c r="C2184" s="6" t="s">
        <v>11243</v>
      </c>
      <c r="D2184" s="5" t="s">
        <v>11242</v>
      </c>
      <c r="E2184" s="9" t="str">
        <f>HYPERLINK("https://twitter.com/neuromore60/status/1036281699959750656","1036281699959750656")</f>
        <v>1036281699959750656</v>
      </c>
      <c r="F2184" s="4"/>
      <c r="G2184" s="4"/>
      <c r="H2184" s="4"/>
      <c r="I2184" s="10" t="str">
        <f>HYPERLINK("https://mobile.twitter.com","Twitter Lite")</f>
        <v>Twitter Lite</v>
      </c>
      <c r="J2184" s="2">
        <v>322</v>
      </c>
      <c r="K2184" s="2">
        <v>465</v>
      </c>
      <c r="L2184" s="2">
        <v>1</v>
      </c>
      <c r="M2184" s="2"/>
      <c r="N2184" s="8">
        <v>42762.03424768518</v>
      </c>
      <c r="O2184" s="4"/>
      <c r="P2184" s="3" t="s">
        <v>11241</v>
      </c>
      <c r="Q2184" s="4"/>
      <c r="R2184" s="4"/>
      <c r="S2184" s="9" t="str">
        <f>HYPERLINK("https://pbs.twimg.com/profile_images/906614983680778240/jkEhTJW9.jpg","View")</f>
        <v>View</v>
      </c>
    </row>
    <row r="2185" spans="1:19" ht="40">
      <c r="A2185" s="8">
        <v>43345.851180555561</v>
      </c>
      <c r="B2185" s="11" t="str">
        <f>HYPERLINK("https://twitter.com/mostafa_h1992","@mostafa_h1992")</f>
        <v>@mostafa_h1992</v>
      </c>
      <c r="C2185" s="6" t="s">
        <v>1076</v>
      </c>
      <c r="D2185" s="5" t="s">
        <v>11240</v>
      </c>
      <c r="E2185" s="9" t="str">
        <f>HYPERLINK("https://twitter.com/mostafa_h1992/status/1036281520527474688","1036281520527474688")</f>
        <v>1036281520527474688</v>
      </c>
      <c r="F2185" s="4"/>
      <c r="G2185" s="4"/>
      <c r="H2185" s="4"/>
      <c r="I2185" s="10" t="str">
        <f>HYPERLINK("http://twitter.com/download/iphone","Twitter for iPhone")</f>
        <v>Twitter for iPhone</v>
      </c>
      <c r="J2185" s="2">
        <v>7</v>
      </c>
      <c r="K2185" s="2">
        <v>33</v>
      </c>
      <c r="L2185" s="2">
        <v>0</v>
      </c>
      <c r="M2185" s="2"/>
      <c r="N2185" s="8">
        <v>42324.874340277776</v>
      </c>
      <c r="O2185" s="4" t="s">
        <v>11239</v>
      </c>
      <c r="P2185" s="3" t="s">
        <v>1073</v>
      </c>
      <c r="Q2185" s="10" t="s">
        <v>1072</v>
      </c>
      <c r="R2185" s="4"/>
      <c r="S2185" s="9" t="str">
        <f>HYPERLINK("https://pbs.twimg.com/profile_images/1035981417942007808/wKv-amIa.jpg","View")</f>
        <v>View</v>
      </c>
    </row>
    <row r="2186" spans="1:19" ht="30">
      <c r="A2186" s="8">
        <v>43345.850057870368</v>
      </c>
      <c r="B2186" s="11" t="str">
        <f>HYPERLINK("https://twitter.com/Mj_ebrahimi65","@Mj_ebrahimi65")</f>
        <v>@Mj_ebrahimi65</v>
      </c>
      <c r="C2186" s="6" t="s">
        <v>514</v>
      </c>
      <c r="D2186" s="5" t="s">
        <v>11238</v>
      </c>
      <c r="E2186" s="9" t="str">
        <f>HYPERLINK("https://twitter.com/Mj_ebrahimi65/status/1036281115244482560","1036281115244482560")</f>
        <v>1036281115244482560</v>
      </c>
      <c r="F2186" s="4"/>
      <c r="G2186" s="4"/>
      <c r="H2186" s="4"/>
      <c r="I2186" s="10" t="str">
        <f>HYPERLINK("http://twitter.com/download/android","Twitter for Android")</f>
        <v>Twitter for Android</v>
      </c>
      <c r="J2186" s="2">
        <v>93</v>
      </c>
      <c r="K2186" s="2">
        <v>211</v>
      </c>
      <c r="L2186" s="2">
        <v>0</v>
      </c>
      <c r="M2186" s="2"/>
      <c r="N2186" s="8">
        <v>42893.80195601852</v>
      </c>
      <c r="O2186" s="4" t="s">
        <v>34</v>
      </c>
      <c r="P2186" s="3" t="s">
        <v>512</v>
      </c>
      <c r="Q2186" s="4"/>
      <c r="R2186" s="4"/>
      <c r="S2186" s="9" t="str">
        <f>HYPERLINK("https://pbs.twimg.com/profile_images/1035262820739436545/A4EFzvOw.jpg","View")</f>
        <v>View</v>
      </c>
    </row>
    <row r="2187" spans="1:19" ht="40">
      <c r="A2187" s="8">
        <v>43345.849490740744</v>
      </c>
      <c r="B2187" s="11" t="str">
        <f>HYPERLINK("https://twitter.com/mehrdadsaadat10","@mehrdadsaadat10")</f>
        <v>@mehrdadsaadat10</v>
      </c>
      <c r="C2187" s="6" t="s">
        <v>1804</v>
      </c>
      <c r="D2187" s="5" t="s">
        <v>11237</v>
      </c>
      <c r="E2187" s="9" t="str">
        <f>HYPERLINK("https://twitter.com/mehrdadsaadat10/status/1036280907395727360","1036280907395727360")</f>
        <v>1036280907395727360</v>
      </c>
      <c r="F2187" s="4"/>
      <c r="G2187" s="10" t="s">
        <v>11236</v>
      </c>
      <c r="H2187" s="4"/>
      <c r="I2187" s="10" t="str">
        <f>HYPERLINK("http://twitter.com","Twitter Web Client")</f>
        <v>Twitter Web Client</v>
      </c>
      <c r="J2187" s="2">
        <v>5256</v>
      </c>
      <c r="K2187" s="2">
        <v>4832</v>
      </c>
      <c r="L2187" s="2">
        <v>99</v>
      </c>
      <c r="M2187" s="2"/>
      <c r="N2187" s="8">
        <v>41816.744895833333</v>
      </c>
      <c r="O2187" s="4"/>
      <c r="P2187" s="3" t="s">
        <v>1801</v>
      </c>
      <c r="Q2187" s="10" t="s">
        <v>1800</v>
      </c>
      <c r="R2187" s="4"/>
      <c r="S2187" s="9" t="str">
        <f>HYPERLINK("https://pbs.twimg.com/profile_images/1001004242071703558/p8DiIksW.jpg","View")</f>
        <v>View</v>
      </c>
    </row>
    <row r="2188" spans="1:19" ht="40">
      <c r="A2188" s="8">
        <v>43345.842812499999</v>
      </c>
      <c r="B2188" s="11" t="str">
        <f>HYPERLINK("https://twitter.com/hr_salehi","@hr_salehi")</f>
        <v>@hr_salehi</v>
      </c>
      <c r="C2188" s="6" t="s">
        <v>1412</v>
      </c>
      <c r="D2188" s="5" t="s">
        <v>11235</v>
      </c>
      <c r="E2188" s="9" t="str">
        <f>HYPERLINK("https://twitter.com/hr_salehi/status/1036278488578318337","1036278488578318337")</f>
        <v>1036278488578318337</v>
      </c>
      <c r="F2188" s="4"/>
      <c r="G2188" s="10" t="s">
        <v>11234</v>
      </c>
      <c r="H2188" s="4"/>
      <c r="I2188" s="10" t="str">
        <f>HYPERLINK("http://twitter.com/download/iphone","Twitter for iPhone")</f>
        <v>Twitter for iPhone</v>
      </c>
      <c r="J2188" s="2">
        <v>2441</v>
      </c>
      <c r="K2188" s="2">
        <v>1159</v>
      </c>
      <c r="L2188" s="2">
        <v>20</v>
      </c>
      <c r="M2188" s="2"/>
      <c r="N2188" s="8">
        <v>42499.405150462961</v>
      </c>
      <c r="O2188" s="4" t="s">
        <v>34</v>
      </c>
      <c r="P2188" s="3" t="s">
        <v>1410</v>
      </c>
      <c r="Q2188" s="10" t="s">
        <v>1409</v>
      </c>
      <c r="R2188" s="4"/>
      <c r="S2188" s="9" t="str">
        <f>HYPERLINK("https://pbs.twimg.com/profile_images/1019473534941384705/BvCJU4_s.jpg","View")</f>
        <v>View</v>
      </c>
    </row>
    <row r="2189" spans="1:19" ht="30">
      <c r="A2189" s="8">
        <v>43345.842442129629</v>
      </c>
      <c r="B2189" s="11" t="str">
        <f>HYPERLINK("https://twitter.com/ilnanews","@ilnanews")</f>
        <v>@ilnanews</v>
      </c>
      <c r="C2189" s="6" t="s">
        <v>6413</v>
      </c>
      <c r="D2189" s="5" t="s">
        <v>11233</v>
      </c>
      <c r="E2189" s="9" t="str">
        <f>HYPERLINK("https://twitter.com/ilnanews/status/1036278356268994560","1036278356268994560")</f>
        <v>1036278356268994560</v>
      </c>
      <c r="F2189" s="10" t="s">
        <v>11232</v>
      </c>
      <c r="G2189" s="10" t="s">
        <v>11231</v>
      </c>
      <c r="H2189" s="4"/>
      <c r="I2189" s="10" t="str">
        <f>HYPERLINK("http://twitter.com/download/android","Twitter for Android")</f>
        <v>Twitter for Android</v>
      </c>
      <c r="J2189" s="2">
        <v>32379</v>
      </c>
      <c r="K2189" s="2">
        <v>67</v>
      </c>
      <c r="L2189" s="2">
        <v>160</v>
      </c>
      <c r="M2189" s="2"/>
      <c r="N2189" s="8">
        <v>42062.024768518517</v>
      </c>
      <c r="O2189" s="4" t="s">
        <v>34</v>
      </c>
      <c r="P2189" s="3" t="s">
        <v>6409</v>
      </c>
      <c r="Q2189" s="10" t="s">
        <v>6408</v>
      </c>
      <c r="R2189" s="4"/>
      <c r="S2189" s="9" t="str">
        <f>HYPERLINK("https://pbs.twimg.com/profile_images/760387216782848000/TS1QyYLo.jpg","View")</f>
        <v>View</v>
      </c>
    </row>
    <row r="2190" spans="1:19" ht="40">
      <c r="A2190" s="8">
        <v>43345.842060185183</v>
      </c>
      <c r="B2190" s="11" t="str">
        <f>HYPERLINK("https://twitter.com/matin320","@matin320")</f>
        <v>@matin320</v>
      </c>
      <c r="C2190" s="6" t="s">
        <v>4530</v>
      </c>
      <c r="D2190" s="5" t="s">
        <v>11230</v>
      </c>
      <c r="E2190" s="9" t="str">
        <f>HYPERLINK("https://twitter.com/matin320/status/1036278216388947970","1036278216388947970")</f>
        <v>1036278216388947970</v>
      </c>
      <c r="F2190" s="4"/>
      <c r="G2190" s="4"/>
      <c r="H2190" s="4"/>
      <c r="I2190" s="10" t="str">
        <f>HYPERLINK("https://about.twitter.com/products/tweetdeck","TweetDeck")</f>
        <v>TweetDeck</v>
      </c>
      <c r="J2190" s="2">
        <v>20</v>
      </c>
      <c r="K2190" s="2">
        <v>87</v>
      </c>
      <c r="L2190" s="2">
        <v>0</v>
      </c>
      <c r="M2190" s="2"/>
      <c r="N2190" s="8">
        <v>43269.204710648148</v>
      </c>
      <c r="O2190" s="4"/>
      <c r="P2190" s="3" t="s">
        <v>11229</v>
      </c>
      <c r="Q2190" s="4"/>
      <c r="R2190" s="4"/>
      <c r="S2190" s="9" t="str">
        <f>HYPERLINK("https://pbs.twimg.com/profile_images/1034719402871148544/hBLNeAxC.jpg","View")</f>
        <v>View</v>
      </c>
    </row>
    <row r="2191" spans="1:19" ht="30">
      <c r="A2191" s="8">
        <v>43345.841516203705</v>
      </c>
      <c r="B2191" s="11" t="str">
        <f>HYPERLINK("https://twitter.com/sayedahmadagham","@sayedahmadagham")</f>
        <v>@sayedahmadagham</v>
      </c>
      <c r="C2191" s="6" t="s">
        <v>11228</v>
      </c>
      <c r="D2191" s="5" t="s">
        <v>11227</v>
      </c>
      <c r="E2191" s="9" t="str">
        <f>HYPERLINK("https://twitter.com/sayedahmadagham/status/1036278018602409985","1036278018602409985")</f>
        <v>1036278018602409985</v>
      </c>
      <c r="F2191" s="4"/>
      <c r="G2191" s="10" t="s">
        <v>11226</v>
      </c>
      <c r="H2191" s="4"/>
      <c r="I2191" s="10" t="str">
        <f>HYPERLINK("http://twitter.com/download/android","Twitter for Android")</f>
        <v>Twitter for Android</v>
      </c>
      <c r="J2191" s="2">
        <v>2018</v>
      </c>
      <c r="K2191" s="2">
        <v>2823</v>
      </c>
      <c r="L2191" s="2">
        <v>7</v>
      </c>
      <c r="M2191" s="2"/>
      <c r="N2191" s="8">
        <v>42885.192928240736</v>
      </c>
      <c r="O2191" s="4" t="s">
        <v>104</v>
      </c>
      <c r="P2191" s="3" t="s">
        <v>11225</v>
      </c>
      <c r="Q2191" s="4"/>
      <c r="R2191" s="4"/>
      <c r="S2191" s="9" t="str">
        <f>HYPERLINK("https://pbs.twimg.com/profile_images/876172792273752065/9W1xdP0e.jpg","View")</f>
        <v>View</v>
      </c>
    </row>
    <row r="2192" spans="1:19" ht="20">
      <c r="A2192" s="8">
        <v>43345.834965277776</v>
      </c>
      <c r="B2192" s="11" t="str">
        <f>HYPERLINK("https://twitter.com/mysamfallah","@mysamfallah")</f>
        <v>@mysamfallah</v>
      </c>
      <c r="C2192" s="6" t="s">
        <v>11224</v>
      </c>
      <c r="D2192" s="5" t="s">
        <v>11223</v>
      </c>
      <c r="E2192" s="9" t="str">
        <f>HYPERLINK("https://twitter.com/mysamfallah/status/1036275643321860096","1036275643321860096")</f>
        <v>1036275643321860096</v>
      </c>
      <c r="F2192" s="4"/>
      <c r="G2192" s="4"/>
      <c r="H2192" s="4"/>
      <c r="I2192" s="10" t="str">
        <f>HYPERLINK("http://twitter.com/download/android","Twitter for Android")</f>
        <v>Twitter for Android</v>
      </c>
      <c r="J2192" s="2">
        <v>781</v>
      </c>
      <c r="K2192" s="2">
        <v>421</v>
      </c>
      <c r="L2192" s="2">
        <v>7</v>
      </c>
      <c r="M2192" s="2"/>
      <c r="N2192" s="8">
        <v>42882.121365740742</v>
      </c>
      <c r="O2192" s="4"/>
      <c r="P2192" s="3"/>
      <c r="Q2192" s="4"/>
      <c r="R2192" s="4"/>
      <c r="S2192" s="9" t="str">
        <f>HYPERLINK("https://pbs.twimg.com/profile_images/1027250111473168386/MphH6dev.jpg","View")</f>
        <v>View</v>
      </c>
    </row>
    <row r="2193" spans="1:19" ht="70">
      <c r="A2193" s="8">
        <v>43345.83194444445</v>
      </c>
      <c r="B2193" s="11" t="str">
        <f>HYPERLINK("https://twitter.com/AkhbarFori","@AkhbarFori")</f>
        <v>@AkhbarFori</v>
      </c>
      <c r="C2193" s="6" t="s">
        <v>703</v>
      </c>
      <c r="D2193" s="5" t="s">
        <v>11222</v>
      </c>
      <c r="E2193" s="9" t="str">
        <f>HYPERLINK("https://twitter.com/AkhbarFori/status/1036274551741710336","1036274551741710336")</f>
        <v>1036274551741710336</v>
      </c>
      <c r="F2193" s="10" t="s">
        <v>11221</v>
      </c>
      <c r="G2193" s="4"/>
      <c r="H2193" s="4"/>
      <c r="I2193" s="10" t="str">
        <f>HYPERLINK("http://twitter.com/download/android","Twitter for Android")</f>
        <v>Twitter for Android</v>
      </c>
      <c r="J2193" s="2">
        <v>2283</v>
      </c>
      <c r="K2193" s="2">
        <v>57</v>
      </c>
      <c r="L2193" s="2">
        <v>10</v>
      </c>
      <c r="M2193" s="2"/>
      <c r="N2193" s="8">
        <v>42681.433865740742</v>
      </c>
      <c r="O2193" s="4" t="s">
        <v>34</v>
      </c>
      <c r="P2193" s="3" t="s">
        <v>700</v>
      </c>
      <c r="Q2193" s="10" t="s">
        <v>699</v>
      </c>
      <c r="R2193" s="4"/>
      <c r="S2193" s="9" t="str">
        <f>HYPERLINK("https://pbs.twimg.com/profile_images/966310274599964674/M_bW7CfD.jpg","View")</f>
        <v>View</v>
      </c>
    </row>
    <row r="2194" spans="1:19" ht="40">
      <c r="A2194" s="8">
        <v>43345.826388888891</v>
      </c>
      <c r="B2194" s="11" t="str">
        <f>HYPERLINK("https://twitter.com/BagimsizGuneyAz","@BagimsizGuneyAz")</f>
        <v>@BagimsizGuneyAz</v>
      </c>
      <c r="C2194" s="6" t="s">
        <v>11220</v>
      </c>
      <c r="D2194" s="5" t="s">
        <v>11219</v>
      </c>
      <c r="E2194" s="9" t="str">
        <f>HYPERLINK("https://twitter.com/BagimsizGuneyAz/status/1036272536353304579","1036272536353304579")</f>
        <v>1036272536353304579</v>
      </c>
      <c r="F2194" s="4"/>
      <c r="G2194" s="4"/>
      <c r="H2194" s="4"/>
      <c r="I2194" s="10" t="str">
        <f>HYPERLINK("https://about.twitter.com/products/tweetdeck","TweetDeck")</f>
        <v>TweetDeck</v>
      </c>
      <c r="J2194" s="2">
        <v>761</v>
      </c>
      <c r="K2194" s="2">
        <v>552</v>
      </c>
      <c r="L2194" s="2">
        <v>7</v>
      </c>
      <c r="M2194" s="2"/>
      <c r="N2194" s="8">
        <v>39714.022858796292</v>
      </c>
      <c r="O2194" s="4" t="s">
        <v>11218</v>
      </c>
      <c r="P2194" s="3" t="s">
        <v>11217</v>
      </c>
      <c r="Q2194" s="10" t="s">
        <v>11216</v>
      </c>
      <c r="R2194" s="4"/>
      <c r="S2194" s="9" t="str">
        <f>HYPERLINK("https://pbs.twimg.com/profile_images/2945192470/fad64d745435811fba8e8c3959f526e4.jpeg","View")</f>
        <v>View</v>
      </c>
    </row>
    <row r="2195" spans="1:19" ht="40">
      <c r="A2195" s="8">
        <v>43345.818645833337</v>
      </c>
      <c r="B2195" s="11" t="str">
        <f>HYPERLINK("https://twitter.com/Ariamehr_p1356","@Ariamehr_p1356")</f>
        <v>@Ariamehr_p1356</v>
      </c>
      <c r="C2195" s="6" t="s">
        <v>10365</v>
      </c>
      <c r="D2195" s="5" t="s">
        <v>11215</v>
      </c>
      <c r="E2195" s="9" t="str">
        <f>HYPERLINK("https://twitter.com/Ariamehr_p1356/status/1036269732733902848","1036269732733902848")</f>
        <v>1036269732733902848</v>
      </c>
      <c r="F2195" s="4"/>
      <c r="G2195" s="10" t="s">
        <v>11214</v>
      </c>
      <c r="H2195" s="4"/>
      <c r="I2195" s="10" t="str">
        <f>HYPERLINK("http://twitter.com/download/android","Twitter for Android")</f>
        <v>Twitter for Android</v>
      </c>
      <c r="J2195" s="2">
        <v>2363</v>
      </c>
      <c r="K2195" s="2">
        <v>1858</v>
      </c>
      <c r="L2195" s="2">
        <v>2</v>
      </c>
      <c r="M2195" s="2"/>
      <c r="N2195" s="8">
        <v>43110.742291666669</v>
      </c>
      <c r="O2195" s="4" t="s">
        <v>25</v>
      </c>
      <c r="P2195" s="3" t="s">
        <v>10363</v>
      </c>
      <c r="Q2195" s="4"/>
      <c r="R2195" s="4"/>
      <c r="S2195" s="9" t="str">
        <f>HYPERLINK("https://pbs.twimg.com/profile_images/1024423014434332674/4-KUsWeX.jpg","View")</f>
        <v>View</v>
      </c>
    </row>
    <row r="2196" spans="1:19" ht="30">
      <c r="A2196" s="8">
        <v>43345.818472222221</v>
      </c>
      <c r="B2196" s="11" t="str">
        <f>HYPERLINK("https://twitter.com/mostafa_h1992","@mostafa_h1992")</f>
        <v>@mostafa_h1992</v>
      </c>
      <c r="C2196" s="6" t="s">
        <v>1076</v>
      </c>
      <c r="D2196" s="5" t="s">
        <v>11213</v>
      </c>
      <c r="E2196" s="9" t="str">
        <f>HYPERLINK("https://twitter.com/mostafa_h1992/status/1036269669945167873","1036269669945167873")</f>
        <v>1036269669945167873</v>
      </c>
      <c r="F2196" s="4"/>
      <c r="G2196" s="4"/>
      <c r="H2196" s="4"/>
      <c r="I2196" s="10" t="str">
        <f>HYPERLINK("http://twitter.com/download/iphone","Twitter for iPhone")</f>
        <v>Twitter for iPhone</v>
      </c>
      <c r="J2196" s="2">
        <v>7</v>
      </c>
      <c r="K2196" s="2">
        <v>33</v>
      </c>
      <c r="L2196" s="2">
        <v>0</v>
      </c>
      <c r="M2196" s="2"/>
      <c r="N2196" s="8">
        <v>42324.874340277776</v>
      </c>
      <c r="O2196" s="4" t="s">
        <v>10504</v>
      </c>
      <c r="P2196" s="3" t="s">
        <v>1073</v>
      </c>
      <c r="Q2196" s="10" t="s">
        <v>1072</v>
      </c>
      <c r="R2196" s="4"/>
      <c r="S2196" s="9" t="str">
        <f>HYPERLINK("https://pbs.twimg.com/profile_images/1035981417942007808/wKv-amIa.jpg","View")</f>
        <v>View</v>
      </c>
    </row>
    <row r="2197" spans="1:19" ht="30">
      <c r="A2197" s="8">
        <v>43345.818206018521</v>
      </c>
      <c r="B2197" s="11" t="str">
        <f>HYPERLINK("https://twitter.com/voisfarsi","@voisfarsi")</f>
        <v>@voisfarsi</v>
      </c>
      <c r="C2197" s="6" t="s">
        <v>7314</v>
      </c>
      <c r="D2197" s="5" t="s">
        <v>11212</v>
      </c>
      <c r="E2197" s="9" t="str">
        <f>HYPERLINK("https://twitter.com/voisfarsi/status/1036269572805087233","1036269572805087233")</f>
        <v>1036269572805087233</v>
      </c>
      <c r="F2197" s="4"/>
      <c r="G2197" s="4"/>
      <c r="H2197" s="4"/>
      <c r="I2197" s="10" t="str">
        <f>HYPERLINK("http://twitter.com","Twitter Web Client")</f>
        <v>Twitter Web Client</v>
      </c>
      <c r="J2197" s="2">
        <v>2594</v>
      </c>
      <c r="K2197" s="2">
        <v>246</v>
      </c>
      <c r="L2197" s="2">
        <v>19</v>
      </c>
      <c r="M2197" s="2"/>
      <c r="N2197" s="8">
        <v>43100.632245370369</v>
      </c>
      <c r="O2197" s="4" t="s">
        <v>7312</v>
      </c>
      <c r="P2197" s="3" t="s">
        <v>7311</v>
      </c>
      <c r="Q2197" s="10" t="s">
        <v>7310</v>
      </c>
      <c r="R2197" s="4"/>
      <c r="S2197" s="9" t="str">
        <f>HYPERLINK("https://pbs.twimg.com/profile_images/979016995441205254/08XBTEce.jpg","View")</f>
        <v>View</v>
      </c>
    </row>
    <row r="2198" spans="1:19" ht="30">
      <c r="A2198" s="8">
        <v>43345.816875000004</v>
      </c>
      <c r="B2198" s="11" t="str">
        <f>HYPERLINK("https://twitter.com/mohammad_journa","@mohammad_journa")</f>
        <v>@mohammad_journa</v>
      </c>
      <c r="C2198" s="6" t="s">
        <v>11211</v>
      </c>
      <c r="D2198" s="5" t="s">
        <v>11210</v>
      </c>
      <c r="E2198" s="9" t="str">
        <f>HYPERLINK("https://twitter.com/mohammad_journa/status/1036269089860120581","1036269089860120581")</f>
        <v>1036269089860120581</v>
      </c>
      <c r="F2198" s="4"/>
      <c r="G2198" s="4"/>
      <c r="H2198" s="4"/>
      <c r="I2198" s="10" t="str">
        <f>HYPERLINK("http://twitter.com","Twitter Web Client")</f>
        <v>Twitter Web Client</v>
      </c>
      <c r="J2198" s="2">
        <v>17</v>
      </c>
      <c r="K2198" s="2">
        <v>253</v>
      </c>
      <c r="L2198" s="2">
        <v>0</v>
      </c>
      <c r="M2198" s="2"/>
      <c r="N2198" s="8">
        <v>42592.386018518519</v>
      </c>
      <c r="O2198" s="4"/>
      <c r="P2198" s="3"/>
      <c r="Q2198" s="4"/>
      <c r="R2198" s="4"/>
      <c r="S2198" s="9" t="str">
        <f>HYPERLINK("https://pbs.twimg.com/profile_images/890236634133741568/UjxfpX1J.jpg","View")</f>
        <v>View</v>
      </c>
    </row>
    <row r="2199" spans="1:19" ht="40">
      <c r="A2199" s="8">
        <v>43345.814988425926</v>
      </c>
      <c r="B2199" s="11" t="str">
        <f>HYPERLINK("https://twitter.com/moein313","@moein313")</f>
        <v>@moein313</v>
      </c>
      <c r="C2199" s="6" t="s">
        <v>11209</v>
      </c>
      <c r="D2199" s="5" t="s">
        <v>11208</v>
      </c>
      <c r="E2199" s="9" t="str">
        <f>HYPERLINK("https://twitter.com/moein313/status/1036268407031619590","1036268407031619590")</f>
        <v>1036268407031619590</v>
      </c>
      <c r="F2199" s="4"/>
      <c r="G2199" s="4"/>
      <c r="H2199" s="4"/>
      <c r="I2199" s="10" t="str">
        <f>HYPERLINK("http://twitter.com","Twitter Web Client")</f>
        <v>Twitter Web Client</v>
      </c>
      <c r="J2199" s="2">
        <v>89</v>
      </c>
      <c r="K2199" s="2">
        <v>222</v>
      </c>
      <c r="L2199" s="2">
        <v>0</v>
      </c>
      <c r="M2199" s="2"/>
      <c r="N2199" s="8">
        <v>40978.604930555557</v>
      </c>
      <c r="O2199" s="4" t="s">
        <v>104</v>
      </c>
      <c r="P2199" s="3" t="s">
        <v>11207</v>
      </c>
      <c r="Q2199" s="4"/>
      <c r="R2199" s="4"/>
      <c r="S2199" s="9" t="str">
        <f>HYPERLINK("https://pbs.twimg.com/profile_images/1036092964366438400/K2U0rmM_.jpg","View")</f>
        <v>View</v>
      </c>
    </row>
    <row r="2200" spans="1:19" ht="30">
      <c r="A2200" s="8">
        <v>43345.811331018514</v>
      </c>
      <c r="B2200" s="11" t="str">
        <f>HYPERLINK("https://twitter.com/SeyedrasoulG","@SeyedrasoulG")</f>
        <v>@SeyedrasoulG</v>
      </c>
      <c r="C2200" s="6" t="s">
        <v>11206</v>
      </c>
      <c r="D2200" s="5" t="s">
        <v>11205</v>
      </c>
      <c r="E2200" s="9" t="str">
        <f>HYPERLINK("https://twitter.com/SeyedrasoulG/status/1036267079081623552","1036267079081623552")</f>
        <v>1036267079081623552</v>
      </c>
      <c r="F2200" s="4"/>
      <c r="G2200" s="4"/>
      <c r="H2200" s="4"/>
      <c r="I2200" s="10" t="str">
        <f>HYPERLINK("https://mobile.twitter.com","Twitter Lite")</f>
        <v>Twitter Lite</v>
      </c>
      <c r="J2200" s="2">
        <v>3</v>
      </c>
      <c r="K2200" s="2">
        <v>38</v>
      </c>
      <c r="L2200" s="2">
        <v>0</v>
      </c>
      <c r="M2200" s="2"/>
      <c r="N2200" s="8">
        <v>43031.945011574076</v>
      </c>
      <c r="O2200" s="4" t="s">
        <v>11204</v>
      </c>
      <c r="P2200" s="3"/>
      <c r="Q2200" s="4"/>
      <c r="R2200" s="4"/>
      <c r="S2200" s="9" t="str">
        <f>HYPERLINK("https://pbs.twimg.com/profile_images/922543665611988993/Al9OxzC1.jpg","View")</f>
        <v>View</v>
      </c>
    </row>
    <row r="2201" spans="1:19" ht="40">
      <c r="A2201" s="8">
        <v>43345.810277777782</v>
      </c>
      <c r="B2201" s="11" t="str">
        <f>HYPERLINK("https://twitter.com/simayazaditv","@simayazaditv")</f>
        <v>@simayazaditv</v>
      </c>
      <c r="C2201" s="6" t="s">
        <v>1758</v>
      </c>
      <c r="D2201" s="5" t="s">
        <v>11203</v>
      </c>
      <c r="E2201" s="9" t="str">
        <f>HYPERLINK("https://twitter.com/simayazaditv/status/1036266700524666880","1036266700524666880")</f>
        <v>1036266700524666880</v>
      </c>
      <c r="F2201" s="4"/>
      <c r="G2201" s="10" t="s">
        <v>11202</v>
      </c>
      <c r="H2201" s="4"/>
      <c r="I2201" s="10" t="str">
        <f>HYPERLINK("http://twitter.com","Twitter Web Client")</f>
        <v>Twitter Web Client</v>
      </c>
      <c r="J2201" s="2">
        <v>6063</v>
      </c>
      <c r="K2201" s="2">
        <v>1</v>
      </c>
      <c r="L2201" s="2">
        <v>101</v>
      </c>
      <c r="M2201" s="2"/>
      <c r="N2201" s="8">
        <v>42209.662442129629</v>
      </c>
      <c r="O2201" s="4" t="s">
        <v>252</v>
      </c>
      <c r="P2201" s="3"/>
      <c r="Q2201" s="10" t="s">
        <v>1755</v>
      </c>
      <c r="R2201" s="4"/>
      <c r="S2201" s="9" t="str">
        <f>HYPERLINK("https://pbs.twimg.com/profile_images/624546008937144321/5aqccHix.png","View")</f>
        <v>View</v>
      </c>
    </row>
    <row r="2202" spans="1:19" ht="40">
      <c r="A2202" s="8">
        <v>43345.808715277773</v>
      </c>
      <c r="B2202" s="11" t="str">
        <f>HYPERLINK("https://twitter.com/sadeq_hosseini","@sadeq_hosseini")</f>
        <v>@sadeq_hosseini</v>
      </c>
      <c r="C2202" s="6" t="s">
        <v>3205</v>
      </c>
      <c r="D2202" s="5" t="s">
        <v>11201</v>
      </c>
      <c r="E2202" s="9" t="str">
        <f>HYPERLINK("https://twitter.com/sadeq_hosseini/status/1036266132775346176","1036266132775346176")</f>
        <v>1036266132775346176</v>
      </c>
      <c r="F2202" s="4"/>
      <c r="G2202" s="10" t="s">
        <v>11200</v>
      </c>
      <c r="H2202" s="4"/>
      <c r="I2202" s="10" t="str">
        <f>HYPERLINK("http://twitter.com","Twitter Web Client")</f>
        <v>Twitter Web Client</v>
      </c>
      <c r="J2202" s="2">
        <v>4201</v>
      </c>
      <c r="K2202" s="2">
        <v>261</v>
      </c>
      <c r="L2202" s="2">
        <v>48</v>
      </c>
      <c r="M2202" s="2"/>
      <c r="N2202" s="8">
        <v>41468.055902777778</v>
      </c>
      <c r="O2202" s="4" t="s">
        <v>3203</v>
      </c>
      <c r="P2202" s="3" t="s">
        <v>3202</v>
      </c>
      <c r="Q2202" s="10" t="s">
        <v>3201</v>
      </c>
      <c r="R2202" s="4"/>
      <c r="S2202" s="9" t="str">
        <f>HYPERLINK("https://pbs.twimg.com/profile_images/1026731719158890496/Me7R_PX_.jpg","View")</f>
        <v>View</v>
      </c>
    </row>
    <row r="2203" spans="1:19" ht="20">
      <c r="A2203" s="8">
        <v>43345.802060185189</v>
      </c>
      <c r="B2203" s="11" t="str">
        <f>HYPERLINK("https://twitter.com/sayedabdurahman","@sayedabdurahman")</f>
        <v>@sayedabdurahman</v>
      </c>
      <c r="C2203" s="6" t="s">
        <v>11199</v>
      </c>
      <c r="D2203" s="5" t="s">
        <v>11198</v>
      </c>
      <c r="E2203" s="9" t="str">
        <f>HYPERLINK("https://twitter.com/sayedabdurahman/status/1036263720685641728","1036263720685641728")</f>
        <v>1036263720685641728</v>
      </c>
      <c r="F2203" s="4"/>
      <c r="G2203" s="4"/>
      <c r="H2203" s="4"/>
      <c r="I2203" s="10" t="str">
        <f>HYPERLINK("http://twitter.com/download/android","Twitter for Android")</f>
        <v>Twitter for Android</v>
      </c>
      <c r="J2203" s="2">
        <v>15</v>
      </c>
      <c r="K2203" s="2">
        <v>82</v>
      </c>
      <c r="L2203" s="2">
        <v>0</v>
      </c>
      <c r="M2203" s="2"/>
      <c r="N2203" s="8">
        <v>43320.230092592596</v>
      </c>
      <c r="O2203" s="4" t="s">
        <v>11197</v>
      </c>
      <c r="P2203" s="3"/>
      <c r="Q2203" s="4"/>
      <c r="R2203" s="4"/>
      <c r="S2203" s="9" t="str">
        <f>HYPERLINK("https://pbs.twimg.com/profile_images/1026998511383011334/EcS-yGc2.jpg","View")</f>
        <v>View</v>
      </c>
    </row>
    <row r="2204" spans="1:19" ht="20">
      <c r="A2204" s="8">
        <v>43345.799178240741</v>
      </c>
      <c r="B2204" s="11" t="str">
        <f>HYPERLINK("https://twitter.com/samsam_313","@samsam_313")</f>
        <v>@samsam_313</v>
      </c>
      <c r="C2204" s="6" t="s">
        <v>11196</v>
      </c>
      <c r="D2204" s="5" t="s">
        <v>11195</v>
      </c>
      <c r="E2204" s="9" t="str">
        <f>HYPERLINK("https://twitter.com/samsam_313/status/1036262674613579776","1036262674613579776")</f>
        <v>1036262674613579776</v>
      </c>
      <c r="F2204" s="4"/>
      <c r="G2204" s="10" t="s">
        <v>11194</v>
      </c>
      <c r="H2204" s="4"/>
      <c r="I2204" s="10" t="str">
        <f>HYPERLINK("http://twitter.com","Twitter Web Client")</f>
        <v>Twitter Web Client</v>
      </c>
      <c r="J2204" s="2">
        <v>81</v>
      </c>
      <c r="K2204" s="2">
        <v>109</v>
      </c>
      <c r="L2204" s="2">
        <v>1</v>
      </c>
      <c r="M2204" s="2"/>
      <c r="N2204" s="8">
        <v>43219.924722222218</v>
      </c>
      <c r="O2204" s="4" t="s">
        <v>5507</v>
      </c>
      <c r="P2204" s="3" t="s">
        <v>11193</v>
      </c>
      <c r="Q2204" s="10" t="s">
        <v>11192</v>
      </c>
      <c r="R2204" s="4"/>
      <c r="S2204" s="9" t="str">
        <f>HYPERLINK("https://pbs.twimg.com/profile_images/1034419990525440002/bIVQmb3z.jpg","View")</f>
        <v>View</v>
      </c>
    </row>
    <row r="2205" spans="1:19" ht="20">
      <c r="A2205" s="8">
        <v>43345.7966087963</v>
      </c>
      <c r="B2205" s="11" t="str">
        <f>HYPERLINK("https://twitter.com/62Ueviev1XAUtPa","@62Ueviev1XAUtPa")</f>
        <v>@62Ueviev1XAUtPa</v>
      </c>
      <c r="C2205" s="6" t="s">
        <v>11191</v>
      </c>
      <c r="D2205" s="5" t="s">
        <v>11190</v>
      </c>
      <c r="E2205" s="9" t="str">
        <f>HYPERLINK("https://twitter.com/62Ueviev1XAUtPa/status/1036261746716094464","1036261746716094464")</f>
        <v>1036261746716094464</v>
      </c>
      <c r="F2205" s="4"/>
      <c r="G2205" s="4"/>
      <c r="H2205" s="4"/>
      <c r="I2205" s="10" t="str">
        <f>HYPERLINK("http://twitter.com/download/android","Twitter for Android")</f>
        <v>Twitter for Android</v>
      </c>
      <c r="J2205" s="2">
        <v>0</v>
      </c>
      <c r="K2205" s="2">
        <v>2</v>
      </c>
      <c r="L2205" s="2">
        <v>0</v>
      </c>
      <c r="M2205" s="2"/>
      <c r="N2205" s="8">
        <v>43345.516875000001</v>
      </c>
      <c r="O2205" s="4"/>
      <c r="P2205" s="3"/>
      <c r="Q2205" s="4"/>
      <c r="R2205" s="4"/>
      <c r="S2205" s="9" t="str">
        <f>HYPERLINK("https://pbs.twimg.com/profile_images/1036260318375280640/EBX_NjFW.jpg","View")</f>
        <v>View</v>
      </c>
    </row>
    <row r="2206" spans="1:19" ht="40">
      <c r="A2206" s="8">
        <v>43345.79614583333</v>
      </c>
      <c r="B2206" s="11" t="str">
        <f>HYPERLINK("https://twitter.com/Frdyzn","@Frdyzn")</f>
        <v>@Frdyzn</v>
      </c>
      <c r="C2206" s="6" t="s">
        <v>3187</v>
      </c>
      <c r="D2206" s="5" t="s">
        <v>11189</v>
      </c>
      <c r="E2206" s="9" t="str">
        <f>HYPERLINK("https://twitter.com/Frdyzn/status/1036261578662916096","1036261578662916096")</f>
        <v>1036261578662916096</v>
      </c>
      <c r="F2206" s="4"/>
      <c r="G2206" s="10" t="s">
        <v>11188</v>
      </c>
      <c r="H2206" s="4"/>
      <c r="I2206" s="10" t="str">
        <f>HYPERLINK("http://twitter.com/download/android","Twitter for Android")</f>
        <v>Twitter for Android</v>
      </c>
      <c r="J2206" s="2">
        <v>124</v>
      </c>
      <c r="K2206" s="2">
        <v>367</v>
      </c>
      <c r="L2206" s="2">
        <v>0</v>
      </c>
      <c r="M2206" s="2"/>
      <c r="N2206" s="8">
        <v>43197.50105324074</v>
      </c>
      <c r="O2206" s="4" t="s">
        <v>3490</v>
      </c>
      <c r="P2206" s="3" t="s">
        <v>3185</v>
      </c>
      <c r="Q2206" s="4"/>
      <c r="R2206" s="4"/>
      <c r="S2206" s="9" t="str">
        <f>HYPERLINK("https://pbs.twimg.com/profile_images/1029582517597233152/BrHNNM3Y.jpg","View")</f>
        <v>View</v>
      </c>
    </row>
    <row r="2207" spans="1:19" ht="40">
      <c r="A2207" s="8">
        <v>43345.793634259258</v>
      </c>
      <c r="B2207" s="11" t="str">
        <f>HYPERLINK("https://twitter.com/Mehrad_kkh","@Mehrad_kkh")</f>
        <v>@Mehrad_kkh</v>
      </c>
      <c r="C2207" s="6" t="s">
        <v>501</v>
      </c>
      <c r="D2207" s="5" t="s">
        <v>11187</v>
      </c>
      <c r="E2207" s="9" t="str">
        <f>HYPERLINK("https://twitter.com/Mehrad_kkh/status/1036260667928596486","1036260667928596486")</f>
        <v>1036260667928596486</v>
      </c>
      <c r="F2207" s="4"/>
      <c r="G2207" s="4"/>
      <c r="H2207" s="4"/>
      <c r="I2207" s="10" t="str">
        <f>HYPERLINK("http://twitter.com/download/android","Twitter for Android")</f>
        <v>Twitter for Android</v>
      </c>
      <c r="J2207" s="2">
        <v>5277</v>
      </c>
      <c r="K2207" s="2">
        <v>4705</v>
      </c>
      <c r="L2207" s="2">
        <v>4</v>
      </c>
      <c r="M2207" s="2"/>
      <c r="N2207" s="8">
        <v>42567.562199074076</v>
      </c>
      <c r="O2207" s="4" t="s">
        <v>34</v>
      </c>
      <c r="P2207" s="3" t="s">
        <v>499</v>
      </c>
      <c r="Q2207" s="4"/>
      <c r="R2207" s="4"/>
      <c r="S2207" s="9" t="str">
        <f>HYPERLINK("https://pbs.twimg.com/profile_images/942431478620852225/5GhvKY0T.jpg","View")</f>
        <v>View</v>
      </c>
    </row>
    <row r="2208" spans="1:19" ht="30">
      <c r="A2208" s="8">
        <v>43345.792569444442</v>
      </c>
      <c r="B2208" s="11" t="str">
        <f>HYPERLINK("https://twitter.com/Meghdad_ba67","@Meghdad_ba67")</f>
        <v>@Meghdad_ba67</v>
      </c>
      <c r="C2208" s="6" t="s">
        <v>11186</v>
      </c>
      <c r="D2208" s="5" t="s">
        <v>11185</v>
      </c>
      <c r="E2208" s="9" t="str">
        <f>HYPERLINK("https://twitter.com/Meghdad_ba67/status/1036260282363011074","1036260282363011074")</f>
        <v>1036260282363011074</v>
      </c>
      <c r="F2208" s="4"/>
      <c r="G2208" s="4"/>
      <c r="H2208" s="4"/>
      <c r="I2208" s="10" t="str">
        <f>HYPERLINK("http://twitter.com/download/android","Twitter for Android")</f>
        <v>Twitter for Android</v>
      </c>
      <c r="J2208" s="2">
        <v>92</v>
      </c>
      <c r="K2208" s="2">
        <v>44</v>
      </c>
      <c r="L2208" s="2">
        <v>0</v>
      </c>
      <c r="M2208" s="2"/>
      <c r="N2208" s="8">
        <v>43046.50204861111</v>
      </c>
      <c r="O2208" s="4"/>
      <c r="P2208" s="3" t="s">
        <v>11184</v>
      </c>
      <c r="Q2208" s="4"/>
      <c r="R2208" s="4"/>
      <c r="S2208" s="9" t="str">
        <f>HYPERLINK("https://pbs.twimg.com/profile_images/995028607943741440/ivH9sFxg.jpg","View")</f>
        <v>View</v>
      </c>
    </row>
    <row r="2209" spans="1:19" ht="30">
      <c r="A2209" s="8">
        <v>43345.791203703702</v>
      </c>
      <c r="B2209" s="11" t="str">
        <f>HYPERLINK("https://twitter.com/SushiansH","@SushiansH")</f>
        <v>@SushiansH</v>
      </c>
      <c r="C2209" s="6" t="s">
        <v>2231</v>
      </c>
      <c r="D2209" s="5" t="s">
        <v>11183</v>
      </c>
      <c r="E2209" s="9" t="str">
        <f>HYPERLINK("https://twitter.com/SushiansH/status/1036259784561975298","1036259784561975298")</f>
        <v>1036259784561975298</v>
      </c>
      <c r="F2209" s="4"/>
      <c r="G2209" s="4"/>
      <c r="H2209" s="4"/>
      <c r="I2209" s="10" t="str">
        <f>HYPERLINK("http://twitter.com/download/android","Twitter for Android")</f>
        <v>Twitter for Android</v>
      </c>
      <c r="J2209" s="2">
        <v>72</v>
      </c>
      <c r="K2209" s="2">
        <v>153</v>
      </c>
      <c r="L2209" s="2">
        <v>0</v>
      </c>
      <c r="M2209" s="2"/>
      <c r="N2209" s="8">
        <v>43261.064687499995</v>
      </c>
      <c r="O2209" s="4" t="s">
        <v>34</v>
      </c>
      <c r="P2209" s="3" t="s">
        <v>2229</v>
      </c>
      <c r="Q2209" s="4"/>
      <c r="R2209" s="4"/>
      <c r="S2209" s="9" t="str">
        <f>HYPERLINK("https://pbs.twimg.com/profile_images/1005558117738926080/jT-GBMIX.jpg","View")</f>
        <v>View</v>
      </c>
    </row>
    <row r="2210" spans="1:19" ht="30">
      <c r="A2210" s="8">
        <v>43345.790995370371</v>
      </c>
      <c r="B2210" s="11" t="str">
        <f>HYPERLINK("https://twitter.com/vicmsmv","@vicmsmv")</f>
        <v>@vicmsmv</v>
      </c>
      <c r="C2210" s="6" t="s">
        <v>9598</v>
      </c>
      <c r="D2210" s="5" t="s">
        <v>11182</v>
      </c>
      <c r="E2210" s="9" t="str">
        <f>HYPERLINK("https://twitter.com/vicmsmv/status/1036259709148442634","1036259709148442634")</f>
        <v>1036259709148442634</v>
      </c>
      <c r="F2210" s="4"/>
      <c r="G2210" s="4"/>
      <c r="H2210" s="4"/>
      <c r="I2210" s="10" t="str">
        <f>HYPERLINK("http://twitter.com/download/iphone","Twitter for iPhone")</f>
        <v>Twitter for iPhone</v>
      </c>
      <c r="J2210" s="2">
        <v>1146</v>
      </c>
      <c r="K2210" s="2">
        <v>732</v>
      </c>
      <c r="L2210" s="2">
        <v>4</v>
      </c>
      <c r="M2210" s="2"/>
      <c r="N2210" s="8">
        <v>43154.022777777776</v>
      </c>
      <c r="O2210" s="4" t="s">
        <v>1770</v>
      </c>
      <c r="P2210" s="3" t="s">
        <v>9596</v>
      </c>
      <c r="Q2210" s="4"/>
      <c r="R2210" s="4"/>
      <c r="S2210" s="9" t="str">
        <f>HYPERLINK("https://pbs.twimg.com/profile_images/1022778740122812416/xBDZdYhv.jpg","View")</f>
        <v>View</v>
      </c>
    </row>
    <row r="2211" spans="1:19" ht="12.5">
      <c r="A2211" s="8">
        <v>43345.787719907406</v>
      </c>
      <c r="B2211" s="11" t="str">
        <f>HYPERLINK("https://twitter.com/euronews_pe","@euronews_pe")</f>
        <v>@euronews_pe</v>
      </c>
      <c r="C2211" s="6" t="s">
        <v>2880</v>
      </c>
      <c r="D2211" s="5" t="s">
        <v>11181</v>
      </c>
      <c r="E2211" s="9" t="str">
        <f>HYPERLINK("https://twitter.com/euronews_pe/status/1036258523645181955","1036258523645181955")</f>
        <v>1036258523645181955</v>
      </c>
      <c r="F2211" s="10" t="s">
        <v>11180</v>
      </c>
      <c r="G2211" s="10" t="s">
        <v>11179</v>
      </c>
      <c r="H2211" s="4"/>
      <c r="I2211" s="10" t="str">
        <f>HYPERLINK("https://www.echobox.com","Echobox Social")</f>
        <v>Echobox Social</v>
      </c>
      <c r="J2211" s="2">
        <v>217347</v>
      </c>
      <c r="K2211" s="2">
        <v>150</v>
      </c>
      <c r="L2211" s="2">
        <v>518</v>
      </c>
      <c r="M2211" s="2" t="s">
        <v>80</v>
      </c>
      <c r="N2211" s="8">
        <v>41163.736319444448</v>
      </c>
      <c r="O2211" s="4" t="s">
        <v>2876</v>
      </c>
      <c r="P2211" s="3" t="s">
        <v>2875</v>
      </c>
      <c r="Q2211" s="10" t="s">
        <v>2874</v>
      </c>
      <c r="R2211" s="4"/>
      <c r="S2211" s="9" t="str">
        <f>HYPERLINK("https://pbs.twimg.com/profile_images/732666813612445696/1CthSJh6.jpg","View")</f>
        <v>View</v>
      </c>
    </row>
    <row r="2212" spans="1:19" ht="20">
      <c r="A2212" s="8">
        <v>43345.787245370375</v>
      </c>
      <c r="B2212" s="11" t="str">
        <f>HYPERLINK("https://twitter.com/313Forat","@313Forat")</f>
        <v>@313Forat</v>
      </c>
      <c r="C2212" s="6" t="s">
        <v>1448</v>
      </c>
      <c r="D2212" s="5" t="s">
        <v>11178</v>
      </c>
      <c r="E2212" s="9" t="str">
        <f>HYPERLINK("https://twitter.com/313Forat/status/1036258350625947649","1036258350625947649")</f>
        <v>1036258350625947649</v>
      </c>
      <c r="F2212" s="4"/>
      <c r="G2212" s="4"/>
      <c r="H2212" s="4"/>
      <c r="I2212" s="10" t="str">
        <f>HYPERLINK("http://twitter.com/download/android","Twitter for Android")</f>
        <v>Twitter for Android</v>
      </c>
      <c r="J2212" s="2">
        <v>39</v>
      </c>
      <c r="K2212" s="2">
        <v>60</v>
      </c>
      <c r="L2212" s="2">
        <v>1</v>
      </c>
      <c r="M2212" s="2"/>
      <c r="N2212" s="8">
        <v>43334.96194444444</v>
      </c>
      <c r="O2212" s="4"/>
      <c r="P2212" s="3" t="s">
        <v>1445</v>
      </c>
      <c r="Q2212" s="4"/>
      <c r="R2212" s="4"/>
      <c r="S2212" s="9" t="str">
        <f>HYPERLINK("https://pbs.twimg.com/profile_images/1032339671706161152/JftdIxT6.jpg","View")</f>
        <v>View</v>
      </c>
    </row>
    <row r="2213" spans="1:19" ht="12.5">
      <c r="A2213" s="8">
        <v>43345.786643518513</v>
      </c>
      <c r="B2213" s="11" t="str">
        <f>HYPERLINK("https://twitter.com/ardeshiramiri","@ardeshiramiri")</f>
        <v>@ardeshiramiri</v>
      </c>
      <c r="C2213" s="6" t="s">
        <v>3554</v>
      </c>
      <c r="D2213" s="5" t="s">
        <v>11177</v>
      </c>
      <c r="E2213" s="9" t="str">
        <f>HYPERLINK("https://twitter.com/ardeshiramiri/status/1036258134313103360","1036258134313103360")</f>
        <v>1036258134313103360</v>
      </c>
      <c r="F2213" s="4"/>
      <c r="G2213" s="4"/>
      <c r="H2213" s="4"/>
      <c r="I2213" s="10" t="str">
        <f>HYPERLINK("https://mobile.twitter.com","Twitter Lite")</f>
        <v>Twitter Lite</v>
      </c>
      <c r="J2213" s="2">
        <v>5582</v>
      </c>
      <c r="K2213" s="2">
        <v>31</v>
      </c>
      <c r="L2213" s="2">
        <v>27</v>
      </c>
      <c r="M2213" s="2"/>
      <c r="N2213" s="8">
        <v>42410.438009259262</v>
      </c>
      <c r="O2213" s="4" t="s">
        <v>3552</v>
      </c>
      <c r="P2213" s="3" t="s">
        <v>3551</v>
      </c>
      <c r="Q2213" s="4"/>
      <c r="R2213" s="4"/>
      <c r="S2213" s="9" t="str">
        <f>HYPERLINK("https://pbs.twimg.com/profile_images/799275337993650181/1Dganc4g.jpg","View")</f>
        <v>View</v>
      </c>
    </row>
    <row r="2214" spans="1:19" ht="30">
      <c r="A2214" s="8">
        <v>43345.784270833334</v>
      </c>
      <c r="B2214" s="11" t="str">
        <f>HYPERLINK("https://twitter.com/Taamogh","@Taamogh")</f>
        <v>@Taamogh</v>
      </c>
      <c r="C2214" s="6" t="s">
        <v>2546</v>
      </c>
      <c r="D2214" s="5" t="s">
        <v>11176</v>
      </c>
      <c r="E2214" s="9" t="str">
        <f>HYPERLINK("https://twitter.com/Taamogh/status/1036257273604198401","1036257273604198401")</f>
        <v>1036257273604198401</v>
      </c>
      <c r="F2214" s="4" t="s">
        <v>11175</v>
      </c>
      <c r="G2214" s="10" t="s">
        <v>10819</v>
      </c>
      <c r="H2214" s="4"/>
      <c r="I2214" s="10" t="str">
        <f>HYPERLINK("http://twitter.com/download/android","Twitter for Android")</f>
        <v>Twitter for Android</v>
      </c>
      <c r="J2214" s="2">
        <v>48</v>
      </c>
      <c r="K2214" s="2">
        <v>190</v>
      </c>
      <c r="L2214" s="2">
        <v>0</v>
      </c>
      <c r="M2214" s="2"/>
      <c r="N2214" s="8">
        <v>43114.609965277778</v>
      </c>
      <c r="O2214" s="4" t="s">
        <v>2544</v>
      </c>
      <c r="P2214" s="3" t="s">
        <v>2543</v>
      </c>
      <c r="Q2214" s="4"/>
      <c r="R2214" s="4"/>
      <c r="S2214" s="9" t="str">
        <f>HYPERLINK("https://pbs.twimg.com/profile_images/999267296865542146/RrZ9bi01.jpg","View")</f>
        <v>View</v>
      </c>
    </row>
    <row r="2215" spans="1:19" ht="30">
      <c r="A2215" s="8">
        <v>43345.783194444448</v>
      </c>
      <c r="B2215" s="11" t="str">
        <f>HYPERLINK("https://twitter.com/mostafa_karimii","@mostafa_karimii")</f>
        <v>@mostafa_karimii</v>
      </c>
      <c r="C2215" s="6" t="s">
        <v>8767</v>
      </c>
      <c r="D2215" s="5" t="s">
        <v>11174</v>
      </c>
      <c r="E2215" s="9" t="str">
        <f>HYPERLINK("https://twitter.com/mostafa_karimii/status/1036256885257760769","1036256885257760769")</f>
        <v>1036256885257760769</v>
      </c>
      <c r="F2215" s="4"/>
      <c r="G2215" s="4"/>
      <c r="H2215" s="4"/>
      <c r="I2215" s="10" t="str">
        <f>HYPERLINK("http://twitter.com/download/android","Twitter for Android")</f>
        <v>Twitter for Android</v>
      </c>
      <c r="J2215" s="2">
        <v>1185</v>
      </c>
      <c r="K2215" s="2">
        <v>663</v>
      </c>
      <c r="L2215" s="2">
        <v>4</v>
      </c>
      <c r="M2215" s="2"/>
      <c r="N2215" s="8">
        <v>41491.6018287037</v>
      </c>
      <c r="O2215" s="4"/>
      <c r="P2215" s="3" t="s">
        <v>8764</v>
      </c>
      <c r="Q2215" s="4"/>
      <c r="R2215" s="4"/>
      <c r="S2215" s="9" t="str">
        <f>HYPERLINK("https://pbs.twimg.com/profile_images/951422682297503745/s-KXxP3i.jpg","View")</f>
        <v>View</v>
      </c>
    </row>
    <row r="2216" spans="1:19" ht="40">
      <c r="A2216" s="8">
        <v>43345.782870370371</v>
      </c>
      <c r="B2216" s="11" t="str">
        <f>HYPERLINK("https://twitter.com/unikador","@unikador")</f>
        <v>@unikador</v>
      </c>
      <c r="C2216" s="6" t="s">
        <v>7880</v>
      </c>
      <c r="D2216" s="5" t="s">
        <v>11173</v>
      </c>
      <c r="E2216" s="9" t="str">
        <f>HYPERLINK("https://twitter.com/unikador/status/1036256766806450176","1036256766806450176")</f>
        <v>1036256766806450176</v>
      </c>
      <c r="F2216" s="10" t="s">
        <v>11172</v>
      </c>
      <c r="G2216" s="4"/>
      <c r="H2216" s="4"/>
      <c r="I2216" s="10" t="str">
        <f>HYPERLINK("http://twitter.com","Twitter Web Client")</f>
        <v>Twitter Web Client</v>
      </c>
      <c r="J2216" s="2">
        <v>76</v>
      </c>
      <c r="K2216" s="2">
        <v>1</v>
      </c>
      <c r="L2216" s="2">
        <v>0</v>
      </c>
      <c r="M2216" s="2"/>
      <c r="N2216" s="8">
        <v>42812.944016203706</v>
      </c>
      <c r="O2216" s="4"/>
      <c r="P2216" s="3" t="s">
        <v>7877</v>
      </c>
      <c r="Q2216" s="10" t="s">
        <v>7876</v>
      </c>
      <c r="R2216" s="4"/>
      <c r="S2216" s="9" t="str">
        <f>HYPERLINK("https://pbs.twimg.com/profile_images/958142395090120704/KOlGXVn4.jpg","View")</f>
        <v>View</v>
      </c>
    </row>
    <row r="2217" spans="1:19" ht="50">
      <c r="A2217" s="8">
        <v>43345.781446759254</v>
      </c>
      <c r="B2217" s="11" t="str">
        <f>HYPERLINK("https://twitter.com/ElaheEs","@ElaheEs")</f>
        <v>@ElaheEs</v>
      </c>
      <c r="C2217" s="6" t="s">
        <v>8623</v>
      </c>
      <c r="D2217" s="5" t="s">
        <v>11171</v>
      </c>
      <c r="E2217" s="9" t="str">
        <f>HYPERLINK("https://twitter.com/ElaheEs/status/1036256249111871495","1036256249111871495")</f>
        <v>1036256249111871495</v>
      </c>
      <c r="F2217" s="10" t="s">
        <v>11170</v>
      </c>
      <c r="G2217" s="4"/>
      <c r="H2217" s="4"/>
      <c r="I2217" s="10" t="str">
        <f>HYPERLINK("http://twitter.com/download/iphone","Twitter for iPhone")</f>
        <v>Twitter for iPhone</v>
      </c>
      <c r="J2217" s="2">
        <v>84</v>
      </c>
      <c r="K2217" s="2">
        <v>158</v>
      </c>
      <c r="L2217" s="2">
        <v>0</v>
      </c>
      <c r="M2217" s="2"/>
      <c r="N2217" s="8">
        <v>40731.59211805556</v>
      </c>
      <c r="O2217" s="4"/>
      <c r="P2217" s="3" t="s">
        <v>8620</v>
      </c>
      <c r="Q2217" s="4"/>
      <c r="R2217" s="4"/>
      <c r="S2217" s="9" t="str">
        <f>HYPERLINK("https://pbs.twimg.com/profile_images/1030710816671232000/xQQDdh5h.jpg","View")</f>
        <v>View</v>
      </c>
    </row>
    <row r="2218" spans="1:19" ht="20">
      <c r="A2218" s="8">
        <v>43345.780682870369</v>
      </c>
      <c r="B2218" s="11" t="str">
        <f>HYPERLINK("https://twitter.com/rad642","@rad642")</f>
        <v>@rad642</v>
      </c>
      <c r="C2218" s="6" t="s">
        <v>11169</v>
      </c>
      <c r="D2218" s="5" t="s">
        <v>11168</v>
      </c>
      <c r="E2218" s="9" t="str">
        <f>HYPERLINK("https://twitter.com/rad642/status/1036255975475486720","1036255975475486720")</f>
        <v>1036255975475486720</v>
      </c>
      <c r="F2218" s="10" t="s">
        <v>11167</v>
      </c>
      <c r="G2218" s="4"/>
      <c r="H2218" s="4"/>
      <c r="I2218" s="10" t="str">
        <f>HYPERLINK("http://twitter.com","Twitter Web Client")</f>
        <v>Twitter Web Client</v>
      </c>
      <c r="J2218" s="2">
        <v>159</v>
      </c>
      <c r="K2218" s="2">
        <v>575</v>
      </c>
      <c r="L2218" s="2">
        <v>5</v>
      </c>
      <c r="M2218" s="2"/>
      <c r="N2218" s="8">
        <v>42135.832152777773</v>
      </c>
      <c r="O2218" s="4"/>
      <c r="P2218" s="3" t="s">
        <v>11166</v>
      </c>
      <c r="Q2218" s="4"/>
      <c r="R2218" s="4"/>
      <c r="S2218" s="9" t="str">
        <f>HYPERLINK("https://pbs.twimg.com/profile_images/876368412506828803/Czu0hYtQ.jpg","View")</f>
        <v>View</v>
      </c>
    </row>
    <row r="2219" spans="1:19" ht="60">
      <c r="A2219" s="8">
        <v>43345.780486111107</v>
      </c>
      <c r="B2219" s="11" t="str">
        <f>HYPERLINK("https://twitter.com/ahekolahdar","@ahekolahdar")</f>
        <v>@ahekolahdar</v>
      </c>
      <c r="C2219" s="6" t="s">
        <v>2483</v>
      </c>
      <c r="D2219" s="5" t="s">
        <v>11165</v>
      </c>
      <c r="E2219" s="9" t="str">
        <f>HYPERLINK("https://twitter.com/ahekolahdar/status/1036255903555543040","1036255903555543040")</f>
        <v>1036255903555543040</v>
      </c>
      <c r="F2219" s="10" t="s">
        <v>11164</v>
      </c>
      <c r="G2219" s="4"/>
      <c r="H2219" s="4"/>
      <c r="I2219" s="10" t="str">
        <f>HYPERLINK("http://twitter.com","Twitter Web Client")</f>
        <v>Twitter Web Client</v>
      </c>
      <c r="J2219" s="2">
        <v>264</v>
      </c>
      <c r="K2219" s="2">
        <v>352</v>
      </c>
      <c r="L2219" s="2">
        <v>0</v>
      </c>
      <c r="M2219" s="2"/>
      <c r="N2219" s="8">
        <v>43053.714525462958</v>
      </c>
      <c r="O2219" s="4" t="s">
        <v>34</v>
      </c>
      <c r="P2219" s="3" t="s">
        <v>2480</v>
      </c>
      <c r="Q2219" s="4"/>
      <c r="R2219" s="4"/>
      <c r="S2219" s="9" t="str">
        <f>HYPERLINK("https://pbs.twimg.com/profile_images/1008665318485471232/QC0FOkm4.jpg","View")</f>
        <v>View</v>
      </c>
    </row>
    <row r="2220" spans="1:19" ht="40">
      <c r="A2220" s="8">
        <v>43345.773645833338</v>
      </c>
      <c r="B2220" s="11" t="str">
        <f>HYPERLINK("https://twitter.com/WarriorYAS","@WarriorYAS")</f>
        <v>@WarriorYAS</v>
      </c>
      <c r="C2220" s="6" t="s">
        <v>11163</v>
      </c>
      <c r="D2220" s="5" t="s">
        <v>11162</v>
      </c>
      <c r="E2220" s="9" t="str">
        <f>HYPERLINK("https://twitter.com/WarriorYAS/status/1036253425644777473","1036253425644777473")</f>
        <v>1036253425644777473</v>
      </c>
      <c r="F2220" s="10" t="s">
        <v>11161</v>
      </c>
      <c r="G2220" s="4"/>
      <c r="H2220" s="4"/>
      <c r="I2220" s="10" t="str">
        <f>HYPERLINK("http://twitter.com/download/iphone","Twitter for iPhone")</f>
        <v>Twitter for iPhone</v>
      </c>
      <c r="J2220" s="2">
        <v>1125</v>
      </c>
      <c r="K2220" s="2">
        <v>657</v>
      </c>
      <c r="L2220" s="2">
        <v>5</v>
      </c>
      <c r="M2220" s="2"/>
      <c r="N2220" s="8">
        <v>42735.789004629631</v>
      </c>
      <c r="O2220" s="4"/>
      <c r="P2220" s="3" t="s">
        <v>11160</v>
      </c>
      <c r="Q2220" s="4"/>
      <c r="R2220" s="4"/>
      <c r="S2220" s="9" t="str">
        <f>HYPERLINK("https://pbs.twimg.com/profile_images/1034729570497384448/7_m_hldR.jpg","View")</f>
        <v>View</v>
      </c>
    </row>
    <row r="2221" spans="1:19" ht="30">
      <c r="A2221" s="8">
        <v>43345.772858796292</v>
      </c>
      <c r="B2221" s="11" t="str">
        <f>HYPERLINK("https://twitter.com/toofan_toofani","@toofan_toofani")</f>
        <v>@toofan_toofani</v>
      </c>
      <c r="C2221" s="6" t="s">
        <v>11159</v>
      </c>
      <c r="D2221" s="5" t="s">
        <v>11158</v>
      </c>
      <c r="E2221" s="9" t="str">
        <f>HYPERLINK("https://twitter.com/toofan_toofani/status/1036253136430800896","1036253136430800896")</f>
        <v>1036253136430800896</v>
      </c>
      <c r="F2221" s="4"/>
      <c r="G2221" s="10" t="s">
        <v>11157</v>
      </c>
      <c r="H2221" s="4"/>
      <c r="I2221" s="10" t="str">
        <f>HYPERLINK("http://twitter.com/download/android","Twitter for Android")</f>
        <v>Twitter for Android</v>
      </c>
      <c r="J2221" s="2">
        <v>1607</v>
      </c>
      <c r="K2221" s="2">
        <v>1256</v>
      </c>
      <c r="L2221" s="2">
        <v>6</v>
      </c>
      <c r="M2221" s="2"/>
      <c r="N2221" s="8">
        <v>42659.918935185182</v>
      </c>
      <c r="O2221" s="4"/>
      <c r="P2221" s="3" t="s">
        <v>11156</v>
      </c>
      <c r="Q2221" s="4"/>
      <c r="R2221" s="4"/>
      <c r="S2221" s="9" t="str">
        <f>HYPERLINK("https://pbs.twimg.com/profile_images/953010250206113797/Sp0nkh7G.jpg","View")</f>
        <v>View</v>
      </c>
    </row>
    <row r="2222" spans="1:19" ht="30">
      <c r="A2222" s="8">
        <v>43345.759224537032</v>
      </c>
      <c r="B2222" s="11" t="str">
        <f>HYPERLINK("https://twitter.com/sobhanflh","@sobhanflh")</f>
        <v>@sobhanflh</v>
      </c>
      <c r="C2222" s="6" t="s">
        <v>11155</v>
      </c>
      <c r="D2222" s="5" t="s">
        <v>11154</v>
      </c>
      <c r="E2222" s="9" t="str">
        <f>HYPERLINK("https://twitter.com/sobhanflh/status/1036248199206330369","1036248199206330369")</f>
        <v>1036248199206330369</v>
      </c>
      <c r="F2222" s="4"/>
      <c r="G2222" s="4"/>
      <c r="H2222" s="4"/>
      <c r="I2222" s="10" t="str">
        <f>HYPERLINK("http://twitter.com/download/android","Twitter for Android")</f>
        <v>Twitter for Android</v>
      </c>
      <c r="J2222" s="2">
        <v>1485</v>
      </c>
      <c r="K2222" s="2">
        <v>678</v>
      </c>
      <c r="L2222" s="2">
        <v>9</v>
      </c>
      <c r="M2222" s="2"/>
      <c r="N2222" s="8">
        <v>42457.115208333329</v>
      </c>
      <c r="O2222" s="4" t="s">
        <v>11153</v>
      </c>
      <c r="P2222" s="3" t="s">
        <v>11152</v>
      </c>
      <c r="Q2222" s="10" t="s">
        <v>11151</v>
      </c>
      <c r="R2222" s="4"/>
      <c r="S2222" s="9" t="str">
        <f>HYPERLINK("https://pbs.twimg.com/profile_images/1030888495709966341/ioejvbB4.jpg","View")</f>
        <v>View</v>
      </c>
    </row>
    <row r="2223" spans="1:19" ht="40">
      <c r="A2223" s="8">
        <v>43345.757777777777</v>
      </c>
      <c r="B2223" s="11" t="str">
        <f>HYPERLINK("https://twitter.com/makoranx","@makoranx")</f>
        <v>@makoranx</v>
      </c>
      <c r="C2223" s="6" t="s">
        <v>11150</v>
      </c>
      <c r="D2223" s="5" t="s">
        <v>11149</v>
      </c>
      <c r="E2223" s="9" t="str">
        <f>HYPERLINK("https://twitter.com/makoranx/status/1036247673353986048","1036247673353986048")</f>
        <v>1036247673353986048</v>
      </c>
      <c r="F2223" s="4"/>
      <c r="G2223" s="10" t="s">
        <v>11148</v>
      </c>
      <c r="H2223" s="4"/>
      <c r="I2223" s="10" t="str">
        <f>HYPERLINK("https://mobile.twitter.com","Twitter Lite")</f>
        <v>Twitter Lite</v>
      </c>
      <c r="J2223" s="2">
        <v>176</v>
      </c>
      <c r="K2223" s="2">
        <v>1475</v>
      </c>
      <c r="L2223" s="2">
        <v>0</v>
      </c>
      <c r="M2223" s="2"/>
      <c r="N2223" s="8">
        <v>40613.479594907403</v>
      </c>
      <c r="O2223" s="4" t="s">
        <v>11147</v>
      </c>
      <c r="P2223" s="3" t="s">
        <v>11146</v>
      </c>
      <c r="Q2223" s="4"/>
      <c r="R2223" s="4"/>
      <c r="S2223" s="9" t="str">
        <f>HYPERLINK("https://pbs.twimg.com/profile_images/940676776816148480/LK_DG6Cl.jpg","View")</f>
        <v>View</v>
      </c>
    </row>
    <row r="2224" spans="1:19" ht="20">
      <c r="A2224" s="8">
        <v>43345.756585648152</v>
      </c>
      <c r="B2224" s="11" t="str">
        <f>HYPERLINK("https://twitter.com/azadehmorshedi9","@azadehmorshedi9")</f>
        <v>@azadehmorshedi9</v>
      </c>
      <c r="C2224" s="6" t="s">
        <v>11145</v>
      </c>
      <c r="D2224" s="5" t="s">
        <v>11144</v>
      </c>
      <c r="E2224" s="9" t="str">
        <f>HYPERLINK("https://twitter.com/azadehmorshedi9/status/1036247240677965825","1036247240677965825")</f>
        <v>1036247240677965825</v>
      </c>
      <c r="F2224" s="4"/>
      <c r="G2224" s="10" t="s">
        <v>11143</v>
      </c>
      <c r="H2224" s="4"/>
      <c r="I2224" s="10" t="str">
        <f>HYPERLINK("http://twitter.com","Twitter Web Client")</f>
        <v>Twitter Web Client</v>
      </c>
      <c r="J2224" s="2">
        <v>1305</v>
      </c>
      <c r="K2224" s="2">
        <v>1140</v>
      </c>
      <c r="L2224" s="2">
        <v>18</v>
      </c>
      <c r="M2224" s="2"/>
      <c r="N2224" s="8">
        <v>42544.710740740746</v>
      </c>
      <c r="O2224" s="4"/>
      <c r="P2224" s="3" t="s">
        <v>11142</v>
      </c>
      <c r="Q2224" s="4"/>
      <c r="R2224" s="4"/>
      <c r="S2224" s="9" t="str">
        <f>HYPERLINK("https://pbs.twimg.com/profile_images/968224185796497411/QILYE12h.jpg","View")</f>
        <v>View</v>
      </c>
    </row>
    <row r="2225" spans="1:19" ht="20">
      <c r="A2225" s="8">
        <v>43345.755601851852</v>
      </c>
      <c r="B2225" s="11" t="str">
        <f>HYPERLINK("https://twitter.com/_werg","@_werg")</f>
        <v>@_werg</v>
      </c>
      <c r="C2225" s="6" t="s">
        <v>6304</v>
      </c>
      <c r="D2225" s="5" t="s">
        <v>11141</v>
      </c>
      <c r="E2225" s="9" t="str">
        <f>HYPERLINK("https://twitter.com/_werg/status/1036246883176513542","1036246883176513542")</f>
        <v>1036246883176513542</v>
      </c>
      <c r="F2225" s="4"/>
      <c r="G2225" s="4"/>
      <c r="H2225" s="4"/>
      <c r="I2225" s="10" t="str">
        <f>HYPERLINK("http://twitter.com","Twitter Web Client")</f>
        <v>Twitter Web Client</v>
      </c>
      <c r="J2225" s="2">
        <v>1092</v>
      </c>
      <c r="K2225" s="2">
        <v>399</v>
      </c>
      <c r="L2225" s="2">
        <v>4</v>
      </c>
      <c r="M2225" s="2"/>
      <c r="N2225" s="8">
        <v>42324.69694444444</v>
      </c>
      <c r="O2225" s="4"/>
      <c r="P2225" s="3" t="s">
        <v>6302</v>
      </c>
      <c r="Q2225" s="10" t="s">
        <v>6301</v>
      </c>
      <c r="R2225" s="4"/>
      <c r="S2225" s="9" t="str">
        <f>HYPERLINK("https://pbs.twimg.com/profile_images/903603354122596352/bCjlCBpX.jpg","View")</f>
        <v>View</v>
      </c>
    </row>
    <row r="2226" spans="1:19" ht="20">
      <c r="A2226" s="8">
        <v>43345.754340277781</v>
      </c>
      <c r="B2226" s="11" t="str">
        <f>HYPERLINK("https://twitter.com/haavir_ir","@haavir_ir")</f>
        <v>@haavir_ir</v>
      </c>
      <c r="C2226" s="6" t="s">
        <v>11140</v>
      </c>
      <c r="D2226" s="5" t="s">
        <v>11139</v>
      </c>
      <c r="E2226" s="9" t="str">
        <f>HYPERLINK("https://twitter.com/haavir_ir/status/1036246428237148161","1036246428237148161")</f>
        <v>1036246428237148161</v>
      </c>
      <c r="F2226" s="4"/>
      <c r="G2226" s="4"/>
      <c r="H2226" s="4"/>
      <c r="I2226" s="10" t="str">
        <f>HYPERLINK("http://twitter.com/download/android","Twitter for Android")</f>
        <v>Twitter for Android</v>
      </c>
      <c r="J2226" s="2">
        <v>3</v>
      </c>
      <c r="K2226" s="2">
        <v>4</v>
      </c>
      <c r="L2226" s="2">
        <v>0</v>
      </c>
      <c r="M2226" s="2"/>
      <c r="N2226" s="8">
        <v>42893.997893518521</v>
      </c>
      <c r="O2226" s="4" t="s">
        <v>324</v>
      </c>
      <c r="P2226" s="3"/>
      <c r="Q2226" s="4"/>
      <c r="R2226" s="4"/>
      <c r="S2226" s="9" t="str">
        <f>HYPERLINK("https://pbs.twimg.com/profile_images/872537773860823040/39tVViMR.jpg","View")</f>
        <v>View</v>
      </c>
    </row>
    <row r="2227" spans="1:19" ht="40">
      <c r="A2227" s="8">
        <v>43345.746840277774</v>
      </c>
      <c r="B2227" s="11" t="str">
        <f>HYPERLINK("https://twitter.com/atash_mo","@atash_mo")</f>
        <v>@atash_mo</v>
      </c>
      <c r="C2227" s="6" t="s">
        <v>11138</v>
      </c>
      <c r="D2227" s="5" t="s">
        <v>11137</v>
      </c>
      <c r="E2227" s="9" t="str">
        <f>HYPERLINK("https://twitter.com/atash_mo/status/1036243707589222400","1036243707589222400")</f>
        <v>1036243707589222400</v>
      </c>
      <c r="F2227" s="4"/>
      <c r="G2227" s="4"/>
      <c r="H2227" s="4"/>
      <c r="I2227" s="10" t="str">
        <f>HYPERLINK("http://twitter.com/download/android","Twitter for Android")</f>
        <v>Twitter for Android</v>
      </c>
      <c r="J2227" s="2">
        <v>12</v>
      </c>
      <c r="K2227" s="2">
        <v>12</v>
      </c>
      <c r="L2227" s="2">
        <v>0</v>
      </c>
      <c r="M2227" s="2"/>
      <c r="N2227" s="8">
        <v>43212.845613425925</v>
      </c>
      <c r="O2227" s="4"/>
      <c r="P2227" s="3" t="s">
        <v>11136</v>
      </c>
      <c r="Q2227" s="4"/>
      <c r="R2227" s="4"/>
      <c r="S2227" s="9" t="str">
        <f>HYPERLINK("https://pbs.twimg.com/profile_images/1036242652851830784/dfFHtXog.jpg","View")</f>
        <v>View</v>
      </c>
    </row>
    <row r="2228" spans="1:19" ht="30">
      <c r="A2228" s="8">
        <v>43345.746689814812</v>
      </c>
      <c r="B2228" s="11" t="str">
        <f>HYPERLINK("https://twitter.com/khosravifarsani","@khosravifarsani")</f>
        <v>@khosravifarsani</v>
      </c>
      <c r="C2228" s="6" t="s">
        <v>8462</v>
      </c>
      <c r="D2228" s="5" t="s">
        <v>11135</v>
      </c>
      <c r="E2228" s="9" t="str">
        <f>HYPERLINK("https://twitter.com/khosravifarsani/status/1036243655168798721","1036243655168798721")</f>
        <v>1036243655168798721</v>
      </c>
      <c r="F2228" s="4"/>
      <c r="G2228" s="10" t="s">
        <v>11134</v>
      </c>
      <c r="H2228" s="4"/>
      <c r="I2228" s="10" t="str">
        <f>HYPERLINK("http://twitter.com/download/iphone","Twitter for iPhone")</f>
        <v>Twitter for iPhone</v>
      </c>
      <c r="J2228" s="2">
        <v>3996</v>
      </c>
      <c r="K2228" s="2">
        <v>5007</v>
      </c>
      <c r="L2228" s="2">
        <v>16</v>
      </c>
      <c r="M2228" s="2"/>
      <c r="N2228" s="8">
        <v>41668.983159722222</v>
      </c>
      <c r="O2228" s="4" t="s">
        <v>8459</v>
      </c>
      <c r="P2228" s="3" t="s">
        <v>8458</v>
      </c>
      <c r="Q2228" s="10" t="s">
        <v>8457</v>
      </c>
      <c r="R2228" s="4"/>
      <c r="S2228" s="9" t="str">
        <f>HYPERLINK("https://pbs.twimg.com/profile_images/1029367805521657856/hQkYkdWb.jpg","View")</f>
        <v>View</v>
      </c>
    </row>
    <row r="2229" spans="1:19" ht="20">
      <c r="A2229" s="8">
        <v>43345.746631944443</v>
      </c>
      <c r="B2229" s="11" t="str">
        <f>HYPERLINK("https://twitter.com/Danial_Danii","@Danial_Danii")</f>
        <v>@Danial_Danii</v>
      </c>
      <c r="C2229" s="6" t="s">
        <v>11133</v>
      </c>
      <c r="D2229" s="5" t="s">
        <v>11132</v>
      </c>
      <c r="E2229" s="9" t="str">
        <f>HYPERLINK("https://twitter.com/Danial_Danii/status/1036243633702412289","1036243633702412289")</f>
        <v>1036243633702412289</v>
      </c>
      <c r="F2229" s="4"/>
      <c r="G2229" s="10" t="s">
        <v>11131</v>
      </c>
      <c r="H2229" s="4"/>
      <c r="I2229" s="10" t="str">
        <f>HYPERLINK("http://twitter.com/download/android","Twitter for Android")</f>
        <v>Twitter for Android</v>
      </c>
      <c r="J2229" s="2">
        <v>3691</v>
      </c>
      <c r="K2229" s="2">
        <v>3512</v>
      </c>
      <c r="L2229" s="2">
        <v>7</v>
      </c>
      <c r="M2229" s="2"/>
      <c r="N2229" s="8">
        <v>43111.784675925926</v>
      </c>
      <c r="O2229" s="4" t="s">
        <v>11130</v>
      </c>
      <c r="P2229" s="3" t="s">
        <v>11129</v>
      </c>
      <c r="Q2229" s="4"/>
      <c r="R2229" s="4"/>
      <c r="S2229" s="9" t="str">
        <f>HYPERLINK("https://pbs.twimg.com/profile_images/975077766503763969/lpkQ9iYE.jpg","View")</f>
        <v>View</v>
      </c>
    </row>
    <row r="2230" spans="1:19" ht="20">
      <c r="A2230" s="8">
        <v>43345.746550925927</v>
      </c>
      <c r="B2230" s="11" t="str">
        <f>HYPERLINK("https://twitter.com/seyyedehtesham","@seyyedehtesham")</f>
        <v>@seyyedehtesham</v>
      </c>
      <c r="C2230" s="6" t="s">
        <v>9937</v>
      </c>
      <c r="D2230" s="5" t="s">
        <v>11128</v>
      </c>
      <c r="E2230" s="9" t="str">
        <f>HYPERLINK("https://twitter.com/seyyedehtesham/status/1036243604266729472","1036243604266729472")</f>
        <v>1036243604266729472</v>
      </c>
      <c r="F2230" s="4"/>
      <c r="G2230" s="4"/>
      <c r="H2230" s="4"/>
      <c r="I2230" s="10" t="str">
        <f>HYPERLINK("http://twitter.com/download/android","Twitter for Android")</f>
        <v>Twitter for Android</v>
      </c>
      <c r="J2230" s="2">
        <v>3072</v>
      </c>
      <c r="K2230" s="2">
        <v>456</v>
      </c>
      <c r="L2230" s="2">
        <v>28</v>
      </c>
      <c r="M2230" s="2"/>
      <c r="N2230" s="8">
        <v>41451.7894212963</v>
      </c>
      <c r="O2230" s="4"/>
      <c r="P2230" s="3" t="s">
        <v>9935</v>
      </c>
      <c r="Q2230" s="4"/>
      <c r="R2230" s="4"/>
      <c r="S2230" s="9" t="str">
        <f>HYPERLINK("https://pbs.twimg.com/profile_images/935798516777193472/GZLzsxol.jpg","View")</f>
        <v>View</v>
      </c>
    </row>
    <row r="2231" spans="1:19" ht="30">
      <c r="A2231" s="8">
        <v>43345.745706018519</v>
      </c>
      <c r="B2231" s="11" t="str">
        <f>HYPERLINK("https://twitter.com/Jmka17","@Jmka17")</f>
        <v>@Jmka17</v>
      </c>
      <c r="C2231" s="6" t="s">
        <v>11127</v>
      </c>
      <c r="D2231" s="5" t="s">
        <v>11126</v>
      </c>
      <c r="E2231" s="9" t="str">
        <f>HYPERLINK("https://twitter.com/Jmka17/status/1036243297453449217","1036243297453449217")</f>
        <v>1036243297453449217</v>
      </c>
      <c r="F2231" s="4"/>
      <c r="G2231" s="4"/>
      <c r="H2231" s="4"/>
      <c r="I2231" s="10" t="str">
        <f>HYPERLINK("https://mobile.twitter.com","Twitter Lite")</f>
        <v>Twitter Lite</v>
      </c>
      <c r="J2231" s="2">
        <v>908</v>
      </c>
      <c r="K2231" s="2">
        <v>1784</v>
      </c>
      <c r="L2231" s="2">
        <v>0</v>
      </c>
      <c r="M2231" s="2"/>
      <c r="N2231" s="8">
        <v>43283.834722222222</v>
      </c>
      <c r="O2231" s="4"/>
      <c r="P2231" s="3" t="s">
        <v>11125</v>
      </c>
      <c r="Q2231" s="4"/>
      <c r="R2231" s="4"/>
      <c r="S2231" s="9" t="str">
        <f>HYPERLINK("https://pbs.twimg.com/profile_images/1034750169638752256/xWmw2s0t.jpg","View")</f>
        <v>View</v>
      </c>
    </row>
    <row r="2232" spans="1:19" ht="30">
      <c r="A2232" s="8">
        <v>43345.744039351848</v>
      </c>
      <c r="B2232" s="11" t="str">
        <f>HYPERLINK("https://twitter.com/niknamirannejad","@niknamirannejad")</f>
        <v>@niknamirannejad</v>
      </c>
      <c r="C2232" s="6" t="s">
        <v>11124</v>
      </c>
      <c r="D2232" s="5" t="s">
        <v>11123</v>
      </c>
      <c r="E2232" s="9" t="str">
        <f>HYPERLINK("https://twitter.com/niknamirannejad/status/1036242696107700224","1036242696107700224")</f>
        <v>1036242696107700224</v>
      </c>
      <c r="F2232" s="4"/>
      <c r="G2232" s="4"/>
      <c r="H2232" s="4"/>
      <c r="I2232" s="10" t="str">
        <f>HYPERLINK("http://twitter.com/download/iphone","Twitter for iPhone")</f>
        <v>Twitter for iPhone</v>
      </c>
      <c r="J2232" s="2">
        <v>2664</v>
      </c>
      <c r="K2232" s="2">
        <v>2609</v>
      </c>
      <c r="L2232" s="2">
        <v>3</v>
      </c>
      <c r="M2232" s="2"/>
      <c r="N2232" s="8">
        <v>43109.69222222222</v>
      </c>
      <c r="O2232" s="4"/>
      <c r="P2232" s="3" t="s">
        <v>11122</v>
      </c>
      <c r="Q2232" s="4"/>
      <c r="R2232" s="4"/>
      <c r="S2232" s="9" t="str">
        <f>HYPERLINK("https://pbs.twimg.com/profile_images/950717172099244032/y7FEiLlc.jpg","View")</f>
        <v>View</v>
      </c>
    </row>
    <row r="2233" spans="1:19" ht="50">
      <c r="A2233" s="8">
        <v>43345.741747685184</v>
      </c>
      <c r="B2233" s="11" t="str">
        <f>HYPERLINK("https://twitter.com/mashtikaram","@mashtikaram")</f>
        <v>@mashtikaram</v>
      </c>
      <c r="C2233" s="6" t="s">
        <v>2969</v>
      </c>
      <c r="D2233" s="5" t="s">
        <v>11121</v>
      </c>
      <c r="E2233" s="9" t="str">
        <f>HYPERLINK("https://twitter.com/mashtikaram/status/1036241863739678720","1036241863739678720")</f>
        <v>1036241863739678720</v>
      </c>
      <c r="F2233" s="10" t="s">
        <v>11120</v>
      </c>
      <c r="G2233" s="10" t="s">
        <v>11119</v>
      </c>
      <c r="H2233" s="4"/>
      <c r="I2233" s="10" t="str">
        <f>HYPERLINK("http://twitter.com/download/android","Twitter for Android")</f>
        <v>Twitter for Android</v>
      </c>
      <c r="J2233" s="2">
        <v>1110</v>
      </c>
      <c r="K2233" s="2">
        <v>1102</v>
      </c>
      <c r="L2233" s="2">
        <v>2</v>
      </c>
      <c r="M2233" s="2"/>
      <c r="N2233" s="8">
        <v>42714.451053240744</v>
      </c>
      <c r="O2233" s="4" t="s">
        <v>2966</v>
      </c>
      <c r="P2233" s="3" t="s">
        <v>2965</v>
      </c>
      <c r="Q2233" s="4"/>
      <c r="R2233" s="4"/>
      <c r="S2233" s="9" t="str">
        <f>HYPERLINK("https://pbs.twimg.com/profile_images/946728734509252609/hPXCHSey.jpg","View")</f>
        <v>View</v>
      </c>
    </row>
    <row r="2234" spans="1:19" ht="40">
      <c r="A2234" s="8">
        <v>43345.740381944444</v>
      </c>
      <c r="B2234" s="11" t="str">
        <f>HYPERLINK("https://twitter.com/ceyed_ir","@ceyed_ir")</f>
        <v>@ceyed_ir</v>
      </c>
      <c r="C2234" s="6" t="s">
        <v>11118</v>
      </c>
      <c r="D2234" s="5" t="s">
        <v>11117</v>
      </c>
      <c r="E2234" s="9" t="str">
        <f>HYPERLINK("https://twitter.com/ceyed_ir/status/1036241369872982017","1036241369872982017")</f>
        <v>1036241369872982017</v>
      </c>
      <c r="F2234" s="4"/>
      <c r="G2234" s="4"/>
      <c r="H2234" s="4"/>
      <c r="I2234" s="10" t="str">
        <f>HYPERLINK("http://twitter.com/download/iphone","Twitter for iPhone")</f>
        <v>Twitter for iPhone</v>
      </c>
      <c r="J2234" s="2">
        <v>307</v>
      </c>
      <c r="K2234" s="2">
        <v>389</v>
      </c>
      <c r="L2234" s="2">
        <v>0</v>
      </c>
      <c r="M2234" s="2"/>
      <c r="N2234" s="8">
        <v>43088.739050925928</v>
      </c>
      <c r="O2234" s="4" t="s">
        <v>11116</v>
      </c>
      <c r="P2234" s="3" t="s">
        <v>11115</v>
      </c>
      <c r="Q2234" s="10" t="s">
        <v>11114</v>
      </c>
      <c r="R2234" s="4"/>
      <c r="S2234" s="9" t="str">
        <f>HYPERLINK("https://pbs.twimg.com/profile_images/1033192421427961856/3w3ZlgUK.jpg","View")</f>
        <v>View</v>
      </c>
    </row>
    <row r="2235" spans="1:19" ht="20">
      <c r="A2235" s="8">
        <v>43345.733460648145</v>
      </c>
      <c r="B2235" s="11" t="str">
        <f>HYPERLINK("https://twitter.com/aliBakhtiyari8","@aliBakhtiyari8")</f>
        <v>@aliBakhtiyari8</v>
      </c>
      <c r="C2235" s="6" t="s">
        <v>10112</v>
      </c>
      <c r="D2235" s="5" t="s">
        <v>11113</v>
      </c>
      <c r="E2235" s="9" t="str">
        <f>HYPERLINK("https://twitter.com/aliBakhtiyari8/status/1036238860915810304","1036238860915810304")</f>
        <v>1036238860915810304</v>
      </c>
      <c r="F2235" s="4"/>
      <c r="G2235" s="4"/>
      <c r="H2235" s="4"/>
      <c r="I2235" s="10" t="str">
        <f>HYPERLINK("http://twitter.com/download/android","Twitter for Android")</f>
        <v>Twitter for Android</v>
      </c>
      <c r="J2235" s="2">
        <v>709</v>
      </c>
      <c r="K2235" s="2">
        <v>947</v>
      </c>
      <c r="L2235" s="2">
        <v>3</v>
      </c>
      <c r="M2235" s="2"/>
      <c r="N2235" s="8">
        <v>42769.942395833335</v>
      </c>
      <c r="O2235" s="4" t="s">
        <v>104</v>
      </c>
      <c r="P2235" s="3" t="s">
        <v>10110</v>
      </c>
      <c r="Q2235" s="4"/>
      <c r="R2235" s="4"/>
      <c r="S2235" s="9" t="str">
        <f>HYPERLINK("https://pbs.twimg.com/profile_images/1035453416355581955/r5bcay25.jpg","View")</f>
        <v>View</v>
      </c>
    </row>
    <row r="2236" spans="1:19" ht="30">
      <c r="A2236" s="8">
        <v>43345.720949074079</v>
      </c>
      <c r="B2236" s="11" t="str">
        <f>HYPERLINK("https://twitter.com/Tasnimnews_Fa","@Tasnimnews_Fa")</f>
        <v>@Tasnimnews_Fa</v>
      </c>
      <c r="C2236" s="6" t="s">
        <v>603</v>
      </c>
      <c r="D2236" s="5" t="s">
        <v>11112</v>
      </c>
      <c r="E2236" s="9" t="str">
        <f>HYPERLINK("https://twitter.com/Tasnimnews_Fa/status/1036234327095435264","1036234327095435264")</f>
        <v>1036234327095435264</v>
      </c>
      <c r="F2236" s="4"/>
      <c r="G2236" s="10" t="s">
        <v>11111</v>
      </c>
      <c r="H2236" s="4"/>
      <c r="I2236" s="10" t="str">
        <f>HYPERLINK("http://twitter.com","Twitter Web Client")</f>
        <v>Twitter Web Client</v>
      </c>
      <c r="J2236" s="2">
        <v>109629</v>
      </c>
      <c r="K2236" s="2">
        <v>20</v>
      </c>
      <c r="L2236" s="2">
        <v>376</v>
      </c>
      <c r="M2236" s="2" t="s">
        <v>80</v>
      </c>
      <c r="N2236" s="8">
        <v>41868.671585648146</v>
      </c>
      <c r="O2236" s="4" t="s">
        <v>133</v>
      </c>
      <c r="P2236" s="3" t="s">
        <v>599</v>
      </c>
      <c r="Q2236" s="10" t="s">
        <v>598</v>
      </c>
      <c r="R2236" s="4"/>
      <c r="S2236" s="9" t="str">
        <f>HYPERLINK("https://pbs.twimg.com/profile_images/942003149430239232/hvLw_1_E.jpg","View")</f>
        <v>View</v>
      </c>
    </row>
    <row r="2237" spans="1:19" ht="30">
      <c r="A2237" s="8">
        <v>43345.720682870371</v>
      </c>
      <c r="B2237" s="11" t="str">
        <f>HYPERLINK("https://twitter.com/Sayedesfahani","@Sayedesfahani")</f>
        <v>@Sayedesfahani</v>
      </c>
      <c r="C2237" s="6" t="s">
        <v>11110</v>
      </c>
      <c r="D2237" s="5" t="s">
        <v>11109</v>
      </c>
      <c r="E2237" s="9" t="str">
        <f>HYPERLINK("https://twitter.com/Sayedesfahani/status/1036234231800844288","1036234231800844288")</f>
        <v>1036234231800844288</v>
      </c>
      <c r="F2237" s="4"/>
      <c r="G2237" s="10" t="s">
        <v>11108</v>
      </c>
      <c r="H2237" s="4"/>
      <c r="I2237" s="10" t="str">
        <f>HYPERLINK("http://twitter.com/download/iphone","Twitter for iPhone")</f>
        <v>Twitter for iPhone</v>
      </c>
      <c r="J2237" s="2">
        <v>14</v>
      </c>
      <c r="K2237" s="2">
        <v>44</v>
      </c>
      <c r="L2237" s="2">
        <v>0</v>
      </c>
      <c r="M2237" s="2"/>
      <c r="N2237" s="8">
        <v>41784.053761574076</v>
      </c>
      <c r="O2237" s="4"/>
      <c r="P2237" s="3" t="s">
        <v>11107</v>
      </c>
      <c r="Q2237" s="4"/>
      <c r="R2237" s="4"/>
      <c r="S2237" s="9" t="str">
        <f>HYPERLINK("https://pbs.twimg.com/profile_images/884327062240100352/eIW7De30.jpg","View")</f>
        <v>View</v>
      </c>
    </row>
    <row r="2238" spans="1:19" ht="40">
      <c r="A2238" s="8">
        <v>43345.720011574071</v>
      </c>
      <c r="B2238" s="11" t="str">
        <f>HYPERLINK("https://twitter.com/ata_afs","@ata_afs")</f>
        <v>@ata_afs</v>
      </c>
      <c r="C2238" s="6" t="s">
        <v>1217</v>
      </c>
      <c r="D2238" s="5" t="s">
        <v>11106</v>
      </c>
      <c r="E2238" s="9" t="str">
        <f>HYPERLINK("https://twitter.com/ata_afs/status/1036233986798845954","1036233986798845954")</f>
        <v>1036233986798845954</v>
      </c>
      <c r="F2238" s="4"/>
      <c r="G2238" s="4"/>
      <c r="H2238" s="4"/>
      <c r="I2238" s="10" t="str">
        <f>HYPERLINK("http://twitter.com/download/iphone","Twitter for iPhone")</f>
        <v>Twitter for iPhone</v>
      </c>
      <c r="J2238" s="2">
        <v>374</v>
      </c>
      <c r="K2238" s="2">
        <v>694</v>
      </c>
      <c r="L2238" s="2">
        <v>0</v>
      </c>
      <c r="M2238" s="2"/>
      <c r="N2238" s="8">
        <v>41833.536099537036</v>
      </c>
      <c r="O2238" s="4" t="s">
        <v>34</v>
      </c>
      <c r="P2238" s="3" t="s">
        <v>1213</v>
      </c>
      <c r="Q2238" s="4"/>
      <c r="R2238" s="4"/>
      <c r="S2238" s="9" t="str">
        <f>HYPERLINK("https://pbs.twimg.com/profile_images/958374868008960000/IRXSv5-C.jpg","View")</f>
        <v>View</v>
      </c>
    </row>
    <row r="2239" spans="1:19" ht="40">
      <c r="A2239" s="8">
        <v>43345.718425925923</v>
      </c>
      <c r="B2239" s="11" t="str">
        <f>HYPERLINK("https://twitter.com/khoshbakht_a","@khoshbakht_a")</f>
        <v>@khoshbakht_a</v>
      </c>
      <c r="C2239" s="6" t="s">
        <v>10421</v>
      </c>
      <c r="D2239" s="5" t="s">
        <v>11105</v>
      </c>
      <c r="E2239" s="9" t="str">
        <f>HYPERLINK("https://twitter.com/khoshbakht_a/status/1036233410740535301","1036233410740535301")</f>
        <v>1036233410740535301</v>
      </c>
      <c r="F2239" s="4"/>
      <c r="G2239" s="4"/>
      <c r="H2239" s="4"/>
      <c r="I2239" s="10" t="str">
        <f>HYPERLINK("http://twitter.com","Twitter Web Client")</f>
        <v>Twitter Web Client</v>
      </c>
      <c r="J2239" s="2">
        <v>3067</v>
      </c>
      <c r="K2239" s="2">
        <v>820</v>
      </c>
      <c r="L2239" s="2">
        <v>13</v>
      </c>
      <c r="M2239" s="2"/>
      <c r="N2239" s="8">
        <v>42574.597881944443</v>
      </c>
      <c r="O2239" s="4"/>
      <c r="P2239" s="3" t="s">
        <v>10419</v>
      </c>
      <c r="Q2239" s="4"/>
      <c r="R2239" s="4"/>
      <c r="S2239" s="9" t="str">
        <f>HYPERLINK("https://pbs.twimg.com/profile_images/881074691275804672/iRs0cZVP.jpg","View")</f>
        <v>View</v>
      </c>
    </row>
    <row r="2240" spans="1:19" ht="20">
      <c r="A2240" s="8">
        <v>43345.717048611114</v>
      </c>
      <c r="B2240" s="11" t="str">
        <f>HYPERLINK("https://twitter.com/SamDoone","@SamDoone")</f>
        <v>@SamDoone</v>
      </c>
      <c r="C2240" s="6" t="s">
        <v>6210</v>
      </c>
      <c r="D2240" s="5" t="s">
        <v>11104</v>
      </c>
      <c r="E2240" s="9" t="str">
        <f>HYPERLINK("https://twitter.com/SamDoone/status/1036232913120108546","1036232913120108546")</f>
        <v>1036232913120108546</v>
      </c>
      <c r="F2240" s="4"/>
      <c r="G2240" s="10" t="s">
        <v>11103</v>
      </c>
      <c r="H2240" s="4"/>
      <c r="I2240" s="10" t="str">
        <f>HYPERLINK("http://twitter.com","Twitter Web Client")</f>
        <v>Twitter Web Client</v>
      </c>
      <c r="J2240" s="2">
        <v>49</v>
      </c>
      <c r="K2240" s="2">
        <v>212</v>
      </c>
      <c r="L2240" s="2">
        <v>0</v>
      </c>
      <c r="M2240" s="2"/>
      <c r="N2240" s="8">
        <v>42407.92597222222</v>
      </c>
      <c r="O2240" s="4"/>
      <c r="P2240" s="3"/>
      <c r="Q2240" s="4"/>
      <c r="R2240" s="4"/>
      <c r="S2240" s="9" t="str">
        <f>HYPERLINK("https://pbs.twimg.com/profile_images/1021361045007286273/IWED7CRV.jpg","View")</f>
        <v>View</v>
      </c>
    </row>
    <row r="2241" spans="1:19" ht="30">
      <c r="A2241" s="8">
        <v>43345.716944444444</v>
      </c>
      <c r="B2241" s="11" t="str">
        <f>HYPERLINK("https://twitter.com/HachalHaft","@HachalHaft")</f>
        <v>@HachalHaft</v>
      </c>
      <c r="C2241" s="6" t="s">
        <v>8742</v>
      </c>
      <c r="D2241" s="5" t="s">
        <v>11102</v>
      </c>
      <c r="E2241" s="9" t="str">
        <f>HYPERLINK("https://twitter.com/HachalHaft/status/1036232874578591744","1036232874578591744")</f>
        <v>1036232874578591744</v>
      </c>
      <c r="F2241" s="4"/>
      <c r="G2241" s="4"/>
      <c r="H2241" s="4"/>
      <c r="I2241" s="10" t="str">
        <f>HYPERLINK("http://twitter.com/download/android","Twitter for Android")</f>
        <v>Twitter for Android</v>
      </c>
      <c r="J2241" s="2">
        <v>600</v>
      </c>
      <c r="K2241" s="2">
        <v>604</v>
      </c>
      <c r="L2241" s="2">
        <v>0</v>
      </c>
      <c r="M2241" s="2"/>
      <c r="N2241" s="8">
        <v>43245.780914351853</v>
      </c>
      <c r="O2241" s="4" t="s">
        <v>8739</v>
      </c>
      <c r="P2241" s="3" t="s">
        <v>10034</v>
      </c>
      <c r="Q2241" s="10" t="s">
        <v>8737</v>
      </c>
      <c r="R2241" s="4"/>
      <c r="S2241" s="9" t="str">
        <f>HYPERLINK("https://pbs.twimg.com/profile_images/1033789475434967040/IGGjEid5.jpg","View")</f>
        <v>View</v>
      </c>
    </row>
    <row r="2242" spans="1:19" ht="20">
      <c r="A2242" s="8">
        <v>43345.714143518519</v>
      </c>
      <c r="B2242" s="11" t="str">
        <f>HYPERLINK("https://twitter.com/amirabbass20","@amirabbass20")</f>
        <v>@amirabbass20</v>
      </c>
      <c r="C2242" s="6" t="s">
        <v>11101</v>
      </c>
      <c r="D2242" s="5" t="s">
        <v>11100</v>
      </c>
      <c r="E2242" s="9" t="str">
        <f>HYPERLINK("https://twitter.com/amirabbass20/status/1036231860756656128","1036231860756656128")</f>
        <v>1036231860756656128</v>
      </c>
      <c r="F2242" s="4"/>
      <c r="G2242" s="4"/>
      <c r="H2242" s="4"/>
      <c r="I2242" s="10" t="str">
        <f>HYPERLINK("http://twitter.com/download/android","Twitter for Android")</f>
        <v>Twitter for Android</v>
      </c>
      <c r="J2242" s="2">
        <v>132</v>
      </c>
      <c r="K2242" s="2">
        <v>167</v>
      </c>
      <c r="L2242" s="2">
        <v>2</v>
      </c>
      <c r="M2242" s="2"/>
      <c r="N2242" s="8">
        <v>43030.710416666669</v>
      </c>
      <c r="O2242" s="4" t="s">
        <v>11099</v>
      </c>
      <c r="P2242" s="3" t="s">
        <v>11098</v>
      </c>
      <c r="Q2242" s="4"/>
      <c r="R2242" s="4"/>
      <c r="S2242" s="9" t="str">
        <f>HYPERLINK("https://pbs.twimg.com/profile_images/964246017838379008/cwmZlrw7.jpg","View")</f>
        <v>View</v>
      </c>
    </row>
    <row r="2243" spans="1:19" ht="40">
      <c r="A2243" s="8">
        <v>43345.712418981479</v>
      </c>
      <c r="B2243" s="11" t="str">
        <f>HYPERLINK("https://twitter.com/news365_online","@news365_online")</f>
        <v>@news365_online</v>
      </c>
      <c r="C2243" s="6" t="s">
        <v>2325</v>
      </c>
      <c r="D2243" s="5" t="s">
        <v>11097</v>
      </c>
      <c r="E2243" s="9" t="str">
        <f>HYPERLINK("https://twitter.com/news365_online/status/1036231234660323329","1036231234660323329")</f>
        <v>1036231234660323329</v>
      </c>
      <c r="F2243" s="4"/>
      <c r="G2243" s="10" t="s">
        <v>11096</v>
      </c>
      <c r="H2243" s="4"/>
      <c r="I2243" s="10" t="str">
        <f>HYPERLINK("http://twitter.com/download/android","Twitter for Android")</f>
        <v>Twitter for Android</v>
      </c>
      <c r="J2243" s="2">
        <v>803</v>
      </c>
      <c r="K2243" s="2">
        <v>333</v>
      </c>
      <c r="L2243" s="2">
        <v>7</v>
      </c>
      <c r="M2243" s="2"/>
      <c r="N2243" s="8">
        <v>42809.003078703703</v>
      </c>
      <c r="O2243" s="4" t="s">
        <v>34</v>
      </c>
      <c r="P2243" s="3" t="s">
        <v>2322</v>
      </c>
      <c r="Q2243" s="10" t="s">
        <v>2321</v>
      </c>
      <c r="R2243" s="4"/>
      <c r="S2243" s="9" t="str">
        <f>HYPERLINK("https://pbs.twimg.com/profile_images/923199727667220480/A0Mv4a_i.jpg","View")</f>
        <v>View</v>
      </c>
    </row>
    <row r="2244" spans="1:19" ht="40">
      <c r="A2244" s="8">
        <v>43345.709768518514</v>
      </c>
      <c r="B2244" s="11" t="str">
        <f>HYPERLINK("https://twitter.com/khosr4vii","@khosr4vii")</f>
        <v>@khosr4vii</v>
      </c>
      <c r="C2244" s="6" t="s">
        <v>11095</v>
      </c>
      <c r="D2244" s="5" t="s">
        <v>11094</v>
      </c>
      <c r="E2244" s="9" t="str">
        <f>HYPERLINK("https://twitter.com/khosr4vii/status/1036230274542174208","1036230274542174208")</f>
        <v>1036230274542174208</v>
      </c>
      <c r="F2244" s="4"/>
      <c r="G2244" s="4"/>
      <c r="H2244" s="4"/>
      <c r="I2244" s="10" t="str">
        <f>HYPERLINK("http://twitter.com/download/android","Twitter for Android")</f>
        <v>Twitter for Android</v>
      </c>
      <c r="J2244" s="2">
        <v>657</v>
      </c>
      <c r="K2244" s="2">
        <v>941</v>
      </c>
      <c r="L2244" s="2">
        <v>0</v>
      </c>
      <c r="M2244" s="2"/>
      <c r="N2244" s="8">
        <v>43120.357870370368</v>
      </c>
      <c r="O2244" s="4"/>
      <c r="P2244" s="3"/>
      <c r="Q2244" s="4"/>
      <c r="R2244" s="4"/>
      <c r="S2244" s="9" t="str">
        <f>HYPERLINK("https://pbs.twimg.com/profile_images/1005394671688998912/sitvj8sL.jpg","View")</f>
        <v>View</v>
      </c>
    </row>
    <row r="2245" spans="1:19" ht="40">
      <c r="A2245" s="8">
        <v>43345.704976851848</v>
      </c>
      <c r="B2245" s="11" t="str">
        <f>HYPERLINK("https://twitter.com/Sisyph_GF","@Sisyph_GF")</f>
        <v>@Sisyph_GF</v>
      </c>
      <c r="C2245" s="6" t="s">
        <v>11093</v>
      </c>
      <c r="D2245" s="5" t="s">
        <v>11092</v>
      </c>
      <c r="E2245" s="9" t="str">
        <f>HYPERLINK("https://twitter.com/Sisyph_GF/status/1036228540671447040","1036228540671447040")</f>
        <v>1036228540671447040</v>
      </c>
      <c r="F2245" s="4"/>
      <c r="G2245" s="4"/>
      <c r="H2245" s="4"/>
      <c r="I2245" s="10" t="str">
        <f>HYPERLINK("http://twitter.com/download/android","Twitter for Android")</f>
        <v>Twitter for Android</v>
      </c>
      <c r="J2245" s="2">
        <v>221</v>
      </c>
      <c r="K2245" s="2">
        <v>617</v>
      </c>
      <c r="L2245" s="2">
        <v>1</v>
      </c>
      <c r="M2245" s="2"/>
      <c r="N2245" s="8">
        <v>42735.427881944444</v>
      </c>
      <c r="O2245" s="4"/>
      <c r="P2245" s="3" t="s">
        <v>11091</v>
      </c>
      <c r="Q2245" s="10" t="s">
        <v>11090</v>
      </c>
      <c r="R2245" s="4"/>
      <c r="S2245" s="9" t="str">
        <f>HYPERLINK("https://pbs.twimg.com/profile_images/815682123323428864/VSCBOdMd.jpg","View")</f>
        <v>View</v>
      </c>
    </row>
    <row r="2246" spans="1:19" ht="40">
      <c r="A2246" s="8">
        <v>43345.703506944439</v>
      </c>
      <c r="B2246" s="11" t="str">
        <f>HYPERLINK("https://twitter.com/Hadi_167","@Hadi_167")</f>
        <v>@Hadi_167</v>
      </c>
      <c r="C2246" s="6" t="s">
        <v>3980</v>
      </c>
      <c r="D2246" s="5" t="s">
        <v>11089</v>
      </c>
      <c r="E2246" s="9" t="str">
        <f>HYPERLINK("https://twitter.com/Hadi_167/status/1036228004379353090","1036228004379353090")</f>
        <v>1036228004379353090</v>
      </c>
      <c r="F2246" s="4"/>
      <c r="G2246" s="10" t="s">
        <v>11088</v>
      </c>
      <c r="H2246" s="4"/>
      <c r="I2246" s="10" t="str">
        <f>HYPERLINK("http://twitter.com/download/android","Twitter for Android")</f>
        <v>Twitter for Android</v>
      </c>
      <c r="J2246" s="2">
        <v>53</v>
      </c>
      <c r="K2246" s="2">
        <v>47</v>
      </c>
      <c r="L2246" s="2">
        <v>0</v>
      </c>
      <c r="M2246" s="2"/>
      <c r="N2246" s="8">
        <v>43320.320034722223</v>
      </c>
      <c r="O2246" s="4" t="s">
        <v>324</v>
      </c>
      <c r="P2246" s="3" t="s">
        <v>3977</v>
      </c>
      <c r="Q2246" s="4"/>
      <c r="R2246" s="4"/>
      <c r="S2246" s="9" t="str">
        <f>HYPERLINK("https://pbs.twimg.com/profile_images/1027031814018400256/Uea5hPM7.jpg","View")</f>
        <v>View</v>
      </c>
    </row>
    <row r="2247" spans="1:19" ht="30">
      <c r="A2247" s="8">
        <v>43345.703217592592</v>
      </c>
      <c r="B2247" s="11" t="str">
        <f>HYPERLINK("https://twitter.com/Mj_ebrahimi65","@Mj_ebrahimi65")</f>
        <v>@Mj_ebrahimi65</v>
      </c>
      <c r="C2247" s="6" t="s">
        <v>514</v>
      </c>
      <c r="D2247" s="5" t="s">
        <v>11087</v>
      </c>
      <c r="E2247" s="9" t="str">
        <f>HYPERLINK("https://twitter.com/Mj_ebrahimi65/status/1036227903002947586","1036227903002947586")</f>
        <v>1036227903002947586</v>
      </c>
      <c r="F2247" s="4"/>
      <c r="G2247" s="4"/>
      <c r="H2247" s="4"/>
      <c r="I2247" s="10" t="str">
        <f>HYPERLINK("http://twitter.com/download/android","Twitter for Android")</f>
        <v>Twitter for Android</v>
      </c>
      <c r="J2247" s="2">
        <v>91</v>
      </c>
      <c r="K2247" s="2">
        <v>211</v>
      </c>
      <c r="L2247" s="2">
        <v>0</v>
      </c>
      <c r="M2247" s="2"/>
      <c r="N2247" s="8">
        <v>42893.80195601852</v>
      </c>
      <c r="O2247" s="4" t="s">
        <v>34</v>
      </c>
      <c r="P2247" s="3" t="s">
        <v>512</v>
      </c>
      <c r="Q2247" s="4"/>
      <c r="R2247" s="4"/>
      <c r="S2247" s="9" t="str">
        <f>HYPERLINK("https://pbs.twimg.com/profile_images/1035262820739436545/A4EFzvOw.jpg","View")</f>
        <v>View</v>
      </c>
    </row>
    <row r="2248" spans="1:19" ht="30">
      <c r="A2248" s="8">
        <v>43345.703217592592</v>
      </c>
      <c r="B2248" s="11" t="str">
        <f>HYPERLINK("https://twitter.com/yekagah","@yekagah")</f>
        <v>@yekagah</v>
      </c>
      <c r="C2248" s="6" t="s">
        <v>8</v>
      </c>
      <c r="D2248" s="5" t="s">
        <v>11086</v>
      </c>
      <c r="E2248" s="9" t="str">
        <f>HYPERLINK("https://twitter.com/yekagah/status/1036227902772260864","1036227902772260864")</f>
        <v>1036227902772260864</v>
      </c>
      <c r="F2248" s="4"/>
      <c r="G2248" s="4"/>
      <c r="H2248" s="4"/>
      <c r="I2248" s="10" t="str">
        <f>HYPERLINK("http://twitter.com/download/android","Twitter for Android")</f>
        <v>Twitter for Android</v>
      </c>
      <c r="J2248" s="2">
        <v>726</v>
      </c>
      <c r="K2248" s="2">
        <v>838</v>
      </c>
      <c r="L2248" s="2">
        <v>2</v>
      </c>
      <c r="M2248" s="2"/>
      <c r="N2248" s="8">
        <v>42837.615104166667</v>
      </c>
      <c r="O2248" s="4"/>
      <c r="P2248" s="3" t="s">
        <v>5</v>
      </c>
      <c r="Q2248" s="4"/>
      <c r="R2248" s="4"/>
      <c r="S2248" s="9" t="str">
        <f>HYPERLINK("https://pbs.twimg.com/profile_images/859483031224164356/5EzrnkDQ.jpg","View")</f>
        <v>View</v>
      </c>
    </row>
    <row r="2249" spans="1:19" ht="40">
      <c r="A2249" s="8">
        <v>43345.703171296293</v>
      </c>
      <c r="B2249" s="11" t="str">
        <f>HYPERLINK("https://twitter.com/Entekhab_News","@Entekhab_News")</f>
        <v>@Entekhab_News</v>
      </c>
      <c r="C2249" s="6" t="s">
        <v>519</v>
      </c>
      <c r="D2249" s="5" t="s">
        <v>11085</v>
      </c>
      <c r="E2249" s="9" t="str">
        <f>HYPERLINK("https://twitter.com/Entekhab_News/status/1036227885621760000","1036227885621760000")</f>
        <v>1036227885621760000</v>
      </c>
      <c r="F2249" s="4"/>
      <c r="G2249" s="10" t="s">
        <v>11084</v>
      </c>
      <c r="H2249" s="4"/>
      <c r="I2249" s="10" t="str">
        <f>HYPERLINK("http://twitter.com/download/android","Twitter for Android")</f>
        <v>Twitter for Android</v>
      </c>
      <c r="J2249" s="2">
        <v>16204</v>
      </c>
      <c r="K2249" s="2">
        <v>0</v>
      </c>
      <c r="L2249" s="2">
        <v>152</v>
      </c>
      <c r="M2249" s="2"/>
      <c r="N2249" s="8">
        <v>41846.90483796296</v>
      </c>
      <c r="O2249" s="4" t="s">
        <v>244</v>
      </c>
      <c r="P2249" s="3" t="s">
        <v>517</v>
      </c>
      <c r="Q2249" s="10" t="s">
        <v>516</v>
      </c>
      <c r="R2249" s="4"/>
      <c r="S2249" s="9" t="str">
        <f>HYPERLINK("https://pbs.twimg.com/profile_images/840302676332146689/objFI1sw.jpg","View")</f>
        <v>View</v>
      </c>
    </row>
    <row r="2250" spans="1:19" ht="30">
      <c r="A2250" s="8">
        <v>43345.700358796297</v>
      </c>
      <c r="B2250" s="11" t="str">
        <f>HYPERLINK("https://twitter.com/f_fartout","@f_fartout")</f>
        <v>@f_fartout</v>
      </c>
      <c r="C2250" s="6" t="s">
        <v>2202</v>
      </c>
      <c r="D2250" s="5" t="s">
        <v>11083</v>
      </c>
      <c r="E2250" s="9" t="str">
        <f>HYPERLINK("https://twitter.com/f_fartout/status/1036226864875012096","1036226864875012096")</f>
        <v>1036226864875012096</v>
      </c>
      <c r="F2250" s="4"/>
      <c r="G2250" s="4"/>
      <c r="H2250" s="4"/>
      <c r="I2250" s="10" t="str">
        <f>HYPERLINK("http://twitter.com/download/android","Twitter for Android")</f>
        <v>Twitter for Android</v>
      </c>
      <c r="J2250" s="2">
        <v>25</v>
      </c>
      <c r="K2250" s="2">
        <v>21</v>
      </c>
      <c r="L2250" s="2">
        <v>0</v>
      </c>
      <c r="M2250" s="2"/>
      <c r="N2250" s="8">
        <v>43225.836377314816</v>
      </c>
      <c r="O2250" s="4"/>
      <c r="P2250" s="3" t="s">
        <v>2200</v>
      </c>
      <c r="Q2250" s="4"/>
      <c r="R2250" s="4"/>
      <c r="S2250" s="9" t="str">
        <f>HYPERLINK("https://pbs.twimg.com/profile_images/1028686619338002432/dHQhnoLu.jpg","View")</f>
        <v>View</v>
      </c>
    </row>
    <row r="2251" spans="1:19" ht="20">
      <c r="A2251" s="8">
        <v>43345.698437500003</v>
      </c>
      <c r="B2251" s="11" t="str">
        <f>HYPERLINK("https://twitter.com/faslevasl","@faslevasl")</f>
        <v>@faslevasl</v>
      </c>
      <c r="C2251" s="6" t="s">
        <v>11082</v>
      </c>
      <c r="D2251" s="5" t="s">
        <v>11081</v>
      </c>
      <c r="E2251" s="9" t="str">
        <f>HYPERLINK("https://twitter.com/faslevasl/status/1036226167735574529","1036226167735574529")</f>
        <v>1036226167735574529</v>
      </c>
      <c r="F2251" s="4"/>
      <c r="G2251" s="4"/>
      <c r="H2251" s="4"/>
      <c r="I2251" s="10" t="str">
        <f>HYPERLINK("http://twitter.com/download/iphone","Twitter for iPhone")</f>
        <v>Twitter for iPhone</v>
      </c>
      <c r="J2251" s="2">
        <v>158</v>
      </c>
      <c r="K2251" s="2">
        <v>200</v>
      </c>
      <c r="L2251" s="2">
        <v>0</v>
      </c>
      <c r="M2251" s="2"/>
      <c r="N2251" s="8">
        <v>41655.654108796298</v>
      </c>
      <c r="O2251" s="4" t="s">
        <v>34</v>
      </c>
      <c r="P2251" s="3" t="s">
        <v>11080</v>
      </c>
      <c r="Q2251" s="10" t="s">
        <v>11079</v>
      </c>
      <c r="R2251" s="4"/>
      <c r="S2251" s="9" t="str">
        <f>HYPERLINK("https://pbs.twimg.com/profile_images/1024400337212465152/unx6WAS-.jpg","View")</f>
        <v>View</v>
      </c>
    </row>
    <row r="2252" spans="1:19" ht="20">
      <c r="A2252" s="8">
        <v>43345.69767361111</v>
      </c>
      <c r="B2252" s="11" t="str">
        <f>HYPERLINK("https://twitter.com/alabd110","@alabd110")</f>
        <v>@alabd110</v>
      </c>
      <c r="C2252" s="6" t="s">
        <v>11078</v>
      </c>
      <c r="D2252" s="5" t="s">
        <v>11077</v>
      </c>
      <c r="E2252" s="9" t="str">
        <f>HYPERLINK("https://twitter.com/alabd110/status/1036225890198462465","1036225890198462465")</f>
        <v>1036225890198462465</v>
      </c>
      <c r="F2252" s="4"/>
      <c r="G2252" s="10" t="s">
        <v>11076</v>
      </c>
      <c r="H2252" s="4"/>
      <c r="I2252" s="10" t="str">
        <f>HYPERLINK("http://twitter.com/download/android","Twitter for Android")</f>
        <v>Twitter for Android</v>
      </c>
      <c r="J2252" s="2">
        <v>1180</v>
      </c>
      <c r="K2252" s="2">
        <v>1101</v>
      </c>
      <c r="L2252" s="2">
        <v>2</v>
      </c>
      <c r="M2252" s="2"/>
      <c r="N2252" s="8">
        <v>42913.423692129625</v>
      </c>
      <c r="O2252" s="4" t="s">
        <v>34</v>
      </c>
      <c r="P2252" s="3" t="s">
        <v>11075</v>
      </c>
      <c r="Q2252" s="4"/>
      <c r="R2252" s="4"/>
      <c r="S2252" s="9" t="str">
        <f>HYPERLINK("https://pbs.twimg.com/profile_images/1025699356303917058/CZdhayef.jpg","View")</f>
        <v>View</v>
      </c>
    </row>
    <row r="2253" spans="1:19" ht="20">
      <c r="A2253" s="8">
        <v>43345.691643518519</v>
      </c>
      <c r="B2253" s="11" t="str">
        <f>HYPERLINK("https://twitter.com/ebnolzeinab","@ebnolzeinab")</f>
        <v>@ebnolzeinab</v>
      </c>
      <c r="C2253" s="6" t="s">
        <v>9336</v>
      </c>
      <c r="D2253" s="5" t="s">
        <v>11074</v>
      </c>
      <c r="E2253" s="9" t="str">
        <f>HYPERLINK("https://twitter.com/ebnolzeinab/status/1036223705255428098","1036223705255428098")</f>
        <v>1036223705255428098</v>
      </c>
      <c r="F2253" s="4"/>
      <c r="G2253" s="4"/>
      <c r="H2253" s="4"/>
      <c r="I2253" s="10" t="str">
        <f>HYPERLINK("http://twitter.com/download/iphone","Twitter for iPhone")</f>
        <v>Twitter for iPhone</v>
      </c>
      <c r="J2253" s="2">
        <v>1360</v>
      </c>
      <c r="K2253" s="2">
        <v>879</v>
      </c>
      <c r="L2253" s="2">
        <v>2</v>
      </c>
      <c r="M2253" s="2"/>
      <c r="N2253" s="8">
        <v>42846.566284722227</v>
      </c>
      <c r="O2253" s="4" t="s">
        <v>34</v>
      </c>
      <c r="P2253" s="3" t="s">
        <v>9334</v>
      </c>
      <c r="Q2253" s="4"/>
      <c r="R2253" s="4"/>
      <c r="S2253" s="9" t="str">
        <f>HYPERLINK("https://pbs.twimg.com/profile_images/1014613651066585088/VTUjMY83.jpg","View")</f>
        <v>View</v>
      </c>
    </row>
    <row r="2254" spans="1:19" ht="20">
      <c r="A2254" s="8">
        <v>43345.691562499997</v>
      </c>
      <c r="B2254" s="11" t="str">
        <f>HYPERLINK("https://twitter.com/kamran_sh1788","@kamran_sh1788")</f>
        <v>@kamran_sh1788</v>
      </c>
      <c r="C2254" s="6" t="s">
        <v>6763</v>
      </c>
      <c r="D2254" s="5" t="s">
        <v>11073</v>
      </c>
      <c r="E2254" s="9" t="str">
        <f>HYPERLINK("https://twitter.com/kamran_sh1788/status/1036223678038659072","1036223678038659072")</f>
        <v>1036223678038659072</v>
      </c>
      <c r="F2254" s="10" t="s">
        <v>11072</v>
      </c>
      <c r="G2254" s="4"/>
      <c r="H2254" s="4"/>
      <c r="I2254" s="10" t="str">
        <f>HYPERLINK("http://twitter.com","Twitter Web Client")</f>
        <v>Twitter Web Client</v>
      </c>
      <c r="J2254" s="2">
        <v>788</v>
      </c>
      <c r="K2254" s="2">
        <v>386</v>
      </c>
      <c r="L2254" s="2">
        <v>8</v>
      </c>
      <c r="M2254" s="2"/>
      <c r="N2254" s="8">
        <v>42742.941400462965</v>
      </c>
      <c r="O2254" s="4" t="s">
        <v>17</v>
      </c>
      <c r="P2254" s="3" t="s">
        <v>6760</v>
      </c>
      <c r="Q2254" s="10" t="s">
        <v>77</v>
      </c>
      <c r="R2254" s="4"/>
      <c r="S2254" s="9" t="str">
        <f>HYPERLINK("https://pbs.twimg.com/profile_images/856539454735097857/BXwne9hh.jpg","View")</f>
        <v>View</v>
      </c>
    </row>
    <row r="2255" spans="1:19" ht="40">
      <c r="A2255" s="8">
        <v>43345.689826388887</v>
      </c>
      <c r="B2255" s="11" t="str">
        <f>HYPERLINK("https://twitter.com/haj_mamed","@haj_mamed")</f>
        <v>@haj_mamed</v>
      </c>
      <c r="C2255" s="6" t="s">
        <v>11071</v>
      </c>
      <c r="D2255" s="5" t="s">
        <v>11070</v>
      </c>
      <c r="E2255" s="9" t="str">
        <f>HYPERLINK("https://twitter.com/haj_mamed/status/1036223050449084416","1036223050449084416")</f>
        <v>1036223050449084416</v>
      </c>
      <c r="F2255" s="10" t="s">
        <v>11069</v>
      </c>
      <c r="G2255" s="4"/>
      <c r="H2255" s="4"/>
      <c r="I2255" s="10" t="str">
        <f>HYPERLINK("http://twitter.com","Twitter Web Client")</f>
        <v>Twitter Web Client</v>
      </c>
      <c r="J2255" s="2">
        <v>2166</v>
      </c>
      <c r="K2255" s="2">
        <v>961</v>
      </c>
      <c r="L2255" s="2">
        <v>31</v>
      </c>
      <c r="M2255" s="2"/>
      <c r="N2255" s="8">
        <v>40982.698460648149</v>
      </c>
      <c r="O2255" s="4" t="s">
        <v>3589</v>
      </c>
      <c r="P2255" s="3" t="s">
        <v>11068</v>
      </c>
      <c r="Q2255" s="10" t="s">
        <v>11067</v>
      </c>
      <c r="R2255" s="4"/>
      <c r="S2255" s="9" t="str">
        <f>HYPERLINK("https://pbs.twimg.com/profile_images/787417070476660737/1o8IUrL2.jpg","View")</f>
        <v>View</v>
      </c>
    </row>
    <row r="2256" spans="1:19" ht="30">
      <c r="A2256" s="8">
        <v>43345.688912037032</v>
      </c>
      <c r="B2256" s="11" t="str">
        <f>HYPERLINK("https://twitter.com/mohyeddin_farsi","@mohyeddin_farsi")</f>
        <v>@mohyeddin_farsi</v>
      </c>
      <c r="C2256" s="6" t="s">
        <v>3121</v>
      </c>
      <c r="D2256" s="5" t="s">
        <v>11066</v>
      </c>
      <c r="E2256" s="9" t="str">
        <f>HYPERLINK("https://twitter.com/mohyeddin_farsi/status/1036222716616040448","1036222716616040448")</f>
        <v>1036222716616040448</v>
      </c>
      <c r="F2256" s="4"/>
      <c r="G2256" s="4"/>
      <c r="H2256" s="4"/>
      <c r="I2256" s="10" t="str">
        <f>HYPERLINK("http://twitter.com/download/android","Twitter for Android")</f>
        <v>Twitter for Android</v>
      </c>
      <c r="J2256" s="2">
        <v>3063</v>
      </c>
      <c r="K2256" s="2">
        <v>4907</v>
      </c>
      <c r="L2256" s="2">
        <v>1</v>
      </c>
      <c r="M2256" s="2"/>
      <c r="N2256" s="8">
        <v>43208.817083333328</v>
      </c>
      <c r="O2256" s="4" t="s">
        <v>10298</v>
      </c>
      <c r="P2256" s="3" t="s">
        <v>10297</v>
      </c>
      <c r="Q2256" s="4"/>
      <c r="R2256" s="4"/>
      <c r="S2256" s="9" t="str">
        <f>HYPERLINK("https://pbs.twimg.com/profile_images/1025783168513789953/1ugz7yGG.jpg","View")</f>
        <v>View</v>
      </c>
    </row>
    <row r="2257" spans="1:19" ht="20">
      <c r="A2257" s="8">
        <v>43345.685636574075</v>
      </c>
      <c r="B2257" s="11" t="str">
        <f>HYPERLINK("https://twitter.com/ya_ssin59","@ya_ssin59")</f>
        <v>@ya_ssin59</v>
      </c>
      <c r="C2257" s="6" t="s">
        <v>1839</v>
      </c>
      <c r="D2257" s="5" t="s">
        <v>11065</v>
      </c>
      <c r="E2257" s="9" t="str">
        <f>HYPERLINK("https://twitter.com/ya_ssin59/status/1036221529715961858","1036221529715961858")</f>
        <v>1036221529715961858</v>
      </c>
      <c r="F2257" s="4"/>
      <c r="G2257" s="4"/>
      <c r="H2257" s="4"/>
      <c r="I2257" s="10" t="str">
        <f>HYPERLINK("http://twitter.com","Twitter Web Client")</f>
        <v>Twitter Web Client</v>
      </c>
      <c r="J2257" s="2">
        <v>204</v>
      </c>
      <c r="K2257" s="2">
        <v>327</v>
      </c>
      <c r="L2257" s="2">
        <v>0</v>
      </c>
      <c r="M2257" s="2"/>
      <c r="N2257" s="8">
        <v>43127.943101851852</v>
      </c>
      <c r="O2257" s="4" t="s">
        <v>1837</v>
      </c>
      <c r="P2257" s="3" t="s">
        <v>10422</v>
      </c>
      <c r="Q2257" s="4"/>
      <c r="R2257" s="4"/>
      <c r="S2257" s="9" t="str">
        <f>HYPERLINK("https://pbs.twimg.com/profile_images/1034894981335592963/qJ14dqio.jpg","View")</f>
        <v>View</v>
      </c>
    </row>
    <row r="2258" spans="1:19" ht="20">
      <c r="A2258" s="8">
        <v>43345.685578703706</v>
      </c>
      <c r="B2258" s="11" t="str">
        <f>HYPERLINK("https://twitter.com/arefamiri14","@arefamiri14")</f>
        <v>@arefamiri14</v>
      </c>
      <c r="C2258" s="6" t="s">
        <v>2105</v>
      </c>
      <c r="D2258" s="5" t="s">
        <v>11064</v>
      </c>
      <c r="E2258" s="9" t="str">
        <f>HYPERLINK("https://twitter.com/arefamiri14/status/1036221507620368384","1036221507620368384")</f>
        <v>1036221507620368384</v>
      </c>
      <c r="F2258" s="4"/>
      <c r="G2258" s="4"/>
      <c r="H2258" s="4"/>
      <c r="I2258" s="10" t="str">
        <f>HYPERLINK("http://twitter.com","Twitter Web Client")</f>
        <v>Twitter Web Client</v>
      </c>
      <c r="J2258" s="2">
        <v>119</v>
      </c>
      <c r="K2258" s="2">
        <v>110</v>
      </c>
      <c r="L2258" s="2">
        <v>0</v>
      </c>
      <c r="M2258" s="2"/>
      <c r="N2258" s="8">
        <v>43331.773715277777</v>
      </c>
      <c r="O2258" s="4" t="s">
        <v>2103</v>
      </c>
      <c r="P2258" s="3" t="s">
        <v>10219</v>
      </c>
      <c r="Q2258" s="4"/>
      <c r="R2258" s="4"/>
      <c r="S2258" s="9" t="str">
        <f>HYPERLINK("https://pbs.twimg.com/profile_images/1031181221043298309/wrVbEJOO.jpg","View")</f>
        <v>View</v>
      </c>
    </row>
    <row r="2259" spans="1:19" ht="50">
      <c r="A2259" s="8">
        <v>43345.684097222227</v>
      </c>
      <c r="B2259" s="11" t="str">
        <f>HYPERLINK("https://twitter.com/roushan1355","@roushan1355")</f>
        <v>@roushan1355</v>
      </c>
      <c r="C2259" s="6" t="s">
        <v>3689</v>
      </c>
      <c r="D2259" s="5" t="s">
        <v>11063</v>
      </c>
      <c r="E2259" s="9" t="str">
        <f>HYPERLINK("https://twitter.com/roushan1355/status/1036220972725166080","1036220972725166080")</f>
        <v>1036220972725166080</v>
      </c>
      <c r="F2259" s="4"/>
      <c r="G2259" s="10" t="s">
        <v>11062</v>
      </c>
      <c r="H2259" s="4"/>
      <c r="I2259" s="10" t="str">
        <f>HYPERLINK("http://twitter.com/download/android","Twitter for Android")</f>
        <v>Twitter for Android</v>
      </c>
      <c r="J2259" s="2">
        <v>29</v>
      </c>
      <c r="K2259" s="2">
        <v>1</v>
      </c>
      <c r="L2259" s="2">
        <v>0</v>
      </c>
      <c r="M2259" s="2"/>
      <c r="N2259" s="8">
        <v>43115.077233796299</v>
      </c>
      <c r="O2259" s="4"/>
      <c r="P2259" s="3" t="s">
        <v>3687</v>
      </c>
      <c r="Q2259" s="4"/>
      <c r="R2259" s="4"/>
      <c r="S2259" s="9" t="str">
        <f>HYPERLINK("https://pbs.twimg.com/profile_images/1011494810727911427/aE8nO6RI.jpg","View")</f>
        <v>View</v>
      </c>
    </row>
    <row r="2260" spans="1:19" ht="40">
      <c r="A2260" s="8">
        <v>43345.682384259257</v>
      </c>
      <c r="B2260" s="11" t="str">
        <f>HYPERLINK("https://twitter.com/PedramSohrabloo","@PedramSohrabloo")</f>
        <v>@PedramSohrabloo</v>
      </c>
      <c r="C2260" s="6" t="s">
        <v>11061</v>
      </c>
      <c r="D2260" s="5" t="s">
        <v>11060</v>
      </c>
      <c r="E2260" s="9" t="str">
        <f>HYPERLINK("https://twitter.com/PedramSohrabloo/status/1036220352127488002","1036220352127488002")</f>
        <v>1036220352127488002</v>
      </c>
      <c r="F2260" s="4"/>
      <c r="G2260" s="4"/>
      <c r="H2260" s="4"/>
      <c r="I2260" s="10" t="str">
        <f>HYPERLINK("http://twitter.com/download/android","Twitter for Android")</f>
        <v>Twitter for Android</v>
      </c>
      <c r="J2260" s="2">
        <v>117</v>
      </c>
      <c r="K2260" s="2">
        <v>353</v>
      </c>
      <c r="L2260" s="2">
        <v>0</v>
      </c>
      <c r="M2260" s="2"/>
      <c r="N2260" s="8">
        <v>43258.935856481483</v>
      </c>
      <c r="O2260" s="4"/>
      <c r="P2260" s="3" t="s">
        <v>11059</v>
      </c>
      <c r="Q2260" s="4"/>
      <c r="R2260" s="4"/>
      <c r="S2260" s="9" t="str">
        <f>HYPERLINK("https://pbs.twimg.com/profile_images/1004786905542688771/I1nMXsxn.jpg","View")</f>
        <v>View</v>
      </c>
    </row>
    <row r="2261" spans="1:19" ht="20">
      <c r="A2261" s="8">
        <v>43345.679351851853</v>
      </c>
      <c r="B2261" s="11" t="str">
        <f>HYPERLINK("https://twitter.com/etehadonline","@etehadonline")</f>
        <v>@etehadonline</v>
      </c>
      <c r="C2261" s="6" t="s">
        <v>9739</v>
      </c>
      <c r="D2261" s="5" t="s">
        <v>11058</v>
      </c>
      <c r="E2261" s="9" t="str">
        <f>HYPERLINK("https://twitter.com/etehadonline/status/1036219254486519808","1036219254486519808")</f>
        <v>1036219254486519808</v>
      </c>
      <c r="F2261" s="10" t="s">
        <v>11057</v>
      </c>
      <c r="G2261" s="4"/>
      <c r="H2261" s="4"/>
      <c r="I2261" s="10" t="str">
        <f>HYPERLINK("http://etehadonline.com","etehadonline")</f>
        <v>etehadonline</v>
      </c>
      <c r="J2261" s="2">
        <v>1162</v>
      </c>
      <c r="K2261" s="2">
        <v>4995</v>
      </c>
      <c r="L2261" s="2">
        <v>1</v>
      </c>
      <c r="M2261" s="2"/>
      <c r="N2261" s="8">
        <v>43249.676145833335</v>
      </c>
      <c r="O2261" s="4" t="s">
        <v>133</v>
      </c>
      <c r="P2261" s="3" t="s">
        <v>9736</v>
      </c>
      <c r="Q2261" s="10" t="s">
        <v>9735</v>
      </c>
      <c r="R2261" s="4"/>
      <c r="S2261" s="9" t="str">
        <f>HYPERLINK("https://pbs.twimg.com/profile_images/1001431729532481537/9qjw3c3F.jpg","View")</f>
        <v>View</v>
      </c>
    </row>
    <row r="2262" spans="1:19" ht="30">
      <c r="A2262" s="8">
        <v>43345.679131944446</v>
      </c>
      <c r="B2262" s="11" t="str">
        <f>HYPERLINK("https://twitter.com/DrWhoX1","@DrWhoX1")</f>
        <v>@DrWhoX1</v>
      </c>
      <c r="C2262" s="6" t="s">
        <v>11056</v>
      </c>
      <c r="D2262" s="5" t="s">
        <v>11055</v>
      </c>
      <c r="E2262" s="9" t="str">
        <f>HYPERLINK("https://twitter.com/DrWhoX1/status/1036219171560812544","1036219171560812544")</f>
        <v>1036219171560812544</v>
      </c>
      <c r="F2262" s="4"/>
      <c r="G2262" s="4"/>
      <c r="H2262" s="4"/>
      <c r="I2262" s="10" t="str">
        <f>HYPERLINK("http://twitter.com/download/android","Twitter for Android")</f>
        <v>Twitter for Android</v>
      </c>
      <c r="J2262" s="2">
        <v>106</v>
      </c>
      <c r="K2262" s="2">
        <v>198</v>
      </c>
      <c r="L2262" s="2">
        <v>2</v>
      </c>
      <c r="M2262" s="2"/>
      <c r="N2262" s="8">
        <v>42046.753541666665</v>
      </c>
      <c r="O2262" s="4" t="s">
        <v>11054</v>
      </c>
      <c r="P2262" s="3" t="s">
        <v>11053</v>
      </c>
      <c r="Q2262" s="4"/>
      <c r="R2262" s="4"/>
      <c r="S2262" s="9" t="str">
        <f>HYPERLINK("https://pbs.twimg.com/profile_images/979197493417164801/r6Y0cUFO.jpg","View")</f>
        <v>View</v>
      </c>
    </row>
    <row r="2263" spans="1:19" ht="20">
      <c r="A2263" s="8">
        <v>43345.679120370369</v>
      </c>
      <c r="B2263" s="11" t="str">
        <f>HYPERLINK("https://twitter.com/Fnews_Persian","@Fnews_Persian")</f>
        <v>@Fnews_Persian</v>
      </c>
      <c r="C2263" s="6" t="s">
        <v>919</v>
      </c>
      <c r="D2263" s="5" t="s">
        <v>11052</v>
      </c>
      <c r="E2263" s="9" t="str">
        <f>HYPERLINK("https://twitter.com/Fnews_Persian/status/1036219167026958336","1036219167026958336")</f>
        <v>1036219167026958336</v>
      </c>
      <c r="F2263" s="4"/>
      <c r="G2263" s="10" t="s">
        <v>11051</v>
      </c>
      <c r="H2263" s="4"/>
      <c r="I2263" s="10" t="str">
        <f>HYPERLINK("http://twitter.com","Twitter Web Client")</f>
        <v>Twitter Web Client</v>
      </c>
      <c r="J2263" s="2">
        <v>58363</v>
      </c>
      <c r="K2263" s="2">
        <v>8</v>
      </c>
      <c r="L2263" s="2">
        <v>9</v>
      </c>
      <c r="M2263" s="2"/>
      <c r="N2263" s="8">
        <v>42445.668726851851</v>
      </c>
      <c r="O2263" s="4" t="s">
        <v>916</v>
      </c>
      <c r="P2263" s="3" t="s">
        <v>915</v>
      </c>
      <c r="Q2263" s="10" t="s">
        <v>9016</v>
      </c>
      <c r="R2263" s="4"/>
      <c r="S2263" s="9" t="str">
        <f>HYPERLINK("https://pbs.twimg.com/profile_images/962248284151734272/-yEY7hhB.jpg","View")</f>
        <v>View</v>
      </c>
    </row>
    <row r="2264" spans="1:19" ht="40">
      <c r="A2264" s="8">
        <v>43345.678611111114</v>
      </c>
      <c r="B2264" s="11" t="str">
        <f>HYPERLINK("https://twitter.com/IranTehran313","@IranTehran313")</f>
        <v>@IranTehran313</v>
      </c>
      <c r="C2264" s="6">
        <v>13</v>
      </c>
      <c r="D2264" s="5" t="s">
        <v>11050</v>
      </c>
      <c r="E2264" s="9" t="str">
        <f>HYPERLINK("https://twitter.com/IranTehran313/status/1036218986126630912","1036218986126630912")</f>
        <v>1036218986126630912</v>
      </c>
      <c r="F2264" s="4"/>
      <c r="G2264" s="4"/>
      <c r="H2264" s="4"/>
      <c r="I2264" s="10" t="str">
        <f>HYPERLINK("http://twitter.com/download/iphone","Twitter for iPhone")</f>
        <v>Twitter for iPhone</v>
      </c>
      <c r="J2264" s="2">
        <v>4</v>
      </c>
      <c r="K2264" s="2">
        <v>0</v>
      </c>
      <c r="L2264" s="2">
        <v>0</v>
      </c>
      <c r="M2264" s="2"/>
      <c r="N2264" s="8">
        <v>41757.120173611111</v>
      </c>
      <c r="O2264" s="4"/>
      <c r="P2264" s="3"/>
      <c r="Q2264" s="4"/>
      <c r="R2264" s="4"/>
      <c r="S2264" s="9" t="str">
        <f>HYPERLINK("https://pbs.twimg.com/profile_images/461247865600221184/SdwNsg8d.jpeg","View")</f>
        <v>View</v>
      </c>
    </row>
    <row r="2265" spans="1:19" ht="20">
      <c r="A2265" s="8">
        <v>43345.677129629628</v>
      </c>
      <c r="B2265" s="11" t="str">
        <f>HYPERLINK("https://twitter.com/mr_nafahm","@mr_nafahm")</f>
        <v>@mr_nafahm</v>
      </c>
      <c r="C2265" s="6" t="s">
        <v>10870</v>
      </c>
      <c r="D2265" s="5" t="s">
        <v>11049</v>
      </c>
      <c r="E2265" s="9" t="str">
        <f>HYPERLINK("https://twitter.com/mr_nafahm/status/1036218445740875776","1036218445740875776")</f>
        <v>1036218445740875776</v>
      </c>
      <c r="F2265" s="4"/>
      <c r="G2265" s="4"/>
      <c r="H2265" s="4"/>
      <c r="I2265" s="10" t="str">
        <f>HYPERLINK("http://twitter.com/download/android","Twitter for Android")</f>
        <v>Twitter for Android</v>
      </c>
      <c r="J2265" s="2">
        <v>24</v>
      </c>
      <c r="K2265" s="2">
        <v>22</v>
      </c>
      <c r="L2265" s="2">
        <v>0</v>
      </c>
      <c r="M2265" s="2"/>
      <c r="N2265" s="8">
        <v>43268.076192129629</v>
      </c>
      <c r="O2265" s="4"/>
      <c r="P2265" s="3" t="s">
        <v>10868</v>
      </c>
      <c r="Q2265" s="4"/>
      <c r="R2265" s="4"/>
      <c r="S2265" s="9" t="str">
        <f>HYPERLINK("https://pbs.twimg.com/profile_images/1034171477078302722/n2acR084.jpg","View")</f>
        <v>View</v>
      </c>
    </row>
    <row r="2266" spans="1:19" ht="40">
      <c r="A2266" s="8">
        <v>43345.675439814819</v>
      </c>
      <c r="B2266" s="11" t="str">
        <f>HYPERLINK("https://twitter.com/IranTehran313","@IranTehran313")</f>
        <v>@IranTehran313</v>
      </c>
      <c r="C2266" s="6">
        <v>13</v>
      </c>
      <c r="D2266" s="5" t="s">
        <v>11048</v>
      </c>
      <c r="E2266" s="9" t="str">
        <f>HYPERLINK("https://twitter.com/IranTehran313/status/1036217834542641152","1036217834542641152")</f>
        <v>1036217834542641152</v>
      </c>
      <c r="F2266" s="4"/>
      <c r="G2266" s="4"/>
      <c r="H2266" s="4"/>
      <c r="I2266" s="10" t="str">
        <f>HYPERLINK("http://twitter.com/download/iphone","Twitter for iPhone")</f>
        <v>Twitter for iPhone</v>
      </c>
      <c r="J2266" s="2">
        <v>4</v>
      </c>
      <c r="K2266" s="2">
        <v>0</v>
      </c>
      <c r="L2266" s="2">
        <v>0</v>
      </c>
      <c r="M2266" s="2"/>
      <c r="N2266" s="8">
        <v>41757.120173611111</v>
      </c>
      <c r="O2266" s="4"/>
      <c r="P2266" s="3"/>
      <c r="Q2266" s="4"/>
      <c r="R2266" s="4"/>
      <c r="S2266" s="9" t="str">
        <f>HYPERLINK("https://pbs.twimg.com/profile_images/461247865600221184/SdwNsg8d.jpeg","View")</f>
        <v>View</v>
      </c>
    </row>
    <row r="2267" spans="1:19" ht="40">
      <c r="A2267" s="8">
        <v>43345.674895833334</v>
      </c>
      <c r="B2267" s="11" t="str">
        <f>HYPERLINK("https://twitter.com/simasepehri95","@simasepehri95")</f>
        <v>@simasepehri95</v>
      </c>
      <c r="C2267" s="6" t="s">
        <v>9881</v>
      </c>
      <c r="D2267" s="5" t="s">
        <v>11047</v>
      </c>
      <c r="E2267" s="9" t="str">
        <f>HYPERLINK("https://twitter.com/simasepehri95/status/1036217639566278656","1036217639566278656")</f>
        <v>1036217639566278656</v>
      </c>
      <c r="F2267" s="4"/>
      <c r="G2267" s="4"/>
      <c r="H2267" s="4"/>
      <c r="I2267" s="10" t="str">
        <f>HYPERLINK("http://twitter.com","Twitter Web Client")</f>
        <v>Twitter Web Client</v>
      </c>
      <c r="J2267" s="2">
        <v>5998</v>
      </c>
      <c r="K2267" s="2">
        <v>2318</v>
      </c>
      <c r="L2267" s="2">
        <v>27</v>
      </c>
      <c r="M2267" s="2"/>
      <c r="N2267" s="8">
        <v>42690.984490740739</v>
      </c>
      <c r="O2267" s="4"/>
      <c r="P2267" s="3" t="s">
        <v>9878</v>
      </c>
      <c r="Q2267" s="4"/>
      <c r="R2267" s="4"/>
      <c r="S2267" s="9" t="str">
        <f>HYPERLINK("https://pbs.twimg.com/profile_images/1026918677923471360/nxx8_6uC.jpg","View")</f>
        <v>View</v>
      </c>
    </row>
    <row r="2268" spans="1:19" ht="20">
      <c r="A2268" s="8">
        <v>43345.672719907408</v>
      </c>
      <c r="B2268" s="11" t="str">
        <f>HYPERLINK("https://twitter.com/Fars_Plus","@Fars_Plus")</f>
        <v>@Fars_Plus</v>
      </c>
      <c r="C2268" s="6" t="s">
        <v>11046</v>
      </c>
      <c r="D2268" s="5" t="s">
        <v>11045</v>
      </c>
      <c r="E2268" s="9" t="str">
        <f>HYPERLINK("https://twitter.com/Fars_Plus/status/1036216849804009472","1036216849804009472")</f>
        <v>1036216849804009472</v>
      </c>
      <c r="F2268" s="4"/>
      <c r="G2268" s="10" t="s">
        <v>11044</v>
      </c>
      <c r="H2268" s="4"/>
      <c r="I2268" s="10" t="str">
        <f>HYPERLINK("http://twitter.com","Twitter Web Client")</f>
        <v>Twitter Web Client</v>
      </c>
      <c r="J2268" s="2">
        <v>9182</v>
      </c>
      <c r="K2268" s="2">
        <v>2487</v>
      </c>
      <c r="L2268" s="2">
        <v>42</v>
      </c>
      <c r="M2268" s="2"/>
      <c r="N2268" s="8">
        <v>42600.154826388884</v>
      </c>
      <c r="O2268" s="4" t="s">
        <v>34</v>
      </c>
      <c r="P2268" s="14" t="s">
        <v>11043</v>
      </c>
      <c r="Q2268" s="10" t="s">
        <v>11042</v>
      </c>
      <c r="R2268" s="4"/>
      <c r="S2268" s="9" t="str">
        <f>HYPERLINK("https://pbs.twimg.com/profile_images/962349920995958784/LdtvhLnc.jpg","View")</f>
        <v>View</v>
      </c>
    </row>
    <row r="2269" spans="1:19" ht="30">
      <c r="A2269" s="8">
        <v>43345.672476851847</v>
      </c>
      <c r="B2269" s="11" t="str">
        <f>HYPERLINK("https://twitter.com/cuponinho","@cuponinho")</f>
        <v>@cuponinho</v>
      </c>
      <c r="C2269" s="6" t="s">
        <v>1403</v>
      </c>
      <c r="D2269" s="5" t="s">
        <v>11041</v>
      </c>
      <c r="E2269" s="9" t="str">
        <f>HYPERLINK("https://twitter.com/cuponinho/status/1036216759634866176","1036216759634866176")</f>
        <v>1036216759634866176</v>
      </c>
      <c r="F2269" s="4"/>
      <c r="G2269" s="4"/>
      <c r="H2269" s="4"/>
      <c r="I2269" s="10" t="str">
        <f>HYPERLINK("http://twitter.com/download/iphone","Twitter for iPhone")</f>
        <v>Twitter for iPhone</v>
      </c>
      <c r="J2269" s="2">
        <v>1595</v>
      </c>
      <c r="K2269" s="2">
        <v>1195</v>
      </c>
      <c r="L2269" s="2">
        <v>4</v>
      </c>
      <c r="M2269" s="2"/>
      <c r="N2269" s="8">
        <v>41618.113599537035</v>
      </c>
      <c r="O2269" s="4" t="s">
        <v>133</v>
      </c>
      <c r="P2269" s="3" t="s">
        <v>1401</v>
      </c>
      <c r="Q2269" s="4"/>
      <c r="R2269" s="4"/>
      <c r="S2269" s="9" t="str">
        <f>HYPERLINK("https://pbs.twimg.com/profile_images/1027478406517207040/FvpHWpv2.jpg","View")</f>
        <v>View</v>
      </c>
    </row>
    <row r="2270" spans="1:19" ht="20">
      <c r="A2270" s="8">
        <v>43345.671006944445</v>
      </c>
      <c r="B2270" s="11" t="str">
        <f>HYPERLINK("https://twitter.com/hadisaame","@hadisaame")</f>
        <v>@hadisaame</v>
      </c>
      <c r="C2270" s="6" t="s">
        <v>6242</v>
      </c>
      <c r="D2270" s="5" t="s">
        <v>11040</v>
      </c>
      <c r="E2270" s="9" t="str">
        <f>HYPERLINK("https://twitter.com/hadisaame/status/1036216229726445568","1036216229726445568")</f>
        <v>1036216229726445568</v>
      </c>
      <c r="F2270" s="4"/>
      <c r="G2270" s="4"/>
      <c r="H2270" s="4"/>
      <c r="I2270" s="10" t="str">
        <f>HYPERLINK("http://twitter.com","Twitter Web Client")</f>
        <v>Twitter Web Client</v>
      </c>
      <c r="J2270" s="2">
        <v>645</v>
      </c>
      <c r="K2270" s="2">
        <v>366</v>
      </c>
      <c r="L2270" s="2">
        <v>9</v>
      </c>
      <c r="M2270" s="2"/>
      <c r="N2270" s="8">
        <v>42875.730694444443</v>
      </c>
      <c r="O2270" s="4"/>
      <c r="P2270" s="3" t="s">
        <v>6239</v>
      </c>
      <c r="Q2270" s="4"/>
      <c r="R2270" s="4"/>
      <c r="S2270" s="9" t="str">
        <f>HYPERLINK("https://pbs.twimg.com/profile_images/865940033144066049/7XjArPNt.jpg","View")</f>
        <v>View</v>
      </c>
    </row>
    <row r="2271" spans="1:19" ht="20">
      <c r="A2271" s="8">
        <v>43345.67086805556</v>
      </c>
      <c r="B2271" s="11" t="str">
        <f>HYPERLINK("https://twitter.com/Mohamma75370061","@Mohamma75370061")</f>
        <v>@Mohamma75370061</v>
      </c>
      <c r="C2271" s="6" t="s">
        <v>1998</v>
      </c>
      <c r="D2271" s="5" t="s">
        <v>11039</v>
      </c>
      <c r="E2271" s="9" t="str">
        <f>HYPERLINK("https://twitter.com/Mohamma75370061/status/1036216176723013633","1036216176723013633")</f>
        <v>1036216176723013633</v>
      </c>
      <c r="F2271" s="4"/>
      <c r="G2271" s="4"/>
      <c r="H2271" s="4"/>
      <c r="I2271" s="10" t="str">
        <f>HYPERLINK("http://twitter.com/download/android","Twitter for Android")</f>
        <v>Twitter for Android</v>
      </c>
      <c r="J2271" s="2">
        <v>2190</v>
      </c>
      <c r="K2271" s="2">
        <v>2850</v>
      </c>
      <c r="L2271" s="2">
        <v>2</v>
      </c>
      <c r="M2271" s="2"/>
      <c r="N2271" s="8">
        <v>43270.233599537038</v>
      </c>
      <c r="O2271" s="4" t="s">
        <v>11038</v>
      </c>
      <c r="P2271" s="3" t="s">
        <v>11037</v>
      </c>
      <c r="Q2271" s="4"/>
      <c r="R2271" s="4"/>
      <c r="S2271" s="9" t="str">
        <f>HYPERLINK("https://pbs.twimg.com/profile_images/1027742418827993089/rEAc7tMh.jpg","View")</f>
        <v>View</v>
      </c>
    </row>
    <row r="2272" spans="1:19" ht="40">
      <c r="A2272" s="8">
        <v>43345.667465277773</v>
      </c>
      <c r="B2272" s="11" t="str">
        <f>HYPERLINK("https://twitter.com/abbasemahdavi","@abbasemahdavi")</f>
        <v>@abbasemahdavi</v>
      </c>
      <c r="C2272" s="6" t="s">
        <v>6046</v>
      </c>
      <c r="D2272" s="5" t="s">
        <v>11036</v>
      </c>
      <c r="E2272" s="9" t="str">
        <f>HYPERLINK("https://twitter.com/abbasemahdavi/status/1036214944755212288","1036214944755212288")</f>
        <v>1036214944755212288</v>
      </c>
      <c r="F2272" s="4"/>
      <c r="G2272" s="4"/>
      <c r="H2272" s="4"/>
      <c r="I2272" s="10" t="str">
        <f>HYPERLINK("http://twitter.com","Twitter Web Client")</f>
        <v>Twitter Web Client</v>
      </c>
      <c r="J2272" s="2">
        <v>172</v>
      </c>
      <c r="K2272" s="2">
        <v>134</v>
      </c>
      <c r="L2272" s="2">
        <v>2</v>
      </c>
      <c r="M2272" s="2"/>
      <c r="N2272" s="8">
        <v>42459.729050925926</v>
      </c>
      <c r="O2272" s="4"/>
      <c r="P2272" s="3"/>
      <c r="Q2272" s="10" t="s">
        <v>6042</v>
      </c>
      <c r="R2272" s="4"/>
      <c r="S2272" s="9" t="str">
        <f>HYPERLINK("https://pbs.twimg.com/profile_images/997185930728431616/0pC7tQCU.jpg","View")</f>
        <v>View</v>
      </c>
    </row>
    <row r="2273" spans="1:19" ht="30">
      <c r="A2273" s="8">
        <v>43345.66706018518</v>
      </c>
      <c r="B2273" s="11" t="str">
        <f>HYPERLINK("https://twitter.com/SMPrfa","@SMPrfa")</f>
        <v>@SMPrfa</v>
      </c>
      <c r="C2273" s="6" t="s">
        <v>6431</v>
      </c>
      <c r="D2273" s="5" t="s">
        <v>11035</v>
      </c>
      <c r="E2273" s="9" t="str">
        <f>HYPERLINK("https://twitter.com/SMPrfa/status/1036214798185365504","1036214798185365504")</f>
        <v>1036214798185365504</v>
      </c>
      <c r="F2273" s="4"/>
      <c r="G2273" s="4"/>
      <c r="H2273" s="4"/>
      <c r="I2273" s="10" t="str">
        <f>HYPERLINK("http://twitter.com/download/android","Twitter for Android")</f>
        <v>Twitter for Android</v>
      </c>
      <c r="J2273" s="2">
        <v>510</v>
      </c>
      <c r="K2273" s="2">
        <v>477</v>
      </c>
      <c r="L2273" s="2">
        <v>1</v>
      </c>
      <c r="M2273" s="2"/>
      <c r="N2273" s="8">
        <v>41640.805601851855</v>
      </c>
      <c r="O2273" s="4" t="s">
        <v>324</v>
      </c>
      <c r="P2273" s="3" t="s">
        <v>6429</v>
      </c>
      <c r="Q2273" s="4"/>
      <c r="R2273" s="4"/>
      <c r="S2273" s="9" t="str">
        <f>HYPERLINK("https://pbs.twimg.com/profile_images/1031346454550462464/qwjTVq8Q.jpg","View")</f>
        <v>View</v>
      </c>
    </row>
    <row r="2274" spans="1:19" ht="20">
      <c r="A2274" s="8">
        <v>43345.665682870371</v>
      </c>
      <c r="B2274" s="11" t="str">
        <f>HYPERLINK("https://twitter.com/Milad1593","@Milad1593")</f>
        <v>@Milad1593</v>
      </c>
      <c r="C2274" s="6" t="s">
        <v>8935</v>
      </c>
      <c r="D2274" s="5" t="s">
        <v>11034</v>
      </c>
      <c r="E2274" s="9" t="str">
        <f>HYPERLINK("https://twitter.com/Milad1593/status/1036214300342464512","1036214300342464512")</f>
        <v>1036214300342464512</v>
      </c>
      <c r="F2274" s="4"/>
      <c r="G2274" s="4"/>
      <c r="H2274" s="4"/>
      <c r="I2274" s="10" t="str">
        <f>HYPERLINK("http://twitter.com/download/iphone","Twitter for iPhone")</f>
        <v>Twitter for iPhone</v>
      </c>
      <c r="J2274" s="2">
        <v>36</v>
      </c>
      <c r="K2274" s="2">
        <v>81</v>
      </c>
      <c r="L2274" s="2">
        <v>0</v>
      </c>
      <c r="M2274" s="2"/>
      <c r="N2274" s="8">
        <v>43111.919398148151</v>
      </c>
      <c r="O2274" s="4" t="s">
        <v>34</v>
      </c>
      <c r="P2274" s="3"/>
      <c r="Q2274" s="4"/>
      <c r="R2274" s="4"/>
      <c r="S2274" s="9" t="str">
        <f>HYPERLINK("https://pbs.twimg.com/profile_images/1034295646323449856/5CikDeKG.jpg","View")</f>
        <v>View</v>
      </c>
    </row>
    <row r="2275" spans="1:19" ht="30">
      <c r="A2275" s="8">
        <v>43345.663553240738</v>
      </c>
      <c r="B2275" s="11" t="str">
        <f>HYPERLINK("https://twitter.com/Tasnimnews_Fa","@Tasnimnews_Fa")</f>
        <v>@Tasnimnews_Fa</v>
      </c>
      <c r="C2275" s="6" t="s">
        <v>603</v>
      </c>
      <c r="D2275" s="5" t="s">
        <v>11033</v>
      </c>
      <c r="E2275" s="9" t="str">
        <f>HYPERLINK("https://twitter.com/Tasnimnews_Fa/status/1036213529370677250","1036213529370677250")</f>
        <v>1036213529370677250</v>
      </c>
      <c r="F2275" s="10" t="s">
        <v>11032</v>
      </c>
      <c r="G2275" s="10" t="s">
        <v>11031</v>
      </c>
      <c r="H2275" s="4"/>
      <c r="I2275" s="10" t="str">
        <f>HYPERLINK("http://twitter.com","Twitter Web Client")</f>
        <v>Twitter Web Client</v>
      </c>
      <c r="J2275" s="2">
        <v>109622</v>
      </c>
      <c r="K2275" s="2">
        <v>20</v>
      </c>
      <c r="L2275" s="2">
        <v>376</v>
      </c>
      <c r="M2275" s="2" t="s">
        <v>80</v>
      </c>
      <c r="N2275" s="8">
        <v>41868.671585648146</v>
      </c>
      <c r="O2275" s="4" t="s">
        <v>133</v>
      </c>
      <c r="P2275" s="3" t="s">
        <v>599</v>
      </c>
      <c r="Q2275" s="10" t="s">
        <v>598</v>
      </c>
      <c r="R2275" s="4"/>
      <c r="S2275" s="9" t="str">
        <f>HYPERLINK("https://pbs.twimg.com/profile_images/942003149430239232/hvLw_1_E.jpg","View")</f>
        <v>View</v>
      </c>
    </row>
    <row r="2276" spans="1:19" ht="20">
      <c r="A2276" s="8">
        <v>43345.663298611107</v>
      </c>
      <c r="B2276" s="11" t="str">
        <f>HYPERLINK("https://twitter.com/Milad1593","@Milad1593")</f>
        <v>@Milad1593</v>
      </c>
      <c r="C2276" s="6" t="s">
        <v>8935</v>
      </c>
      <c r="D2276" s="5" t="s">
        <v>11030</v>
      </c>
      <c r="E2276" s="9" t="str">
        <f>HYPERLINK("https://twitter.com/Milad1593/status/1036213435892215810","1036213435892215810")</f>
        <v>1036213435892215810</v>
      </c>
      <c r="F2276" s="4"/>
      <c r="G2276" s="4"/>
      <c r="H2276" s="4"/>
      <c r="I2276" s="10" t="str">
        <f>HYPERLINK("http://twitter.com/download/iphone","Twitter for iPhone")</f>
        <v>Twitter for iPhone</v>
      </c>
      <c r="J2276" s="2">
        <v>36</v>
      </c>
      <c r="K2276" s="2">
        <v>81</v>
      </c>
      <c r="L2276" s="2">
        <v>0</v>
      </c>
      <c r="M2276" s="2"/>
      <c r="N2276" s="8">
        <v>43111.919398148151</v>
      </c>
      <c r="O2276" s="4" t="s">
        <v>34</v>
      </c>
      <c r="P2276" s="3"/>
      <c r="Q2276" s="4"/>
      <c r="R2276" s="4"/>
      <c r="S2276" s="9" t="str">
        <f>HYPERLINK("https://pbs.twimg.com/profile_images/1034295646323449856/5CikDeKG.jpg","View")</f>
        <v>View</v>
      </c>
    </row>
    <row r="2277" spans="1:19" ht="40">
      <c r="A2277" s="8">
        <v>43345.662094907406</v>
      </c>
      <c r="B2277" s="11" t="str">
        <f>HYPERLINK("https://twitter.com/MarZZieH","@MarZZieH")</f>
        <v>@MarZZieH</v>
      </c>
      <c r="C2277" s="6" t="s">
        <v>11029</v>
      </c>
      <c r="D2277" s="5" t="s">
        <v>11028</v>
      </c>
      <c r="E2277" s="9" t="str">
        <f>HYPERLINK("https://twitter.com/MarZZieH/status/1036212998375919616","1036212998375919616")</f>
        <v>1036212998375919616</v>
      </c>
      <c r="F2277" s="4"/>
      <c r="G2277" s="4"/>
      <c r="H2277" s="4"/>
      <c r="I2277" s="10" t="str">
        <f>HYPERLINK("http://twitter.com/download/iphone","Twitter for iPhone")</f>
        <v>Twitter for iPhone</v>
      </c>
      <c r="J2277" s="2">
        <v>79</v>
      </c>
      <c r="K2277" s="2">
        <v>268</v>
      </c>
      <c r="L2277" s="2">
        <v>0</v>
      </c>
      <c r="M2277" s="2"/>
      <c r="N2277" s="8">
        <v>42879.978495370371</v>
      </c>
      <c r="O2277" s="4" t="s">
        <v>252</v>
      </c>
      <c r="P2277" s="3" t="s">
        <v>11027</v>
      </c>
      <c r="Q2277" s="4"/>
      <c r="R2277" s="4"/>
      <c r="S2277" s="9" t="str">
        <f>HYPERLINK("https://pbs.twimg.com/profile_images/949619507340902401/GyOjddwO.jpg","View")</f>
        <v>View</v>
      </c>
    </row>
    <row r="2278" spans="1:19" ht="20">
      <c r="A2278" s="8">
        <v>43345.659907407404</v>
      </c>
      <c r="B2278" s="11" t="str">
        <f>HYPERLINK("https://twitter.com/Naeimabadi_h","@Naeimabadi_h")</f>
        <v>@Naeimabadi_h</v>
      </c>
      <c r="C2278" s="6" t="s">
        <v>4982</v>
      </c>
      <c r="D2278" s="5" t="s">
        <v>11026</v>
      </c>
      <c r="E2278" s="9" t="str">
        <f>HYPERLINK("https://twitter.com/Naeimabadi_h/status/1036212207296622597","1036212207296622597")</f>
        <v>1036212207296622597</v>
      </c>
      <c r="F2278" s="4"/>
      <c r="G2278" s="4"/>
      <c r="H2278" s="4"/>
      <c r="I2278" s="10" t="str">
        <f>HYPERLINK("http://twitter.com/download/iphone","Twitter for iPhone")</f>
        <v>Twitter for iPhone</v>
      </c>
      <c r="J2278" s="2">
        <v>200</v>
      </c>
      <c r="K2278" s="2">
        <v>267</v>
      </c>
      <c r="L2278" s="2">
        <v>0</v>
      </c>
      <c r="M2278" s="2"/>
      <c r="N2278" s="8">
        <v>41000.825902777782</v>
      </c>
      <c r="O2278" s="4" t="s">
        <v>17</v>
      </c>
      <c r="P2278" s="3" t="s">
        <v>4979</v>
      </c>
      <c r="Q2278" s="4"/>
      <c r="R2278" s="4"/>
      <c r="S2278" s="9" t="str">
        <f>HYPERLINK("https://pbs.twimg.com/profile_images/990640974387908610/5-M2cY8h.jpg","View")</f>
        <v>View</v>
      </c>
    </row>
    <row r="2279" spans="1:19" ht="30">
      <c r="A2279" s="8">
        <v>43345.659618055557</v>
      </c>
      <c r="B2279" s="11" t="str">
        <f>HYPERLINK("https://twitter.com/farsinews3","@farsinews3")</f>
        <v>@farsinews3</v>
      </c>
      <c r="C2279" s="6" t="s">
        <v>5102</v>
      </c>
      <c r="D2279" s="5" t="s">
        <v>11023</v>
      </c>
      <c r="E2279" s="9" t="str">
        <f>HYPERLINK("https://twitter.com/farsinews3/status/1036212101684047872","1036212101684047872")</f>
        <v>1036212101684047872</v>
      </c>
      <c r="F2279" s="10" t="s">
        <v>11022</v>
      </c>
      <c r="G2279" s="10" t="s">
        <v>11025</v>
      </c>
      <c r="H2279" s="4"/>
      <c r="I2279" s="10" t="str">
        <f>HYPERLINK("http://publicize.wp.com/","WordPress.com")</f>
        <v>WordPress.com</v>
      </c>
      <c r="J2279" s="2">
        <v>1475</v>
      </c>
      <c r="K2279" s="2">
        <v>1452</v>
      </c>
      <c r="L2279" s="2">
        <v>5</v>
      </c>
      <c r="M2279" s="2"/>
      <c r="N2279" s="8">
        <v>42426.013043981482</v>
      </c>
      <c r="O2279" s="4" t="s">
        <v>5099</v>
      </c>
      <c r="P2279" s="3" t="s">
        <v>5098</v>
      </c>
      <c r="Q2279" s="10" t="s">
        <v>5097</v>
      </c>
      <c r="R2279" s="4"/>
      <c r="S2279" s="9" t="str">
        <f>HYPERLINK("https://pbs.twimg.com/profile_images/778683594751344641/oKGJDvSJ.jpg","View")</f>
        <v>View</v>
      </c>
    </row>
    <row r="2280" spans="1:19" ht="30">
      <c r="A2280" s="8">
        <v>43345.659594907411</v>
      </c>
      <c r="B2280" s="11" t="str">
        <f>HYPERLINK("https://twitter.com/kokchapress","@kokchapress")</f>
        <v>@kokchapress</v>
      </c>
      <c r="C2280" s="6" t="s">
        <v>11024</v>
      </c>
      <c r="D2280" s="5" t="s">
        <v>11023</v>
      </c>
      <c r="E2280" s="9" t="str">
        <f>HYPERLINK("https://twitter.com/kokchapress/status/1036212091882033153","1036212091882033153")</f>
        <v>1036212091882033153</v>
      </c>
      <c r="F2280" s="10" t="s">
        <v>11022</v>
      </c>
      <c r="G2280" s="10" t="s">
        <v>11021</v>
      </c>
      <c r="H2280" s="4"/>
      <c r="I2280" s="10" t="str">
        <f>HYPERLINK("http://publicize.wp.com/","WordPress.com")</f>
        <v>WordPress.com</v>
      </c>
      <c r="J2280" s="2">
        <v>7704</v>
      </c>
      <c r="K2280" s="2">
        <v>5629</v>
      </c>
      <c r="L2280" s="2">
        <v>13</v>
      </c>
      <c r="M2280" s="2"/>
      <c r="N2280" s="8">
        <v>40237.725416666668</v>
      </c>
      <c r="O2280" s="4" t="s">
        <v>11020</v>
      </c>
      <c r="P2280" s="3" t="s">
        <v>11019</v>
      </c>
      <c r="Q2280" s="10" t="s">
        <v>11018</v>
      </c>
      <c r="R2280" s="4"/>
      <c r="S2280" s="9" t="str">
        <f>HYPERLINK("https://pbs.twimg.com/profile_images/681931324719001600/FtAT-8wU.png","View")</f>
        <v>View</v>
      </c>
    </row>
    <row r="2281" spans="1:19" ht="20">
      <c r="A2281" s="8">
        <v>43345.658425925925</v>
      </c>
      <c r="B2281" s="11" t="str">
        <f>HYPERLINK("https://twitter.com/MorshediAmir","@MorshediAmir")</f>
        <v>@MorshediAmir</v>
      </c>
      <c r="C2281" s="6" t="s">
        <v>298</v>
      </c>
      <c r="D2281" s="5" t="s">
        <v>11017</v>
      </c>
      <c r="E2281" s="9" t="str">
        <f>HYPERLINK("https://twitter.com/MorshediAmir/status/1036211670207619072","1036211670207619072")</f>
        <v>1036211670207619072</v>
      </c>
      <c r="F2281" s="4"/>
      <c r="G2281" s="10" t="s">
        <v>11016</v>
      </c>
      <c r="H2281" s="4"/>
      <c r="I2281" s="10" t="str">
        <f>HYPERLINK("http://twitter.com/download/android","Twitter for Android")</f>
        <v>Twitter for Android</v>
      </c>
      <c r="J2281" s="2">
        <v>320</v>
      </c>
      <c r="K2281" s="2">
        <v>163</v>
      </c>
      <c r="L2281" s="2">
        <v>4</v>
      </c>
      <c r="M2281" s="2"/>
      <c r="N2281" s="8">
        <v>42358.495324074072</v>
      </c>
      <c r="O2281" s="4"/>
      <c r="P2281" s="3" t="s">
        <v>295</v>
      </c>
      <c r="Q2281" s="4"/>
      <c r="R2281" s="4"/>
      <c r="S2281" s="9" t="str">
        <f>HYPERLINK("https://pbs.twimg.com/profile_images/983670584361062401/wyBuDabl.jpg","View")</f>
        <v>View</v>
      </c>
    </row>
    <row r="2282" spans="1:19" ht="30">
      <c r="A2282" s="8">
        <v>43345.657175925924</v>
      </c>
      <c r="B2282" s="11" t="str">
        <f>HYPERLINK("https://twitter.com/Milad1593","@Milad1593")</f>
        <v>@Milad1593</v>
      </c>
      <c r="C2282" s="6" t="s">
        <v>8935</v>
      </c>
      <c r="D2282" s="5" t="s">
        <v>11015</v>
      </c>
      <c r="E2282" s="9" t="str">
        <f>HYPERLINK("https://twitter.com/Milad1593/status/1036211216954351617","1036211216954351617")</f>
        <v>1036211216954351617</v>
      </c>
      <c r="F2282" s="4"/>
      <c r="G2282" s="4"/>
      <c r="H2282" s="4"/>
      <c r="I2282" s="10" t="str">
        <f>HYPERLINK("http://twitter.com/download/iphone","Twitter for iPhone")</f>
        <v>Twitter for iPhone</v>
      </c>
      <c r="J2282" s="2">
        <v>36</v>
      </c>
      <c r="K2282" s="2">
        <v>81</v>
      </c>
      <c r="L2282" s="2">
        <v>0</v>
      </c>
      <c r="M2282" s="2"/>
      <c r="N2282" s="8">
        <v>43111.919398148151</v>
      </c>
      <c r="O2282" s="4" t="s">
        <v>34</v>
      </c>
      <c r="P2282" s="3"/>
      <c r="Q2282" s="4"/>
      <c r="R2282" s="4"/>
      <c r="S2282" s="9" t="str">
        <f>HYPERLINK("https://pbs.twimg.com/profile_images/1034295646323449856/5CikDeKG.jpg","View")</f>
        <v>View</v>
      </c>
    </row>
    <row r="2283" spans="1:19" ht="40">
      <c r="A2283" s="8">
        <v>43345.656030092592</v>
      </c>
      <c r="B2283" s="11" t="str">
        <f>HYPERLINK("https://twitter.com/a_rahimi_mp","@a_rahimi_mp")</f>
        <v>@a_rahimi_mp</v>
      </c>
      <c r="C2283" s="6" t="s">
        <v>10825</v>
      </c>
      <c r="D2283" s="5" t="s">
        <v>11014</v>
      </c>
      <c r="E2283" s="9" t="str">
        <f>HYPERLINK("https://twitter.com/a_rahimi_mp/status/1036210800527114240","1036210800527114240")</f>
        <v>1036210800527114240</v>
      </c>
      <c r="F2283" s="4"/>
      <c r="G2283" s="10" t="s">
        <v>11013</v>
      </c>
      <c r="H2283" s="4"/>
      <c r="I2283" s="10" t="str">
        <f>HYPERLINK("http://twitter.com/download/android","Twitter for Android")</f>
        <v>Twitter for Android</v>
      </c>
      <c r="J2283" s="2">
        <v>1399</v>
      </c>
      <c r="K2283" s="2">
        <v>49</v>
      </c>
      <c r="L2283" s="2">
        <v>26</v>
      </c>
      <c r="M2283" s="2"/>
      <c r="N2283" s="8">
        <v>43167.189513888894</v>
      </c>
      <c r="O2283" s="4" t="s">
        <v>10823</v>
      </c>
      <c r="P2283" s="3" t="s">
        <v>10822</v>
      </c>
      <c r="Q2283" s="4"/>
      <c r="R2283" s="4"/>
      <c r="S2283" s="9" t="str">
        <f>HYPERLINK("https://pbs.twimg.com/profile_images/971555233460604928/K3jKUQx3.jpg","View")</f>
        <v>View</v>
      </c>
    </row>
    <row r="2284" spans="1:19" ht="20">
      <c r="A2284" s="8">
        <v>43345.655439814815</v>
      </c>
      <c r="B2284" s="11" t="str">
        <f>HYPERLINK("https://twitter.com/kristianemampur","@kristianemampur")</f>
        <v>@kristianemampur</v>
      </c>
      <c r="C2284" s="6" t="s">
        <v>5459</v>
      </c>
      <c r="D2284" s="5" t="s">
        <v>11012</v>
      </c>
      <c r="E2284" s="9" t="str">
        <f>HYPERLINK("https://twitter.com/kristianemampur/status/1036210585304813568","1036210585304813568")</f>
        <v>1036210585304813568</v>
      </c>
      <c r="F2284" s="4"/>
      <c r="G2284" s="4"/>
      <c r="H2284" s="4"/>
      <c r="I2284" s="10" t="str">
        <f>HYPERLINK("http://twitter.com/download/iphone","Twitter for iPhone")</f>
        <v>Twitter for iPhone</v>
      </c>
      <c r="J2284" s="2">
        <v>4119</v>
      </c>
      <c r="K2284" s="2">
        <v>3659</v>
      </c>
      <c r="L2284" s="2">
        <v>1</v>
      </c>
      <c r="M2284" s="2"/>
      <c r="N2284" s="8">
        <v>43122.781817129631</v>
      </c>
      <c r="O2284" s="4" t="s">
        <v>5457</v>
      </c>
      <c r="P2284" s="3" t="s">
        <v>5456</v>
      </c>
      <c r="Q2284" s="4"/>
      <c r="R2284" s="4"/>
      <c r="S2284" s="9" t="str">
        <f>HYPERLINK("https://pbs.twimg.com/profile_images/1012894560085737474/3o1qo3c3.jpg","View")</f>
        <v>View</v>
      </c>
    </row>
    <row r="2285" spans="1:19" ht="40">
      <c r="A2285" s="8">
        <v>43345.653784722221</v>
      </c>
      <c r="B2285" s="11" t="str">
        <f>HYPERLINK("https://twitter.com/roushan1355","@roushan1355")</f>
        <v>@roushan1355</v>
      </c>
      <c r="C2285" s="6" t="s">
        <v>3689</v>
      </c>
      <c r="D2285" s="5" t="s">
        <v>11011</v>
      </c>
      <c r="E2285" s="9" t="str">
        <f>HYPERLINK("https://twitter.com/roushan1355/status/1036209988874784769","1036209988874784769")</f>
        <v>1036209988874784769</v>
      </c>
      <c r="F2285" s="4"/>
      <c r="G2285" s="4"/>
      <c r="H2285" s="4"/>
      <c r="I2285" s="10" t="str">
        <f>HYPERLINK("http://twitter.com/download/android","Twitter for Android")</f>
        <v>Twitter for Android</v>
      </c>
      <c r="J2285" s="2">
        <v>29</v>
      </c>
      <c r="K2285" s="2">
        <v>1</v>
      </c>
      <c r="L2285" s="2">
        <v>0</v>
      </c>
      <c r="M2285" s="2"/>
      <c r="N2285" s="8">
        <v>43115.077233796299</v>
      </c>
      <c r="O2285" s="4"/>
      <c r="P2285" s="3" t="s">
        <v>3687</v>
      </c>
      <c r="Q2285" s="4"/>
      <c r="R2285" s="4"/>
      <c r="S2285" s="9" t="str">
        <f>HYPERLINK("https://pbs.twimg.com/profile_images/1011494810727911427/aE8nO6RI.jpg","View")</f>
        <v>View</v>
      </c>
    </row>
    <row r="2286" spans="1:19" ht="30">
      <c r="A2286" s="8">
        <v>43345.65325231482</v>
      </c>
      <c r="B2286" s="11" t="str">
        <f>HYPERLINK("https://twitter.com/SMPrfa","@SMPrfa")</f>
        <v>@SMPrfa</v>
      </c>
      <c r="C2286" s="6" t="s">
        <v>6431</v>
      </c>
      <c r="D2286" s="5" t="s">
        <v>11010</v>
      </c>
      <c r="E2286" s="9" t="str">
        <f>HYPERLINK("https://twitter.com/SMPrfa/status/1036209794712055809","1036209794712055809")</f>
        <v>1036209794712055809</v>
      </c>
      <c r="F2286" s="4"/>
      <c r="G2286" s="4"/>
      <c r="H2286" s="4"/>
      <c r="I2286" s="10" t="str">
        <f>HYPERLINK("http://twitter.com/download/android","Twitter for Android")</f>
        <v>Twitter for Android</v>
      </c>
      <c r="J2286" s="2">
        <v>510</v>
      </c>
      <c r="K2286" s="2">
        <v>477</v>
      </c>
      <c r="L2286" s="2">
        <v>1</v>
      </c>
      <c r="M2286" s="2"/>
      <c r="N2286" s="8">
        <v>41640.805601851855</v>
      </c>
      <c r="O2286" s="4" t="s">
        <v>324</v>
      </c>
      <c r="P2286" s="3" t="s">
        <v>6429</v>
      </c>
      <c r="Q2286" s="4"/>
      <c r="R2286" s="4"/>
      <c r="S2286" s="9" t="str">
        <f>HYPERLINK("https://pbs.twimg.com/profile_images/1031346454550462464/qwjTVq8Q.jpg","View")</f>
        <v>View</v>
      </c>
    </row>
    <row r="2287" spans="1:19" ht="20">
      <c r="A2287" s="8">
        <v>43345.653194444443</v>
      </c>
      <c r="B2287" s="11" t="str">
        <f>HYPERLINK("https://twitter.com/Milad1593","@Milad1593")</f>
        <v>@Milad1593</v>
      </c>
      <c r="C2287" s="6" t="s">
        <v>8935</v>
      </c>
      <c r="D2287" s="5" t="s">
        <v>11009</v>
      </c>
      <c r="E2287" s="9" t="str">
        <f>HYPERLINK("https://twitter.com/Milad1593/status/1036209772712919042","1036209772712919042")</f>
        <v>1036209772712919042</v>
      </c>
      <c r="F2287" s="4"/>
      <c r="G2287" s="4"/>
      <c r="H2287" s="4"/>
      <c r="I2287" s="10" t="str">
        <f>HYPERLINK("http://twitter.com/download/iphone","Twitter for iPhone")</f>
        <v>Twitter for iPhone</v>
      </c>
      <c r="J2287" s="2">
        <v>36</v>
      </c>
      <c r="K2287" s="2">
        <v>81</v>
      </c>
      <c r="L2287" s="2">
        <v>0</v>
      </c>
      <c r="M2287" s="2"/>
      <c r="N2287" s="8">
        <v>43111.919398148151</v>
      </c>
      <c r="O2287" s="4" t="s">
        <v>34</v>
      </c>
      <c r="P2287" s="3"/>
      <c r="Q2287" s="4"/>
      <c r="R2287" s="4"/>
      <c r="S2287" s="9" t="str">
        <f>HYPERLINK("https://pbs.twimg.com/profile_images/1034295646323449856/5CikDeKG.jpg","View")</f>
        <v>View</v>
      </c>
    </row>
    <row r="2288" spans="1:19" ht="30">
      <c r="A2288" s="8">
        <v>43345.652141203704</v>
      </c>
      <c r="B2288" s="11" t="str">
        <f>HYPERLINK("https://twitter.com/ZftkKyB7oQ3ewT1","@ZftkKyB7oQ3ewT1")</f>
        <v>@ZftkKyB7oQ3ewT1</v>
      </c>
      <c r="C2288" s="6" t="s">
        <v>3114</v>
      </c>
      <c r="D2288" s="5" t="s">
        <v>11008</v>
      </c>
      <c r="E2288" s="9" t="str">
        <f>HYPERLINK("https://twitter.com/ZftkKyB7oQ3ewT1/status/1036209390041395201","1036209390041395201")</f>
        <v>1036209390041395201</v>
      </c>
      <c r="F2288" s="4"/>
      <c r="G2288" s="4"/>
      <c r="H2288" s="4"/>
      <c r="I2288" s="10" t="str">
        <f>HYPERLINK("http://twitter.com/download/android","Twitter for Android")</f>
        <v>Twitter for Android</v>
      </c>
      <c r="J2288" s="2">
        <v>36</v>
      </c>
      <c r="K2288" s="2">
        <v>75</v>
      </c>
      <c r="L2288" s="2">
        <v>0</v>
      </c>
      <c r="M2288" s="2"/>
      <c r="N2288" s="8">
        <v>43331.775717592594</v>
      </c>
      <c r="O2288" s="4"/>
      <c r="P2288" s="3"/>
      <c r="Q2288" s="4"/>
      <c r="R2288" s="4"/>
      <c r="S2288" s="2" t="s">
        <v>155</v>
      </c>
    </row>
    <row r="2289" spans="1:19" ht="20">
      <c r="A2289" s="8">
        <v>43345.65111111111</v>
      </c>
      <c r="B2289" s="11" t="str">
        <f>HYPERLINK("https://twitter.com/Fnews_Persian","@Fnews_Persian")</f>
        <v>@Fnews_Persian</v>
      </c>
      <c r="C2289" s="6" t="s">
        <v>919</v>
      </c>
      <c r="D2289" s="5" t="s">
        <v>11007</v>
      </c>
      <c r="E2289" s="9" t="str">
        <f>HYPERLINK("https://twitter.com/Fnews_Persian/status/1036209016664477696","1036209016664477696")</f>
        <v>1036209016664477696</v>
      </c>
      <c r="F2289" s="4"/>
      <c r="G2289" s="10" t="s">
        <v>11006</v>
      </c>
      <c r="H2289" s="4"/>
      <c r="I2289" s="10" t="str">
        <f>HYPERLINK("http://twitter.com","Twitter Web Client")</f>
        <v>Twitter Web Client</v>
      </c>
      <c r="J2289" s="2">
        <v>58363</v>
      </c>
      <c r="K2289" s="2">
        <v>8</v>
      </c>
      <c r="L2289" s="2">
        <v>9</v>
      </c>
      <c r="M2289" s="2"/>
      <c r="N2289" s="8">
        <v>42445.668726851851</v>
      </c>
      <c r="O2289" s="4" t="s">
        <v>916</v>
      </c>
      <c r="P2289" s="3" t="s">
        <v>915</v>
      </c>
      <c r="Q2289" s="10" t="s">
        <v>9016</v>
      </c>
      <c r="R2289" s="4"/>
      <c r="S2289" s="9" t="str">
        <f>HYPERLINK("https://pbs.twimg.com/profile_images/962248284151734272/-yEY7hhB.jpg","View")</f>
        <v>View</v>
      </c>
    </row>
    <row r="2290" spans="1:19" ht="30">
      <c r="A2290" s="8">
        <v>43345.65042824074</v>
      </c>
      <c r="B2290" s="11" t="str">
        <f>HYPERLINK("https://twitter.com/mohammad1908","@mohammad1908")</f>
        <v>@mohammad1908</v>
      </c>
      <c r="C2290" s="6" t="s">
        <v>2549</v>
      </c>
      <c r="D2290" s="5" t="s">
        <v>11005</v>
      </c>
      <c r="E2290" s="9" t="str">
        <f>HYPERLINK("https://twitter.com/mohammad1908/status/1036208771016445952","1036208771016445952")</f>
        <v>1036208771016445952</v>
      </c>
      <c r="F2290" s="4"/>
      <c r="G2290" s="4"/>
      <c r="H2290" s="4"/>
      <c r="I2290" s="10" t="str">
        <f>HYPERLINK("http://twitter.com/download/iphone","Twitter for iPhone")</f>
        <v>Twitter for iPhone</v>
      </c>
      <c r="J2290" s="2">
        <v>90</v>
      </c>
      <c r="K2290" s="2">
        <v>141</v>
      </c>
      <c r="L2290" s="2">
        <v>2</v>
      </c>
      <c r="M2290" s="2"/>
      <c r="N2290" s="8">
        <v>40998.572083333333</v>
      </c>
      <c r="O2290" s="4" t="s">
        <v>34</v>
      </c>
      <c r="P2290" s="3" t="s">
        <v>11004</v>
      </c>
      <c r="Q2290" s="4"/>
      <c r="R2290" s="4"/>
      <c r="S2290" s="9" t="str">
        <f>HYPERLINK("https://pbs.twimg.com/profile_images/698054305706852353/zsvD1zJV.jpg","View")</f>
        <v>View</v>
      </c>
    </row>
    <row r="2291" spans="1:19" ht="12.5">
      <c r="A2291" s="8">
        <v>43345.649965277778</v>
      </c>
      <c r="B2291" s="11" t="str">
        <f>HYPERLINK("https://twitter.com/rezalhamy","@rezalhamy")</f>
        <v>@rezalhamy</v>
      </c>
      <c r="C2291" s="6" t="s">
        <v>3756</v>
      </c>
      <c r="D2291" s="5" t="s">
        <v>11003</v>
      </c>
      <c r="E2291" s="9" t="str">
        <f>HYPERLINK("https://twitter.com/rezalhamy/status/1036208603106091010","1036208603106091010")</f>
        <v>1036208603106091010</v>
      </c>
      <c r="F2291" s="4"/>
      <c r="G2291" s="4"/>
      <c r="H2291" s="4"/>
      <c r="I2291" s="10" t="str">
        <f>HYPERLINK("http://twitter.com/download/android","Twitter for Android")</f>
        <v>Twitter for Android</v>
      </c>
      <c r="J2291" s="2">
        <v>5</v>
      </c>
      <c r="K2291" s="2">
        <v>16</v>
      </c>
      <c r="L2291" s="2">
        <v>0</v>
      </c>
      <c r="M2291" s="2"/>
      <c r="N2291" s="8">
        <v>41943.607986111107</v>
      </c>
      <c r="O2291" s="4" t="s">
        <v>3754</v>
      </c>
      <c r="P2291" s="3" t="s">
        <v>3753</v>
      </c>
      <c r="Q2291" s="4"/>
      <c r="R2291" s="4"/>
      <c r="S2291" s="9" t="str">
        <f>HYPERLINK("https://pbs.twimg.com/profile_images/1030384306814894080/leQabFh1.jpg","View")</f>
        <v>View</v>
      </c>
    </row>
    <row r="2292" spans="1:19" ht="60">
      <c r="A2292" s="8">
        <v>43345.649629629625</v>
      </c>
      <c r="B2292" s="11" t="str">
        <f>HYPERLINK("https://twitter.com/Mostafa87374824","@Mostafa87374824")</f>
        <v>@Mostafa87374824</v>
      </c>
      <c r="C2292" s="6" t="s">
        <v>5401</v>
      </c>
      <c r="D2292" s="5" t="s">
        <v>11002</v>
      </c>
      <c r="E2292" s="9" t="str">
        <f>HYPERLINK("https://twitter.com/Mostafa87374824/status/1036208480175235072","1036208480175235072")</f>
        <v>1036208480175235072</v>
      </c>
      <c r="F2292" s="10" t="s">
        <v>11001</v>
      </c>
      <c r="G2292" s="10" t="s">
        <v>11000</v>
      </c>
      <c r="H2292" s="4"/>
      <c r="I2292" s="10" t="str">
        <f>HYPERLINK("http://twitter.com/download/iphone","Twitter for iPhone")</f>
        <v>Twitter for iPhone</v>
      </c>
      <c r="J2292" s="2">
        <v>220</v>
      </c>
      <c r="K2292" s="2">
        <v>269</v>
      </c>
      <c r="L2292" s="2">
        <v>0</v>
      </c>
      <c r="M2292" s="2"/>
      <c r="N2292" s="8">
        <v>42973.065324074079</v>
      </c>
      <c r="O2292" s="4" t="s">
        <v>5398</v>
      </c>
      <c r="P2292" s="3" t="s">
        <v>5397</v>
      </c>
      <c r="Q2292" s="4"/>
      <c r="R2292" s="4"/>
      <c r="S2292" s="9" t="str">
        <f>HYPERLINK("https://pbs.twimg.com/profile_images/1033940921124089856/y5NOKTry.jpg","View")</f>
        <v>View</v>
      </c>
    </row>
    <row r="2293" spans="1:19" ht="20">
      <c r="A2293" s="8">
        <v>43345.643333333333</v>
      </c>
      <c r="B2293" s="11" t="str">
        <f>HYPERLINK("https://twitter.com/mamali3650","@mamali3650")</f>
        <v>@mamali3650</v>
      </c>
      <c r="C2293" s="6" t="s">
        <v>10999</v>
      </c>
      <c r="D2293" s="5" t="s">
        <v>10998</v>
      </c>
      <c r="E2293" s="9" t="str">
        <f>HYPERLINK("https://twitter.com/mamali3650/status/1036206199748939776","1036206199748939776")</f>
        <v>1036206199748939776</v>
      </c>
      <c r="F2293" s="4"/>
      <c r="G2293" s="4"/>
      <c r="H2293" s="4"/>
      <c r="I2293" s="10" t="str">
        <f>HYPERLINK("http://twitter.com/download/iphone","Twitter for iPhone")</f>
        <v>Twitter for iPhone</v>
      </c>
      <c r="J2293" s="2">
        <v>5</v>
      </c>
      <c r="K2293" s="2">
        <v>41</v>
      </c>
      <c r="L2293" s="2">
        <v>0</v>
      </c>
      <c r="M2293" s="2"/>
      <c r="N2293" s="8">
        <v>42453.732314814813</v>
      </c>
      <c r="O2293" s="4"/>
      <c r="P2293" s="3" t="s">
        <v>10997</v>
      </c>
      <c r="Q2293" s="4"/>
      <c r="R2293" s="4"/>
      <c r="S2293" s="9" t="str">
        <f>HYPERLINK("https://pbs.twimg.com/profile_images/1006514222585532416/ffP4kh0k.jpg","View")</f>
        <v>View</v>
      </c>
    </row>
    <row r="2294" spans="1:19" ht="20">
      <c r="A2294" s="8">
        <v>43345.643009259264</v>
      </c>
      <c r="B2294" s="11" t="str">
        <f>HYPERLINK("https://twitter.com/masoudasadi67","@masoudasadi67")</f>
        <v>@masoudasadi67</v>
      </c>
      <c r="C2294" s="6" t="s">
        <v>10996</v>
      </c>
      <c r="D2294" s="5" t="s">
        <v>10995</v>
      </c>
      <c r="E2294" s="9" t="str">
        <f>HYPERLINK("https://twitter.com/masoudasadi67/status/1036206081670832128","1036206081670832128")</f>
        <v>1036206081670832128</v>
      </c>
      <c r="F2294" s="4"/>
      <c r="G2294" s="4"/>
      <c r="H2294" s="4"/>
      <c r="I2294" s="10" t="str">
        <f>HYPERLINK("http://twitter.com/download/android","Twitter for Android")</f>
        <v>Twitter for Android</v>
      </c>
      <c r="J2294" s="2">
        <v>911</v>
      </c>
      <c r="K2294" s="2">
        <v>948</v>
      </c>
      <c r="L2294" s="2">
        <v>3</v>
      </c>
      <c r="M2294" s="2"/>
      <c r="N2294" s="8">
        <v>43285.680798611109</v>
      </c>
      <c r="O2294" s="4"/>
      <c r="P2294" s="3" t="s">
        <v>10994</v>
      </c>
      <c r="Q2294" s="4"/>
      <c r="R2294" s="4"/>
      <c r="S2294" s="9" t="str">
        <f>HYPERLINK("https://pbs.twimg.com/profile_images/1022476071168552960/71AT3Uf3.jpg","View")</f>
        <v>View</v>
      </c>
    </row>
    <row r="2295" spans="1:19" ht="30">
      <c r="A2295" s="8">
        <v>43345.641909722224</v>
      </c>
      <c r="B2295" s="11" t="str">
        <f>HYPERLINK("https://twitter.com/Tasnimnews_Fa","@Tasnimnews_Fa")</f>
        <v>@Tasnimnews_Fa</v>
      </c>
      <c r="C2295" s="6" t="s">
        <v>603</v>
      </c>
      <c r="D2295" s="5" t="s">
        <v>10993</v>
      </c>
      <c r="E2295" s="9" t="str">
        <f>HYPERLINK("https://twitter.com/Tasnimnews_Fa/status/1036205684696723458","1036205684696723458")</f>
        <v>1036205684696723458</v>
      </c>
      <c r="F2295" s="10" t="s">
        <v>10992</v>
      </c>
      <c r="G2295" s="10" t="s">
        <v>10991</v>
      </c>
      <c r="H2295" s="4"/>
      <c r="I2295" s="10" t="str">
        <f>HYPERLINK("http://twitter.com","Twitter Web Client")</f>
        <v>Twitter Web Client</v>
      </c>
      <c r="J2295" s="2">
        <v>109622</v>
      </c>
      <c r="K2295" s="2">
        <v>20</v>
      </c>
      <c r="L2295" s="2">
        <v>376</v>
      </c>
      <c r="M2295" s="2" t="s">
        <v>80</v>
      </c>
      <c r="N2295" s="8">
        <v>41868.671585648146</v>
      </c>
      <c r="O2295" s="4" t="s">
        <v>133</v>
      </c>
      <c r="P2295" s="3" t="s">
        <v>599</v>
      </c>
      <c r="Q2295" s="10" t="s">
        <v>598</v>
      </c>
      <c r="R2295" s="4"/>
      <c r="S2295" s="9" t="str">
        <f>HYPERLINK("https://pbs.twimg.com/profile_images/942003149430239232/hvLw_1_E.jpg","View")</f>
        <v>View</v>
      </c>
    </row>
    <row r="2296" spans="1:19" ht="30">
      <c r="A2296" s="8">
        <v>43345.640798611115</v>
      </c>
      <c r="B2296" s="11" t="str">
        <f>HYPERLINK("https://twitter.com/ManotoNews","@ManotoNews")</f>
        <v>@ManotoNews</v>
      </c>
      <c r="C2296" s="6" t="s">
        <v>1174</v>
      </c>
      <c r="D2296" s="5" t="s">
        <v>10990</v>
      </c>
      <c r="E2296" s="9" t="str">
        <f>HYPERLINK("https://twitter.com/ManotoNews/status/1036205281687035904","1036205281687035904")</f>
        <v>1036205281687035904</v>
      </c>
      <c r="F2296" s="4"/>
      <c r="G2296" s="4"/>
      <c r="H2296" s="4"/>
      <c r="I2296" s="10" t="str">
        <f>HYPERLINK("http://www.socialflow.com","SocialFlow")</f>
        <v>SocialFlow</v>
      </c>
      <c r="J2296" s="2">
        <v>447754</v>
      </c>
      <c r="K2296" s="2">
        <v>17</v>
      </c>
      <c r="L2296" s="2">
        <v>617</v>
      </c>
      <c r="M2296" s="2" t="s">
        <v>80</v>
      </c>
      <c r="N2296" s="8">
        <v>40859.711631944447</v>
      </c>
      <c r="O2296" s="4" t="s">
        <v>460</v>
      </c>
      <c r="P2296" s="3" t="s">
        <v>1171</v>
      </c>
      <c r="Q2296" s="10" t="s">
        <v>1170</v>
      </c>
      <c r="R2296" s="4"/>
      <c r="S2296" s="9" t="str">
        <f>HYPERLINK("https://pbs.twimg.com/profile_images/976899507744051201/07FIeivp.jpg","View")</f>
        <v>View</v>
      </c>
    </row>
    <row r="2297" spans="1:19" ht="40">
      <c r="A2297" s="8">
        <v>43345.640671296293</v>
      </c>
      <c r="B2297" s="11" t="str">
        <f>HYPERLINK("https://twitter.com/Gavaazn","@Gavaazn")</f>
        <v>@Gavaazn</v>
      </c>
      <c r="C2297" s="6" t="s">
        <v>7229</v>
      </c>
      <c r="D2297" s="5" t="s">
        <v>10989</v>
      </c>
      <c r="E2297" s="9" t="str">
        <f>HYPERLINK("https://twitter.com/Gavaazn/status/1036205235096707072","1036205235096707072")</f>
        <v>1036205235096707072</v>
      </c>
      <c r="F2297" s="10" t="s">
        <v>10988</v>
      </c>
      <c r="G2297" s="4"/>
      <c r="H2297" s="4"/>
      <c r="I2297" s="10" t="str">
        <f>HYPERLINK("http://twitter.com/download/android","Twitter for Android")</f>
        <v>Twitter for Android</v>
      </c>
      <c r="J2297" s="2">
        <v>27508</v>
      </c>
      <c r="K2297" s="2">
        <v>173</v>
      </c>
      <c r="L2297" s="2">
        <v>93</v>
      </c>
      <c r="M2297" s="2"/>
      <c r="N2297" s="8">
        <v>40597.545011574075</v>
      </c>
      <c r="O2297" s="4" t="s">
        <v>7227</v>
      </c>
      <c r="P2297" s="3" t="s">
        <v>7226</v>
      </c>
      <c r="Q2297" s="4"/>
      <c r="R2297" s="4"/>
      <c r="S2297" s="9" t="str">
        <f>HYPERLINK("https://pbs.twimg.com/profile_images/1013293995919802369/ef_hQ1Lm.jpg","View")</f>
        <v>View</v>
      </c>
    </row>
    <row r="2298" spans="1:19" ht="20">
      <c r="A2298" s="8">
        <v>43345.639421296291</v>
      </c>
      <c r="B2298" s="11" t="str">
        <f>HYPERLINK("https://twitter.com/ilnanews","@ilnanews")</f>
        <v>@ilnanews</v>
      </c>
      <c r="C2298" s="6" t="s">
        <v>6413</v>
      </c>
      <c r="D2298" s="5" t="s">
        <v>10987</v>
      </c>
      <c r="E2298" s="9" t="str">
        <f>HYPERLINK("https://twitter.com/ilnanews/status/1036204783353376768","1036204783353376768")</f>
        <v>1036204783353376768</v>
      </c>
      <c r="F2298" s="10" t="s">
        <v>10986</v>
      </c>
      <c r="G2298" s="10" t="s">
        <v>10985</v>
      </c>
      <c r="H2298" s="4"/>
      <c r="I2298" s="10" t="str">
        <f>HYPERLINK("http://twitter.com/download/android","Twitter for Android")</f>
        <v>Twitter for Android</v>
      </c>
      <c r="J2298" s="2">
        <v>32362</v>
      </c>
      <c r="K2298" s="2">
        <v>67</v>
      </c>
      <c r="L2298" s="2">
        <v>160</v>
      </c>
      <c r="M2298" s="2"/>
      <c r="N2298" s="8">
        <v>42062.024768518517</v>
      </c>
      <c r="O2298" s="4" t="s">
        <v>34</v>
      </c>
      <c r="P2298" s="3" t="s">
        <v>6409</v>
      </c>
      <c r="Q2298" s="10" t="s">
        <v>6408</v>
      </c>
      <c r="R2298" s="4"/>
      <c r="S2298" s="9" t="str">
        <f>HYPERLINK("https://pbs.twimg.com/profile_images/760387216782848000/TS1QyYLo.jpg","View")</f>
        <v>View</v>
      </c>
    </row>
    <row r="2299" spans="1:19" ht="12.5">
      <c r="A2299" s="8">
        <v>43345.638541666667</v>
      </c>
      <c r="B2299" s="11" t="str">
        <f>HYPERLINK("https://twitter.com/nihoon1990","@nihoon1990")</f>
        <v>@nihoon1990</v>
      </c>
      <c r="C2299" s="6" t="s">
        <v>1915</v>
      </c>
      <c r="D2299" s="5" t="s">
        <v>10984</v>
      </c>
      <c r="E2299" s="9" t="str">
        <f>HYPERLINK("https://twitter.com/nihoon1990/status/1036204463957180419","1036204463957180419")</f>
        <v>1036204463957180419</v>
      </c>
      <c r="F2299" s="4"/>
      <c r="G2299" s="4"/>
      <c r="H2299" s="4"/>
      <c r="I2299" s="10" t="str">
        <f>HYPERLINK("http://twitter.com/download/android","Twitter for Android")</f>
        <v>Twitter for Android</v>
      </c>
      <c r="J2299" s="2">
        <v>916</v>
      </c>
      <c r="K2299" s="2">
        <v>1116</v>
      </c>
      <c r="L2299" s="2">
        <v>3</v>
      </c>
      <c r="M2299" s="2"/>
      <c r="N2299" s="8">
        <v>41196.106006944443</v>
      </c>
      <c r="O2299" s="4" t="s">
        <v>1415</v>
      </c>
      <c r="P2299" s="3" t="s">
        <v>1913</v>
      </c>
      <c r="Q2299" s="4"/>
      <c r="R2299" s="4"/>
      <c r="S2299" s="9" t="str">
        <f>HYPERLINK("https://pbs.twimg.com/profile_images/982159681123569664/6uBkcpoK.jpg","View")</f>
        <v>View</v>
      </c>
    </row>
    <row r="2300" spans="1:19" ht="40">
      <c r="A2300" s="8">
        <v>43345.636967592596</v>
      </c>
      <c r="B2300" s="11" t="str">
        <f>HYPERLINK("https://twitter.com/hamshahrinews","@hamshahrinews")</f>
        <v>@hamshahrinews</v>
      </c>
      <c r="C2300" s="6" t="s">
        <v>2149</v>
      </c>
      <c r="D2300" s="5" t="s">
        <v>10983</v>
      </c>
      <c r="E2300" s="9" t="str">
        <f>HYPERLINK("https://twitter.com/hamshahrinews/status/1036203894702067712","1036203894702067712")</f>
        <v>1036203894702067712</v>
      </c>
      <c r="F2300" s="10" t="s">
        <v>10982</v>
      </c>
      <c r="G2300" s="4"/>
      <c r="H2300" s="4"/>
      <c r="I2300" s="10" t="str">
        <f>HYPERLINK("http://twitter.com","Twitter Web Client")</f>
        <v>Twitter Web Client</v>
      </c>
      <c r="J2300" s="2">
        <v>1892</v>
      </c>
      <c r="K2300" s="2">
        <v>13</v>
      </c>
      <c r="L2300" s="2">
        <v>36</v>
      </c>
      <c r="M2300" s="2"/>
      <c r="N2300" s="8">
        <v>42984.575752314813</v>
      </c>
      <c r="O2300" s="4" t="s">
        <v>133</v>
      </c>
      <c r="P2300" s="3" t="s">
        <v>2146</v>
      </c>
      <c r="Q2300" s="10" t="s">
        <v>2145</v>
      </c>
      <c r="R2300" s="4"/>
      <c r="S2300" s="9" t="str">
        <f>HYPERLINK("https://pbs.twimg.com/profile_images/918008480631533568/-awyAU90.jpg","View")</f>
        <v>View</v>
      </c>
    </row>
    <row r="2301" spans="1:19" ht="40">
      <c r="A2301" s="8">
        <v>43345.632685185185</v>
      </c>
      <c r="B2301" s="11" t="str">
        <f>HYPERLINK("https://twitter.com/RafatiSiavash","@RafatiSiavash")</f>
        <v>@RafatiSiavash</v>
      </c>
      <c r="C2301" s="6" t="s">
        <v>3226</v>
      </c>
      <c r="D2301" s="5" t="s">
        <v>10981</v>
      </c>
      <c r="E2301" s="9" t="str">
        <f>HYPERLINK("https://twitter.com/RafatiSiavash/status/1036202340779479040","1036202340779479040")</f>
        <v>1036202340779479040</v>
      </c>
      <c r="F2301" s="10" t="s">
        <v>10980</v>
      </c>
      <c r="G2301" s="10" t="s">
        <v>10979</v>
      </c>
      <c r="H2301" s="4"/>
      <c r="I2301" s="10" t="str">
        <f>HYPERLINK("http://twitter.com","Twitter Web Client")</f>
        <v>Twitter Web Client</v>
      </c>
      <c r="J2301" s="2">
        <v>288</v>
      </c>
      <c r="K2301" s="2">
        <v>230</v>
      </c>
      <c r="L2301" s="2">
        <v>87</v>
      </c>
      <c r="M2301" s="2"/>
      <c r="N2301" s="8">
        <v>41050.769884259258</v>
      </c>
      <c r="O2301" s="4"/>
      <c r="P2301" s="3" t="s">
        <v>3223</v>
      </c>
      <c r="Q2301" s="10" t="s">
        <v>3222</v>
      </c>
      <c r="R2301" s="4"/>
      <c r="S2301" s="9" t="str">
        <f>HYPERLINK("https://pbs.twimg.com/profile_images/821385868690751488/Qqe0I1Bk.jpg","View")</f>
        <v>View</v>
      </c>
    </row>
    <row r="2302" spans="1:19" ht="60">
      <c r="A2302" s="8">
        <v>43345.632187499999</v>
      </c>
      <c r="B2302" s="11" t="str">
        <f>HYPERLINK("https://twitter.com/AminHadjaran","@AminHadjaran")</f>
        <v>@AminHadjaran</v>
      </c>
      <c r="C2302" s="6" t="s">
        <v>10978</v>
      </c>
      <c r="D2302" s="5" t="s">
        <v>10977</v>
      </c>
      <c r="E2302" s="9" t="str">
        <f>HYPERLINK("https://twitter.com/AminHadjaran/status/1036202161015648256","1036202161015648256")</f>
        <v>1036202161015648256</v>
      </c>
      <c r="F2302" s="4" t="s">
        <v>10976</v>
      </c>
      <c r="G2302" s="10" t="s">
        <v>10975</v>
      </c>
      <c r="H2302" s="4"/>
      <c r="I2302" s="10" t="str">
        <f>HYPERLINK("http://twitter.com/download/android","Twitter for Android")</f>
        <v>Twitter for Android</v>
      </c>
      <c r="J2302" s="2">
        <v>390</v>
      </c>
      <c r="K2302" s="2">
        <v>766</v>
      </c>
      <c r="L2302" s="2">
        <v>0</v>
      </c>
      <c r="M2302" s="2"/>
      <c r="N2302" s="8">
        <v>41117.348877314813</v>
      </c>
      <c r="O2302" s="4" t="s">
        <v>10974</v>
      </c>
      <c r="P2302" s="3" t="s">
        <v>10973</v>
      </c>
      <c r="Q2302" s="4"/>
      <c r="R2302" s="4"/>
      <c r="S2302" s="9" t="str">
        <f>HYPERLINK("https://pbs.twimg.com/profile_images/969218378354147330/t_rJAwMF.jpg","View")</f>
        <v>View</v>
      </c>
    </row>
    <row r="2303" spans="1:19" ht="40">
      <c r="A2303" s="8">
        <v>43345.630590277782</v>
      </c>
      <c r="B2303" s="11" t="str">
        <f>HYPERLINK("https://twitter.com/nazokbin_ir","@nazokbin_ir")</f>
        <v>@nazokbin_ir</v>
      </c>
      <c r="C2303" s="6" t="s">
        <v>3320</v>
      </c>
      <c r="D2303" s="5" t="s">
        <v>10972</v>
      </c>
      <c r="E2303" s="9" t="str">
        <f>HYPERLINK("https://twitter.com/nazokbin_ir/status/1036201583585853441","1036201583585853441")</f>
        <v>1036201583585853441</v>
      </c>
      <c r="F2303" s="4"/>
      <c r="G2303" s="4"/>
      <c r="H2303" s="4"/>
      <c r="I2303" s="10" t="str">
        <f>HYPERLINK("http://twitter.com/download/android","Twitter for Android")</f>
        <v>Twitter for Android</v>
      </c>
      <c r="J2303" s="2">
        <v>1216</v>
      </c>
      <c r="K2303" s="2">
        <v>376</v>
      </c>
      <c r="L2303" s="2">
        <v>8</v>
      </c>
      <c r="M2303" s="2"/>
      <c r="N2303" s="8">
        <v>42611.051342592589</v>
      </c>
      <c r="O2303" s="4" t="s">
        <v>3318</v>
      </c>
      <c r="P2303" s="3" t="s">
        <v>3317</v>
      </c>
      <c r="Q2303" s="10" t="s">
        <v>3316</v>
      </c>
      <c r="R2303" s="4"/>
      <c r="S2303" s="9" t="str">
        <f>HYPERLINK("https://pbs.twimg.com/profile_images/1031286238190481408/PGc2v3cw.jpg","View")</f>
        <v>View</v>
      </c>
    </row>
    <row r="2304" spans="1:19" ht="50">
      <c r="A2304" s="8">
        <v>43345.629849537036</v>
      </c>
      <c r="B2304" s="11" t="str">
        <f>HYPERLINK("https://twitter.com/Amin_mosavi73","@Amin_mosavi73")</f>
        <v>@Amin_mosavi73</v>
      </c>
      <c r="C2304" s="6" t="s">
        <v>10971</v>
      </c>
      <c r="D2304" s="5" t="s">
        <v>10970</v>
      </c>
      <c r="E2304" s="9" t="str">
        <f>HYPERLINK("https://twitter.com/Amin_mosavi73/status/1036201312042594304","1036201312042594304")</f>
        <v>1036201312042594304</v>
      </c>
      <c r="F2304" s="4" t="s">
        <v>10969</v>
      </c>
      <c r="G2304" s="10" t="s">
        <v>10787</v>
      </c>
      <c r="H2304" s="4"/>
      <c r="I2304" s="10" t="str">
        <f>HYPERLINK("http://twitter.com/download/android","Twitter for Android")</f>
        <v>Twitter for Android</v>
      </c>
      <c r="J2304" s="2">
        <v>3036</v>
      </c>
      <c r="K2304" s="2">
        <v>2717</v>
      </c>
      <c r="L2304" s="2">
        <v>2</v>
      </c>
      <c r="M2304" s="2"/>
      <c r="N2304" s="8">
        <v>42571.98373842593</v>
      </c>
      <c r="O2304" s="4"/>
      <c r="P2304" s="3" t="s">
        <v>10968</v>
      </c>
      <c r="Q2304" s="4"/>
      <c r="R2304" s="4"/>
      <c r="S2304" s="9" t="str">
        <f>HYPERLINK("https://pbs.twimg.com/profile_images/1031623791896612866/TujCJo8B.jpg","View")</f>
        <v>View</v>
      </c>
    </row>
    <row r="2305" spans="1:19" ht="20">
      <c r="A2305" s="8">
        <v>43345.628553240742</v>
      </c>
      <c r="B2305" s="11" t="str">
        <f>HYPERLINK("https://twitter.com/asad_1317131","@asad_1317131")</f>
        <v>@asad_1317131</v>
      </c>
      <c r="C2305" s="6" t="s">
        <v>10967</v>
      </c>
      <c r="D2305" s="5" t="s">
        <v>10966</v>
      </c>
      <c r="E2305" s="9" t="str">
        <f>HYPERLINK("https://twitter.com/asad_1317131/status/1036200845342384128","1036200845342384128")</f>
        <v>1036200845342384128</v>
      </c>
      <c r="F2305" s="4"/>
      <c r="G2305" s="4"/>
      <c r="H2305" s="4"/>
      <c r="I2305" s="10" t="str">
        <f>HYPERLINK("http://twitter.com","Twitter Web Client")</f>
        <v>Twitter Web Client</v>
      </c>
      <c r="J2305" s="2">
        <v>201</v>
      </c>
      <c r="K2305" s="2">
        <v>295</v>
      </c>
      <c r="L2305" s="2">
        <v>1</v>
      </c>
      <c r="M2305" s="2"/>
      <c r="N2305" s="8">
        <v>42954.458831018521</v>
      </c>
      <c r="O2305" s="4"/>
      <c r="P2305" s="3"/>
      <c r="Q2305" s="4"/>
      <c r="R2305" s="4"/>
      <c r="S2305" s="9" t="str">
        <f>HYPERLINK("https://pbs.twimg.com/profile_images/1018012747034963968/i1eIG-RV.jpg","View")</f>
        <v>View</v>
      </c>
    </row>
    <row r="2306" spans="1:19" ht="30">
      <c r="A2306" s="8">
        <v>43345.626655092594</v>
      </c>
      <c r="B2306" s="11" t="str">
        <f>HYPERLINK("https://twitter.com/hhamidreza313","@hhamidreza313")</f>
        <v>@hhamidreza313</v>
      </c>
      <c r="C2306" s="6" t="s">
        <v>4459</v>
      </c>
      <c r="D2306" s="5" t="s">
        <v>10965</v>
      </c>
      <c r="E2306" s="9" t="str">
        <f>HYPERLINK("https://twitter.com/hhamidreza313/status/1036200156650201088","1036200156650201088")</f>
        <v>1036200156650201088</v>
      </c>
      <c r="F2306" s="4"/>
      <c r="G2306" s="10" t="s">
        <v>10964</v>
      </c>
      <c r="H2306" s="4"/>
      <c r="I2306" s="10" t="str">
        <f>HYPERLINK("http://twitter.com/download/android","Twitter for Android")</f>
        <v>Twitter for Android</v>
      </c>
      <c r="J2306" s="2">
        <v>106</v>
      </c>
      <c r="K2306" s="2">
        <v>76</v>
      </c>
      <c r="L2306" s="2">
        <v>0</v>
      </c>
      <c r="M2306" s="2"/>
      <c r="N2306" s="8">
        <v>42759.66101851852</v>
      </c>
      <c r="O2306" s="4" t="s">
        <v>34</v>
      </c>
      <c r="P2306" s="3" t="s">
        <v>4456</v>
      </c>
      <c r="Q2306" s="10" t="s">
        <v>4455</v>
      </c>
      <c r="R2306" s="4"/>
      <c r="S2306" s="9" t="str">
        <f>HYPERLINK("https://pbs.twimg.com/profile_images/1031776311071711232/CNKHQAQ-.jpg","View")</f>
        <v>View</v>
      </c>
    </row>
    <row r="2307" spans="1:19" ht="40">
      <c r="A2307" s="8">
        <v>43345.623819444445</v>
      </c>
      <c r="B2307" s="11" t="str">
        <f>HYPERLINK("https://twitter.com/Revman10","@Revman10")</f>
        <v>@Revman10</v>
      </c>
      <c r="C2307" s="6" t="s">
        <v>4403</v>
      </c>
      <c r="D2307" s="5" t="s">
        <v>10963</v>
      </c>
      <c r="E2307" s="9" t="str">
        <f>HYPERLINK("https://twitter.com/Revman10/status/1036199126826921985","1036199126826921985")</f>
        <v>1036199126826921985</v>
      </c>
      <c r="F2307" s="4"/>
      <c r="G2307" s="4"/>
      <c r="H2307" s="4"/>
      <c r="I2307" s="10" t="str">
        <f>HYPERLINK("http://twitter.com/download/android","Twitter for Android")</f>
        <v>Twitter for Android</v>
      </c>
      <c r="J2307" s="2">
        <v>72</v>
      </c>
      <c r="K2307" s="2">
        <v>95</v>
      </c>
      <c r="L2307" s="2">
        <v>0</v>
      </c>
      <c r="M2307" s="2"/>
      <c r="N2307" s="8">
        <v>43271.257766203707</v>
      </c>
      <c r="O2307" s="4" t="s">
        <v>324</v>
      </c>
      <c r="P2307" s="3" t="s">
        <v>4401</v>
      </c>
      <c r="Q2307" s="4"/>
      <c r="R2307" s="4"/>
      <c r="S2307" s="9" t="str">
        <f>HYPERLINK("https://pbs.twimg.com/profile_images/1027487813896429568/Gbn1h0z3.jpg","View")</f>
        <v>View</v>
      </c>
    </row>
    <row r="2308" spans="1:19" ht="30">
      <c r="A2308" s="8">
        <v>43345.622928240744</v>
      </c>
      <c r="B2308" s="11" t="str">
        <f>HYPERLINK("https://twitter.com/HachalHaft","@HachalHaft")</f>
        <v>@HachalHaft</v>
      </c>
      <c r="C2308" s="6" t="s">
        <v>8742</v>
      </c>
      <c r="D2308" s="5" t="s">
        <v>10962</v>
      </c>
      <c r="E2308" s="9" t="str">
        <f>HYPERLINK("https://twitter.com/HachalHaft/status/1036198804024975361","1036198804024975361")</f>
        <v>1036198804024975361</v>
      </c>
      <c r="F2308" s="4"/>
      <c r="G2308" s="4"/>
      <c r="H2308" s="4"/>
      <c r="I2308" s="10" t="str">
        <f>HYPERLINK("http://twitter.com/download/android","Twitter for Android")</f>
        <v>Twitter for Android</v>
      </c>
      <c r="J2308" s="2">
        <v>595</v>
      </c>
      <c r="K2308" s="2">
        <v>587</v>
      </c>
      <c r="L2308" s="2">
        <v>0</v>
      </c>
      <c r="M2308" s="2"/>
      <c r="N2308" s="8">
        <v>43245.780914351853</v>
      </c>
      <c r="O2308" s="4" t="s">
        <v>8739</v>
      </c>
      <c r="P2308" s="3" t="s">
        <v>10034</v>
      </c>
      <c r="Q2308" s="10" t="s">
        <v>8737</v>
      </c>
      <c r="R2308" s="4"/>
      <c r="S2308" s="9" t="str">
        <f>HYPERLINK("https://pbs.twimg.com/profile_images/1033789475434967040/IGGjEid5.jpg","View")</f>
        <v>View</v>
      </c>
    </row>
    <row r="2309" spans="1:19" ht="20">
      <c r="A2309" s="8">
        <v>43345.622372685189</v>
      </c>
      <c r="B2309" s="11" t="str">
        <f>HYPERLINK("https://twitter.com/AJaafari1","@AJaafari1")</f>
        <v>@AJaafari1</v>
      </c>
      <c r="C2309" s="6" t="s">
        <v>1910</v>
      </c>
      <c r="D2309" s="5" t="s">
        <v>10961</v>
      </c>
      <c r="E2309" s="9" t="str">
        <f>HYPERLINK("https://twitter.com/AJaafari1/status/1036198605697286146","1036198605697286146")</f>
        <v>1036198605697286146</v>
      </c>
      <c r="F2309" s="4"/>
      <c r="G2309" s="4"/>
      <c r="H2309" s="4"/>
      <c r="I2309" s="10" t="str">
        <f>HYPERLINK("http://twitter.com/download/android","Twitter for Android")</f>
        <v>Twitter for Android</v>
      </c>
      <c r="J2309" s="2">
        <v>3818</v>
      </c>
      <c r="K2309" s="2">
        <v>3236</v>
      </c>
      <c r="L2309" s="2">
        <v>0</v>
      </c>
      <c r="M2309" s="2"/>
      <c r="N2309" s="8">
        <v>43221.61555555556</v>
      </c>
      <c r="O2309" s="4" t="s">
        <v>324</v>
      </c>
      <c r="P2309" s="3" t="s">
        <v>1908</v>
      </c>
      <c r="Q2309" s="4"/>
      <c r="R2309" s="4"/>
      <c r="S2309" s="9" t="str">
        <f>HYPERLINK("https://pbs.twimg.com/profile_images/991419608698638336/bnEA1XnM.jpg","View")</f>
        <v>View</v>
      </c>
    </row>
    <row r="2310" spans="1:19" ht="20">
      <c r="A2310" s="8">
        <v>43345.619872685187</v>
      </c>
      <c r="B2310" s="11" t="str">
        <f>HYPERLINK("https://twitter.com/W00IuSJVmcZypyV","@W00IuSJVmcZypyV")</f>
        <v>@W00IuSJVmcZypyV</v>
      </c>
      <c r="C2310" s="6" t="s">
        <v>10960</v>
      </c>
      <c r="D2310" s="5" t="s">
        <v>10959</v>
      </c>
      <c r="E2310" s="9" t="str">
        <f>HYPERLINK("https://twitter.com/W00IuSJVmcZypyV/status/1036197699035582464","1036197699035582464")</f>
        <v>1036197699035582464</v>
      </c>
      <c r="F2310" s="4"/>
      <c r="G2310" s="4"/>
      <c r="H2310" s="4"/>
      <c r="I2310" s="10" t="str">
        <f>HYPERLINK("http://twitter.com/download/android","Twitter for Android")</f>
        <v>Twitter for Android</v>
      </c>
      <c r="J2310" s="2">
        <v>47</v>
      </c>
      <c r="K2310" s="2">
        <v>110</v>
      </c>
      <c r="L2310" s="2">
        <v>0</v>
      </c>
      <c r="M2310" s="2"/>
      <c r="N2310" s="8">
        <v>43318.838252314818</v>
      </c>
      <c r="O2310" s="4"/>
      <c r="P2310" s="3" t="s">
        <v>10958</v>
      </c>
      <c r="Q2310" s="4"/>
      <c r="R2310" s="4"/>
      <c r="S2310" s="9" t="str">
        <f>HYPERLINK("https://pbs.twimg.com/profile_images/1026506795731308544/6bGwfh7H.jpg","View")</f>
        <v>View</v>
      </c>
    </row>
    <row r="2311" spans="1:19" ht="40">
      <c r="A2311" s="8">
        <v>43345.618877314817</v>
      </c>
      <c r="B2311" s="11" t="str">
        <f>HYPERLINK("https://twitter.com/Far_naz64","@Far_naz64")</f>
        <v>@Far_naz64</v>
      </c>
      <c r="C2311" s="6" t="s">
        <v>1322</v>
      </c>
      <c r="D2311" s="5" t="s">
        <v>10957</v>
      </c>
      <c r="E2311" s="9" t="str">
        <f>HYPERLINK("https://twitter.com/Far_naz64/status/1036197337994022912","1036197337994022912")</f>
        <v>1036197337994022912</v>
      </c>
      <c r="F2311" s="4"/>
      <c r="G2311" s="4"/>
      <c r="H2311" s="4"/>
      <c r="I2311" s="10" t="str">
        <f>HYPERLINK("http://twitter.com/download/iphone","Twitter for iPhone")</f>
        <v>Twitter for iPhone</v>
      </c>
      <c r="J2311" s="2">
        <v>11758</v>
      </c>
      <c r="K2311" s="2">
        <v>8529</v>
      </c>
      <c r="L2311" s="2">
        <v>63</v>
      </c>
      <c r="M2311" s="2"/>
      <c r="N2311" s="8">
        <v>40598.671585648146</v>
      </c>
      <c r="O2311" s="4" t="s">
        <v>1319</v>
      </c>
      <c r="P2311" s="3" t="s">
        <v>1318</v>
      </c>
      <c r="Q2311" s="10" t="s">
        <v>1317</v>
      </c>
      <c r="R2311" s="4"/>
      <c r="S2311" s="9" t="str">
        <f>HYPERLINK("https://pbs.twimg.com/profile_images/1033840036318519298/u-0VPeXa.jpg","View")</f>
        <v>View</v>
      </c>
    </row>
    <row r="2312" spans="1:19" ht="50">
      <c r="A2312" s="8">
        <v>43345.618518518517</v>
      </c>
      <c r="B2312" s="11" t="str">
        <f>HYPERLINK("https://twitter.com/ffa_org","@ffa_org")</f>
        <v>@ffa_org</v>
      </c>
      <c r="C2312" s="6" t="s">
        <v>10956</v>
      </c>
      <c r="D2312" s="5" t="s">
        <v>10955</v>
      </c>
      <c r="E2312" s="9" t="str">
        <f>HYPERLINK("https://twitter.com/ffa_org/status/1036197205311479808","1036197205311479808")</f>
        <v>1036197205311479808</v>
      </c>
      <c r="F2312" s="4"/>
      <c r="G2312" s="4"/>
      <c r="H2312" s="4"/>
      <c r="I2312" s="10" t="str">
        <f>HYPERLINK("https://mobile.twitter.com","Twitter Lite")</f>
        <v>Twitter Lite</v>
      </c>
      <c r="J2312" s="2">
        <v>297</v>
      </c>
      <c r="K2312" s="2">
        <v>398</v>
      </c>
      <c r="L2312" s="2">
        <v>0</v>
      </c>
      <c r="M2312" s="2"/>
      <c r="N2312" s="8">
        <v>43192.451944444445</v>
      </c>
      <c r="O2312" s="4" t="s">
        <v>3157</v>
      </c>
      <c r="P2312" s="3" t="s">
        <v>10954</v>
      </c>
      <c r="Q2312" s="4"/>
      <c r="R2312" s="4"/>
      <c r="S2312" s="9" t="str">
        <f>HYPERLINK("https://pbs.twimg.com/profile_images/1025814229184667648/1pJBaOmk.jpg","View")</f>
        <v>View</v>
      </c>
    </row>
    <row r="2313" spans="1:19" ht="30">
      <c r="A2313" s="8">
        <v>43345.618391203709</v>
      </c>
      <c r="B2313" s="11" t="str">
        <f>HYPERLINK("https://twitter.com/hafezeh_tarikhi","@hafezeh_tarikhi")</f>
        <v>@hafezeh_tarikhi</v>
      </c>
      <c r="C2313" s="6" t="s">
        <v>10953</v>
      </c>
      <c r="D2313" s="5" t="s">
        <v>10952</v>
      </c>
      <c r="E2313" s="9" t="str">
        <f>HYPERLINK("https://twitter.com/hafezeh_tarikhi/status/1036197159685840896","1036197159685840896")</f>
        <v>1036197159685840896</v>
      </c>
      <c r="F2313" s="10" t="s">
        <v>10951</v>
      </c>
      <c r="G2313" s="10" t="s">
        <v>10950</v>
      </c>
      <c r="H2313" s="4"/>
      <c r="I2313" s="10" t="str">
        <f>HYPERLINK("http://twitter.com","Twitter Web Client")</f>
        <v>Twitter Web Client</v>
      </c>
      <c r="J2313" s="2">
        <v>9828</v>
      </c>
      <c r="K2313" s="2">
        <v>7</v>
      </c>
      <c r="L2313" s="2">
        <v>68</v>
      </c>
      <c r="M2313" s="2"/>
      <c r="N2313" s="8">
        <v>43082.462071759262</v>
      </c>
      <c r="O2313" s="4"/>
      <c r="P2313" s="3" t="s">
        <v>10949</v>
      </c>
      <c r="Q2313" s="4"/>
      <c r="R2313" s="4"/>
      <c r="S2313" s="9" t="str">
        <f>HYPERLINK("https://pbs.twimg.com/profile_images/940869355168026624/XSxhppj8.jpg","View")</f>
        <v>View</v>
      </c>
    </row>
    <row r="2314" spans="1:19" ht="40">
      <c r="A2314" s="8">
        <v>43345.618067129632</v>
      </c>
      <c r="B2314" s="11" t="str">
        <f>HYPERLINK("https://twitter.com/RafatiSiavash","@RafatiSiavash")</f>
        <v>@RafatiSiavash</v>
      </c>
      <c r="C2314" s="6" t="s">
        <v>3226</v>
      </c>
      <c r="D2314" s="5" t="s">
        <v>10948</v>
      </c>
      <c r="E2314" s="9" t="str">
        <f>HYPERLINK("https://twitter.com/RafatiSiavash/status/1036197045160296448","1036197045160296448")</f>
        <v>1036197045160296448</v>
      </c>
      <c r="F2314" s="10" t="s">
        <v>10947</v>
      </c>
      <c r="G2314" s="4"/>
      <c r="H2314" s="4"/>
      <c r="I2314" s="10" t="str">
        <f>HYPERLINK("http://twitter.com","Twitter Web Client")</f>
        <v>Twitter Web Client</v>
      </c>
      <c r="J2314" s="2">
        <v>288</v>
      </c>
      <c r="K2314" s="2">
        <v>230</v>
      </c>
      <c r="L2314" s="2">
        <v>87</v>
      </c>
      <c r="M2314" s="2"/>
      <c r="N2314" s="8">
        <v>41050.769884259258</v>
      </c>
      <c r="O2314" s="4"/>
      <c r="P2314" s="3" t="s">
        <v>3223</v>
      </c>
      <c r="Q2314" s="10" t="s">
        <v>3222</v>
      </c>
      <c r="R2314" s="4"/>
      <c r="S2314" s="9" t="str">
        <f>HYPERLINK("https://pbs.twimg.com/profile_images/821385868690751488/Qqe0I1Bk.jpg","View")</f>
        <v>View</v>
      </c>
    </row>
    <row r="2315" spans="1:19" ht="40">
      <c r="A2315" s="8">
        <v>43345.611979166672</v>
      </c>
      <c r="B2315" s="11" t="str">
        <f>HYPERLINK("https://twitter.com/barbarossa202","@barbarossa202")</f>
        <v>@barbarossa202</v>
      </c>
      <c r="C2315" s="6" t="s">
        <v>7173</v>
      </c>
      <c r="D2315" s="5" t="s">
        <v>10946</v>
      </c>
      <c r="E2315" s="9" t="str">
        <f>HYPERLINK("https://twitter.com/barbarossa202/status/1036194838646071299","1036194838646071299")</f>
        <v>1036194838646071299</v>
      </c>
      <c r="F2315" s="4"/>
      <c r="G2315" s="4"/>
      <c r="H2315" s="4"/>
      <c r="I2315" s="10" t="str">
        <f>HYPERLINK("http://twitter.com/download/android","Twitter for Android")</f>
        <v>Twitter for Android</v>
      </c>
      <c r="J2315" s="2">
        <v>73</v>
      </c>
      <c r="K2315" s="2">
        <v>223</v>
      </c>
      <c r="L2315" s="2">
        <v>0</v>
      </c>
      <c r="M2315" s="2"/>
      <c r="N2315" s="8">
        <v>42887.51966435185</v>
      </c>
      <c r="O2315" s="4" t="s">
        <v>7171</v>
      </c>
      <c r="P2315" s="3" t="s">
        <v>7170</v>
      </c>
      <c r="Q2315" s="4"/>
      <c r="R2315" s="4"/>
      <c r="S2315" s="2" t="s">
        <v>155</v>
      </c>
    </row>
    <row r="2316" spans="1:19" ht="40">
      <c r="A2316" s="8">
        <v>43345.611111111109</v>
      </c>
      <c r="B2316" s="11" t="str">
        <f>HYPERLINK("https://twitter.com/Khanbagi","@Khanbagi")</f>
        <v>@Khanbagi</v>
      </c>
      <c r="C2316" s="6" t="s">
        <v>8081</v>
      </c>
      <c r="D2316" s="5" t="s">
        <v>10945</v>
      </c>
      <c r="E2316" s="9" t="str">
        <f>HYPERLINK("https://twitter.com/Khanbagi/status/1036194521745383430","1036194521745383430")</f>
        <v>1036194521745383430</v>
      </c>
      <c r="F2316" s="4"/>
      <c r="G2316" s="4"/>
      <c r="H2316" s="4"/>
      <c r="I2316" s="10" t="str">
        <f>HYPERLINK("http://twitter.com","Twitter Web Client")</f>
        <v>Twitter Web Client</v>
      </c>
      <c r="J2316" s="2">
        <v>1885</v>
      </c>
      <c r="K2316" s="2">
        <v>1377</v>
      </c>
      <c r="L2316" s="2">
        <v>4</v>
      </c>
      <c r="M2316" s="2"/>
      <c r="N2316" s="8">
        <v>41055.697222222225</v>
      </c>
      <c r="O2316" s="4"/>
      <c r="P2316" s="3" t="s">
        <v>8079</v>
      </c>
      <c r="Q2316" s="4"/>
      <c r="R2316" s="4"/>
      <c r="S2316" s="9" t="str">
        <f>HYPERLINK("https://pbs.twimg.com/profile_images/1034719613131665413/6EcStBj1.jpg","View")</f>
        <v>View</v>
      </c>
    </row>
    <row r="2317" spans="1:19" ht="30">
      <c r="A2317" s="8">
        <v>43345.607175925921</v>
      </c>
      <c r="B2317" s="11" t="str">
        <f>HYPERLINK("https://twitter.com/ibenair","@ibenair")</f>
        <v>@ibenair</v>
      </c>
      <c r="C2317" s="11" t="s">
        <v>570</v>
      </c>
      <c r="D2317" s="5" t="s">
        <v>10944</v>
      </c>
      <c r="E2317" s="9" t="str">
        <f>HYPERLINK("https://twitter.com/ibenair/status/1036193098848722944","1036193098848722944")</f>
        <v>1036193098848722944</v>
      </c>
      <c r="F2317" s="4"/>
      <c r="G2317" s="4"/>
      <c r="H2317" s="4"/>
      <c r="I2317" s="10" t="str">
        <f>HYPERLINK("http://twitter.com/download/android","Twitter for Android")</f>
        <v>Twitter for Android</v>
      </c>
      <c r="J2317" s="2">
        <v>47</v>
      </c>
      <c r="K2317" s="2">
        <v>7</v>
      </c>
      <c r="L2317" s="2">
        <v>1</v>
      </c>
      <c r="M2317" s="2"/>
      <c r="N2317" s="8">
        <v>43206.519918981481</v>
      </c>
      <c r="O2317" s="4" t="s">
        <v>17</v>
      </c>
      <c r="P2317" s="3" t="s">
        <v>567</v>
      </c>
      <c r="Q2317" s="10" t="s">
        <v>566</v>
      </c>
      <c r="R2317" s="4"/>
      <c r="S2317" s="9" t="str">
        <f>HYPERLINK("https://pbs.twimg.com/profile_images/985793204661506048/Esq8e1Qs.jpg","View")</f>
        <v>View</v>
      </c>
    </row>
    <row r="2318" spans="1:19" ht="40">
      <c r="A2318" s="8">
        <v>43345.604363425926</v>
      </c>
      <c r="B2318" s="11" t="str">
        <f>HYPERLINK("https://twitter.com/pooriast","@pooriast")</f>
        <v>@pooriast</v>
      </c>
      <c r="C2318" s="6" t="s">
        <v>10943</v>
      </c>
      <c r="D2318" s="5" t="s">
        <v>10942</v>
      </c>
      <c r="E2318" s="9" t="str">
        <f>HYPERLINK("https://twitter.com/pooriast/status/1036192078059974657","1036192078059974657")</f>
        <v>1036192078059974657</v>
      </c>
      <c r="F2318" s="4"/>
      <c r="G2318" s="4"/>
      <c r="H2318" s="4"/>
      <c r="I2318" s="10" t="str">
        <f>HYPERLINK("http://twitter.com/download/android","Twitter for Android")</f>
        <v>Twitter for Android</v>
      </c>
      <c r="J2318" s="2">
        <v>14003</v>
      </c>
      <c r="K2318" s="2">
        <v>2519</v>
      </c>
      <c r="L2318" s="2">
        <v>249</v>
      </c>
      <c r="M2318" s="2"/>
      <c r="N2318" s="8">
        <v>41144.852407407408</v>
      </c>
      <c r="O2318" s="4"/>
      <c r="P2318" s="3" t="s">
        <v>10941</v>
      </c>
      <c r="Q2318" s="10" t="s">
        <v>10940</v>
      </c>
      <c r="R2318" s="4"/>
      <c r="S2318" s="9" t="str">
        <f>HYPERLINK("https://pbs.twimg.com/profile_images/1032936822068989952/kp-yDE1v.jpg","View")</f>
        <v>View</v>
      </c>
    </row>
    <row r="2319" spans="1:19" ht="30">
      <c r="A2319" s="8">
        <v>43345.603958333333</v>
      </c>
      <c r="B2319" s="11" t="str">
        <f>HYPERLINK("https://twitter.com/leopard_persian","@leopard_persian")</f>
        <v>@leopard_persian</v>
      </c>
      <c r="C2319" s="6" t="s">
        <v>10939</v>
      </c>
      <c r="D2319" s="5" t="s">
        <v>10938</v>
      </c>
      <c r="E2319" s="9" t="str">
        <f>HYPERLINK("https://twitter.com/leopard_persian/status/1036191930831405056","1036191930831405056")</f>
        <v>1036191930831405056</v>
      </c>
      <c r="F2319" s="4"/>
      <c r="G2319" s="10" t="s">
        <v>10937</v>
      </c>
      <c r="H2319" s="4"/>
      <c r="I2319" s="10" t="str">
        <f>HYPERLINK("http://twitter.com","Twitter Web Client")</f>
        <v>Twitter Web Client</v>
      </c>
      <c r="J2319" s="2">
        <v>133</v>
      </c>
      <c r="K2319" s="2">
        <v>207</v>
      </c>
      <c r="L2319" s="2">
        <v>0</v>
      </c>
      <c r="M2319" s="2"/>
      <c r="N2319" s="8">
        <v>43226.016909722224</v>
      </c>
      <c r="O2319" s="4" t="s">
        <v>10936</v>
      </c>
      <c r="P2319" s="3" t="s">
        <v>10935</v>
      </c>
      <c r="Q2319" s="4"/>
      <c r="R2319" s="4"/>
      <c r="S2319" s="9" t="str">
        <f>HYPERLINK("https://pbs.twimg.com/profile_images/1015841529242488832/WtZYp5ca.jpg","View")</f>
        <v>View</v>
      </c>
    </row>
    <row r="2320" spans="1:19" ht="30">
      <c r="A2320" s="8">
        <v>43345.602500000001</v>
      </c>
      <c r="B2320" s="11" t="str">
        <f>HYPERLINK("https://twitter.com/HachalHaft","@HachalHaft")</f>
        <v>@HachalHaft</v>
      </c>
      <c r="C2320" s="6" t="s">
        <v>8742</v>
      </c>
      <c r="D2320" s="5" t="s">
        <v>10934</v>
      </c>
      <c r="E2320" s="9" t="str">
        <f>HYPERLINK("https://twitter.com/HachalHaft/status/1036191401120354304","1036191401120354304")</f>
        <v>1036191401120354304</v>
      </c>
      <c r="F2320" s="4"/>
      <c r="G2320" s="4"/>
      <c r="H2320" s="4"/>
      <c r="I2320" s="10" t="str">
        <f>HYPERLINK("http://twitter.com/download/android","Twitter for Android")</f>
        <v>Twitter for Android</v>
      </c>
      <c r="J2320" s="2">
        <v>595</v>
      </c>
      <c r="K2320" s="2">
        <v>587</v>
      </c>
      <c r="L2320" s="2">
        <v>0</v>
      </c>
      <c r="M2320" s="2"/>
      <c r="N2320" s="8">
        <v>43245.780914351853</v>
      </c>
      <c r="O2320" s="4" t="s">
        <v>8739</v>
      </c>
      <c r="P2320" s="3" t="s">
        <v>10034</v>
      </c>
      <c r="Q2320" s="10" t="s">
        <v>8737</v>
      </c>
      <c r="R2320" s="4"/>
      <c r="S2320" s="9" t="str">
        <f>HYPERLINK("https://pbs.twimg.com/profile_images/1033789475434967040/IGGjEid5.jpg","View")</f>
        <v>View</v>
      </c>
    </row>
    <row r="2321" spans="1:19" ht="40">
      <c r="A2321" s="8">
        <v>43345.600451388891</v>
      </c>
      <c r="B2321" s="11" t="str">
        <f>HYPERLINK("https://twitter.com/bohloleshirazi","@bohloleshirazi")</f>
        <v>@bohloleshirazi</v>
      </c>
      <c r="C2321" s="6" t="s">
        <v>3607</v>
      </c>
      <c r="D2321" s="5" t="s">
        <v>10933</v>
      </c>
      <c r="E2321" s="9" t="str">
        <f>HYPERLINK("https://twitter.com/bohloleshirazi/status/1036190661727399937","1036190661727399937")</f>
        <v>1036190661727399937</v>
      </c>
      <c r="F2321" s="4"/>
      <c r="G2321" s="4"/>
      <c r="H2321" s="4"/>
      <c r="I2321" s="10" t="str">
        <f>HYPERLINK("http://twitter.com/download/android","Twitter for Android")</f>
        <v>Twitter for Android</v>
      </c>
      <c r="J2321" s="2">
        <v>2920</v>
      </c>
      <c r="K2321" s="2">
        <v>4906</v>
      </c>
      <c r="L2321" s="2">
        <v>0</v>
      </c>
      <c r="M2321" s="2"/>
      <c r="N2321" s="8">
        <v>43113.852395833332</v>
      </c>
      <c r="O2321" s="4"/>
      <c r="P2321" s="3" t="s">
        <v>3605</v>
      </c>
      <c r="Q2321" s="4"/>
      <c r="R2321" s="4"/>
      <c r="S2321" s="9" t="str">
        <f>HYPERLINK("https://pbs.twimg.com/profile_images/994610030010826752/S_570yrQ.jpg","View")</f>
        <v>View</v>
      </c>
    </row>
    <row r="2322" spans="1:19" ht="20">
      <c r="A2322" s="8">
        <v>43345.600312499999</v>
      </c>
      <c r="B2322" s="11" t="str">
        <f>HYPERLINK("https://twitter.com/alwahabiyah_com","@alwahabiyah_com")</f>
        <v>@alwahabiyah_com</v>
      </c>
      <c r="C2322" s="6" t="s">
        <v>10932</v>
      </c>
      <c r="D2322" s="5" t="s">
        <v>10931</v>
      </c>
      <c r="E2322" s="9" t="str">
        <f>HYPERLINK("https://twitter.com/alwahabiyah_com/status/1036190608518537219","1036190608518537219")</f>
        <v>1036190608518537219</v>
      </c>
      <c r="F2322" s="4"/>
      <c r="G2322" s="10" t="s">
        <v>10930</v>
      </c>
      <c r="H2322" s="4"/>
      <c r="I2322" s="10" t="str">
        <f>HYPERLINK("http://twitter.com","Twitter Web Client")</f>
        <v>Twitter Web Client</v>
      </c>
      <c r="J2322" s="2">
        <v>14</v>
      </c>
      <c r="K2322" s="2">
        <v>0</v>
      </c>
      <c r="L2322" s="2">
        <v>0</v>
      </c>
      <c r="M2322" s="2"/>
      <c r="N2322" s="8">
        <v>42516.717812499999</v>
      </c>
      <c r="O2322" s="4"/>
      <c r="P2322" s="3" t="s">
        <v>10929</v>
      </c>
      <c r="Q2322" s="10" t="s">
        <v>10928</v>
      </c>
      <c r="R2322" s="4"/>
      <c r="S2322" s="9" t="str">
        <f>HYPERLINK("https://pbs.twimg.com/profile_images/1020642614314332160/vLw8KMzI.jpg","View")</f>
        <v>View</v>
      </c>
    </row>
    <row r="2323" spans="1:19" ht="20">
      <c r="A2323" s="8">
        <v>43345.596944444449</v>
      </c>
      <c r="B2323" s="11" t="str">
        <f>HYPERLINK("https://twitter.com/seyedghadir","@seyedghadir")</f>
        <v>@seyedghadir</v>
      </c>
      <c r="C2323" s="6" t="s">
        <v>10927</v>
      </c>
      <c r="D2323" s="5" t="s">
        <v>10926</v>
      </c>
      <c r="E2323" s="9" t="str">
        <f>HYPERLINK("https://twitter.com/seyedghadir/status/1036189391075651584","1036189391075651584")</f>
        <v>1036189391075651584</v>
      </c>
      <c r="F2323" s="4"/>
      <c r="G2323" s="4"/>
      <c r="H2323" s="4"/>
      <c r="I2323" s="10" t="str">
        <f>HYPERLINK("http://twitter.com/download/android","Twitter for Android")</f>
        <v>Twitter for Android</v>
      </c>
      <c r="J2323" s="2">
        <v>10</v>
      </c>
      <c r="K2323" s="2">
        <v>40</v>
      </c>
      <c r="L2323" s="2">
        <v>0</v>
      </c>
      <c r="M2323" s="2"/>
      <c r="N2323" s="8">
        <v>43341.396782407406</v>
      </c>
      <c r="O2323" s="4"/>
      <c r="P2323" s="3" t="s">
        <v>10925</v>
      </c>
      <c r="Q2323" s="4"/>
      <c r="R2323" s="4"/>
      <c r="S2323" s="9" t="str">
        <f>HYPERLINK("https://pbs.twimg.com/profile_images/1036184631530479616/8RTTkykE.jpg","View")</f>
        <v>View</v>
      </c>
    </row>
    <row r="2324" spans="1:19" ht="30">
      <c r="A2324" s="8">
        <v>43345.596666666665</v>
      </c>
      <c r="B2324" s="11" t="str">
        <f>HYPERLINK("https://twitter.com/raminfakhari","@raminfakhari")</f>
        <v>@raminfakhari</v>
      </c>
      <c r="C2324" s="6" t="s">
        <v>6452</v>
      </c>
      <c r="D2324" s="5" t="s">
        <v>10924</v>
      </c>
      <c r="E2324" s="9" t="str">
        <f>HYPERLINK("https://twitter.com/raminfakhari/status/1036189289741209600","1036189289741209600")</f>
        <v>1036189289741209600</v>
      </c>
      <c r="F2324" s="4"/>
      <c r="G2324" s="10" t="s">
        <v>10923</v>
      </c>
      <c r="H2324" s="4"/>
      <c r="I2324" s="10" t="str">
        <f>HYPERLINK("http://twitter.com","Twitter Web Client")</f>
        <v>Twitter Web Client</v>
      </c>
      <c r="J2324" s="2">
        <v>4627</v>
      </c>
      <c r="K2324" s="2">
        <v>3365</v>
      </c>
      <c r="L2324" s="2">
        <v>24</v>
      </c>
      <c r="M2324" s="2"/>
      <c r="N2324" s="8">
        <v>40777.759583333333</v>
      </c>
      <c r="O2324" s="4" t="s">
        <v>17</v>
      </c>
      <c r="P2324" s="3" t="s">
        <v>6449</v>
      </c>
      <c r="Q2324" s="10" t="s">
        <v>6448</v>
      </c>
      <c r="R2324" s="4"/>
      <c r="S2324" s="9" t="str">
        <f>HYPERLINK("https://pbs.twimg.com/profile_images/944194355237068802/-iV_FGnn.jpg","View")</f>
        <v>View</v>
      </c>
    </row>
    <row r="2325" spans="1:19" ht="20">
      <c r="A2325" s="8">
        <v>43345.596099537041</v>
      </c>
      <c r="B2325" s="11" t="str">
        <f>HYPERLINK("https://twitter.com/wallexexchange","@wallexexchange")</f>
        <v>@wallexexchange</v>
      </c>
      <c r="C2325" s="6" t="s">
        <v>10922</v>
      </c>
      <c r="D2325" s="5" t="s">
        <v>10921</v>
      </c>
      <c r="E2325" s="9" t="str">
        <f>HYPERLINK("https://twitter.com/wallexexchange/status/1036189084673167361","1036189084673167361")</f>
        <v>1036189084673167361</v>
      </c>
      <c r="F2325" s="4"/>
      <c r="G2325" s="4"/>
      <c r="H2325" s="4"/>
      <c r="I2325" s="10" t="str">
        <f>HYPERLINK("http://twitter.com","Twitter Web Client")</f>
        <v>Twitter Web Client</v>
      </c>
      <c r="J2325" s="2">
        <v>5</v>
      </c>
      <c r="K2325" s="2">
        <v>18</v>
      </c>
      <c r="L2325" s="2">
        <v>0</v>
      </c>
      <c r="M2325" s="2"/>
      <c r="N2325" s="8">
        <v>43338.907939814817</v>
      </c>
      <c r="O2325" s="4" t="s">
        <v>34</v>
      </c>
      <c r="P2325" s="3" t="s">
        <v>10920</v>
      </c>
      <c r="Q2325" s="4"/>
      <c r="R2325" s="4"/>
      <c r="S2325" s="9" t="str">
        <f>HYPERLINK("https://pbs.twimg.com/profile_images/1033990120905601025/_6LeYHtE.jpg","View")</f>
        <v>View</v>
      </c>
    </row>
    <row r="2326" spans="1:19" ht="30">
      <c r="A2326" s="8">
        <v>43345.595567129625</v>
      </c>
      <c r="B2326" s="11" t="str">
        <f>HYPERLINK("https://twitter.com/saeed_t21","@saeed_t21")</f>
        <v>@saeed_t21</v>
      </c>
      <c r="C2326" s="6" t="s">
        <v>10919</v>
      </c>
      <c r="D2326" s="5" t="s">
        <v>10918</v>
      </c>
      <c r="E2326" s="9" t="str">
        <f>HYPERLINK("https://twitter.com/saeed_t21/status/1036188891194302464","1036188891194302464")</f>
        <v>1036188891194302464</v>
      </c>
      <c r="F2326" s="4"/>
      <c r="G2326" s="4"/>
      <c r="H2326" s="4"/>
      <c r="I2326" s="10" t="str">
        <f>HYPERLINK("https://mobile.twitter.com","Twitter Lite")</f>
        <v>Twitter Lite</v>
      </c>
      <c r="J2326" s="2">
        <v>3831</v>
      </c>
      <c r="K2326" s="2">
        <v>4575</v>
      </c>
      <c r="L2326" s="2">
        <v>5</v>
      </c>
      <c r="M2326" s="2"/>
      <c r="N2326" s="8">
        <v>42830.280416666668</v>
      </c>
      <c r="O2326" s="4" t="s">
        <v>10917</v>
      </c>
      <c r="P2326" s="3" t="s">
        <v>10916</v>
      </c>
      <c r="Q2326" s="4"/>
      <c r="R2326" s="4"/>
      <c r="S2326" s="9" t="str">
        <f>HYPERLINK("https://pbs.twimg.com/profile_images/878709453171945472/Qs1iEh5C.jpg","View")</f>
        <v>View</v>
      </c>
    </row>
    <row r="2327" spans="1:19" ht="20">
      <c r="A2327" s="8">
        <v>43345.594664351855</v>
      </c>
      <c r="B2327" s="11" t="str">
        <f>HYPERLINK("https://twitter.com/MahmoodyAli","@MahmoodyAli")</f>
        <v>@MahmoodyAli</v>
      </c>
      <c r="C2327" s="6" t="s">
        <v>7269</v>
      </c>
      <c r="D2327" s="5" t="s">
        <v>10915</v>
      </c>
      <c r="E2327" s="9" t="str">
        <f>HYPERLINK("https://twitter.com/MahmoodyAli/status/1036188564013428738","1036188564013428738")</f>
        <v>1036188564013428738</v>
      </c>
      <c r="F2327" s="10" t="s">
        <v>10914</v>
      </c>
      <c r="G2327" s="10" t="s">
        <v>10913</v>
      </c>
      <c r="H2327" s="4"/>
      <c r="I2327" s="10" t="str">
        <f>HYPERLINK("http://twitter.com","Twitter Web Client")</f>
        <v>Twitter Web Client</v>
      </c>
      <c r="J2327" s="2">
        <v>251</v>
      </c>
      <c r="K2327" s="2">
        <v>519</v>
      </c>
      <c r="L2327" s="2">
        <v>1</v>
      </c>
      <c r="M2327" s="2"/>
      <c r="N2327" s="8">
        <v>42919.53806712963</v>
      </c>
      <c r="O2327" s="4"/>
      <c r="P2327" s="3"/>
      <c r="Q2327" s="4"/>
      <c r="R2327" s="4"/>
      <c r="S2327" s="9" t="str">
        <f>HYPERLINK("https://pbs.twimg.com/profile_images/1023228268437233665/9dcEnhOZ.jpg","View")</f>
        <v>View</v>
      </c>
    </row>
    <row r="2328" spans="1:19" ht="12.5">
      <c r="A2328" s="8">
        <v>43345.59376157407</v>
      </c>
      <c r="B2328" s="11" t="str">
        <f>HYPERLINK("https://twitter.com/ipharzan","@ipharzan")</f>
        <v>@ipharzan</v>
      </c>
      <c r="C2328" s="6" t="s">
        <v>1583</v>
      </c>
      <c r="D2328" s="5" t="s">
        <v>10912</v>
      </c>
      <c r="E2328" s="9" t="str">
        <f>HYPERLINK("https://twitter.com/ipharzan/status/1036188236366929920","1036188236366929920")</f>
        <v>1036188236366929920</v>
      </c>
      <c r="F2328" s="4"/>
      <c r="G2328" s="4"/>
      <c r="H2328" s="4"/>
      <c r="I2328" s="10" t="str">
        <f>HYPERLINK("http://twitter.com/download/iphone","Twitter for iPhone")</f>
        <v>Twitter for iPhone</v>
      </c>
      <c r="J2328" s="2">
        <v>18</v>
      </c>
      <c r="K2328" s="2">
        <v>28</v>
      </c>
      <c r="L2328" s="2">
        <v>0</v>
      </c>
      <c r="M2328" s="2"/>
      <c r="N2328" s="8">
        <v>43219.391215277778</v>
      </c>
      <c r="O2328" s="4" t="s">
        <v>1581</v>
      </c>
      <c r="P2328" s="3" t="s">
        <v>1580</v>
      </c>
      <c r="Q2328" s="4"/>
      <c r="R2328" s="4"/>
      <c r="S2328" s="9" t="str">
        <f>HYPERLINK("https://pbs.twimg.com/profile_images/990940342366203904/ReQzfIoi.jpg","View")</f>
        <v>View</v>
      </c>
    </row>
    <row r="2329" spans="1:19" ht="30">
      <c r="A2329" s="8">
        <v>43345.591261574074</v>
      </c>
      <c r="B2329" s="11" t="str">
        <f>HYPERLINK("https://twitter.com/mehdimahmudi","@mehdimahmudi")</f>
        <v>@mehdimahmudi</v>
      </c>
      <c r="C2329" s="6" t="s">
        <v>8112</v>
      </c>
      <c r="D2329" s="5" t="s">
        <v>10911</v>
      </c>
      <c r="E2329" s="9" t="str">
        <f>HYPERLINK("https://twitter.com/mehdimahmudi/status/1036187331785572352","1036187331785572352")</f>
        <v>1036187331785572352</v>
      </c>
      <c r="F2329" s="4"/>
      <c r="G2329" s="4"/>
      <c r="H2329" s="4"/>
      <c r="I2329" s="10" t="str">
        <f>HYPERLINK("http://twitter.com","Twitter Web Client")</f>
        <v>Twitter Web Client</v>
      </c>
      <c r="J2329" s="2">
        <v>7243</v>
      </c>
      <c r="K2329" s="2">
        <v>1469</v>
      </c>
      <c r="L2329" s="2">
        <v>193</v>
      </c>
      <c r="M2329" s="2"/>
      <c r="N2329" s="8">
        <v>41103.549502314811</v>
      </c>
      <c r="O2329" s="4" t="s">
        <v>145</v>
      </c>
      <c r="P2329" s="3" t="s">
        <v>8110</v>
      </c>
      <c r="Q2329" s="10" t="s">
        <v>8109</v>
      </c>
      <c r="R2329" s="4"/>
      <c r="S2329" s="9" t="str">
        <f>HYPERLINK("https://pbs.twimg.com/profile_images/995934693949362176/J0z1knpD.jpg","View")</f>
        <v>View</v>
      </c>
    </row>
    <row r="2330" spans="1:19" ht="30">
      <c r="A2330" s="8">
        <v>43345.589189814811</v>
      </c>
      <c r="B2330" s="11" t="str">
        <f>HYPERLINK("https://twitter.com/RafatiSiavash","@RafatiSiavash")</f>
        <v>@RafatiSiavash</v>
      </c>
      <c r="C2330" s="6" t="s">
        <v>3226</v>
      </c>
      <c r="D2330" s="5" t="s">
        <v>10910</v>
      </c>
      <c r="E2330" s="9" t="str">
        <f>HYPERLINK("https://twitter.com/RafatiSiavash/status/1036186577620410369","1036186577620410369")</f>
        <v>1036186577620410369</v>
      </c>
      <c r="F2330" s="4"/>
      <c r="G2330" s="4"/>
      <c r="H2330" s="4"/>
      <c r="I2330" s="10" t="str">
        <f>HYPERLINK("http://twitter.com","Twitter Web Client")</f>
        <v>Twitter Web Client</v>
      </c>
      <c r="J2330" s="2">
        <v>288</v>
      </c>
      <c r="K2330" s="2">
        <v>230</v>
      </c>
      <c r="L2330" s="2">
        <v>87</v>
      </c>
      <c r="M2330" s="2"/>
      <c r="N2330" s="8">
        <v>41050.769884259258</v>
      </c>
      <c r="O2330" s="4"/>
      <c r="P2330" s="3" t="s">
        <v>3223</v>
      </c>
      <c r="Q2330" s="10" t="s">
        <v>3222</v>
      </c>
      <c r="R2330" s="4"/>
      <c r="S2330" s="9" t="str">
        <f>HYPERLINK("https://pbs.twimg.com/profile_images/821385868690751488/Qqe0I1Bk.jpg","View")</f>
        <v>View</v>
      </c>
    </row>
    <row r="2331" spans="1:19" ht="40">
      <c r="A2331" s="8">
        <v>43345.583692129629</v>
      </c>
      <c r="B2331" s="11" t="str">
        <f>HYPERLINK("https://twitter.com/AdelBarkam","@AdelBarkam")</f>
        <v>@AdelBarkam</v>
      </c>
      <c r="C2331" s="6" t="s">
        <v>10909</v>
      </c>
      <c r="D2331" s="5" t="s">
        <v>10908</v>
      </c>
      <c r="E2331" s="9" t="str">
        <f>HYPERLINK("https://twitter.com/AdelBarkam/status/1036184588740173824","1036184588740173824")</f>
        <v>1036184588740173824</v>
      </c>
      <c r="F2331" s="4"/>
      <c r="G2331" s="10" t="s">
        <v>10907</v>
      </c>
      <c r="H2331" s="4"/>
      <c r="I2331" s="10" t="str">
        <f>HYPERLINK("http://twitter.com/download/android","Twitter for Android")</f>
        <v>Twitter for Android</v>
      </c>
      <c r="J2331" s="2">
        <v>620</v>
      </c>
      <c r="K2331" s="2">
        <v>622</v>
      </c>
      <c r="L2331" s="2">
        <v>1</v>
      </c>
      <c r="M2331" s="2"/>
      <c r="N2331" s="8">
        <v>42564.775046296301</v>
      </c>
      <c r="O2331" s="4" t="s">
        <v>17</v>
      </c>
      <c r="P2331" s="3" t="s">
        <v>10906</v>
      </c>
      <c r="Q2331" s="10" t="s">
        <v>10905</v>
      </c>
      <c r="R2331" s="4"/>
      <c r="S2331" s="9" t="str">
        <f>HYPERLINK("https://pbs.twimg.com/profile_images/998842433512194048/dkDHHKCA.jpg","View")</f>
        <v>View</v>
      </c>
    </row>
    <row r="2332" spans="1:19" ht="40">
      <c r="A2332" s="8">
        <v>43345.582430555558</v>
      </c>
      <c r="B2332" s="11" t="str">
        <f>HYPERLINK("https://twitter.com/mahdinabat1","@mahdinabat1")</f>
        <v>@mahdinabat1</v>
      </c>
      <c r="C2332" s="6" t="s">
        <v>10904</v>
      </c>
      <c r="D2332" s="5" t="s">
        <v>10903</v>
      </c>
      <c r="E2332" s="9" t="str">
        <f>HYPERLINK("https://twitter.com/mahdinabat1/status/1036184129312702464","1036184129312702464")</f>
        <v>1036184129312702464</v>
      </c>
      <c r="F2332" s="4"/>
      <c r="G2332" s="4"/>
      <c r="H2332" s="4"/>
      <c r="I2332" s="10" t="str">
        <f>HYPERLINK("http://twitter.com","Twitter Web Client")</f>
        <v>Twitter Web Client</v>
      </c>
      <c r="J2332" s="2">
        <v>86</v>
      </c>
      <c r="K2332" s="2">
        <v>26</v>
      </c>
      <c r="L2332" s="2">
        <v>0</v>
      </c>
      <c r="M2332" s="2"/>
      <c r="N2332" s="8">
        <v>41677.893726851849</v>
      </c>
      <c r="O2332" s="4" t="s">
        <v>10902</v>
      </c>
      <c r="P2332" s="3"/>
      <c r="Q2332" s="4"/>
      <c r="R2332" s="4"/>
      <c r="S2332" s="9" t="str">
        <f>HYPERLINK("https://pbs.twimg.com/profile_images/1022399091945291776/mf1x9kBY.jpg","View")</f>
        <v>View</v>
      </c>
    </row>
    <row r="2333" spans="1:19" ht="50">
      <c r="A2333" s="8">
        <v>43345.581956018519</v>
      </c>
      <c r="B2333" s="11" t="str">
        <f>HYPERLINK("https://twitter.com/VahidAzimnia","@VahidAzimnia")</f>
        <v>@VahidAzimnia</v>
      </c>
      <c r="C2333" s="6" t="s">
        <v>10901</v>
      </c>
      <c r="D2333" s="5" t="s">
        <v>10900</v>
      </c>
      <c r="E2333" s="9" t="str">
        <f>HYPERLINK("https://twitter.com/VahidAzimnia/status/1036183958067859456","1036183958067859456")</f>
        <v>1036183958067859456</v>
      </c>
      <c r="F2333" s="4"/>
      <c r="G2333" s="4"/>
      <c r="H2333" s="4"/>
      <c r="I2333" s="10" t="str">
        <f>HYPERLINK("http://twitter.com","Twitter Web Client")</f>
        <v>Twitter Web Client</v>
      </c>
      <c r="J2333" s="2">
        <v>75</v>
      </c>
      <c r="K2333" s="2">
        <v>119</v>
      </c>
      <c r="L2333" s="2">
        <v>0</v>
      </c>
      <c r="M2333" s="2"/>
      <c r="N2333" s="8">
        <v>42996.578888888893</v>
      </c>
      <c r="O2333" s="4" t="s">
        <v>1415</v>
      </c>
      <c r="P2333" s="3" t="s">
        <v>10899</v>
      </c>
      <c r="Q2333" s="10" t="s">
        <v>10898</v>
      </c>
      <c r="R2333" s="4"/>
      <c r="S2333" s="9" t="str">
        <f>HYPERLINK("https://pbs.twimg.com/profile_images/1026457639293779969/sKefZjZT.jpg","View")</f>
        <v>View</v>
      </c>
    </row>
    <row r="2334" spans="1:19" ht="20">
      <c r="A2334" s="8">
        <v>43345.581666666665</v>
      </c>
      <c r="B2334" s="11" t="str">
        <f>HYPERLINK("https://twitter.com/AmirtohidF","@AmirtohidF")</f>
        <v>@AmirtohidF</v>
      </c>
      <c r="C2334" s="6" t="s">
        <v>10897</v>
      </c>
      <c r="D2334" s="5" t="s">
        <v>10896</v>
      </c>
      <c r="E2334" s="9" t="str">
        <f>HYPERLINK("https://twitter.com/AmirtohidF/status/1036183852543356929","1036183852543356929")</f>
        <v>1036183852543356929</v>
      </c>
      <c r="F2334" s="10" t="s">
        <v>10895</v>
      </c>
      <c r="G2334" s="4"/>
      <c r="H2334" s="4"/>
      <c r="I2334" s="10" t="str">
        <f>HYPERLINK("http://twitter.com","Twitter Web Client")</f>
        <v>Twitter Web Client</v>
      </c>
      <c r="J2334" s="2">
        <v>16</v>
      </c>
      <c r="K2334" s="2">
        <v>182</v>
      </c>
      <c r="L2334" s="2">
        <v>0</v>
      </c>
      <c r="M2334" s="2"/>
      <c r="N2334" s="8">
        <v>43317.631296296298</v>
      </c>
      <c r="O2334" s="4"/>
      <c r="P2334" s="3" t="s">
        <v>10894</v>
      </c>
      <c r="Q2334" s="4"/>
      <c r="R2334" s="4"/>
      <c r="S2334" s="9" t="str">
        <f>HYPERLINK("https://pbs.twimg.com/profile_images/1026073474681499648/r1e1UqE6.jpg","View")</f>
        <v>View</v>
      </c>
    </row>
    <row r="2335" spans="1:19" ht="40">
      <c r="A2335" s="8">
        <v>43345.58148148148</v>
      </c>
      <c r="B2335" s="11" t="str">
        <f>HYPERLINK("https://twitter.com/fa_akbarshahi","@fa_akbarshahi")</f>
        <v>@fa_akbarshahi</v>
      </c>
      <c r="C2335" s="6" t="s">
        <v>10468</v>
      </c>
      <c r="D2335" s="5" t="s">
        <v>10893</v>
      </c>
      <c r="E2335" s="9" t="str">
        <f>HYPERLINK("https://twitter.com/fa_akbarshahi/status/1036183786797580289","1036183786797580289")</f>
        <v>1036183786797580289</v>
      </c>
      <c r="F2335" s="4"/>
      <c r="G2335" s="10" t="s">
        <v>10892</v>
      </c>
      <c r="H2335" s="4"/>
      <c r="I2335" s="10" t="str">
        <f>HYPERLINK("http://twitter.com/download/android","Twitter for Android")</f>
        <v>Twitter for Android</v>
      </c>
      <c r="J2335" s="2">
        <v>3415</v>
      </c>
      <c r="K2335" s="2">
        <v>229</v>
      </c>
      <c r="L2335" s="2">
        <v>18</v>
      </c>
      <c r="M2335" s="2"/>
      <c r="N2335" s="8">
        <v>42961.759999999995</v>
      </c>
      <c r="O2335" s="4"/>
      <c r="P2335" s="3" t="s">
        <v>10466</v>
      </c>
      <c r="Q2335" s="10" t="s">
        <v>10465</v>
      </c>
      <c r="R2335" s="4"/>
      <c r="S2335" s="9" t="str">
        <f>HYPERLINK("https://pbs.twimg.com/profile_images/1034456935372922880/zSklHhEW.jpg","View")</f>
        <v>View</v>
      </c>
    </row>
    <row r="2336" spans="1:19" ht="30">
      <c r="A2336" s="8">
        <v>43345.580983796295</v>
      </c>
      <c r="B2336" s="11" t="str">
        <f>HYPERLINK("https://twitter.com/Zvy2xXgVT60iu3v","@Zvy2xXgVT60iu3v")</f>
        <v>@Zvy2xXgVT60iu3v</v>
      </c>
      <c r="C2336" s="6" t="s">
        <v>4790</v>
      </c>
      <c r="D2336" s="5" t="s">
        <v>10891</v>
      </c>
      <c r="E2336" s="9" t="str">
        <f>HYPERLINK("https://twitter.com/Zvy2xXgVT60iu3v/status/1036183606220271616","1036183606220271616")</f>
        <v>1036183606220271616</v>
      </c>
      <c r="F2336" s="4"/>
      <c r="G2336" s="4"/>
      <c r="H2336" s="4"/>
      <c r="I2336" s="10" t="str">
        <f>HYPERLINK("http://twitter.com/download/android","Twitter for Android")</f>
        <v>Twitter for Android</v>
      </c>
      <c r="J2336" s="2">
        <v>331</v>
      </c>
      <c r="K2336" s="2">
        <v>463</v>
      </c>
      <c r="L2336" s="2">
        <v>1</v>
      </c>
      <c r="M2336" s="2"/>
      <c r="N2336" s="8">
        <v>42927.924907407403</v>
      </c>
      <c r="O2336" s="4"/>
      <c r="P2336" s="3" t="s">
        <v>4788</v>
      </c>
      <c r="Q2336" s="4"/>
      <c r="R2336" s="4"/>
      <c r="S2336" s="9" t="str">
        <f>HYPERLINK("https://pbs.twimg.com/profile_images/885243982648881152/8Xgxbt0p.jpg","View")</f>
        <v>View</v>
      </c>
    </row>
    <row r="2337" spans="1:19" ht="30">
      <c r="A2337" s="8">
        <v>43345.579513888893</v>
      </c>
      <c r="B2337" s="11" t="str">
        <f>HYPERLINK("https://twitter.com/amir_ali_irani","@amir_ali_irani")</f>
        <v>@amir_ali_irani</v>
      </c>
      <c r="C2337" s="6" t="s">
        <v>9400</v>
      </c>
      <c r="D2337" s="5" t="s">
        <v>10890</v>
      </c>
      <c r="E2337" s="9" t="str">
        <f>HYPERLINK("https://twitter.com/amir_ali_irani/status/1036183073795330048","1036183073795330048")</f>
        <v>1036183073795330048</v>
      </c>
      <c r="F2337" s="4"/>
      <c r="G2337" s="4"/>
      <c r="H2337" s="4"/>
      <c r="I2337" s="10" t="str">
        <f>HYPERLINK("http://twitter.com/download/android","Twitter for Android")</f>
        <v>Twitter for Android</v>
      </c>
      <c r="J2337" s="2">
        <v>4931</v>
      </c>
      <c r="K2337" s="2">
        <v>4677</v>
      </c>
      <c r="L2337" s="2">
        <v>6</v>
      </c>
      <c r="M2337" s="2"/>
      <c r="N2337" s="8">
        <v>43046.431284722217</v>
      </c>
      <c r="O2337" s="4"/>
      <c r="P2337" s="3" t="s">
        <v>9398</v>
      </c>
      <c r="Q2337" s="4"/>
      <c r="R2337" s="4"/>
      <c r="S2337" s="9" t="str">
        <f>HYPERLINK("https://pbs.twimg.com/profile_images/1010232688106721280/b-HepdSP.jpg","View")</f>
        <v>View</v>
      </c>
    </row>
    <row r="2338" spans="1:19" ht="40">
      <c r="A2338" s="8">
        <v>43345.57947916667</v>
      </c>
      <c r="B2338" s="11" t="str">
        <f>HYPERLINK("https://twitter.com/RafatiSiavash","@RafatiSiavash")</f>
        <v>@RafatiSiavash</v>
      </c>
      <c r="C2338" s="6" t="s">
        <v>3226</v>
      </c>
      <c r="D2338" s="5" t="s">
        <v>10889</v>
      </c>
      <c r="E2338" s="9" t="str">
        <f>HYPERLINK("https://twitter.com/RafatiSiavash/status/1036183058402234368","1036183058402234368")</f>
        <v>1036183058402234368</v>
      </c>
      <c r="F2338" s="10" t="s">
        <v>10888</v>
      </c>
      <c r="G2338" s="4"/>
      <c r="H2338" s="4"/>
      <c r="I2338" s="10" t="str">
        <f>HYPERLINK("http://twitter.com","Twitter Web Client")</f>
        <v>Twitter Web Client</v>
      </c>
      <c r="J2338" s="2">
        <v>288</v>
      </c>
      <c r="K2338" s="2">
        <v>230</v>
      </c>
      <c r="L2338" s="2">
        <v>87</v>
      </c>
      <c r="M2338" s="2"/>
      <c r="N2338" s="8">
        <v>41050.769884259258</v>
      </c>
      <c r="O2338" s="4"/>
      <c r="P2338" s="3" t="s">
        <v>3223</v>
      </c>
      <c r="Q2338" s="10" t="s">
        <v>3222</v>
      </c>
      <c r="R2338" s="4"/>
      <c r="S2338" s="9" t="str">
        <f>HYPERLINK("https://pbs.twimg.com/profile_images/821385868690751488/Qqe0I1Bk.jpg","View")</f>
        <v>View</v>
      </c>
    </row>
    <row r="2339" spans="1:19" ht="30">
      <c r="A2339" s="8">
        <v>43345.578923611116</v>
      </c>
      <c r="B2339" s="11" t="str">
        <f>HYPERLINK("https://twitter.com/MiladMsd","@MiladMsd")</f>
        <v>@MiladMsd</v>
      </c>
      <c r="C2339" s="6" t="s">
        <v>10887</v>
      </c>
      <c r="D2339" s="5" t="s">
        <v>10886</v>
      </c>
      <c r="E2339" s="9" t="str">
        <f>HYPERLINK("https://twitter.com/MiladMsd/status/1036182859776753665","1036182859776753665")</f>
        <v>1036182859776753665</v>
      </c>
      <c r="F2339" s="4"/>
      <c r="G2339" s="4"/>
      <c r="H2339" s="4"/>
      <c r="I2339" s="10" t="str">
        <f>HYPERLINK("http://twitter.com/download/android","Twitter for Android")</f>
        <v>Twitter for Android</v>
      </c>
      <c r="J2339" s="2">
        <v>657</v>
      </c>
      <c r="K2339" s="2">
        <v>651</v>
      </c>
      <c r="L2339" s="2">
        <v>0</v>
      </c>
      <c r="M2339" s="2"/>
      <c r="N2339" s="8">
        <v>43104.586631944447</v>
      </c>
      <c r="O2339" s="4" t="s">
        <v>34</v>
      </c>
      <c r="P2339" s="3" t="s">
        <v>3461</v>
      </c>
      <c r="Q2339" s="4"/>
      <c r="R2339" s="4"/>
      <c r="S2339" s="9" t="str">
        <f>HYPERLINK("https://pbs.twimg.com/profile_images/948876064801087489/FoEydx8p.jpg","View")</f>
        <v>View</v>
      </c>
    </row>
    <row r="2340" spans="1:19" ht="40">
      <c r="A2340" s="8">
        <v>43345.578611111108</v>
      </c>
      <c r="B2340" s="11" t="str">
        <f>HYPERLINK("https://twitter.com/FatemehDanaei","@FatemehDanaei")</f>
        <v>@FatemehDanaei</v>
      </c>
      <c r="C2340" s="6" t="s">
        <v>7065</v>
      </c>
      <c r="D2340" s="5" t="s">
        <v>10885</v>
      </c>
      <c r="E2340" s="9" t="str">
        <f>HYPERLINK("https://twitter.com/FatemehDanaei/status/1036182743519047680","1036182743519047680")</f>
        <v>1036182743519047680</v>
      </c>
      <c r="F2340" s="4"/>
      <c r="G2340" s="10" t="s">
        <v>10884</v>
      </c>
      <c r="H2340" s="4"/>
      <c r="I2340" s="10" t="str">
        <f>HYPERLINK("http://twitter.com","Twitter Web Client")</f>
        <v>Twitter Web Client</v>
      </c>
      <c r="J2340" s="2">
        <v>2408</v>
      </c>
      <c r="K2340" s="2">
        <v>3305</v>
      </c>
      <c r="L2340" s="2">
        <v>3</v>
      </c>
      <c r="M2340" s="2"/>
      <c r="N2340" s="8">
        <v>42880.444004629629</v>
      </c>
      <c r="O2340" s="4" t="s">
        <v>7062</v>
      </c>
      <c r="P2340" s="3" t="s">
        <v>7061</v>
      </c>
      <c r="Q2340" s="10" t="s">
        <v>7060</v>
      </c>
      <c r="R2340" s="4"/>
      <c r="S2340" s="9" t="str">
        <f>HYPERLINK("https://pbs.twimg.com/profile_images/904264413284315136/O88dZKRP.jpg","View")</f>
        <v>View</v>
      </c>
    </row>
    <row r="2341" spans="1:19" ht="30">
      <c r="A2341" s="8">
        <v>43345.576087962967</v>
      </c>
      <c r="B2341" s="11" t="str">
        <f>HYPERLINK("https://twitter.com/hsabz2v","@hsabz2v")</f>
        <v>@hsabz2v</v>
      </c>
      <c r="C2341" s="6" t="s">
        <v>10883</v>
      </c>
      <c r="D2341" s="5" t="s">
        <v>10882</v>
      </c>
      <c r="E2341" s="9" t="str">
        <f>HYPERLINK("https://twitter.com/hsabz2v/status/1036181831731826690","1036181831731826690")</f>
        <v>1036181831731826690</v>
      </c>
      <c r="F2341" s="4"/>
      <c r="G2341" s="4"/>
      <c r="H2341" s="4"/>
      <c r="I2341" s="10" t="str">
        <f>HYPERLINK("http://twitter.com/download/android","Twitter for Android")</f>
        <v>Twitter for Android</v>
      </c>
      <c r="J2341" s="2">
        <v>22</v>
      </c>
      <c r="K2341" s="2">
        <v>101</v>
      </c>
      <c r="L2341" s="2">
        <v>0</v>
      </c>
      <c r="M2341" s="2"/>
      <c r="N2341" s="8">
        <v>41143.988333333335</v>
      </c>
      <c r="O2341" s="4"/>
      <c r="P2341" s="3"/>
      <c r="Q2341" s="4"/>
      <c r="R2341" s="4"/>
      <c r="S2341" s="9" t="str">
        <f>HYPERLINK("https://pbs.twimg.com/profile_images/873128501695705088/wixfJ99X.jpg","View")</f>
        <v>View</v>
      </c>
    </row>
    <row r="2342" spans="1:19" ht="12.5">
      <c r="A2342" s="8">
        <v>43345.575844907406</v>
      </c>
      <c r="B2342" s="11" t="str">
        <f>HYPERLINK("https://twitter.com/euronews_pe","@euronews_pe")</f>
        <v>@euronews_pe</v>
      </c>
      <c r="C2342" s="6" t="s">
        <v>2880</v>
      </c>
      <c r="D2342" s="5" t="s">
        <v>10881</v>
      </c>
      <c r="E2342" s="9" t="str">
        <f>HYPERLINK("https://twitter.com/euronews_pe/status/1036181741130665984","1036181741130665984")</f>
        <v>1036181741130665984</v>
      </c>
      <c r="F2342" s="10" t="s">
        <v>10880</v>
      </c>
      <c r="G2342" s="10" t="s">
        <v>10879</v>
      </c>
      <c r="H2342" s="4"/>
      <c r="I2342" s="10" t="str">
        <f>HYPERLINK("https://www.echobox.com","Echobox Social")</f>
        <v>Echobox Social</v>
      </c>
      <c r="J2342" s="2">
        <v>217307</v>
      </c>
      <c r="K2342" s="2">
        <v>150</v>
      </c>
      <c r="L2342" s="2">
        <v>516</v>
      </c>
      <c r="M2342" s="2" t="s">
        <v>80</v>
      </c>
      <c r="N2342" s="8">
        <v>41163.736319444448</v>
      </c>
      <c r="O2342" s="4" t="s">
        <v>2876</v>
      </c>
      <c r="P2342" s="3" t="s">
        <v>2875</v>
      </c>
      <c r="Q2342" s="10" t="s">
        <v>2874</v>
      </c>
      <c r="R2342" s="4"/>
      <c r="S2342" s="9" t="str">
        <f>HYPERLINK("https://pbs.twimg.com/profile_images/732666813612445696/1CthSJh6.jpg","View")</f>
        <v>View</v>
      </c>
    </row>
    <row r="2343" spans="1:19" ht="20">
      <c r="A2343" s="8">
        <v>43345.575243055559</v>
      </c>
      <c r="B2343" s="11" t="str">
        <f>HYPERLINK("https://twitter.com/MJM_118","@MJM_118")</f>
        <v>@MJM_118</v>
      </c>
      <c r="C2343" s="6" t="s">
        <v>10878</v>
      </c>
      <c r="D2343" s="5" t="s">
        <v>10877</v>
      </c>
      <c r="E2343" s="9" t="str">
        <f>HYPERLINK("https://twitter.com/MJM_118/status/1036181526420115456","1036181526420115456")</f>
        <v>1036181526420115456</v>
      </c>
      <c r="F2343" s="4"/>
      <c r="G2343" s="10" t="s">
        <v>10876</v>
      </c>
      <c r="H2343" s="4"/>
      <c r="I2343" s="10" t="str">
        <f>HYPERLINK("http://twitter.com/download/android","Twitter for Android")</f>
        <v>Twitter for Android</v>
      </c>
      <c r="J2343" s="2">
        <v>60</v>
      </c>
      <c r="K2343" s="2">
        <v>47</v>
      </c>
      <c r="L2343" s="2">
        <v>0</v>
      </c>
      <c r="M2343" s="2"/>
      <c r="N2343" s="8">
        <v>42859.092905092592</v>
      </c>
      <c r="O2343" s="4" t="s">
        <v>34</v>
      </c>
      <c r="P2343" s="3" t="s">
        <v>10875</v>
      </c>
      <c r="Q2343" s="4"/>
      <c r="R2343" s="4"/>
      <c r="S2343" s="9" t="str">
        <f>HYPERLINK("https://pbs.twimg.com/profile_images/1021314412743979009/Zw3gm_qX.jpg","View")</f>
        <v>View</v>
      </c>
    </row>
    <row r="2344" spans="1:19" ht="20">
      <c r="A2344" s="8">
        <v>43345.573576388888</v>
      </c>
      <c r="B2344" s="11" t="str">
        <f>HYPERLINK("https://twitter.com/malekoshoara","@malekoshoara")</f>
        <v>@malekoshoara</v>
      </c>
      <c r="C2344" s="6" t="s">
        <v>10874</v>
      </c>
      <c r="D2344" s="5" t="s">
        <v>10873</v>
      </c>
      <c r="E2344" s="9" t="str">
        <f>HYPERLINK("https://twitter.com/malekoshoara/status/1036180921496555521","1036180921496555521")</f>
        <v>1036180921496555521</v>
      </c>
      <c r="F2344" s="4"/>
      <c r="G2344" s="4"/>
      <c r="H2344" s="4"/>
      <c r="I2344" s="10" t="str">
        <f>HYPERLINK("http://twitter.com/download/android","Twitter for Android")</f>
        <v>Twitter for Android</v>
      </c>
      <c r="J2344" s="2">
        <v>149</v>
      </c>
      <c r="K2344" s="2">
        <v>388</v>
      </c>
      <c r="L2344" s="2">
        <v>1</v>
      </c>
      <c r="M2344" s="2"/>
      <c r="N2344" s="8">
        <v>42853.747835648144</v>
      </c>
      <c r="O2344" s="4" t="s">
        <v>10872</v>
      </c>
      <c r="P2344" s="3" t="s">
        <v>10871</v>
      </c>
      <c r="Q2344" s="4"/>
      <c r="R2344" s="4"/>
      <c r="S2344" s="9" t="str">
        <f>HYPERLINK("https://pbs.twimg.com/profile_images/973250764788457472/ZdgftrVQ.jpg","View")</f>
        <v>View</v>
      </c>
    </row>
    <row r="2345" spans="1:19" ht="12.5">
      <c r="A2345" s="8">
        <v>43345.572824074072</v>
      </c>
      <c r="B2345" s="11" t="str">
        <f>HYPERLINK("https://twitter.com/mr_nafahm","@mr_nafahm")</f>
        <v>@mr_nafahm</v>
      </c>
      <c r="C2345" s="6" t="s">
        <v>10870</v>
      </c>
      <c r="D2345" s="5" t="s">
        <v>10869</v>
      </c>
      <c r="E2345" s="9" t="str">
        <f>HYPERLINK("https://twitter.com/mr_nafahm/status/1036180647633666048","1036180647633666048")</f>
        <v>1036180647633666048</v>
      </c>
      <c r="F2345" s="4"/>
      <c r="G2345" s="4"/>
      <c r="H2345" s="4"/>
      <c r="I2345" s="10" t="str">
        <f>HYPERLINK("http://twitter.com/download/android","Twitter for Android")</f>
        <v>Twitter for Android</v>
      </c>
      <c r="J2345" s="2">
        <v>24</v>
      </c>
      <c r="K2345" s="2">
        <v>22</v>
      </c>
      <c r="L2345" s="2">
        <v>0</v>
      </c>
      <c r="M2345" s="2"/>
      <c r="N2345" s="8">
        <v>43268.076192129629</v>
      </c>
      <c r="O2345" s="4"/>
      <c r="P2345" s="3" t="s">
        <v>10868</v>
      </c>
      <c r="Q2345" s="4"/>
      <c r="R2345" s="4"/>
      <c r="S2345" s="9" t="str">
        <f>HYPERLINK("https://pbs.twimg.com/profile_images/1034171477078302722/n2acR084.jpg","View")</f>
        <v>View</v>
      </c>
    </row>
    <row r="2346" spans="1:19" ht="30">
      <c r="A2346" s="8">
        <v>43345.572499999995</v>
      </c>
      <c r="B2346" s="11" t="str">
        <f>HYPERLINK("https://twitter.com/barbarossa202","@barbarossa202")</f>
        <v>@barbarossa202</v>
      </c>
      <c r="C2346" s="6" t="s">
        <v>7173</v>
      </c>
      <c r="D2346" s="5" t="s">
        <v>10867</v>
      </c>
      <c r="E2346" s="9" t="str">
        <f>HYPERLINK("https://twitter.com/barbarossa202/status/1036180529685647360","1036180529685647360")</f>
        <v>1036180529685647360</v>
      </c>
      <c r="F2346" s="4"/>
      <c r="G2346" s="4"/>
      <c r="H2346" s="4"/>
      <c r="I2346" s="10" t="str">
        <f>HYPERLINK("http://twitter.com/download/android","Twitter for Android")</f>
        <v>Twitter for Android</v>
      </c>
      <c r="J2346" s="2">
        <v>72</v>
      </c>
      <c r="K2346" s="2">
        <v>222</v>
      </c>
      <c r="L2346" s="2">
        <v>0</v>
      </c>
      <c r="M2346" s="2"/>
      <c r="N2346" s="8">
        <v>42887.51966435185</v>
      </c>
      <c r="O2346" s="4" t="s">
        <v>7171</v>
      </c>
      <c r="P2346" s="3" t="s">
        <v>7170</v>
      </c>
      <c r="Q2346" s="4"/>
      <c r="R2346" s="4"/>
      <c r="S2346" s="2" t="s">
        <v>155</v>
      </c>
    </row>
    <row r="2347" spans="1:19" ht="30">
      <c r="A2347" s="8">
        <v>43345.570763888885</v>
      </c>
      <c r="B2347" s="11" t="str">
        <f>HYPERLINK("https://twitter.com/leilaiebidel","@leilaiebidel")</f>
        <v>@leilaiebidel</v>
      </c>
      <c r="C2347" s="6" t="s">
        <v>1194</v>
      </c>
      <c r="D2347" s="5" t="s">
        <v>10866</v>
      </c>
      <c r="E2347" s="9" t="str">
        <f>HYPERLINK("https://twitter.com/leilaiebidel/status/1036179899852177408","1036179899852177408")</f>
        <v>1036179899852177408</v>
      </c>
      <c r="F2347" s="4"/>
      <c r="G2347" s="10" t="s">
        <v>10865</v>
      </c>
      <c r="H2347" s="4"/>
      <c r="I2347" s="10" t="str">
        <f>HYPERLINK("http://twitter.com/download/android","Twitter for Android")</f>
        <v>Twitter for Android</v>
      </c>
      <c r="J2347" s="2">
        <v>438</v>
      </c>
      <c r="K2347" s="2">
        <v>1259</v>
      </c>
      <c r="L2347" s="2">
        <v>0</v>
      </c>
      <c r="M2347" s="2"/>
      <c r="N2347" s="8">
        <v>43339.463252314818</v>
      </c>
      <c r="O2347" s="4"/>
      <c r="P2347" s="3" t="s">
        <v>1191</v>
      </c>
      <c r="Q2347" s="4"/>
      <c r="R2347" s="4"/>
      <c r="S2347" s="9" t="str">
        <f>HYPERLINK("https://pbs.twimg.com/profile_images/1034555914039246848/1A4DzguA.jpg","View")</f>
        <v>View</v>
      </c>
    </row>
    <row r="2348" spans="1:19" ht="30">
      <c r="A2348" s="8">
        <v>43345.567384259259</v>
      </c>
      <c r="B2348" s="11" t="str">
        <f>HYPERLINK("https://twitter.com/Hadi_167","@Hadi_167")</f>
        <v>@Hadi_167</v>
      </c>
      <c r="C2348" s="6" t="s">
        <v>3980</v>
      </c>
      <c r="D2348" s="5" t="s">
        <v>10864</v>
      </c>
      <c r="E2348" s="9" t="str">
        <f>HYPERLINK("https://twitter.com/Hadi_167/status/1036178678433112064","1036178678433112064")</f>
        <v>1036178678433112064</v>
      </c>
      <c r="F2348" s="10" t="s">
        <v>10863</v>
      </c>
      <c r="G2348" s="10" t="s">
        <v>10862</v>
      </c>
      <c r="H2348" s="4"/>
      <c r="I2348" s="10" t="str">
        <f>HYPERLINK("http://twitter.com/download/android","Twitter for Android")</f>
        <v>Twitter for Android</v>
      </c>
      <c r="J2348" s="2">
        <v>53</v>
      </c>
      <c r="K2348" s="2">
        <v>47</v>
      </c>
      <c r="L2348" s="2">
        <v>0</v>
      </c>
      <c r="M2348" s="2"/>
      <c r="N2348" s="8">
        <v>43320.320034722223</v>
      </c>
      <c r="O2348" s="4" t="s">
        <v>324</v>
      </c>
      <c r="P2348" s="3" t="s">
        <v>3977</v>
      </c>
      <c r="Q2348" s="4"/>
      <c r="R2348" s="4"/>
      <c r="S2348" s="9" t="str">
        <f>HYPERLINK("https://pbs.twimg.com/profile_images/1027031814018400256/Uea5hPM7.jpg","View")</f>
        <v>View</v>
      </c>
    </row>
    <row r="2349" spans="1:19" ht="30">
      <c r="A2349" s="8">
        <v>43345.567372685182</v>
      </c>
      <c r="B2349" s="11" t="str">
        <f>HYPERLINK("https://twitter.com/aming1373","@aming1373")</f>
        <v>@aming1373</v>
      </c>
      <c r="C2349" s="6" t="s">
        <v>3030</v>
      </c>
      <c r="D2349" s="5" t="s">
        <v>10861</v>
      </c>
      <c r="E2349" s="9" t="str">
        <f>HYPERLINK("https://twitter.com/aming1373/status/1036178672909275136","1036178672909275136")</f>
        <v>1036178672909275136</v>
      </c>
      <c r="F2349" s="4"/>
      <c r="G2349" s="10" t="s">
        <v>10860</v>
      </c>
      <c r="H2349" s="4"/>
      <c r="I2349" s="10" t="str">
        <f>HYPERLINK("http://twitter.com/download/android","Twitter for Android")</f>
        <v>Twitter for Android</v>
      </c>
      <c r="J2349" s="2">
        <v>99</v>
      </c>
      <c r="K2349" s="2">
        <v>255</v>
      </c>
      <c r="L2349" s="2">
        <v>0</v>
      </c>
      <c r="M2349" s="2"/>
      <c r="N2349" s="8">
        <v>42938.381678240738</v>
      </c>
      <c r="O2349" s="4" t="s">
        <v>104</v>
      </c>
      <c r="P2349" s="3" t="s">
        <v>10859</v>
      </c>
      <c r="Q2349" s="4"/>
      <c r="R2349" s="4"/>
      <c r="S2349" s="9" t="str">
        <f>HYPERLINK("https://pbs.twimg.com/profile_images/1034461132596105216/rQsV5EPy.jpg","View")</f>
        <v>View</v>
      </c>
    </row>
    <row r="2350" spans="1:19" ht="20">
      <c r="A2350" s="8">
        <v>43345.56731481482</v>
      </c>
      <c r="B2350" s="11" t="str">
        <f>HYPERLINK("https://twitter.com/aa_persian","@aa_persian")</f>
        <v>@aa_persian</v>
      </c>
      <c r="C2350" s="6" t="s">
        <v>7471</v>
      </c>
      <c r="D2350" s="5" t="s">
        <v>10858</v>
      </c>
      <c r="E2350" s="9" t="str">
        <f>HYPERLINK("https://twitter.com/aa_persian/status/1036178652180955136","1036178652180955136")</f>
        <v>1036178652180955136</v>
      </c>
      <c r="F2350" s="10" t="s">
        <v>10857</v>
      </c>
      <c r="G2350" s="10" t="s">
        <v>10856</v>
      </c>
      <c r="H2350" s="4"/>
      <c r="I2350" s="10" t="str">
        <f>HYPERLINK("http://twitter.com","Twitter Web Client")</f>
        <v>Twitter Web Client</v>
      </c>
      <c r="J2350" s="2">
        <v>2742</v>
      </c>
      <c r="K2350" s="2">
        <v>16</v>
      </c>
      <c r="L2350" s="2">
        <v>38</v>
      </c>
      <c r="M2350" s="2"/>
      <c r="N2350" s="8">
        <v>42131.811759259261</v>
      </c>
      <c r="O2350" s="4" t="s">
        <v>7467</v>
      </c>
      <c r="P2350" s="3" t="s">
        <v>7466</v>
      </c>
      <c r="Q2350" s="10" t="s">
        <v>7465</v>
      </c>
      <c r="R2350" s="4"/>
      <c r="S2350" s="9" t="str">
        <f>HYPERLINK("https://pbs.twimg.com/profile_images/946457310867738626/CzW4oqyO.jpg","View")</f>
        <v>View</v>
      </c>
    </row>
    <row r="2351" spans="1:19" ht="30">
      <c r="A2351" s="8">
        <v>43345.560949074075</v>
      </c>
      <c r="B2351" s="11" t="str">
        <f>HYPERLINK("https://twitter.com/ThisIsGannicus","@ThisIsGannicus")</f>
        <v>@ThisIsGannicus</v>
      </c>
      <c r="C2351" s="6" t="s">
        <v>9550</v>
      </c>
      <c r="D2351" s="5" t="s">
        <v>10855</v>
      </c>
      <c r="E2351" s="9" t="str">
        <f>HYPERLINK("https://twitter.com/ThisIsGannicus/status/1036176345812717568","1036176345812717568")</f>
        <v>1036176345812717568</v>
      </c>
      <c r="F2351" s="4"/>
      <c r="G2351" s="4"/>
      <c r="H2351" s="4"/>
      <c r="I2351" s="10" t="str">
        <f>HYPERLINK("http://twitter.com/download/android","Twitter for Android")</f>
        <v>Twitter for Android</v>
      </c>
      <c r="J2351" s="2">
        <v>2988</v>
      </c>
      <c r="K2351" s="2">
        <v>880</v>
      </c>
      <c r="L2351" s="2">
        <v>4</v>
      </c>
      <c r="M2351" s="2"/>
      <c r="N2351" s="8">
        <v>43095.070254629631</v>
      </c>
      <c r="O2351" s="4" t="s">
        <v>9547</v>
      </c>
      <c r="P2351" s="3" t="s">
        <v>9546</v>
      </c>
      <c r="Q2351" s="4"/>
      <c r="R2351" s="4"/>
      <c r="S2351" s="9" t="str">
        <f>HYPERLINK("https://pbs.twimg.com/profile_images/978757383877943296/hSv0aRlK.jpg","View")</f>
        <v>View</v>
      </c>
    </row>
    <row r="2352" spans="1:19" ht="40">
      <c r="A2352" s="8">
        <v>43345.558587962965</v>
      </c>
      <c r="B2352" s="11" t="str">
        <f>HYPERLINK("https://twitter.com/sobhe_no","@sobhe_no")</f>
        <v>@sobhe_no</v>
      </c>
      <c r="C2352" s="6" t="s">
        <v>4185</v>
      </c>
      <c r="D2352" s="5" t="s">
        <v>10854</v>
      </c>
      <c r="E2352" s="9" t="str">
        <f>HYPERLINK("https://twitter.com/sobhe_no/status/1036175488341995520","1036175488341995520")</f>
        <v>1036175488341995520</v>
      </c>
      <c r="F2352" s="4"/>
      <c r="G2352" s="4"/>
      <c r="H2352" s="4"/>
      <c r="I2352" s="10" t="str">
        <f>HYPERLINK("http://twitter.com","Twitter Web Client")</f>
        <v>Twitter Web Client</v>
      </c>
      <c r="J2352" s="2">
        <v>10671</v>
      </c>
      <c r="K2352" s="2">
        <v>31</v>
      </c>
      <c r="L2352" s="2">
        <v>71</v>
      </c>
      <c r="M2352" s="2"/>
      <c r="N2352" s="8">
        <v>42471.601400462961</v>
      </c>
      <c r="O2352" s="4" t="s">
        <v>34</v>
      </c>
      <c r="P2352" s="3" t="s">
        <v>4182</v>
      </c>
      <c r="Q2352" s="10" t="s">
        <v>4181</v>
      </c>
      <c r="R2352" s="4"/>
      <c r="S2352" s="9" t="str">
        <f>HYPERLINK("https://pbs.twimg.com/profile_images/737719828429963265/nghJhp_N.jpg","View")</f>
        <v>View</v>
      </c>
    </row>
    <row r="2353" spans="1:19" ht="20">
      <c r="A2353" s="8">
        <v>43345.557499999995</v>
      </c>
      <c r="B2353" s="11" t="str">
        <f>HYPERLINK("https://twitter.com/izadi_javad","@izadi_javad")</f>
        <v>@izadi_javad</v>
      </c>
      <c r="C2353" s="6" t="s">
        <v>10853</v>
      </c>
      <c r="D2353" s="5" t="s">
        <v>10852</v>
      </c>
      <c r="E2353" s="9" t="str">
        <f>HYPERLINK("https://twitter.com/izadi_javad/status/1036175095004372992","1036175095004372992")</f>
        <v>1036175095004372992</v>
      </c>
      <c r="F2353" s="4"/>
      <c r="G2353" s="4"/>
      <c r="H2353" s="4"/>
      <c r="I2353" s="10" t="str">
        <f>HYPERLINK("http://twitter.com/download/iphone","Twitter for iPhone")</f>
        <v>Twitter for iPhone</v>
      </c>
      <c r="J2353" s="2">
        <v>124</v>
      </c>
      <c r="K2353" s="2">
        <v>227</v>
      </c>
      <c r="L2353" s="2">
        <v>2</v>
      </c>
      <c r="M2353" s="2"/>
      <c r="N2353" s="8">
        <v>40956.108252314814</v>
      </c>
      <c r="O2353" s="4" t="s">
        <v>324</v>
      </c>
      <c r="P2353" s="3" t="s">
        <v>10851</v>
      </c>
      <c r="Q2353" s="10" t="s">
        <v>10850</v>
      </c>
      <c r="R2353" s="4"/>
      <c r="S2353" s="9" t="str">
        <f>HYPERLINK("https://pbs.twimg.com/profile_images/378800000581977066/46c1ede5afc2646132cb4fb5f0ee85d1.jpeg","View")</f>
        <v>View</v>
      </c>
    </row>
    <row r="2354" spans="1:19" ht="20">
      <c r="A2354" s="8">
        <v>43345.556273148148</v>
      </c>
      <c r="B2354" s="11" t="str">
        <f>HYPERLINK("https://twitter.com/JENE_KHOB","@JENE_KHOB")</f>
        <v>@JENE_KHOB</v>
      </c>
      <c r="C2354" s="6" t="s">
        <v>9756</v>
      </c>
      <c r="D2354" s="5" t="s">
        <v>10849</v>
      </c>
      <c r="E2354" s="9" t="str">
        <f>HYPERLINK("https://twitter.com/JENE_KHOB/status/1036174650672377857","1036174650672377857")</f>
        <v>1036174650672377857</v>
      </c>
      <c r="F2354" s="4"/>
      <c r="G2354" s="4"/>
      <c r="H2354" s="4"/>
      <c r="I2354" s="10" t="str">
        <f>HYPERLINK("http://twitter.com/download/android","Twitter for Android")</f>
        <v>Twitter for Android</v>
      </c>
      <c r="J2354" s="2">
        <v>198</v>
      </c>
      <c r="K2354" s="2">
        <v>440</v>
      </c>
      <c r="L2354" s="2">
        <v>0</v>
      </c>
      <c r="M2354" s="2"/>
      <c r="N2354" s="8">
        <v>43340.337905092594</v>
      </c>
      <c r="O2354" s="4" t="s">
        <v>17</v>
      </c>
      <c r="P2354" s="3" t="s">
        <v>9753</v>
      </c>
      <c r="Q2354" s="4"/>
      <c r="R2354" s="4"/>
      <c r="S2354" s="9" t="str">
        <f>HYPERLINK("https://pbs.twimg.com/profile_images/1035301677409214464/gGxYg3HN.jpg","View")</f>
        <v>View</v>
      </c>
    </row>
    <row r="2355" spans="1:19" ht="30">
      <c r="A2355" s="8">
        <v>43345.553761574076</v>
      </c>
      <c r="B2355" s="11" t="str">
        <f>HYPERLINK("https://twitter.com/hashienevis","@hashienevis")</f>
        <v>@hashienevis</v>
      </c>
      <c r="C2355" s="6" t="s">
        <v>3112</v>
      </c>
      <c r="D2355" s="5" t="s">
        <v>10848</v>
      </c>
      <c r="E2355" s="9" t="str">
        <f>HYPERLINK("https://twitter.com/hashienevis/status/1036173738591453184","1036173738591453184")</f>
        <v>1036173738591453184</v>
      </c>
      <c r="F2355" s="4"/>
      <c r="G2355" s="10" t="s">
        <v>10847</v>
      </c>
      <c r="H2355" s="4"/>
      <c r="I2355" s="10" t="str">
        <f>HYPERLINK("http://twitter.com","Twitter Web Client")</f>
        <v>Twitter Web Client</v>
      </c>
      <c r="J2355" s="2">
        <v>506</v>
      </c>
      <c r="K2355" s="2">
        <v>550</v>
      </c>
      <c r="L2355" s="2">
        <v>0</v>
      </c>
      <c r="M2355" s="2"/>
      <c r="N2355" s="8">
        <v>43238.543541666666</v>
      </c>
      <c r="O2355" s="4" t="s">
        <v>1113</v>
      </c>
      <c r="P2355" s="3" t="s">
        <v>3109</v>
      </c>
      <c r="Q2355" s="4"/>
      <c r="R2355" s="4"/>
      <c r="S2355" s="9" t="str">
        <f>HYPERLINK("https://pbs.twimg.com/profile_images/997407030078980096/O-zcFViv.jpg","View")</f>
        <v>View</v>
      </c>
    </row>
    <row r="2356" spans="1:19" ht="30">
      <c r="A2356" s="8">
        <v>43345.55363425926</v>
      </c>
      <c r="B2356" s="11" t="str">
        <f>HYPERLINK("https://twitter.com/amir_ali_irani","@amir_ali_irani")</f>
        <v>@amir_ali_irani</v>
      </c>
      <c r="C2356" s="6" t="s">
        <v>9400</v>
      </c>
      <c r="D2356" s="5" t="s">
        <v>10846</v>
      </c>
      <c r="E2356" s="9" t="str">
        <f>HYPERLINK("https://twitter.com/amir_ali_irani/status/1036173694366883840","1036173694366883840")</f>
        <v>1036173694366883840</v>
      </c>
      <c r="F2356" s="4"/>
      <c r="G2356" s="4"/>
      <c r="H2356" s="4"/>
      <c r="I2356" s="10" t="str">
        <f>HYPERLINK("http://twitter.com/download/android","Twitter for Android")</f>
        <v>Twitter for Android</v>
      </c>
      <c r="J2356" s="2">
        <v>4930</v>
      </c>
      <c r="K2356" s="2">
        <v>4674</v>
      </c>
      <c r="L2356" s="2">
        <v>6</v>
      </c>
      <c r="M2356" s="2"/>
      <c r="N2356" s="8">
        <v>43046.431284722217</v>
      </c>
      <c r="O2356" s="4"/>
      <c r="P2356" s="3" t="s">
        <v>9398</v>
      </c>
      <c r="Q2356" s="4"/>
      <c r="R2356" s="4"/>
      <c r="S2356" s="9" t="str">
        <f>HYPERLINK("https://pbs.twimg.com/profile_images/1010232688106721280/b-HepdSP.jpg","View")</f>
        <v>View</v>
      </c>
    </row>
    <row r="2357" spans="1:19" ht="30">
      <c r="A2357" s="8">
        <v>43345.552881944444</v>
      </c>
      <c r="B2357" s="11" t="str">
        <f>HYPERLINK("https://twitter.com/Arman_Truth","@Arman_Truth")</f>
        <v>@Arman_Truth</v>
      </c>
      <c r="C2357" s="6" t="s">
        <v>1190</v>
      </c>
      <c r="D2357" s="5" t="s">
        <v>10845</v>
      </c>
      <c r="E2357" s="9" t="str">
        <f>HYPERLINK("https://twitter.com/Arman_Truth/status/1036173421586141184","1036173421586141184")</f>
        <v>1036173421586141184</v>
      </c>
      <c r="F2357" s="4"/>
      <c r="G2357" s="10" t="s">
        <v>10844</v>
      </c>
      <c r="H2357" s="4"/>
      <c r="I2357" s="10" t="str">
        <f>HYPERLINK("http://twitter.com/download/iphone","Twitter for iPhone")</f>
        <v>Twitter for iPhone</v>
      </c>
      <c r="J2357" s="2">
        <v>2646</v>
      </c>
      <c r="K2357" s="2">
        <v>893</v>
      </c>
      <c r="L2357" s="2">
        <v>9</v>
      </c>
      <c r="M2357" s="2"/>
      <c r="N2357" s="8">
        <v>42751.806643518517</v>
      </c>
      <c r="O2357" s="4" t="s">
        <v>1188</v>
      </c>
      <c r="P2357" s="3" t="s">
        <v>1187</v>
      </c>
      <c r="Q2357" s="10" t="s">
        <v>1186</v>
      </c>
      <c r="R2357" s="4"/>
      <c r="S2357" s="9" t="str">
        <f>HYPERLINK("https://pbs.twimg.com/profile_images/1020198182452678661/SP0is0Lc.jpg","View")</f>
        <v>View</v>
      </c>
    </row>
    <row r="2358" spans="1:19" ht="40">
      <c r="A2358" s="8">
        <v>43345.552754629629</v>
      </c>
      <c r="B2358" s="11" t="str">
        <f>HYPERLINK("https://twitter.com/Mhmdrz_farzane","@Mhmdrz_farzane")</f>
        <v>@Mhmdrz_farzane</v>
      </c>
      <c r="C2358" s="6" t="s">
        <v>10843</v>
      </c>
      <c r="D2358" s="5" t="s">
        <v>10842</v>
      </c>
      <c r="E2358" s="9" t="str">
        <f>HYPERLINK("https://twitter.com/Mhmdrz_farzane/status/1036173373783638016","1036173373783638016")</f>
        <v>1036173373783638016</v>
      </c>
      <c r="F2358" s="4"/>
      <c r="G2358" s="4"/>
      <c r="H2358" s="4"/>
      <c r="I2358" s="10" t="str">
        <f>HYPERLINK("http://twitter.com/download/android","Twitter for Android")</f>
        <v>Twitter for Android</v>
      </c>
      <c r="J2358" s="2">
        <v>171</v>
      </c>
      <c r="K2358" s="2">
        <v>382</v>
      </c>
      <c r="L2358" s="2">
        <v>1</v>
      </c>
      <c r="M2358" s="2"/>
      <c r="N2358" s="8">
        <v>42762.823634259257</v>
      </c>
      <c r="O2358" s="4" t="s">
        <v>17</v>
      </c>
      <c r="P2358" s="3" t="s">
        <v>10841</v>
      </c>
      <c r="Q2358" s="4"/>
      <c r="R2358" s="4"/>
      <c r="S2358" s="9" t="str">
        <f>HYPERLINK("https://pbs.twimg.com/profile_images/966718489473019904/0EFB-87C.jpg","View")</f>
        <v>View</v>
      </c>
    </row>
    <row r="2359" spans="1:19" ht="40">
      <c r="A2359" s="8">
        <v>43345.549178240741</v>
      </c>
      <c r="B2359" s="11" t="str">
        <f>HYPERLINK("https://twitter.com/mersadnews_ir","@mersadnews_ir")</f>
        <v>@mersadnews_ir</v>
      </c>
      <c r="C2359" s="6" t="s">
        <v>3586</v>
      </c>
      <c r="D2359" s="5" t="s">
        <v>10840</v>
      </c>
      <c r="E2359" s="9" t="str">
        <f>HYPERLINK("https://twitter.com/mersadnews_ir/status/1036172078070812677","1036172078070812677")</f>
        <v>1036172078070812677</v>
      </c>
      <c r="F2359" s="4"/>
      <c r="G2359" s="4"/>
      <c r="H2359" s="4"/>
      <c r="I2359" s="10" t="str">
        <f>HYPERLINK("http://twitter.com/download/android","Twitter for Android")</f>
        <v>Twitter for Android</v>
      </c>
      <c r="J2359" s="2">
        <v>1569</v>
      </c>
      <c r="K2359" s="2">
        <v>833</v>
      </c>
      <c r="L2359" s="2">
        <v>11</v>
      </c>
      <c r="M2359" s="2"/>
      <c r="N2359" s="8">
        <v>42248.572592592594</v>
      </c>
      <c r="O2359" s="4"/>
      <c r="P2359" s="3" t="s">
        <v>3584</v>
      </c>
      <c r="Q2359" s="4"/>
      <c r="R2359" s="4"/>
      <c r="S2359" s="9" t="str">
        <f>HYPERLINK("https://pbs.twimg.com/profile_images/951372057123741696/1KwF8zUA.jpg","View")</f>
        <v>View</v>
      </c>
    </row>
    <row r="2360" spans="1:19" ht="70">
      <c r="A2360" s="8">
        <v>43345.545486111107</v>
      </c>
      <c r="B2360" s="11" t="str">
        <f>HYPERLINK("https://twitter.com/roshanak_ast","@roshanak_ast")</f>
        <v>@roshanak_ast</v>
      </c>
      <c r="C2360" s="6" t="s">
        <v>10077</v>
      </c>
      <c r="D2360" s="5" t="s">
        <v>10839</v>
      </c>
      <c r="E2360" s="9" t="str">
        <f>HYPERLINK("https://twitter.com/roshanak_ast/status/1036170740482093056","1036170740482093056")</f>
        <v>1036170740482093056</v>
      </c>
      <c r="F2360" s="4" t="s">
        <v>10838</v>
      </c>
      <c r="G2360" s="10" t="s">
        <v>10837</v>
      </c>
      <c r="H2360" s="4"/>
      <c r="I2360" s="10" t="str">
        <f>HYPERLINK("http://twitter.com","Twitter Web Client")</f>
        <v>Twitter Web Client</v>
      </c>
      <c r="J2360" s="2">
        <v>1052</v>
      </c>
      <c r="K2360" s="2">
        <v>990</v>
      </c>
      <c r="L2360" s="2">
        <v>7</v>
      </c>
      <c r="M2360" s="2"/>
      <c r="N2360" s="8">
        <v>41144.621724537035</v>
      </c>
      <c r="O2360" s="4"/>
      <c r="P2360" s="3" t="s">
        <v>10075</v>
      </c>
      <c r="Q2360" s="10" t="s">
        <v>2859</v>
      </c>
      <c r="R2360" s="4"/>
      <c r="S2360" s="9" t="str">
        <f>HYPERLINK("https://pbs.twimg.com/profile_images/1009154579496423424/PtrG_11h.jpg","View")</f>
        <v>View</v>
      </c>
    </row>
    <row r="2361" spans="1:19" ht="30">
      <c r="A2361" s="8">
        <v>43345.542303240742</v>
      </c>
      <c r="B2361" s="11" t="str">
        <f>HYPERLINK("https://twitter.com/NGwonderland","@NGwonderland")</f>
        <v>@NGwonderland</v>
      </c>
      <c r="C2361" s="6" t="s">
        <v>10836</v>
      </c>
      <c r="D2361" s="5" t="s">
        <v>10835</v>
      </c>
      <c r="E2361" s="9" t="str">
        <f>HYPERLINK("https://twitter.com/NGwonderland/status/1036169586754895873","1036169586754895873")</f>
        <v>1036169586754895873</v>
      </c>
      <c r="F2361" s="4"/>
      <c r="G2361" s="4"/>
      <c r="H2361" s="4"/>
      <c r="I2361" s="10" t="str">
        <f>HYPERLINK("http://twitter.com","Twitter Web Client")</f>
        <v>Twitter Web Client</v>
      </c>
      <c r="J2361" s="2">
        <v>1016</v>
      </c>
      <c r="K2361" s="2">
        <v>271</v>
      </c>
      <c r="L2361" s="2">
        <v>11</v>
      </c>
      <c r="M2361" s="2"/>
      <c r="N2361" s="8">
        <v>42375.983969907407</v>
      </c>
      <c r="O2361" s="4"/>
      <c r="P2361" s="3" t="s">
        <v>10834</v>
      </c>
      <c r="Q2361" s="4"/>
      <c r="R2361" s="4"/>
      <c r="S2361" s="9" t="str">
        <f>HYPERLINK("https://pbs.twimg.com/profile_images/1013680644478701571/KYn8aYQx.jpg","View")</f>
        <v>View</v>
      </c>
    </row>
    <row r="2362" spans="1:19" ht="30">
      <c r="A2362" s="8">
        <v>43345.541504629626</v>
      </c>
      <c r="B2362" s="11" t="str">
        <f>HYPERLINK("https://twitter.com/TasnimPolitics","@TasnimPolitics")</f>
        <v>@TasnimPolitics</v>
      </c>
      <c r="C2362" s="6" t="s">
        <v>5899</v>
      </c>
      <c r="D2362" s="5" t="s">
        <v>10833</v>
      </c>
      <c r="E2362" s="9" t="str">
        <f>HYPERLINK("https://twitter.com/TasnimPolitics/status/1036169297691897856","1036169297691897856")</f>
        <v>1036169297691897856</v>
      </c>
      <c r="F2362" s="4"/>
      <c r="G2362" s="10" t="s">
        <v>10832</v>
      </c>
      <c r="H2362" s="4"/>
      <c r="I2362" s="10" t="str">
        <f>HYPERLINK("http://twitter.com/download/android","Twitter for Android")</f>
        <v>Twitter for Android</v>
      </c>
      <c r="J2362" s="2">
        <v>1921</v>
      </c>
      <c r="K2362" s="2">
        <v>1610</v>
      </c>
      <c r="L2362" s="2">
        <v>6</v>
      </c>
      <c r="M2362" s="2"/>
      <c r="N2362" s="8">
        <v>42873.233842592592</v>
      </c>
      <c r="O2362" s="4"/>
      <c r="P2362" s="3" t="s">
        <v>5897</v>
      </c>
      <c r="Q2362" s="10" t="s">
        <v>5896</v>
      </c>
      <c r="R2362" s="4"/>
      <c r="S2362" s="9" t="str">
        <f>HYPERLINK("https://pbs.twimg.com/profile_images/1024628781770854400/T9_cBfpi.jpg","View")</f>
        <v>View</v>
      </c>
    </row>
    <row r="2363" spans="1:19" ht="30">
      <c r="A2363" s="8">
        <v>43345.541273148148</v>
      </c>
      <c r="B2363" s="11" t="str">
        <f>HYPERLINK("https://twitter.com/hezbolahiran","@hezbolahiran")</f>
        <v>@hezbolahiran</v>
      </c>
      <c r="C2363" s="6" t="s">
        <v>10597</v>
      </c>
      <c r="D2363" s="5" t="s">
        <v>10831</v>
      </c>
      <c r="E2363" s="9" t="str">
        <f>HYPERLINK("https://twitter.com/hezbolahiran/status/1036169213851979776","1036169213851979776")</f>
        <v>1036169213851979776</v>
      </c>
      <c r="F2363" s="4"/>
      <c r="G2363" s="10" t="s">
        <v>10830</v>
      </c>
      <c r="H2363" s="4"/>
      <c r="I2363" s="10" t="str">
        <f>HYPERLINK("https://mobile.twitter.com","Twitter Lite")</f>
        <v>Twitter Lite</v>
      </c>
      <c r="J2363" s="2">
        <v>23</v>
      </c>
      <c r="K2363" s="2">
        <v>165</v>
      </c>
      <c r="L2363" s="2">
        <v>0</v>
      </c>
      <c r="M2363" s="2"/>
      <c r="N2363" s="8">
        <v>43338.628263888888</v>
      </c>
      <c r="O2363" s="4"/>
      <c r="P2363" s="3"/>
      <c r="Q2363" s="4"/>
      <c r="R2363" s="4"/>
      <c r="S2363" s="9" t="str">
        <f>HYPERLINK("https://pbs.twimg.com/profile_images/1034066697588625408/WY9enXa2.jpg","View")</f>
        <v>View</v>
      </c>
    </row>
    <row r="2364" spans="1:19" ht="30">
      <c r="A2364" s="8">
        <v>43345.540266203709</v>
      </c>
      <c r="B2364" s="11" t="str">
        <f>HYPERLINK("https://twitter.com/atshan97","@atshan97")</f>
        <v>@atshan97</v>
      </c>
      <c r="C2364" s="6" t="s">
        <v>10829</v>
      </c>
      <c r="D2364" s="5" t="s">
        <v>10828</v>
      </c>
      <c r="E2364" s="9" t="str">
        <f>HYPERLINK("https://twitter.com/atshan97/status/1036168850742497280","1036168850742497280")</f>
        <v>1036168850742497280</v>
      </c>
      <c r="F2364" s="4"/>
      <c r="G2364" s="4"/>
      <c r="H2364" s="4"/>
      <c r="I2364" s="10" t="str">
        <f>HYPERLINK("http://twitter.com","Twitter Web Client")</f>
        <v>Twitter Web Client</v>
      </c>
      <c r="J2364" s="2">
        <v>68</v>
      </c>
      <c r="K2364" s="2">
        <v>53</v>
      </c>
      <c r="L2364" s="2">
        <v>0</v>
      </c>
      <c r="M2364" s="2"/>
      <c r="N2364" s="8">
        <v>43146.583449074074</v>
      </c>
      <c r="O2364" s="4"/>
      <c r="P2364" s="3" t="s">
        <v>10827</v>
      </c>
      <c r="Q2364" s="4"/>
      <c r="R2364" s="4"/>
      <c r="S2364" s="9" t="str">
        <f>HYPERLINK("https://pbs.twimg.com/profile_images/964086007980179456/BgKXoD-x.jpg","View")</f>
        <v>View</v>
      </c>
    </row>
    <row r="2365" spans="1:19" ht="30">
      <c r="A2365" s="8">
        <v>43345.540127314816</v>
      </c>
      <c r="B2365" s="11" t="str">
        <f>HYPERLINK("https://twitter.com/amir_ali_irani","@amir_ali_irani")</f>
        <v>@amir_ali_irani</v>
      </c>
      <c r="C2365" s="6" t="s">
        <v>9400</v>
      </c>
      <c r="D2365" s="5" t="s">
        <v>10826</v>
      </c>
      <c r="E2365" s="9" t="str">
        <f>HYPERLINK("https://twitter.com/amir_ali_irani/status/1036168799551205376","1036168799551205376")</f>
        <v>1036168799551205376</v>
      </c>
      <c r="F2365" s="4"/>
      <c r="G2365" s="4"/>
      <c r="H2365" s="4"/>
      <c r="I2365" s="10" t="str">
        <f>HYPERLINK("http://twitter.com/download/android","Twitter for Android")</f>
        <v>Twitter for Android</v>
      </c>
      <c r="J2365" s="2">
        <v>4930</v>
      </c>
      <c r="K2365" s="2">
        <v>4674</v>
      </c>
      <c r="L2365" s="2">
        <v>6</v>
      </c>
      <c r="M2365" s="2"/>
      <c r="N2365" s="8">
        <v>43046.431284722217</v>
      </c>
      <c r="O2365" s="4"/>
      <c r="P2365" s="3" t="s">
        <v>9398</v>
      </c>
      <c r="Q2365" s="4"/>
      <c r="R2365" s="4"/>
      <c r="S2365" s="9" t="str">
        <f>HYPERLINK("https://pbs.twimg.com/profile_images/1010232688106721280/b-HepdSP.jpg","View")</f>
        <v>View</v>
      </c>
    </row>
    <row r="2366" spans="1:19" ht="40">
      <c r="A2366" s="8">
        <v>43345.535891203705</v>
      </c>
      <c r="B2366" s="11" t="str">
        <f>HYPERLINK("https://twitter.com/a_rahimi_mp","@a_rahimi_mp")</f>
        <v>@a_rahimi_mp</v>
      </c>
      <c r="C2366" s="6" t="s">
        <v>10825</v>
      </c>
      <c r="D2366" s="5" t="s">
        <v>10824</v>
      </c>
      <c r="E2366" s="9" t="str">
        <f>HYPERLINK("https://twitter.com/a_rahimi_mp/status/1036167263504744448","1036167263504744448")</f>
        <v>1036167263504744448</v>
      </c>
      <c r="F2366" s="4"/>
      <c r="G2366" s="4"/>
      <c r="H2366" s="4"/>
      <c r="I2366" s="10" t="str">
        <f>HYPERLINK("http://twitter.com/download/android","Twitter for Android")</f>
        <v>Twitter for Android</v>
      </c>
      <c r="J2366" s="2">
        <v>1397</v>
      </c>
      <c r="K2366" s="2">
        <v>49</v>
      </c>
      <c r="L2366" s="2">
        <v>26</v>
      </c>
      <c r="M2366" s="2"/>
      <c r="N2366" s="8">
        <v>43167.189513888894</v>
      </c>
      <c r="O2366" s="4" t="s">
        <v>10823</v>
      </c>
      <c r="P2366" s="3" t="s">
        <v>10822</v>
      </c>
      <c r="Q2366" s="4"/>
      <c r="R2366" s="4"/>
      <c r="S2366" s="9" t="str">
        <f>HYPERLINK("https://pbs.twimg.com/profile_images/971555233460604928/K3jKUQx3.jpg","View")</f>
        <v>View</v>
      </c>
    </row>
    <row r="2367" spans="1:19" ht="20">
      <c r="A2367" s="8">
        <v>43345.534097222218</v>
      </c>
      <c r="B2367" s="11" t="str">
        <f>HYPERLINK("https://twitter.com/ilnanews","@ilnanews")</f>
        <v>@ilnanews</v>
      </c>
      <c r="C2367" s="6" t="s">
        <v>6413</v>
      </c>
      <c r="D2367" s="5" t="s">
        <v>10821</v>
      </c>
      <c r="E2367" s="9" t="str">
        <f>HYPERLINK("https://twitter.com/ilnanews/status/1036166612095848448","1036166612095848448")</f>
        <v>1036166612095848448</v>
      </c>
      <c r="F2367" s="10" t="s">
        <v>10820</v>
      </c>
      <c r="G2367" s="10" t="s">
        <v>10819</v>
      </c>
      <c r="H2367" s="4"/>
      <c r="I2367" s="10" t="str">
        <f>HYPERLINK("http://twitter.com/download/android","Twitter for Android")</f>
        <v>Twitter for Android</v>
      </c>
      <c r="J2367" s="2">
        <v>32345</v>
      </c>
      <c r="K2367" s="2">
        <v>67</v>
      </c>
      <c r="L2367" s="2">
        <v>160</v>
      </c>
      <c r="M2367" s="2"/>
      <c r="N2367" s="8">
        <v>42062.024768518517</v>
      </c>
      <c r="O2367" s="4" t="s">
        <v>34</v>
      </c>
      <c r="P2367" s="3" t="s">
        <v>6409</v>
      </c>
      <c r="Q2367" s="10" t="s">
        <v>6408</v>
      </c>
      <c r="R2367" s="4"/>
      <c r="S2367" s="9" t="str">
        <f>HYPERLINK("https://pbs.twimg.com/profile_images/760387216782848000/TS1QyYLo.jpg","View")</f>
        <v>View</v>
      </c>
    </row>
    <row r="2368" spans="1:19" ht="20">
      <c r="A2368" s="8">
        <v>43345.533657407403</v>
      </c>
      <c r="B2368" s="11" t="str">
        <f>HYPERLINK("https://twitter.com/josephsith2018","@josephsith2018")</f>
        <v>@josephsith2018</v>
      </c>
      <c r="C2368" s="6" t="s">
        <v>10818</v>
      </c>
      <c r="D2368" s="5" t="s">
        <v>10817</v>
      </c>
      <c r="E2368" s="9" t="str">
        <f>HYPERLINK("https://twitter.com/josephsith2018/status/1036166453425328129","1036166453425328129")</f>
        <v>1036166453425328129</v>
      </c>
      <c r="F2368" s="4"/>
      <c r="G2368" s="4"/>
      <c r="H2368" s="4"/>
      <c r="I2368" s="10" t="str">
        <f>HYPERLINK("http://twitter.com","Twitter Web Client")</f>
        <v>Twitter Web Client</v>
      </c>
      <c r="J2368" s="2">
        <v>36</v>
      </c>
      <c r="K2368" s="2">
        <v>133</v>
      </c>
      <c r="L2368" s="2">
        <v>0</v>
      </c>
      <c r="M2368" s="2"/>
      <c r="N2368" s="8">
        <v>43103.394155092596</v>
      </c>
      <c r="O2368" s="4"/>
      <c r="P2368" s="3" t="s">
        <v>10816</v>
      </c>
      <c r="Q2368" s="4"/>
      <c r="R2368" s="4"/>
      <c r="S2368" s="9" t="str">
        <f>HYPERLINK("https://pbs.twimg.com/profile_images/977588796165259264/g0voREtj.jpg","View")</f>
        <v>View</v>
      </c>
    </row>
    <row r="2369" spans="1:19" ht="40">
      <c r="A2369" s="8">
        <v>43345.53288194444</v>
      </c>
      <c r="B2369" s="11" t="str">
        <f>HYPERLINK("https://twitter.com/ALonelyBoy99","@ALonelyBoy99")</f>
        <v>@ALonelyBoy99</v>
      </c>
      <c r="C2369" s="6" t="s">
        <v>10815</v>
      </c>
      <c r="D2369" s="5" t="s">
        <v>10814</v>
      </c>
      <c r="E2369" s="9" t="str">
        <f>HYPERLINK("https://twitter.com/ALonelyBoy99/status/1036166173635702785","1036166173635702785")</f>
        <v>1036166173635702785</v>
      </c>
      <c r="F2369" s="10" t="s">
        <v>10813</v>
      </c>
      <c r="G2369" s="10" t="s">
        <v>10812</v>
      </c>
      <c r="H2369" s="4"/>
      <c r="I2369" s="10" t="str">
        <f>HYPERLINK("http://twitter.com","Twitter Web Client")</f>
        <v>Twitter Web Client</v>
      </c>
      <c r="J2369" s="2">
        <v>158</v>
      </c>
      <c r="K2369" s="2">
        <v>118</v>
      </c>
      <c r="L2369" s="2">
        <v>1</v>
      </c>
      <c r="M2369" s="2"/>
      <c r="N2369" s="8">
        <v>42455.449722222227</v>
      </c>
      <c r="O2369" s="4" t="s">
        <v>17</v>
      </c>
      <c r="P2369" s="3" t="s">
        <v>10811</v>
      </c>
      <c r="Q2369" s="4"/>
      <c r="R2369" s="4"/>
      <c r="S2369" s="9" t="str">
        <f>HYPERLINK("https://pbs.twimg.com/profile_images/986934428520693763/wbVCEZ-I.jpg","View")</f>
        <v>View</v>
      </c>
    </row>
    <row r="2370" spans="1:19" ht="30">
      <c r="A2370" s="8">
        <v>43345.531875000001</v>
      </c>
      <c r="B2370" s="11" t="str">
        <f>HYPERLINK("https://twitter.com/mojtabadorraj","@mojtabadorraj")</f>
        <v>@mojtabadorraj</v>
      </c>
      <c r="C2370" s="6" t="s">
        <v>6911</v>
      </c>
      <c r="D2370" s="5" t="s">
        <v>10810</v>
      </c>
      <c r="E2370" s="9" t="str">
        <f>HYPERLINK("https://twitter.com/mojtabadorraj/status/1036165810115551232","1036165810115551232")</f>
        <v>1036165810115551232</v>
      </c>
      <c r="F2370" s="4"/>
      <c r="G2370" s="4"/>
      <c r="H2370" s="4"/>
      <c r="I2370" s="10" t="str">
        <f>HYPERLINK("https://mobile.twitter.com","Twitter Lite")</f>
        <v>Twitter Lite</v>
      </c>
      <c r="J2370" s="2">
        <v>988</v>
      </c>
      <c r="K2370" s="2">
        <v>1007</v>
      </c>
      <c r="L2370" s="2">
        <v>3</v>
      </c>
      <c r="M2370" s="2"/>
      <c r="N2370" s="8">
        <v>43144.836597222224</v>
      </c>
      <c r="O2370" s="4"/>
      <c r="P2370" s="3" t="s">
        <v>10809</v>
      </c>
      <c r="Q2370" s="10" t="s">
        <v>10808</v>
      </c>
      <c r="R2370" s="4"/>
      <c r="S2370" s="9" t="str">
        <f>HYPERLINK("https://pbs.twimg.com/profile_images/1029362006275575809/xN-WItu4.jpg","View")</f>
        <v>View</v>
      </c>
    </row>
    <row r="2371" spans="1:19" ht="20">
      <c r="A2371" s="8">
        <v>43345.530335648145</v>
      </c>
      <c r="B2371" s="11" t="str">
        <f>HYPERLINK("https://twitter.com/hooman_hosn","@hooman_hosn")</f>
        <v>@hooman_hosn</v>
      </c>
      <c r="C2371" s="6" t="s">
        <v>9575</v>
      </c>
      <c r="D2371" s="5" t="s">
        <v>10807</v>
      </c>
      <c r="E2371" s="9" t="str">
        <f>HYPERLINK("https://twitter.com/hooman_hosn/status/1036165250901569539","1036165250901569539")</f>
        <v>1036165250901569539</v>
      </c>
      <c r="F2371" s="4"/>
      <c r="G2371" s="4"/>
      <c r="H2371" s="4"/>
      <c r="I2371" s="10" t="str">
        <f>HYPERLINK("http://twitter.com/download/iphone","Twitter for iPhone")</f>
        <v>Twitter for iPhone</v>
      </c>
      <c r="J2371" s="2">
        <v>113</v>
      </c>
      <c r="K2371" s="2">
        <v>135</v>
      </c>
      <c r="L2371" s="2">
        <v>0</v>
      </c>
      <c r="M2371" s="2"/>
      <c r="N2371" s="8">
        <v>42888.693113425921</v>
      </c>
      <c r="O2371" s="4" t="s">
        <v>9573</v>
      </c>
      <c r="P2371" s="3" t="s">
        <v>10806</v>
      </c>
      <c r="Q2371" s="4"/>
      <c r="R2371" s="4"/>
      <c r="S2371" s="9" t="str">
        <f>HYPERLINK("https://pbs.twimg.com/profile_images/1013118468395360256/Gm2C7DNg.jpg","View")</f>
        <v>View</v>
      </c>
    </row>
    <row r="2372" spans="1:19" ht="40">
      <c r="A2372" s="8">
        <v>43345.529398148152</v>
      </c>
      <c r="B2372" s="11" t="str">
        <f>HYPERLINK("https://twitter.com/drmdehghan","@drmdehghan")</f>
        <v>@drmdehghan</v>
      </c>
      <c r="C2372" s="6" t="s">
        <v>9861</v>
      </c>
      <c r="D2372" s="5" t="s">
        <v>10805</v>
      </c>
      <c r="E2372" s="9" t="str">
        <f>HYPERLINK("https://twitter.com/drmdehghan/status/1036164909132787712","1036164909132787712")</f>
        <v>1036164909132787712</v>
      </c>
      <c r="F2372" s="4"/>
      <c r="G2372" s="10" t="s">
        <v>10804</v>
      </c>
      <c r="H2372" s="4"/>
      <c r="I2372" s="10" t="str">
        <f>HYPERLINK("http://twitter.com/download/android","Twitter for Android")</f>
        <v>Twitter for Android</v>
      </c>
      <c r="J2372" s="2">
        <v>3733</v>
      </c>
      <c r="K2372" s="2">
        <v>2</v>
      </c>
      <c r="L2372" s="2">
        <v>47</v>
      </c>
      <c r="M2372" s="2"/>
      <c r="N2372" s="8">
        <v>42850.76226851852</v>
      </c>
      <c r="O2372" s="4" t="s">
        <v>324</v>
      </c>
      <c r="P2372" s="3" t="s">
        <v>9859</v>
      </c>
      <c r="Q2372" s="10" t="s">
        <v>9858</v>
      </c>
      <c r="R2372" s="4"/>
      <c r="S2372" s="9" t="str">
        <f>HYPERLINK("https://pbs.twimg.com/profile_images/932546801391099904/wsda4frD.jpg","View")</f>
        <v>View</v>
      </c>
    </row>
    <row r="2373" spans="1:19" ht="40">
      <c r="A2373" s="8">
        <v>43345.527233796296</v>
      </c>
      <c r="B2373" s="11" t="str">
        <f>HYPERLINK("https://twitter.com/Chips_Felfeli","@Chips_Felfeli")</f>
        <v>@Chips_Felfeli</v>
      </c>
      <c r="C2373" s="6" t="s">
        <v>10803</v>
      </c>
      <c r="D2373" s="5" t="s">
        <v>10802</v>
      </c>
      <c r="E2373" s="9" t="str">
        <f>HYPERLINK("https://twitter.com/Chips_Felfeli/status/1036164127809564672","1036164127809564672")</f>
        <v>1036164127809564672</v>
      </c>
      <c r="F2373" s="4"/>
      <c r="G2373" s="10" t="s">
        <v>10801</v>
      </c>
      <c r="H2373" s="4"/>
      <c r="I2373" s="10" t="str">
        <f>HYPERLINK("http://twitter.com/download/android","Twitter for Android")</f>
        <v>Twitter for Android</v>
      </c>
      <c r="J2373" s="2">
        <v>620</v>
      </c>
      <c r="K2373" s="2">
        <v>1635</v>
      </c>
      <c r="L2373" s="2">
        <v>0</v>
      </c>
      <c r="M2373" s="2"/>
      <c r="N2373" s="8">
        <v>43203.225601851853</v>
      </c>
      <c r="O2373" s="4"/>
      <c r="P2373" s="3"/>
      <c r="Q2373" s="4"/>
      <c r="R2373" s="4"/>
      <c r="S2373" s="9" t="str">
        <f>HYPERLINK("https://pbs.twimg.com/profile_images/1025559350427963394/IlHoFF9U.jpg","View")</f>
        <v>View</v>
      </c>
    </row>
    <row r="2374" spans="1:19" ht="40">
      <c r="A2374" s="8">
        <v>43345.527187500003</v>
      </c>
      <c r="B2374" s="11" t="str">
        <f>HYPERLINK("https://twitter.com/azoghlu","@azoghlu")</f>
        <v>@azoghlu</v>
      </c>
      <c r="C2374" s="6" t="s">
        <v>10800</v>
      </c>
      <c r="D2374" s="5" t="s">
        <v>10799</v>
      </c>
      <c r="E2374" s="9" t="str">
        <f>HYPERLINK("https://twitter.com/azoghlu/status/1036164110394769410","1036164110394769410")</f>
        <v>1036164110394769410</v>
      </c>
      <c r="F2374" s="4"/>
      <c r="G2374" s="4"/>
      <c r="H2374" s="4"/>
      <c r="I2374" s="10" t="str">
        <f>HYPERLINK("http://twitter.com/download/android","Twitter for Android")</f>
        <v>Twitter for Android</v>
      </c>
      <c r="J2374" s="2">
        <v>3428</v>
      </c>
      <c r="K2374" s="2">
        <v>3248</v>
      </c>
      <c r="L2374" s="2">
        <v>15</v>
      </c>
      <c r="M2374" s="2"/>
      <c r="N2374" s="8">
        <v>41500.948333333334</v>
      </c>
      <c r="O2374" s="4" t="s">
        <v>10798</v>
      </c>
      <c r="P2374" s="3" t="s">
        <v>10797</v>
      </c>
      <c r="Q2374" s="4"/>
      <c r="R2374" s="4"/>
      <c r="S2374" s="9" t="str">
        <f>HYPERLINK("https://pbs.twimg.com/profile_images/1034725851840106496/V_QdQXPj.jpg","View")</f>
        <v>View</v>
      </c>
    </row>
    <row r="2375" spans="1:19" ht="30">
      <c r="A2375" s="8">
        <v>43345.527106481481</v>
      </c>
      <c r="B2375" s="11" t="str">
        <f>HYPERLINK("https://twitter.com/ammarbisar","@ammarbisar")</f>
        <v>@ammarbisar</v>
      </c>
      <c r="C2375" s="6" t="s">
        <v>10796</v>
      </c>
      <c r="D2375" s="5" t="s">
        <v>10795</v>
      </c>
      <c r="E2375" s="9" t="str">
        <f>HYPERLINK("https://twitter.com/ammarbisar/status/1036164080879521793","1036164080879521793")</f>
        <v>1036164080879521793</v>
      </c>
      <c r="F2375" s="4"/>
      <c r="G2375" s="10" t="s">
        <v>10794</v>
      </c>
      <c r="H2375" s="4"/>
      <c r="I2375" s="10" t="str">
        <f>HYPERLINK("http://twitter.com/download/android","Twitter for Android")</f>
        <v>Twitter for Android</v>
      </c>
      <c r="J2375" s="2">
        <v>16</v>
      </c>
      <c r="K2375" s="2">
        <v>11</v>
      </c>
      <c r="L2375" s="2">
        <v>0</v>
      </c>
      <c r="M2375" s="2"/>
      <c r="N2375" s="8">
        <v>43324.668067129634</v>
      </c>
      <c r="O2375" s="4"/>
      <c r="P2375" s="3" t="s">
        <v>10793</v>
      </c>
      <c r="Q2375" s="4"/>
      <c r="R2375" s="4"/>
      <c r="S2375" s="9" t="str">
        <f>HYPERLINK("https://pbs.twimg.com/profile_images/1032706333710213121/Oa_XvyTu.jpg","View")</f>
        <v>View</v>
      </c>
    </row>
    <row r="2376" spans="1:19" ht="20">
      <c r="A2376" s="8">
        <v>43345.525937500002</v>
      </c>
      <c r="B2376" s="11" t="str">
        <f>HYPERLINK("https://twitter.com/ZhilaM7","@ZhilaM7")</f>
        <v>@ZhilaM7</v>
      </c>
      <c r="C2376" s="6" t="s">
        <v>10792</v>
      </c>
      <c r="D2376" s="5" t="s">
        <v>10791</v>
      </c>
      <c r="E2376" s="9" t="str">
        <f>HYPERLINK("https://twitter.com/ZhilaM7/status/1036163657355485185","1036163657355485185")</f>
        <v>1036163657355485185</v>
      </c>
      <c r="F2376" s="4"/>
      <c r="G2376" s="4"/>
      <c r="H2376" s="4"/>
      <c r="I2376" s="10" t="str">
        <f>HYPERLINK("http://twitter.com/download/android","Twitter for Android")</f>
        <v>Twitter for Android</v>
      </c>
      <c r="J2376" s="2">
        <v>8</v>
      </c>
      <c r="K2376" s="2">
        <v>52</v>
      </c>
      <c r="L2376" s="2">
        <v>0</v>
      </c>
      <c r="M2376" s="2"/>
      <c r="N2376" s="8">
        <v>42780.323622685188</v>
      </c>
      <c r="O2376" s="4" t="s">
        <v>17</v>
      </c>
      <c r="P2376" s="3" t="s">
        <v>10790</v>
      </c>
      <c r="Q2376" s="4"/>
      <c r="R2376" s="4"/>
      <c r="S2376" s="9" t="str">
        <f>HYPERLINK("https://pbs.twimg.com/profile_images/831767911471652865/h0QA5Oat.jpg","View")</f>
        <v>View</v>
      </c>
    </row>
    <row r="2377" spans="1:19" ht="40">
      <c r="A2377" s="8">
        <v>43345.525717592594</v>
      </c>
      <c r="B2377" s="11" t="str">
        <f>HYPERLINK("https://twitter.com/Tasnimnews_Fa","@Tasnimnews_Fa")</f>
        <v>@Tasnimnews_Fa</v>
      </c>
      <c r="C2377" s="6" t="s">
        <v>603</v>
      </c>
      <c r="D2377" s="5" t="s">
        <v>10789</v>
      </c>
      <c r="E2377" s="9" t="str">
        <f>HYPERLINK("https://twitter.com/Tasnimnews_Fa/status/1036163577307176961","1036163577307176961")</f>
        <v>1036163577307176961</v>
      </c>
      <c r="F2377" s="10" t="s">
        <v>10788</v>
      </c>
      <c r="G2377" s="10" t="s">
        <v>10787</v>
      </c>
      <c r="H2377" s="4"/>
      <c r="I2377" s="10" t="str">
        <f>HYPERLINK("http://twitter.com","Twitter Web Client")</f>
        <v>Twitter Web Client</v>
      </c>
      <c r="J2377" s="2">
        <v>109610</v>
      </c>
      <c r="K2377" s="2">
        <v>20</v>
      </c>
      <c r="L2377" s="2">
        <v>376</v>
      </c>
      <c r="M2377" s="2" t="s">
        <v>80</v>
      </c>
      <c r="N2377" s="8">
        <v>41868.671585648146</v>
      </c>
      <c r="O2377" s="4" t="s">
        <v>133</v>
      </c>
      <c r="P2377" s="3" t="s">
        <v>599</v>
      </c>
      <c r="Q2377" s="10" t="s">
        <v>598</v>
      </c>
      <c r="R2377" s="4"/>
      <c r="S2377" s="9" t="str">
        <f>HYPERLINK("https://pbs.twimg.com/profile_images/942003149430239232/hvLw_1_E.jpg","View")</f>
        <v>View</v>
      </c>
    </row>
    <row r="2378" spans="1:19" ht="40">
      <c r="A2378" s="8">
        <v>43345.525706018518</v>
      </c>
      <c r="B2378" s="11" t="str">
        <f>HYPERLINK("https://twitter.com/saeednevesht","@saeednevesht")</f>
        <v>@saeednevesht</v>
      </c>
      <c r="C2378" s="6" t="s">
        <v>10786</v>
      </c>
      <c r="D2378" s="5" t="s">
        <v>10785</v>
      </c>
      <c r="E2378" s="9" t="str">
        <f>HYPERLINK("https://twitter.com/saeednevesht/status/1036163574975135744","1036163574975135744")</f>
        <v>1036163574975135744</v>
      </c>
      <c r="F2378" s="4"/>
      <c r="G2378" s="4"/>
      <c r="H2378" s="4"/>
      <c r="I2378" s="10" t="str">
        <f>HYPERLINK("http://twitter.com","Twitter Web Client")</f>
        <v>Twitter Web Client</v>
      </c>
      <c r="J2378" s="2">
        <v>1169</v>
      </c>
      <c r="K2378" s="2">
        <v>568</v>
      </c>
      <c r="L2378" s="2">
        <v>9</v>
      </c>
      <c r="M2378" s="2"/>
      <c r="N2378" s="8">
        <v>42736.475914351853</v>
      </c>
      <c r="O2378" s="4" t="s">
        <v>34</v>
      </c>
      <c r="P2378" s="3" t="s">
        <v>10784</v>
      </c>
      <c r="Q2378" s="10" t="s">
        <v>10783</v>
      </c>
      <c r="R2378" s="4"/>
      <c r="S2378" s="9" t="str">
        <f>HYPERLINK("https://pbs.twimg.com/profile_images/950656891222360064/U27eYLPQ.jpg","View")</f>
        <v>View</v>
      </c>
    </row>
    <row r="2379" spans="1:19" ht="40">
      <c r="A2379" s="8">
        <v>43345.524606481486</v>
      </c>
      <c r="B2379" s="11" t="str">
        <f>HYPERLINK("https://twitter.com/313_salmaneh","@313_salmaneh")</f>
        <v>@313_salmaneh</v>
      </c>
      <c r="C2379" s="6" t="s">
        <v>1044</v>
      </c>
      <c r="D2379" s="5" t="s">
        <v>10782</v>
      </c>
      <c r="E2379" s="9" t="str">
        <f>HYPERLINK("https://twitter.com/313_salmaneh/status/1036163174649810944","1036163174649810944")</f>
        <v>1036163174649810944</v>
      </c>
      <c r="F2379" s="4"/>
      <c r="G2379" s="4"/>
      <c r="H2379" s="4"/>
      <c r="I2379" s="10" t="str">
        <f>HYPERLINK("http://twitter.com/download/android","Twitter for Android")</f>
        <v>Twitter for Android</v>
      </c>
      <c r="J2379" s="2">
        <v>3949</v>
      </c>
      <c r="K2379" s="2">
        <v>1627</v>
      </c>
      <c r="L2379" s="2">
        <v>15</v>
      </c>
      <c r="M2379" s="2"/>
      <c r="N2379" s="8">
        <v>42726.000833333332</v>
      </c>
      <c r="O2379" s="4" t="s">
        <v>1041</v>
      </c>
      <c r="P2379" s="3" t="s">
        <v>10781</v>
      </c>
      <c r="Q2379" s="4"/>
      <c r="R2379" s="4"/>
      <c r="S2379" s="9" t="str">
        <f>HYPERLINK("https://pbs.twimg.com/profile_images/983000228478488576/Yu9P0z-W.jpg","View")</f>
        <v>View</v>
      </c>
    </row>
    <row r="2380" spans="1:19" ht="40">
      <c r="A2380" s="8">
        <v>43345.52443287037</v>
      </c>
      <c r="B2380" s="11" t="str">
        <f>HYPERLINK("https://twitter.com/karezma_ezadi","@karezma_ezadi")</f>
        <v>@karezma_ezadi</v>
      </c>
      <c r="C2380" s="6" t="s">
        <v>6625</v>
      </c>
      <c r="D2380" s="5" t="s">
        <v>10780</v>
      </c>
      <c r="E2380" s="9" t="str">
        <f>HYPERLINK("https://twitter.com/karezma_ezadi/status/1036163113467473920","1036163113467473920")</f>
        <v>1036163113467473920</v>
      </c>
      <c r="F2380" s="4"/>
      <c r="G2380" s="10" t="s">
        <v>10779</v>
      </c>
      <c r="H2380" s="4"/>
      <c r="I2380" s="10" t="str">
        <f>HYPERLINK("http://twitter.com","Twitter Web Client")</f>
        <v>Twitter Web Client</v>
      </c>
      <c r="J2380" s="2">
        <v>412</v>
      </c>
      <c r="K2380" s="2">
        <v>543</v>
      </c>
      <c r="L2380" s="2">
        <v>2</v>
      </c>
      <c r="M2380" s="2"/>
      <c r="N2380" s="8">
        <v>42810.081145833334</v>
      </c>
      <c r="O2380" s="4"/>
      <c r="P2380" s="3"/>
      <c r="Q2380" s="4"/>
      <c r="R2380" s="4"/>
      <c r="S2380" s="9" t="str">
        <f>HYPERLINK("https://pbs.twimg.com/profile_images/887931349054754817/A7VMTu7x.jpg","View")</f>
        <v>View</v>
      </c>
    </row>
    <row r="2381" spans="1:19" ht="40">
      <c r="A2381" s="8">
        <v>43345.522743055553</v>
      </c>
      <c r="B2381" s="11" t="str">
        <f>HYPERLINK("https://twitter.com/zrd8I3uIEZukIJ0","@zrd8I3uIEZukIJ0")</f>
        <v>@zrd8I3uIEZukIJ0</v>
      </c>
      <c r="C2381" s="6" t="s">
        <v>2744</v>
      </c>
      <c r="D2381" s="5" t="s">
        <v>10778</v>
      </c>
      <c r="E2381" s="9" t="str">
        <f>HYPERLINK("https://twitter.com/zrd8I3uIEZukIJ0/status/1036162498624450560","1036162498624450560")</f>
        <v>1036162498624450560</v>
      </c>
      <c r="F2381" s="4"/>
      <c r="G2381" s="10" t="s">
        <v>10777</v>
      </c>
      <c r="H2381" s="4"/>
      <c r="I2381" s="10" t="str">
        <f>HYPERLINK("http://twitter.com/download/android","Twitter for Android")</f>
        <v>Twitter for Android</v>
      </c>
      <c r="J2381" s="2">
        <v>664</v>
      </c>
      <c r="K2381" s="2">
        <v>1645</v>
      </c>
      <c r="L2381" s="2">
        <v>0</v>
      </c>
      <c r="M2381" s="2"/>
      <c r="N2381" s="8">
        <v>42746.798020833332</v>
      </c>
      <c r="O2381" s="4" t="s">
        <v>640</v>
      </c>
      <c r="P2381" s="3" t="s">
        <v>10776</v>
      </c>
      <c r="Q2381" s="10" t="s">
        <v>5203</v>
      </c>
      <c r="R2381" s="4"/>
      <c r="S2381" s="9" t="str">
        <f>HYPERLINK("https://pbs.twimg.com/profile_images/1031414087299883008/UM6Vqx50.jpg","View")</f>
        <v>View</v>
      </c>
    </row>
    <row r="2382" spans="1:19" ht="30">
      <c r="A2382" s="8">
        <v>43345.521458333329</v>
      </c>
      <c r="B2382" s="11" t="str">
        <f>HYPERLINK("https://twitter.com/akramsharifi","@akramsharifi")</f>
        <v>@akramsharifi</v>
      </c>
      <c r="C2382" s="6" t="s">
        <v>10775</v>
      </c>
      <c r="D2382" s="5" t="s">
        <v>10774</v>
      </c>
      <c r="E2382" s="9" t="str">
        <f>HYPERLINK("https://twitter.com/akramsharifi/status/1036162033065107457","1036162033065107457")</f>
        <v>1036162033065107457</v>
      </c>
      <c r="F2382" s="4"/>
      <c r="G2382" s="4"/>
      <c r="H2382" s="4"/>
      <c r="I2382" s="10" t="str">
        <f>HYPERLINK("http://twitter.com","Twitter Web Client")</f>
        <v>Twitter Web Client</v>
      </c>
      <c r="J2382" s="2">
        <v>14509</v>
      </c>
      <c r="K2382" s="2">
        <v>1675</v>
      </c>
      <c r="L2382" s="2">
        <v>124</v>
      </c>
      <c r="M2382" s="2"/>
      <c r="N2382" s="8">
        <v>41289.684918981482</v>
      </c>
      <c r="O2382" s="4" t="s">
        <v>894</v>
      </c>
      <c r="P2382" s="3" t="s">
        <v>10773</v>
      </c>
      <c r="Q2382" s="4"/>
      <c r="R2382" s="4"/>
      <c r="S2382" s="9" t="str">
        <f>HYPERLINK("https://pbs.twimg.com/profile_images/997461220255911936/vRBE_rAg.jpg","View")</f>
        <v>View</v>
      </c>
    </row>
    <row r="2383" spans="1:19" ht="20">
      <c r="A2383" s="8">
        <v>43345.519907407404</v>
      </c>
      <c r="B2383" s="11" t="str">
        <f>HYPERLINK("https://twitter.com/ScriptBab","@ScriptBab")</f>
        <v>@ScriptBab</v>
      </c>
      <c r="C2383" s="6" t="s">
        <v>3044</v>
      </c>
      <c r="D2383" s="5" t="s">
        <v>10772</v>
      </c>
      <c r="E2383" s="9" t="str">
        <f>HYPERLINK("https://twitter.com/ScriptBab/status/1036161470319480832","1036161470319480832")</f>
        <v>1036161470319480832</v>
      </c>
      <c r="F2383" s="4"/>
      <c r="G2383" s="4"/>
      <c r="H2383" s="4"/>
      <c r="I2383" s="10" t="str">
        <f>HYPERLINK("http://twitter.com/download/android","Twitter for Android")</f>
        <v>Twitter for Android</v>
      </c>
      <c r="J2383" s="2">
        <v>3995</v>
      </c>
      <c r="K2383" s="2">
        <v>3687</v>
      </c>
      <c r="L2383" s="2">
        <v>8</v>
      </c>
      <c r="M2383" s="2"/>
      <c r="N2383" s="8">
        <v>40732.73096064815</v>
      </c>
      <c r="O2383" s="4"/>
      <c r="P2383" s="3" t="s">
        <v>3042</v>
      </c>
      <c r="Q2383" s="4"/>
      <c r="R2383" s="4"/>
      <c r="S2383" s="9" t="str">
        <f>HYPERLINK("https://pbs.twimg.com/profile_images/1029594626854985728/VuJgJ670.jpg","View")</f>
        <v>View</v>
      </c>
    </row>
    <row r="2384" spans="1:19" ht="20">
      <c r="A2384" s="8">
        <v>43345.519525462965</v>
      </c>
      <c r="B2384" s="11" t="str">
        <f>HYPERLINK("https://twitter.com/ScriptBab","@ScriptBab")</f>
        <v>@ScriptBab</v>
      </c>
      <c r="C2384" s="6" t="s">
        <v>3044</v>
      </c>
      <c r="D2384" s="5" t="s">
        <v>10771</v>
      </c>
      <c r="E2384" s="9" t="str">
        <f>HYPERLINK("https://twitter.com/ScriptBab/status/1036161333765595137","1036161333765595137")</f>
        <v>1036161333765595137</v>
      </c>
      <c r="F2384" s="4"/>
      <c r="G2384" s="10" t="s">
        <v>10770</v>
      </c>
      <c r="H2384" s="4"/>
      <c r="I2384" s="10" t="str">
        <f>HYPERLINK("http://twitter.com/download/android","Twitter for Android")</f>
        <v>Twitter for Android</v>
      </c>
      <c r="J2384" s="2">
        <v>3995</v>
      </c>
      <c r="K2384" s="2">
        <v>3687</v>
      </c>
      <c r="L2384" s="2">
        <v>8</v>
      </c>
      <c r="M2384" s="2"/>
      <c r="N2384" s="8">
        <v>40732.73096064815</v>
      </c>
      <c r="O2384" s="4"/>
      <c r="P2384" s="3" t="s">
        <v>3042</v>
      </c>
      <c r="Q2384" s="4"/>
      <c r="R2384" s="4"/>
      <c r="S2384" s="9" t="str">
        <f>HYPERLINK("https://pbs.twimg.com/profile_images/1029594626854985728/VuJgJ670.jpg","View")</f>
        <v>View</v>
      </c>
    </row>
    <row r="2385" spans="1:19" ht="30">
      <c r="A2385" s="8">
        <v>43345.518078703702</v>
      </c>
      <c r="B2385" s="11" t="str">
        <f>HYPERLINK("https://twitter.com/aslerousta","@aslerousta")</f>
        <v>@aslerousta</v>
      </c>
      <c r="C2385" s="6" t="s">
        <v>10769</v>
      </c>
      <c r="D2385" s="5" t="s">
        <v>10768</v>
      </c>
      <c r="E2385" s="9" t="str">
        <f>HYPERLINK("https://twitter.com/aslerousta/status/1036160807560728576","1036160807560728576")</f>
        <v>1036160807560728576</v>
      </c>
      <c r="F2385" s="4"/>
      <c r="G2385" s="10" t="s">
        <v>10767</v>
      </c>
      <c r="H2385" s="4"/>
      <c r="I2385" s="10" t="str">
        <f>HYPERLINK("http://twitter.com/download/android","Twitter for Android")</f>
        <v>Twitter for Android</v>
      </c>
      <c r="J2385" s="2">
        <v>207</v>
      </c>
      <c r="K2385" s="2">
        <v>330</v>
      </c>
      <c r="L2385" s="2">
        <v>3</v>
      </c>
      <c r="M2385" s="2"/>
      <c r="N2385" s="8">
        <v>42734.860648148147</v>
      </c>
      <c r="O2385" s="4"/>
      <c r="P2385" s="3" t="s">
        <v>10766</v>
      </c>
      <c r="Q2385" s="4"/>
      <c r="R2385" s="4"/>
      <c r="S2385" s="9" t="str">
        <f>HYPERLINK("https://pbs.twimg.com/profile_images/1001835214568488961/_MpPmhQb.jpg","View")</f>
        <v>View</v>
      </c>
    </row>
    <row r="2386" spans="1:19" ht="40">
      <c r="A2386" s="8">
        <v>43345.517337962963</v>
      </c>
      <c r="B2386" s="11" t="str">
        <f>HYPERLINK("https://twitter.com/MahdiJa84","@MahdiJa84")</f>
        <v>@MahdiJa84</v>
      </c>
      <c r="C2386" s="6" t="s">
        <v>10765</v>
      </c>
      <c r="D2386" s="5" t="s">
        <v>10764</v>
      </c>
      <c r="E2386" s="9" t="str">
        <f>HYPERLINK("https://twitter.com/MahdiJa84/status/1036160540983390208","1036160540983390208")</f>
        <v>1036160540983390208</v>
      </c>
      <c r="F2386" s="4"/>
      <c r="G2386" s="4"/>
      <c r="H2386" s="4"/>
      <c r="I2386" s="10" t="str">
        <f>HYPERLINK("http://twitter.com/download/android","Twitter for Android")</f>
        <v>Twitter for Android</v>
      </c>
      <c r="J2386" s="2">
        <v>116</v>
      </c>
      <c r="K2386" s="2">
        <v>331</v>
      </c>
      <c r="L2386" s="2">
        <v>0</v>
      </c>
      <c r="M2386" s="2"/>
      <c r="N2386" s="8">
        <v>42067.070393518516</v>
      </c>
      <c r="O2386" s="4" t="s">
        <v>324</v>
      </c>
      <c r="P2386" s="3" t="s">
        <v>10763</v>
      </c>
      <c r="Q2386" s="4"/>
      <c r="R2386" s="4"/>
      <c r="S2386" s="9" t="str">
        <f>HYPERLINK("https://pbs.twimg.com/profile_images/1035977282211303424/JlAz025T.jpg","View")</f>
        <v>View</v>
      </c>
    </row>
    <row r="2387" spans="1:19" ht="40">
      <c r="A2387" s="8">
        <v>43345.517025462963</v>
      </c>
      <c r="B2387" s="11" t="str">
        <f>HYPERLINK("https://twitter.com/s_golmoradian","@s_golmoradian")</f>
        <v>@s_golmoradian</v>
      </c>
      <c r="C2387" s="6" t="s">
        <v>10762</v>
      </c>
      <c r="D2387" s="5" t="s">
        <v>10761</v>
      </c>
      <c r="E2387" s="9" t="str">
        <f>HYPERLINK("https://twitter.com/s_golmoradian/status/1036160428416659456","1036160428416659456")</f>
        <v>1036160428416659456</v>
      </c>
      <c r="F2387" s="4"/>
      <c r="G2387" s="10" t="s">
        <v>10760</v>
      </c>
      <c r="H2387" s="4"/>
      <c r="I2387" s="10" t="str">
        <f>HYPERLINK("http://twitter.com/download/android","Twitter for Android")</f>
        <v>Twitter for Android</v>
      </c>
      <c r="J2387" s="2">
        <v>886</v>
      </c>
      <c r="K2387" s="2">
        <v>373</v>
      </c>
      <c r="L2387" s="2">
        <v>2</v>
      </c>
      <c r="M2387" s="2"/>
      <c r="N2387" s="8">
        <v>42877.516944444447</v>
      </c>
      <c r="O2387" s="4" t="s">
        <v>794</v>
      </c>
      <c r="P2387" s="3" t="s">
        <v>10759</v>
      </c>
      <c r="Q2387" s="4"/>
      <c r="R2387" s="4"/>
      <c r="S2387" s="9" t="str">
        <f>HYPERLINK("https://pbs.twimg.com/profile_images/1029795470615474178/Z8bN_WIt.jpg","View")</f>
        <v>View</v>
      </c>
    </row>
    <row r="2388" spans="1:19" ht="20">
      <c r="A2388" s="8">
        <v>43345.511296296296</v>
      </c>
      <c r="B2388" s="11" t="str">
        <f>HYPERLINK("https://twitter.com/shirfarhadd","@shirfarhadd")</f>
        <v>@shirfarhadd</v>
      </c>
      <c r="C2388" s="6" t="s">
        <v>10758</v>
      </c>
      <c r="D2388" s="5" t="s">
        <v>10757</v>
      </c>
      <c r="E2388" s="9" t="str">
        <f>HYPERLINK("https://twitter.com/shirfarhadd/status/1036158350680043520","1036158350680043520")</f>
        <v>1036158350680043520</v>
      </c>
      <c r="F2388" s="4"/>
      <c r="G2388" s="4"/>
      <c r="H2388" s="4"/>
      <c r="I2388" s="10" t="str">
        <f>HYPERLINK("http://twitter.com/download/android","Twitter for Android")</f>
        <v>Twitter for Android</v>
      </c>
      <c r="J2388" s="2">
        <v>126</v>
      </c>
      <c r="K2388" s="2">
        <v>414</v>
      </c>
      <c r="L2388" s="2">
        <v>2</v>
      </c>
      <c r="M2388" s="2"/>
      <c r="N2388" s="8">
        <v>41273.667280092595</v>
      </c>
      <c r="O2388" s="4" t="s">
        <v>748</v>
      </c>
      <c r="P2388" s="3" t="s">
        <v>10756</v>
      </c>
      <c r="Q2388" s="4"/>
      <c r="R2388" s="4"/>
      <c r="S2388" s="9" t="str">
        <f>HYPERLINK("https://pbs.twimg.com/profile_images/1020222591515201536/jTfJOAsq.jpg","View")</f>
        <v>View</v>
      </c>
    </row>
    <row r="2389" spans="1:19" ht="12.5">
      <c r="A2389" s="8">
        <v>43345.511122685188</v>
      </c>
      <c r="B2389" s="11" t="str">
        <f>HYPERLINK("https://twitter.com/Mohamad6586","@Mohamad6586")</f>
        <v>@Mohamad6586</v>
      </c>
      <c r="C2389" s="6" t="s">
        <v>1129</v>
      </c>
      <c r="D2389" s="5" t="s">
        <v>10755</v>
      </c>
      <c r="E2389" s="9" t="str">
        <f>HYPERLINK("https://twitter.com/Mohamad6586/status/1036158288793161728","1036158288793161728")</f>
        <v>1036158288793161728</v>
      </c>
      <c r="F2389" s="4"/>
      <c r="G2389" s="4"/>
      <c r="H2389" s="4"/>
      <c r="I2389" s="10" t="str">
        <f>HYPERLINK("http://twitter.com/download/iphone","Twitter for iPhone")</f>
        <v>Twitter for iPhone</v>
      </c>
      <c r="J2389" s="2">
        <v>1100</v>
      </c>
      <c r="K2389" s="2">
        <v>409</v>
      </c>
      <c r="L2389" s="2">
        <v>3</v>
      </c>
      <c r="M2389" s="2"/>
      <c r="N2389" s="8">
        <v>42073.548946759256</v>
      </c>
      <c r="O2389" s="4" t="s">
        <v>682</v>
      </c>
      <c r="P2389" s="3" t="s">
        <v>10754</v>
      </c>
      <c r="Q2389" s="10" t="s">
        <v>10753</v>
      </c>
      <c r="R2389" s="4"/>
      <c r="S2389" s="9" t="str">
        <f>HYPERLINK("https://pbs.twimg.com/profile_images/942651371450454016/w2kVeBXi.jpg","View")</f>
        <v>View</v>
      </c>
    </row>
    <row r="2390" spans="1:19" ht="20">
      <c r="A2390" s="8">
        <v>43345.510185185187</v>
      </c>
      <c r="B2390" s="11" t="str">
        <f>HYPERLINK("https://twitter.com/Fnews_Persian","@Fnews_Persian")</f>
        <v>@Fnews_Persian</v>
      </c>
      <c r="C2390" s="6" t="s">
        <v>919</v>
      </c>
      <c r="D2390" s="5" t="s">
        <v>10752</v>
      </c>
      <c r="E2390" s="9" t="str">
        <f>HYPERLINK("https://twitter.com/Fnews_Persian/status/1036157949712982016","1036157949712982016")</f>
        <v>1036157949712982016</v>
      </c>
      <c r="F2390" s="4"/>
      <c r="G2390" s="10" t="s">
        <v>10751</v>
      </c>
      <c r="H2390" s="4"/>
      <c r="I2390" s="10" t="str">
        <f>HYPERLINK("http://twitter.com","Twitter Web Client")</f>
        <v>Twitter Web Client</v>
      </c>
      <c r="J2390" s="2">
        <v>58364</v>
      </c>
      <c r="K2390" s="2">
        <v>8</v>
      </c>
      <c r="L2390" s="2">
        <v>9</v>
      </c>
      <c r="M2390" s="2"/>
      <c r="N2390" s="8">
        <v>42445.668726851851</v>
      </c>
      <c r="O2390" s="4" t="s">
        <v>916</v>
      </c>
      <c r="P2390" s="3" t="s">
        <v>915</v>
      </c>
      <c r="Q2390" s="10" t="s">
        <v>9016</v>
      </c>
      <c r="R2390" s="4"/>
      <c r="S2390" s="9" t="str">
        <f>HYPERLINK("https://pbs.twimg.com/profile_images/962248284151734272/-yEY7hhB.jpg","View")</f>
        <v>View</v>
      </c>
    </row>
    <row r="2391" spans="1:19" ht="40">
      <c r="A2391" s="8">
        <v>43345.509999999995</v>
      </c>
      <c r="B2391" s="11" t="str">
        <f>HYPERLINK("https://twitter.com/mahdipourashour","@mahdipourashour")</f>
        <v>@mahdipourashour</v>
      </c>
      <c r="C2391" s="6" t="s">
        <v>10750</v>
      </c>
      <c r="D2391" s="5" t="s">
        <v>10749</v>
      </c>
      <c r="E2391" s="9" t="str">
        <f>HYPERLINK("https://twitter.com/mahdipourashour/status/1036157881450680320","1036157881450680320")</f>
        <v>1036157881450680320</v>
      </c>
      <c r="F2391" s="4"/>
      <c r="G2391" s="4"/>
      <c r="H2391" s="4"/>
      <c r="I2391" s="10" t="str">
        <f>HYPERLINK("http://twitter.com/download/android","Twitter for Android")</f>
        <v>Twitter for Android</v>
      </c>
      <c r="J2391" s="2">
        <v>36</v>
      </c>
      <c r="K2391" s="2">
        <v>74</v>
      </c>
      <c r="L2391" s="2">
        <v>0</v>
      </c>
      <c r="M2391" s="2"/>
      <c r="N2391" s="8">
        <v>42784.386203703703</v>
      </c>
      <c r="O2391" s="4" t="s">
        <v>17</v>
      </c>
      <c r="P2391" s="3" t="s">
        <v>10748</v>
      </c>
      <c r="Q2391" s="4"/>
      <c r="R2391" s="4"/>
      <c r="S2391" s="9" t="str">
        <f>HYPERLINK("https://pbs.twimg.com/profile_images/945167678267953152/VXW3HZuM.jpg","View")</f>
        <v>View</v>
      </c>
    </row>
    <row r="2392" spans="1:19" ht="20">
      <c r="A2392" s="8">
        <v>43345.508263888885</v>
      </c>
      <c r="B2392" s="11" t="str">
        <f>HYPERLINK("https://twitter.com/Aliescobar00","@Aliescobar00")</f>
        <v>@Aliescobar00</v>
      </c>
      <c r="C2392" s="6" t="s">
        <v>965</v>
      </c>
      <c r="D2392" s="5" t="s">
        <v>10747</v>
      </c>
      <c r="E2392" s="9" t="str">
        <f>HYPERLINK("https://twitter.com/Aliescobar00/status/1036157251084603393","1036157251084603393")</f>
        <v>1036157251084603393</v>
      </c>
      <c r="F2392" s="4"/>
      <c r="G2392" s="4"/>
      <c r="H2392" s="4"/>
      <c r="I2392" s="10" t="str">
        <f>HYPERLINK("http://twitter.com/download/android","Twitter for Android")</f>
        <v>Twitter for Android</v>
      </c>
      <c r="J2392" s="2">
        <v>591</v>
      </c>
      <c r="K2392" s="2">
        <v>1004</v>
      </c>
      <c r="L2392" s="2">
        <v>0</v>
      </c>
      <c r="M2392" s="2"/>
      <c r="N2392" s="8">
        <v>42781.48505787037</v>
      </c>
      <c r="O2392" s="4" t="s">
        <v>963</v>
      </c>
      <c r="P2392" s="3" t="s">
        <v>962</v>
      </c>
      <c r="Q2392" s="4"/>
      <c r="R2392" s="4"/>
      <c r="S2392" s="9" t="str">
        <f>HYPERLINK("https://pbs.twimg.com/profile_images/1013111789964480513/PA8MlDc6.jpg","View")</f>
        <v>View</v>
      </c>
    </row>
    <row r="2393" spans="1:19" ht="20">
      <c r="A2393" s="8">
        <v>43345.505613425921</v>
      </c>
      <c r="B2393" s="11" t="str">
        <f>HYPERLINK("https://twitter.com/Yasin_tahamtan","@Yasin_tahamtan")</f>
        <v>@Yasin_tahamtan</v>
      </c>
      <c r="C2393" s="6" t="s">
        <v>10746</v>
      </c>
      <c r="D2393" s="5" t="s">
        <v>10745</v>
      </c>
      <c r="E2393" s="9" t="str">
        <f>HYPERLINK("https://twitter.com/Yasin_tahamtan/status/1036156291356475392","1036156291356475392")</f>
        <v>1036156291356475392</v>
      </c>
      <c r="F2393" s="4"/>
      <c r="G2393" s="4"/>
      <c r="H2393" s="4"/>
      <c r="I2393" s="10" t="str">
        <f>HYPERLINK("http://twitter.com/download/android","Twitter for Android")</f>
        <v>Twitter for Android</v>
      </c>
      <c r="J2393" s="2">
        <v>136</v>
      </c>
      <c r="K2393" s="2">
        <v>140</v>
      </c>
      <c r="L2393" s="2">
        <v>0</v>
      </c>
      <c r="M2393" s="2"/>
      <c r="N2393" s="8">
        <v>43264.046631944446</v>
      </c>
      <c r="O2393" s="4" t="s">
        <v>9711</v>
      </c>
      <c r="P2393" s="3" t="s">
        <v>10744</v>
      </c>
      <c r="Q2393" s="4"/>
      <c r="R2393" s="4"/>
      <c r="S2393" s="9" t="str">
        <f>HYPERLINK("https://pbs.twimg.com/profile_images/1036128390435270663/_J9H-I8t.jpg","View")</f>
        <v>View</v>
      </c>
    </row>
    <row r="2394" spans="1:19" ht="20">
      <c r="A2394" s="8">
        <v>43345.505011574074</v>
      </c>
      <c r="B2394" s="11" t="str">
        <f>HYPERLINK("https://twitter.com/Fnews_Persian","@Fnews_Persian")</f>
        <v>@Fnews_Persian</v>
      </c>
      <c r="C2394" s="6" t="s">
        <v>919</v>
      </c>
      <c r="D2394" s="5" t="s">
        <v>10743</v>
      </c>
      <c r="E2394" s="9" t="str">
        <f>HYPERLINK("https://twitter.com/Fnews_Persian/status/1036156074481602560","1036156074481602560")</f>
        <v>1036156074481602560</v>
      </c>
      <c r="F2394" s="4"/>
      <c r="G2394" s="10" t="s">
        <v>10742</v>
      </c>
      <c r="H2394" s="4"/>
      <c r="I2394" s="10" t="str">
        <f>HYPERLINK("http://twitter.com","Twitter Web Client")</f>
        <v>Twitter Web Client</v>
      </c>
      <c r="J2394" s="2">
        <v>58364</v>
      </c>
      <c r="K2394" s="2">
        <v>8</v>
      </c>
      <c r="L2394" s="2">
        <v>9</v>
      </c>
      <c r="M2394" s="2"/>
      <c r="N2394" s="8">
        <v>42445.668726851851</v>
      </c>
      <c r="O2394" s="4" t="s">
        <v>916</v>
      </c>
      <c r="P2394" s="3" t="s">
        <v>915</v>
      </c>
      <c r="Q2394" s="10" t="s">
        <v>9016</v>
      </c>
      <c r="R2394" s="4"/>
      <c r="S2394" s="9" t="str">
        <f>HYPERLINK("https://pbs.twimg.com/profile_images/962248284151734272/-yEY7hhB.jpg","View")</f>
        <v>View</v>
      </c>
    </row>
    <row r="2395" spans="1:19" ht="30">
      <c r="A2395" s="8">
        <v>43345.500173611115</v>
      </c>
      <c r="B2395" s="11" t="str">
        <f>HYPERLINK("https://twitter.com/yoobisha","@yoobisha")</f>
        <v>@yoobisha</v>
      </c>
      <c r="C2395" s="6" t="s">
        <v>10741</v>
      </c>
      <c r="D2395" s="5" t="s">
        <v>10740</v>
      </c>
      <c r="E2395" s="9" t="str">
        <f>HYPERLINK("https://twitter.com/yoobisha/status/1036154321635688448","1036154321635688448")</f>
        <v>1036154321635688448</v>
      </c>
      <c r="F2395" s="4"/>
      <c r="G2395" s="4"/>
      <c r="H2395" s="4"/>
      <c r="I2395" s="10" t="str">
        <f>HYPERLINK("http://twitter.com/download/android","Twitter for Android")</f>
        <v>Twitter for Android</v>
      </c>
      <c r="J2395" s="2">
        <v>115</v>
      </c>
      <c r="K2395" s="2">
        <v>104</v>
      </c>
      <c r="L2395" s="2">
        <v>0</v>
      </c>
      <c r="M2395" s="2"/>
      <c r="N2395" s="8">
        <v>43304.934907407413</v>
      </c>
      <c r="O2395" s="4" t="s">
        <v>1415</v>
      </c>
      <c r="P2395" s="3" t="s">
        <v>10739</v>
      </c>
      <c r="Q2395" s="4"/>
      <c r="R2395" s="4"/>
      <c r="S2395" s="9" t="str">
        <f>HYPERLINK("https://pbs.twimg.com/profile_images/1032512487717920768/MWi6ZVuG.jpg","View")</f>
        <v>View</v>
      </c>
    </row>
    <row r="2396" spans="1:19" ht="30">
      <c r="A2396" s="8">
        <v>43345.498020833329</v>
      </c>
      <c r="B2396" s="11" t="str">
        <f>HYPERLINK("https://twitter.com/barbarossa202","@barbarossa202")</f>
        <v>@barbarossa202</v>
      </c>
      <c r="C2396" s="6" t="s">
        <v>7173</v>
      </c>
      <c r="D2396" s="5" t="s">
        <v>10738</v>
      </c>
      <c r="E2396" s="9" t="str">
        <f>HYPERLINK("https://twitter.com/barbarossa202/status/1036153541801517056","1036153541801517056")</f>
        <v>1036153541801517056</v>
      </c>
      <c r="F2396" s="4"/>
      <c r="G2396" s="4"/>
      <c r="H2396" s="4"/>
      <c r="I2396" s="10" t="str">
        <f>HYPERLINK("http://twitter.com/download/android","Twitter for Android")</f>
        <v>Twitter for Android</v>
      </c>
      <c r="J2396" s="2">
        <v>72</v>
      </c>
      <c r="K2396" s="2">
        <v>222</v>
      </c>
      <c r="L2396" s="2">
        <v>0</v>
      </c>
      <c r="M2396" s="2"/>
      <c r="N2396" s="8">
        <v>42887.51966435185</v>
      </c>
      <c r="O2396" s="4" t="s">
        <v>7171</v>
      </c>
      <c r="P2396" s="3" t="s">
        <v>7170</v>
      </c>
      <c r="Q2396" s="4"/>
      <c r="R2396" s="4"/>
      <c r="S2396" s="2" t="s">
        <v>155</v>
      </c>
    </row>
    <row r="2397" spans="1:19" ht="12.5">
      <c r="A2397" s="8">
        <v>43345.493067129632</v>
      </c>
      <c r="B2397" s="11" t="str">
        <f>HYPERLINK("https://twitter.com/Mahdi25783774","@Mahdi25783774")</f>
        <v>@Mahdi25783774</v>
      </c>
      <c r="C2397" s="6" t="s">
        <v>5469</v>
      </c>
      <c r="D2397" s="5" t="s">
        <v>10737</v>
      </c>
      <c r="E2397" s="9" t="str">
        <f>HYPERLINK("https://twitter.com/Mahdi25783774/status/1036151743535636480","1036151743535636480")</f>
        <v>1036151743535636480</v>
      </c>
      <c r="F2397" s="4"/>
      <c r="G2397" s="10" t="s">
        <v>10736</v>
      </c>
      <c r="H2397" s="4"/>
      <c r="I2397" s="10" t="str">
        <f>HYPERLINK("http://twitter.com/download/android","Twitter for Android")</f>
        <v>Twitter for Android</v>
      </c>
      <c r="J2397" s="2">
        <v>684</v>
      </c>
      <c r="K2397" s="2">
        <v>909</v>
      </c>
      <c r="L2397" s="2">
        <v>1</v>
      </c>
      <c r="M2397" s="2"/>
      <c r="N2397" s="8">
        <v>43233.519814814819</v>
      </c>
      <c r="O2397" s="4" t="s">
        <v>133</v>
      </c>
      <c r="P2397" s="3" t="s">
        <v>5466</v>
      </c>
      <c r="Q2397" s="4"/>
      <c r="R2397" s="4"/>
      <c r="S2397" s="9" t="str">
        <f>HYPERLINK("https://pbs.twimg.com/profile_images/1033642102679318528/4lBWskrd.jpg","View")</f>
        <v>View</v>
      </c>
    </row>
    <row r="2398" spans="1:19" ht="30">
      <c r="A2398" s="8">
        <v>43345.484155092592</v>
      </c>
      <c r="B2398" s="11" t="str">
        <f>HYPERLINK("https://twitter.com/imortezaa","@imortezaa")</f>
        <v>@imortezaa</v>
      </c>
      <c r="C2398" s="6" t="s">
        <v>1178</v>
      </c>
      <c r="D2398" s="5" t="s">
        <v>10735</v>
      </c>
      <c r="E2398" s="9" t="str">
        <f>HYPERLINK("https://twitter.com/imortezaa/status/1036148516257759232","1036148516257759232")</f>
        <v>1036148516257759232</v>
      </c>
      <c r="F2398" s="4"/>
      <c r="G2398" s="10" t="s">
        <v>10734</v>
      </c>
      <c r="H2398" s="4"/>
      <c r="I2398" s="10" t="str">
        <f>HYPERLINK("http://twitter.com","Twitter Web Client")</f>
        <v>Twitter Web Client</v>
      </c>
      <c r="J2398" s="2">
        <v>584</v>
      </c>
      <c r="K2398" s="2">
        <v>311</v>
      </c>
      <c r="L2398" s="2">
        <v>3</v>
      </c>
      <c r="M2398" s="2"/>
      <c r="N2398" s="8">
        <v>40969.472997685181</v>
      </c>
      <c r="O2398" s="4" t="s">
        <v>10733</v>
      </c>
      <c r="P2398" s="3"/>
      <c r="Q2398" s="4"/>
      <c r="R2398" s="4"/>
      <c r="S2398" s="9" t="str">
        <f>HYPERLINK("https://pbs.twimg.com/profile_images/997165843719929856/b077duyA.jpg","View")</f>
        <v>View</v>
      </c>
    </row>
    <row r="2399" spans="1:19" ht="20">
      <c r="A2399" s="8">
        <v>43345.480266203704</v>
      </c>
      <c r="B2399" s="11" t="str">
        <f>HYPERLINK("https://twitter.com/jahangardam","@jahangardam")</f>
        <v>@jahangardam</v>
      </c>
      <c r="C2399" s="6" t="s">
        <v>6366</v>
      </c>
      <c r="D2399" s="5" t="s">
        <v>10732</v>
      </c>
      <c r="E2399" s="9" t="str">
        <f>HYPERLINK("https://twitter.com/jahangardam/status/1036147106313056256","1036147106313056256")</f>
        <v>1036147106313056256</v>
      </c>
      <c r="F2399" s="4"/>
      <c r="G2399" s="4"/>
      <c r="H2399" s="4"/>
      <c r="I2399" s="10" t="str">
        <f>HYPERLINK("http://twitter.com/download/android","Twitter for Android")</f>
        <v>Twitter for Android</v>
      </c>
      <c r="J2399" s="2">
        <v>548</v>
      </c>
      <c r="K2399" s="2">
        <v>246</v>
      </c>
      <c r="L2399" s="2">
        <v>3</v>
      </c>
      <c r="M2399" s="2"/>
      <c r="N2399" s="8">
        <v>43083.040960648148</v>
      </c>
      <c r="O2399" s="4"/>
      <c r="P2399" s="3" t="s">
        <v>6363</v>
      </c>
      <c r="Q2399" s="4"/>
      <c r="R2399" s="4"/>
      <c r="S2399" s="9" t="str">
        <f>HYPERLINK("https://pbs.twimg.com/profile_images/1035046896128192512/Fi1370XM.jpg","View")</f>
        <v>View</v>
      </c>
    </row>
    <row r="2400" spans="1:19" ht="30">
      <c r="A2400" s="8">
        <v>43345.474409722221</v>
      </c>
      <c r="B2400" s="11" t="str">
        <f>HYPERLINK("https://twitter.com/aminfarajj","@aminfarajj")</f>
        <v>@aminfarajj</v>
      </c>
      <c r="C2400" s="6" t="s">
        <v>10731</v>
      </c>
      <c r="D2400" s="5" t="s">
        <v>10730</v>
      </c>
      <c r="E2400" s="9" t="str">
        <f>HYPERLINK("https://twitter.com/aminfarajj/status/1036144984653742081","1036144984653742081")</f>
        <v>1036144984653742081</v>
      </c>
      <c r="F2400" s="4"/>
      <c r="G2400" s="4"/>
      <c r="H2400" s="4"/>
      <c r="I2400" s="10" t="str">
        <f>HYPERLINK("http://twitter.com/download/android","Twitter for Android")</f>
        <v>Twitter for Android</v>
      </c>
      <c r="J2400" s="2">
        <v>1417</v>
      </c>
      <c r="K2400" s="2">
        <v>357</v>
      </c>
      <c r="L2400" s="2">
        <v>14</v>
      </c>
      <c r="M2400" s="2"/>
      <c r="N2400" s="8">
        <v>42395.760844907403</v>
      </c>
      <c r="O2400" s="4"/>
      <c r="P2400" s="3"/>
      <c r="Q2400" s="4"/>
      <c r="R2400" s="4"/>
      <c r="S2400" s="9" t="str">
        <f>HYPERLINK("https://pbs.twimg.com/profile_images/938192440825143302/AkvD-EfD.jpg","View")</f>
        <v>View</v>
      </c>
    </row>
    <row r="2401" spans="1:19" ht="40">
      <c r="A2401" s="8">
        <v>43345.472951388889</v>
      </c>
      <c r="B2401" s="11" t="str">
        <f>HYPERLINK("https://twitter.com/ESMAEELZAMANI1","@ESMAEELZAMANI1")</f>
        <v>@ESMAEELZAMANI1</v>
      </c>
      <c r="C2401" s="6" t="s">
        <v>8068</v>
      </c>
      <c r="D2401" s="5" t="s">
        <v>10729</v>
      </c>
      <c r="E2401" s="9" t="str">
        <f>HYPERLINK("https://twitter.com/ESMAEELZAMANI1/status/1036144456511250432","1036144456511250432")</f>
        <v>1036144456511250432</v>
      </c>
      <c r="F2401" s="4"/>
      <c r="G2401" s="4"/>
      <c r="H2401" s="4"/>
      <c r="I2401" s="10" t="str">
        <f>HYPERLINK("http://twitter.com","Twitter Web Client")</f>
        <v>Twitter Web Client</v>
      </c>
      <c r="J2401" s="2">
        <v>0</v>
      </c>
      <c r="K2401" s="2">
        <v>2</v>
      </c>
      <c r="L2401" s="2">
        <v>0</v>
      </c>
      <c r="M2401" s="2"/>
      <c r="N2401" s="8">
        <v>43327.992314814815</v>
      </c>
      <c r="O2401" s="4"/>
      <c r="P2401" s="3"/>
      <c r="Q2401" s="4"/>
      <c r="R2401" s="4"/>
      <c r="S2401" s="9" t="str">
        <f>HYPERLINK("https://pbs.twimg.com/profile_images/1031256571446054912/pOHI-dEc.jpg","View")</f>
        <v>View</v>
      </c>
    </row>
    <row r="2402" spans="1:19" ht="40">
      <c r="A2402" s="8">
        <v>43345.471620370372</v>
      </c>
      <c r="B2402" s="11" t="str">
        <f>HYPERLINK("https://twitter.com/ESMAEELZAMANI1","@ESMAEELZAMANI1")</f>
        <v>@ESMAEELZAMANI1</v>
      </c>
      <c r="C2402" s="6" t="s">
        <v>8068</v>
      </c>
      <c r="D2402" s="5" t="s">
        <v>10728</v>
      </c>
      <c r="E2402" s="9" t="str">
        <f>HYPERLINK("https://twitter.com/ESMAEELZAMANI1/status/1036143973142855680","1036143973142855680")</f>
        <v>1036143973142855680</v>
      </c>
      <c r="F2402" s="4"/>
      <c r="G2402" s="4"/>
      <c r="H2402" s="4"/>
      <c r="I2402" s="10" t="str">
        <f>HYPERLINK("http://twitter.com","Twitter Web Client")</f>
        <v>Twitter Web Client</v>
      </c>
      <c r="J2402" s="2">
        <v>0</v>
      </c>
      <c r="K2402" s="2">
        <v>2</v>
      </c>
      <c r="L2402" s="2">
        <v>0</v>
      </c>
      <c r="M2402" s="2"/>
      <c r="N2402" s="8">
        <v>43327.992314814815</v>
      </c>
      <c r="O2402" s="4"/>
      <c r="P2402" s="3"/>
      <c r="Q2402" s="4"/>
      <c r="R2402" s="4"/>
      <c r="S2402" s="9" t="str">
        <f>HYPERLINK("https://pbs.twimg.com/profile_images/1031256571446054912/pOHI-dEc.jpg","View")</f>
        <v>View</v>
      </c>
    </row>
    <row r="2403" spans="1:19" ht="40">
      <c r="A2403" s="8">
        <v>43345.46802083333</v>
      </c>
      <c r="B2403" s="11" t="str">
        <f>HYPERLINK("https://twitter.com/ramin_ram_1988","@ramin_ram_1988")</f>
        <v>@ramin_ram_1988</v>
      </c>
      <c r="C2403" s="6" t="s">
        <v>10727</v>
      </c>
      <c r="D2403" s="5" t="s">
        <v>10726</v>
      </c>
      <c r="E2403" s="9" t="str">
        <f>HYPERLINK("https://twitter.com/ramin_ram_1988/status/1036142670333325312","1036142670333325312")</f>
        <v>1036142670333325312</v>
      </c>
      <c r="F2403" s="4"/>
      <c r="G2403" s="4"/>
      <c r="H2403" s="4"/>
      <c r="I2403" s="10" t="str">
        <f>HYPERLINK("http://twitter.com/download/android","Twitter for Android")</f>
        <v>Twitter for Android</v>
      </c>
      <c r="J2403" s="2">
        <v>159</v>
      </c>
      <c r="K2403" s="2">
        <v>303</v>
      </c>
      <c r="L2403" s="2">
        <v>1</v>
      </c>
      <c r="M2403" s="2"/>
      <c r="N2403" s="8">
        <v>43229.058587962965</v>
      </c>
      <c r="O2403" s="4" t="s">
        <v>34</v>
      </c>
      <c r="P2403" s="3"/>
      <c r="Q2403" s="4"/>
      <c r="R2403" s="4"/>
      <c r="S2403" s="9" t="str">
        <f>HYPERLINK("https://pbs.twimg.com/profile_images/1023066139033837569/8-stQqi2.jpg","View")</f>
        <v>View</v>
      </c>
    </row>
    <row r="2404" spans="1:19" ht="40">
      <c r="A2404" s="8">
        <v>43345.466689814813</v>
      </c>
      <c r="B2404" s="11" t="str">
        <f>HYPERLINK("https://twitter.com/Taamogh","@Taamogh")</f>
        <v>@Taamogh</v>
      </c>
      <c r="C2404" s="6" t="s">
        <v>2546</v>
      </c>
      <c r="D2404" s="5" t="s">
        <v>10725</v>
      </c>
      <c r="E2404" s="9" t="str">
        <f>HYPERLINK("https://twitter.com/Taamogh/status/1036142187866669056","1036142187866669056")</f>
        <v>1036142187866669056</v>
      </c>
      <c r="F2404" s="4"/>
      <c r="G2404" s="4"/>
      <c r="H2404" s="4"/>
      <c r="I2404" s="10" t="str">
        <f>HYPERLINK("http://twitter.com/download/android","Twitter for Android")</f>
        <v>Twitter for Android</v>
      </c>
      <c r="J2404" s="2">
        <v>49</v>
      </c>
      <c r="K2404" s="2">
        <v>189</v>
      </c>
      <c r="L2404" s="2">
        <v>0</v>
      </c>
      <c r="M2404" s="2"/>
      <c r="N2404" s="8">
        <v>43114.609965277778</v>
      </c>
      <c r="O2404" s="4" t="s">
        <v>2544</v>
      </c>
      <c r="P2404" s="3" t="s">
        <v>2543</v>
      </c>
      <c r="Q2404" s="4"/>
      <c r="R2404" s="4"/>
      <c r="S2404" s="9" t="str">
        <f>HYPERLINK("https://pbs.twimg.com/profile_images/999267296865542146/RrZ9bi01.jpg","View")</f>
        <v>View</v>
      </c>
    </row>
    <row r="2405" spans="1:19" ht="40">
      <c r="A2405" s="8">
        <v>43345.466296296298</v>
      </c>
      <c r="B2405" s="11" t="str">
        <f>HYPERLINK("https://twitter.com/erfan_shaigan","@erfan_shaigan")</f>
        <v>@erfan_shaigan</v>
      </c>
      <c r="C2405" s="6" t="s">
        <v>7103</v>
      </c>
      <c r="D2405" s="5" t="s">
        <v>10724</v>
      </c>
      <c r="E2405" s="9" t="str">
        <f>HYPERLINK("https://twitter.com/erfan_shaigan/status/1036142045784629249","1036142045784629249")</f>
        <v>1036142045784629249</v>
      </c>
      <c r="F2405" s="4"/>
      <c r="G2405" s="4"/>
      <c r="H2405" s="4"/>
      <c r="I2405" s="10" t="str">
        <f>HYPERLINK("http://twitter.com/download/android","Twitter for Android")</f>
        <v>Twitter for Android</v>
      </c>
      <c r="J2405" s="2">
        <v>34</v>
      </c>
      <c r="K2405" s="2">
        <v>13</v>
      </c>
      <c r="L2405" s="2">
        <v>0</v>
      </c>
      <c r="M2405" s="2"/>
      <c r="N2405" s="8">
        <v>43125.7581712963</v>
      </c>
      <c r="O2405" s="4"/>
      <c r="P2405" s="3" t="s">
        <v>7100</v>
      </c>
      <c r="Q2405" s="4"/>
      <c r="R2405" s="4"/>
      <c r="S2405" s="9" t="str">
        <f>HYPERLINK("https://pbs.twimg.com/profile_images/988174125016363010/Q-Lh3WpG.jpg","View")</f>
        <v>View</v>
      </c>
    </row>
    <row r="2406" spans="1:19" ht="30">
      <c r="A2406" s="8">
        <v>43345.465729166666</v>
      </c>
      <c r="B2406" s="11" t="str">
        <f>HYPERLINK("https://twitter.com/MhMirzahasan","@MhMirzahasan")</f>
        <v>@MhMirzahasan</v>
      </c>
      <c r="C2406" s="6" t="s">
        <v>10189</v>
      </c>
      <c r="D2406" s="5" t="s">
        <v>10723</v>
      </c>
      <c r="E2406" s="9" t="str">
        <f>HYPERLINK("https://twitter.com/MhMirzahasan/status/1036141838313418753","1036141838313418753")</f>
        <v>1036141838313418753</v>
      </c>
      <c r="F2406" s="4"/>
      <c r="G2406" s="10" t="s">
        <v>10722</v>
      </c>
      <c r="H2406" s="4"/>
      <c r="I2406" s="10" t="str">
        <f>HYPERLINK("http://twitter.com","Twitter Web Client")</f>
        <v>Twitter Web Client</v>
      </c>
      <c r="J2406" s="2">
        <v>3347</v>
      </c>
      <c r="K2406" s="2">
        <v>4029</v>
      </c>
      <c r="L2406" s="2">
        <v>2</v>
      </c>
      <c r="M2406" s="2"/>
      <c r="N2406" s="8">
        <v>43240.666620370372</v>
      </c>
      <c r="O2406" s="4" t="s">
        <v>34</v>
      </c>
      <c r="P2406" s="3" t="s">
        <v>10186</v>
      </c>
      <c r="Q2406" s="4"/>
      <c r="R2406" s="4"/>
      <c r="S2406" s="9" t="str">
        <f>HYPERLINK("https://pbs.twimg.com/profile_images/1000343440654290944/PxsRsLeU.jpg","View")</f>
        <v>View</v>
      </c>
    </row>
    <row r="2407" spans="1:19" ht="40">
      <c r="A2407" s="8">
        <v>43345.464965277773</v>
      </c>
      <c r="B2407" s="11" t="str">
        <f>HYPERLINK("https://twitter.com/nimepenhanemah","@nimepenhanemah")</f>
        <v>@nimepenhanemah</v>
      </c>
      <c r="C2407" s="6" t="s">
        <v>10721</v>
      </c>
      <c r="D2407" s="5" t="s">
        <v>10720</v>
      </c>
      <c r="E2407" s="9" t="str">
        <f>HYPERLINK("https://twitter.com/nimepenhanemah/status/1036141561606807555","1036141561606807555")</f>
        <v>1036141561606807555</v>
      </c>
      <c r="F2407" s="4"/>
      <c r="G2407" s="4"/>
      <c r="H2407" s="4"/>
      <c r="I2407" s="10" t="str">
        <f>HYPERLINK("http://twitter.com","Twitter Web Client")</f>
        <v>Twitter Web Client</v>
      </c>
      <c r="J2407" s="2">
        <v>18</v>
      </c>
      <c r="K2407" s="2">
        <v>93</v>
      </c>
      <c r="L2407" s="2">
        <v>0</v>
      </c>
      <c r="M2407" s="2"/>
      <c r="N2407" s="8">
        <v>43235.502835648149</v>
      </c>
      <c r="O2407" s="4"/>
      <c r="P2407" s="3" t="s">
        <v>10719</v>
      </c>
      <c r="Q2407" s="4"/>
      <c r="R2407" s="4"/>
      <c r="S2407" s="9" t="str">
        <f>HYPERLINK("https://pbs.twimg.com/profile_images/1006564433181708290/Tt162BML.jpg","View")</f>
        <v>View</v>
      </c>
    </row>
    <row r="2408" spans="1:19" ht="20">
      <c r="A2408" s="8">
        <v>43345.46475694445</v>
      </c>
      <c r="B2408" s="11" t="str">
        <f>HYPERLINK("https://twitter.com/hesam1216","@hesam1216")</f>
        <v>@hesam1216</v>
      </c>
      <c r="C2408" s="6" t="s">
        <v>10718</v>
      </c>
      <c r="D2408" s="5" t="s">
        <v>10717</v>
      </c>
      <c r="E2408" s="9" t="str">
        <f>HYPERLINK("https://twitter.com/hesam1216/status/1036141486801399808","1036141486801399808")</f>
        <v>1036141486801399808</v>
      </c>
      <c r="F2408" s="4"/>
      <c r="G2408" s="10" t="s">
        <v>10716</v>
      </c>
      <c r="H2408" s="4"/>
      <c r="I2408" s="10" t="str">
        <f>HYPERLINK("http://twitter.com/download/iphone","Twitter for iPhone")</f>
        <v>Twitter for iPhone</v>
      </c>
      <c r="J2408" s="2">
        <v>25</v>
      </c>
      <c r="K2408" s="2">
        <v>64</v>
      </c>
      <c r="L2408" s="2">
        <v>0</v>
      </c>
      <c r="M2408" s="2"/>
      <c r="N2408" s="8">
        <v>40972.120995370373</v>
      </c>
      <c r="O2408" s="4" t="s">
        <v>34</v>
      </c>
      <c r="P2408" s="3"/>
      <c r="Q2408" s="4"/>
      <c r="R2408" s="4"/>
      <c r="S2408" s="9" t="str">
        <f>HYPERLINK("https://pbs.twimg.com/profile_images/863008867948658689/uXOjh7T1.jpg","View")</f>
        <v>View</v>
      </c>
    </row>
    <row r="2409" spans="1:19" ht="40">
      <c r="A2409" s="8">
        <v>43345.457835648151</v>
      </c>
      <c r="B2409" s="11" t="str">
        <f>HYPERLINK("https://twitter.com/moosavitehrani","@moosavitehrani")</f>
        <v>@moosavitehrani</v>
      </c>
      <c r="C2409" s="6" t="s">
        <v>10715</v>
      </c>
      <c r="D2409" s="5" t="s">
        <v>10714</v>
      </c>
      <c r="E2409" s="9" t="str">
        <f>HYPERLINK("https://twitter.com/moosavitehrani/status/1036138976430698496","1036138976430698496")</f>
        <v>1036138976430698496</v>
      </c>
      <c r="F2409" s="4"/>
      <c r="G2409" s="10" t="s">
        <v>10713</v>
      </c>
      <c r="H2409" s="4"/>
      <c r="I2409" s="10" t="str">
        <f>HYPERLINK("http://twitter.com/download/android","Twitter for Android")</f>
        <v>Twitter for Android</v>
      </c>
      <c r="J2409" s="2">
        <v>1126</v>
      </c>
      <c r="K2409" s="2">
        <v>8</v>
      </c>
      <c r="L2409" s="2">
        <v>12</v>
      </c>
      <c r="M2409" s="2"/>
      <c r="N2409" s="8">
        <v>42095.437418981484</v>
      </c>
      <c r="O2409" s="4" t="s">
        <v>17</v>
      </c>
      <c r="P2409" s="3" t="s">
        <v>10712</v>
      </c>
      <c r="Q2409" s="10" t="s">
        <v>10711</v>
      </c>
      <c r="R2409" s="4"/>
      <c r="S2409" s="9" t="str">
        <f>HYPERLINK("https://pbs.twimg.com/profile_images/1027264238895734785/YgD6X6oE.jpg","View")</f>
        <v>View</v>
      </c>
    </row>
    <row r="2410" spans="1:19" ht="30">
      <c r="A2410" s="8">
        <v>43345.45511574074</v>
      </c>
      <c r="B2410" s="11" t="str">
        <f>HYPERLINK("https://twitter.com/Tasnimnews_Fa","@Tasnimnews_Fa")</f>
        <v>@Tasnimnews_Fa</v>
      </c>
      <c r="C2410" s="6" t="s">
        <v>603</v>
      </c>
      <c r="D2410" s="5" t="s">
        <v>10710</v>
      </c>
      <c r="E2410" s="9" t="str">
        <f>HYPERLINK("https://twitter.com/Tasnimnews_Fa/status/1036137993545891840","1036137993545891840")</f>
        <v>1036137993545891840</v>
      </c>
      <c r="F2410" s="10" t="s">
        <v>10709</v>
      </c>
      <c r="G2410" s="10" t="s">
        <v>10708</v>
      </c>
      <c r="H2410" s="4"/>
      <c r="I2410" s="10" t="str">
        <f>HYPERLINK("http://twitter.com","Twitter Web Client")</f>
        <v>Twitter Web Client</v>
      </c>
      <c r="J2410" s="2">
        <v>109596</v>
      </c>
      <c r="K2410" s="2">
        <v>20</v>
      </c>
      <c r="L2410" s="2">
        <v>376</v>
      </c>
      <c r="M2410" s="2" t="s">
        <v>80</v>
      </c>
      <c r="N2410" s="8">
        <v>41868.671585648146</v>
      </c>
      <c r="O2410" s="4" t="s">
        <v>133</v>
      </c>
      <c r="P2410" s="3" t="s">
        <v>599</v>
      </c>
      <c r="Q2410" s="10" t="s">
        <v>598</v>
      </c>
      <c r="R2410" s="4"/>
      <c r="S2410" s="9" t="str">
        <f>HYPERLINK("https://pbs.twimg.com/profile_images/942003149430239232/hvLw_1_E.jpg","View")</f>
        <v>View</v>
      </c>
    </row>
    <row r="2411" spans="1:19" ht="30">
      <c r="A2411" s="8">
        <v>43345.454432870371</v>
      </c>
      <c r="B2411" s="11" t="str">
        <f>HYPERLINK("https://twitter.com/trtpersiancom","@trtpersiancom")</f>
        <v>@trtpersiancom</v>
      </c>
      <c r="C2411" s="11" t="s">
        <v>9413</v>
      </c>
      <c r="D2411" s="5" t="s">
        <v>10707</v>
      </c>
      <c r="E2411" s="9" t="str">
        <f>HYPERLINK("https://twitter.com/trtpersiancom/status/1036137745473851392","1036137745473851392")</f>
        <v>1036137745473851392</v>
      </c>
      <c r="F2411" s="10" t="s">
        <v>10706</v>
      </c>
      <c r="G2411" s="4"/>
      <c r="H2411" s="4"/>
      <c r="I2411" s="10" t="str">
        <f>HYPERLINK("http://twitter.com","Twitter Web Client")</f>
        <v>Twitter Web Client</v>
      </c>
      <c r="J2411" s="2">
        <v>11175</v>
      </c>
      <c r="K2411" s="2">
        <v>23</v>
      </c>
      <c r="L2411" s="2">
        <v>36</v>
      </c>
      <c r="M2411" s="2"/>
      <c r="N2411" s="8">
        <v>40759.756018518521</v>
      </c>
      <c r="O2411" s="4" t="s">
        <v>9410</v>
      </c>
      <c r="P2411" s="3" t="s">
        <v>9409</v>
      </c>
      <c r="Q2411" s="10" t="s">
        <v>9408</v>
      </c>
      <c r="R2411" s="4"/>
      <c r="S2411" s="9" t="str">
        <f>HYPERLINK("https://pbs.twimg.com/profile_images/767693483855478784/KAluA1uF.jpg","View")</f>
        <v>View</v>
      </c>
    </row>
    <row r="2412" spans="1:19" ht="60">
      <c r="A2412" s="8">
        <v>43345.45313657407</v>
      </c>
      <c r="B2412" s="11" t="str">
        <f>HYPERLINK("https://twitter.com/BComplex90","@BComplex90")</f>
        <v>@BComplex90</v>
      </c>
      <c r="C2412" s="6" t="s">
        <v>10705</v>
      </c>
      <c r="D2412" s="5" t="s">
        <v>10704</v>
      </c>
      <c r="E2412" s="9" t="str">
        <f>HYPERLINK("https://twitter.com/BComplex90/status/1036137276332560385","1036137276332560385")</f>
        <v>1036137276332560385</v>
      </c>
      <c r="F2412" s="10" t="s">
        <v>10703</v>
      </c>
      <c r="G2412" s="10" t="s">
        <v>10702</v>
      </c>
      <c r="H2412" s="4"/>
      <c r="I2412" s="10" t="str">
        <f>HYPERLINK("http://twitter.com/download/iphone","Twitter for iPhone")</f>
        <v>Twitter for iPhone</v>
      </c>
      <c r="J2412" s="2">
        <v>195</v>
      </c>
      <c r="K2412" s="2">
        <v>231</v>
      </c>
      <c r="L2412" s="2">
        <v>1</v>
      </c>
      <c r="M2412" s="2"/>
      <c r="N2412" s="8">
        <v>41314.701631944445</v>
      </c>
      <c r="O2412" s="4"/>
      <c r="P2412" s="3" t="s">
        <v>10701</v>
      </c>
      <c r="Q2412" s="4"/>
      <c r="R2412" s="4"/>
      <c r="S2412" s="9" t="str">
        <f>HYPERLINK("https://pbs.twimg.com/profile_images/1013945595814346759/z3w3cAOI.jpg","View")</f>
        <v>View</v>
      </c>
    </row>
    <row r="2413" spans="1:19" ht="20">
      <c r="A2413" s="8">
        <v>43345.4527662037</v>
      </c>
      <c r="B2413" s="11" t="str">
        <f>HYPERLINK("https://twitter.com/aaz_1376","@aaz_1376")</f>
        <v>@aaz_1376</v>
      </c>
      <c r="C2413" s="6" t="s">
        <v>10700</v>
      </c>
      <c r="D2413" s="5" t="s">
        <v>10699</v>
      </c>
      <c r="E2413" s="9" t="str">
        <f>HYPERLINK("https://twitter.com/aaz_1376/status/1036137140730703872","1036137140730703872")</f>
        <v>1036137140730703872</v>
      </c>
      <c r="F2413" s="4"/>
      <c r="G2413" s="4"/>
      <c r="H2413" s="4"/>
      <c r="I2413" s="10" t="str">
        <f>HYPERLINK("http://twitter.com/download/android","Twitter for Android")</f>
        <v>Twitter for Android</v>
      </c>
      <c r="J2413" s="2">
        <v>19</v>
      </c>
      <c r="K2413" s="2">
        <v>24</v>
      </c>
      <c r="L2413" s="2">
        <v>0</v>
      </c>
      <c r="M2413" s="2"/>
      <c r="N2413" s="8">
        <v>43265.087523148148</v>
      </c>
      <c r="O2413" s="4" t="s">
        <v>17</v>
      </c>
      <c r="P2413" s="3" t="s">
        <v>10698</v>
      </c>
      <c r="Q2413" s="4"/>
      <c r="R2413" s="4"/>
      <c r="S2413" s="9" t="str">
        <f>HYPERLINK("https://pbs.twimg.com/profile_images/1007015653570686976/VL5Meml_.jpg","View")</f>
        <v>View</v>
      </c>
    </row>
    <row r="2414" spans="1:19" ht="30">
      <c r="A2414" s="8">
        <v>43345.452233796299</v>
      </c>
      <c r="B2414" s="11" t="str">
        <f>HYPERLINK("https://twitter.com/mammadps","@mammadps")</f>
        <v>@mammadps</v>
      </c>
      <c r="C2414" s="6" t="s">
        <v>10697</v>
      </c>
      <c r="D2414" s="5" t="s">
        <v>10696</v>
      </c>
      <c r="E2414" s="9" t="str">
        <f>HYPERLINK("https://twitter.com/mammadps/status/1036136946249228288","1036136946249228288")</f>
        <v>1036136946249228288</v>
      </c>
      <c r="F2414" s="4"/>
      <c r="G2414" s="4"/>
      <c r="H2414" s="4"/>
      <c r="I2414" s="10" t="str">
        <f>HYPERLINK("http://twitter.com/download/android","Twitter for Android")</f>
        <v>Twitter for Android</v>
      </c>
      <c r="J2414" s="2">
        <v>486</v>
      </c>
      <c r="K2414" s="2">
        <v>569</v>
      </c>
      <c r="L2414" s="2">
        <v>1</v>
      </c>
      <c r="M2414" s="2"/>
      <c r="N2414" s="8">
        <v>41520.869699074072</v>
      </c>
      <c r="O2414" s="4"/>
      <c r="P2414" s="3" t="s">
        <v>10695</v>
      </c>
      <c r="Q2414" s="10" t="s">
        <v>10694</v>
      </c>
      <c r="R2414" s="4"/>
      <c r="S2414" s="9" t="str">
        <f>HYPERLINK("https://pbs.twimg.com/profile_images/1030547714889658368/_TCncCTB.jpg","View")</f>
        <v>View</v>
      </c>
    </row>
    <row r="2415" spans="1:19" ht="40">
      <c r="A2415" s="8">
        <v>43345.451631944445</v>
      </c>
      <c r="B2415" s="11" t="str">
        <f>HYPERLINK("https://twitter.com/ibenair","@ibenair")</f>
        <v>@ibenair</v>
      </c>
      <c r="C2415" s="11" t="s">
        <v>570</v>
      </c>
      <c r="D2415" s="5" t="s">
        <v>10693</v>
      </c>
      <c r="E2415" s="9" t="str">
        <f>HYPERLINK("https://twitter.com/ibenair/status/1036136731622428672","1036136731622428672")</f>
        <v>1036136731622428672</v>
      </c>
      <c r="F2415" s="4"/>
      <c r="G2415" s="4"/>
      <c r="H2415" s="4"/>
      <c r="I2415" s="10" t="str">
        <f>HYPERLINK("http://twitter.com/download/android","Twitter for Android")</f>
        <v>Twitter for Android</v>
      </c>
      <c r="J2415" s="2">
        <v>48</v>
      </c>
      <c r="K2415" s="2">
        <v>7</v>
      </c>
      <c r="L2415" s="2">
        <v>1</v>
      </c>
      <c r="M2415" s="2"/>
      <c r="N2415" s="8">
        <v>43206.519918981481</v>
      </c>
      <c r="O2415" s="4" t="s">
        <v>17</v>
      </c>
      <c r="P2415" s="3" t="s">
        <v>567</v>
      </c>
      <c r="Q2415" s="10" t="s">
        <v>566</v>
      </c>
      <c r="R2415" s="4"/>
      <c r="S2415" s="9" t="str">
        <f>HYPERLINK("https://pbs.twimg.com/profile_images/985793204661506048/Esq8e1Qs.jpg","View")</f>
        <v>View</v>
      </c>
    </row>
    <row r="2416" spans="1:19" ht="40">
      <c r="A2416" s="8">
        <v>43345.444178240738</v>
      </c>
      <c r="B2416" s="11" t="str">
        <f>HYPERLINK("https://twitter.com/roshangarii","@roshangarii")</f>
        <v>@roshangarii</v>
      </c>
      <c r="C2416" s="6" t="s">
        <v>10692</v>
      </c>
      <c r="D2416" s="5" t="s">
        <v>10691</v>
      </c>
      <c r="E2416" s="9" t="str">
        <f>HYPERLINK("https://twitter.com/roshangarii/status/1036134029500866560","1036134029500866560")</f>
        <v>1036134029500866560</v>
      </c>
      <c r="F2416" s="4"/>
      <c r="G2416" s="4"/>
      <c r="H2416" s="4"/>
      <c r="I2416" s="10" t="str">
        <f>HYPERLINK("https://mobile.twitter.com","Twitter Lite")</f>
        <v>Twitter Lite</v>
      </c>
      <c r="J2416" s="2">
        <v>283</v>
      </c>
      <c r="K2416" s="2">
        <v>786</v>
      </c>
      <c r="L2416" s="2">
        <v>0</v>
      </c>
      <c r="M2416" s="2"/>
      <c r="N2416" s="8">
        <v>42648.789305555554</v>
      </c>
      <c r="O2416" s="4"/>
      <c r="P2416" s="3" t="s">
        <v>10690</v>
      </c>
      <c r="Q2416" s="10" t="s">
        <v>10689</v>
      </c>
      <c r="R2416" s="4"/>
      <c r="S2416" s="9" t="str">
        <f>HYPERLINK("https://pbs.twimg.com/profile_images/1029907533576720385/dym-1fEM.jpg","View")</f>
        <v>View</v>
      </c>
    </row>
    <row r="2417" spans="1:19" ht="30">
      <c r="A2417" s="8">
        <v>43345.442500000005</v>
      </c>
      <c r="B2417" s="11" t="str">
        <f>HYPERLINK("https://twitter.com/seyed_mohsen22","@seyed_mohsen22")</f>
        <v>@seyed_mohsen22</v>
      </c>
      <c r="C2417" s="6" t="s">
        <v>10615</v>
      </c>
      <c r="D2417" s="5" t="s">
        <v>10688</v>
      </c>
      <c r="E2417" s="9" t="str">
        <f>HYPERLINK("https://twitter.com/seyed_mohsen22/status/1036133421179973633","1036133421179973633")</f>
        <v>1036133421179973633</v>
      </c>
      <c r="F2417" s="4"/>
      <c r="G2417" s="4"/>
      <c r="H2417" s="4"/>
      <c r="I2417" s="10" t="str">
        <f>HYPERLINK("https://mobile.twitter.com","Twitter Lite")</f>
        <v>Twitter Lite</v>
      </c>
      <c r="J2417" s="2">
        <v>5</v>
      </c>
      <c r="K2417" s="2">
        <v>7</v>
      </c>
      <c r="L2417" s="2">
        <v>0</v>
      </c>
      <c r="M2417" s="2"/>
      <c r="N2417" s="8">
        <v>43324.410196759258</v>
      </c>
      <c r="O2417" s="4"/>
      <c r="P2417" s="3"/>
      <c r="Q2417" s="4"/>
      <c r="R2417" s="4"/>
      <c r="S2417" s="2" t="s">
        <v>155</v>
      </c>
    </row>
    <row r="2418" spans="1:19" ht="30">
      <c r="A2418" s="8">
        <v>43345.441354166665</v>
      </c>
      <c r="B2418" s="11" t="str">
        <f>HYPERLINK("https://twitter.com/Tasnimnews_Fa","@Tasnimnews_Fa")</f>
        <v>@Tasnimnews_Fa</v>
      </c>
      <c r="C2418" s="6" t="s">
        <v>603</v>
      </c>
      <c r="D2418" s="5" t="s">
        <v>10687</v>
      </c>
      <c r="E2418" s="9" t="str">
        <f>HYPERLINK("https://twitter.com/Tasnimnews_Fa/status/1036133006312964097","1036133006312964097")</f>
        <v>1036133006312964097</v>
      </c>
      <c r="F2418" s="4"/>
      <c r="G2418" s="10" t="s">
        <v>10686</v>
      </c>
      <c r="H2418" s="4"/>
      <c r="I2418" s="10" t="str">
        <f>HYPERLINK("http://twitter.com","Twitter Web Client")</f>
        <v>Twitter Web Client</v>
      </c>
      <c r="J2418" s="2">
        <v>109596</v>
      </c>
      <c r="K2418" s="2">
        <v>20</v>
      </c>
      <c r="L2418" s="2">
        <v>376</v>
      </c>
      <c r="M2418" s="2" t="s">
        <v>80</v>
      </c>
      <c r="N2418" s="8">
        <v>41868.671585648146</v>
      </c>
      <c r="O2418" s="4" t="s">
        <v>133</v>
      </c>
      <c r="P2418" s="3" t="s">
        <v>599</v>
      </c>
      <c r="Q2418" s="10" t="s">
        <v>598</v>
      </c>
      <c r="R2418" s="4"/>
      <c r="S2418" s="9" t="str">
        <f>HYPERLINK("https://pbs.twimg.com/profile_images/942003149430239232/hvLw_1_E.jpg","View")</f>
        <v>View</v>
      </c>
    </row>
    <row r="2419" spans="1:19" ht="20">
      <c r="A2419" s="8">
        <v>43345.441030092596</v>
      </c>
      <c r="B2419" s="11" t="str">
        <f>HYPERLINK("https://twitter.com/RouhaniMeter","@RouhaniMeter")</f>
        <v>@RouhaniMeter</v>
      </c>
      <c r="C2419" s="6" t="s">
        <v>10685</v>
      </c>
      <c r="D2419" s="5" t="s">
        <v>10684</v>
      </c>
      <c r="E2419" s="9" t="str">
        <f>HYPERLINK("https://twitter.com/RouhaniMeter/status/1036132889665175552","1036132889665175552")</f>
        <v>1036132889665175552</v>
      </c>
      <c r="F2419" s="10" t="s">
        <v>3170</v>
      </c>
      <c r="G2419" s="10" t="s">
        <v>10683</v>
      </c>
      <c r="H2419" s="4"/>
      <c r="I2419" s="10" t="str">
        <f>HYPERLINK("https://coschedule.com","CoSchedule")</f>
        <v>CoSchedule</v>
      </c>
      <c r="J2419" s="2">
        <v>5558</v>
      </c>
      <c r="K2419" s="2">
        <v>230</v>
      </c>
      <c r="L2419" s="2">
        <v>49</v>
      </c>
      <c r="M2419" s="2"/>
      <c r="N2419" s="8">
        <v>41443.730347222227</v>
      </c>
      <c r="O2419" s="4"/>
      <c r="P2419" s="3" t="s">
        <v>10682</v>
      </c>
      <c r="Q2419" s="10" t="s">
        <v>3167</v>
      </c>
      <c r="R2419" s="4"/>
      <c r="S2419" s="9" t="str">
        <f>HYPERLINK("https://pbs.twimg.com/profile_images/675451482406150144/8X7mV4Al.jpg","View")</f>
        <v>View</v>
      </c>
    </row>
    <row r="2420" spans="1:19" ht="30">
      <c r="A2420" s="8">
        <v>43345.439756944441</v>
      </c>
      <c r="B2420" s="11" t="str">
        <f>HYPERLINK("https://twitter.com/hassansafarika","@hassansafarika")</f>
        <v>@hassansafarika</v>
      </c>
      <c r="C2420" s="6" t="s">
        <v>7160</v>
      </c>
      <c r="D2420" s="5" t="s">
        <v>10681</v>
      </c>
      <c r="E2420" s="9" t="str">
        <f>HYPERLINK("https://twitter.com/hassansafarika/status/1036132426047791104","1036132426047791104")</f>
        <v>1036132426047791104</v>
      </c>
      <c r="F2420" s="4"/>
      <c r="G2420" s="4"/>
      <c r="H2420" s="4"/>
      <c r="I2420" s="10" t="str">
        <f>HYPERLINK("http://twitter.com","Twitter Web Client")</f>
        <v>Twitter Web Client</v>
      </c>
      <c r="J2420" s="2">
        <v>1168</v>
      </c>
      <c r="K2420" s="2">
        <v>2200</v>
      </c>
      <c r="L2420" s="2">
        <v>3</v>
      </c>
      <c r="M2420" s="2"/>
      <c r="N2420" s="8">
        <v>43135.556874999995</v>
      </c>
      <c r="O2420" s="4" t="s">
        <v>17</v>
      </c>
      <c r="P2420" s="3" t="s">
        <v>7158</v>
      </c>
      <c r="Q2420" s="4"/>
      <c r="R2420" s="4"/>
      <c r="S2420" s="9" t="str">
        <f>HYPERLINK("https://pbs.twimg.com/profile_images/1009028943242985472/Rm6iR6ZA.jpg","View")</f>
        <v>View</v>
      </c>
    </row>
    <row r="2421" spans="1:19" ht="30">
      <c r="A2421" s="8">
        <v>43345.439143518517</v>
      </c>
      <c r="B2421" s="11" t="str">
        <f>HYPERLINK("https://twitter.com/DishbanC","@DishbanC")</f>
        <v>@DishbanC</v>
      </c>
      <c r="C2421" s="6" t="s">
        <v>10680</v>
      </c>
      <c r="D2421" s="5" t="s">
        <v>10679</v>
      </c>
      <c r="E2421" s="9" t="str">
        <f>HYPERLINK("https://twitter.com/DishbanC/status/1036132204798078976","1036132204798078976")</f>
        <v>1036132204798078976</v>
      </c>
      <c r="F2421" s="4"/>
      <c r="G2421" s="4"/>
      <c r="H2421" s="4"/>
      <c r="I2421" s="10" t="str">
        <f>HYPERLINK("http://twitter.com","Twitter Web Client")</f>
        <v>Twitter Web Client</v>
      </c>
      <c r="J2421" s="2">
        <v>220</v>
      </c>
      <c r="K2421" s="2">
        <v>598</v>
      </c>
      <c r="L2421" s="2">
        <v>0</v>
      </c>
      <c r="M2421" s="2"/>
      <c r="N2421" s="8">
        <v>43306.40347222222</v>
      </c>
      <c r="O2421" s="4"/>
      <c r="P2421" s="3"/>
      <c r="Q2421" s="4"/>
      <c r="R2421" s="4"/>
      <c r="S2421" s="9" t="str">
        <f>HYPERLINK("https://pbs.twimg.com/profile_images/1021986624979316737/vEKl7kXg.jpg","View")</f>
        <v>View</v>
      </c>
    </row>
    <row r="2422" spans="1:19" ht="20">
      <c r="A2422" s="8">
        <v>43345.435648148152</v>
      </c>
      <c r="B2422" s="11" t="str">
        <f>HYPERLINK("https://twitter.com/misanthrope1980","@misanthrope1980")</f>
        <v>@misanthrope1980</v>
      </c>
      <c r="C2422" s="6" t="s">
        <v>10678</v>
      </c>
      <c r="D2422" s="5" t="s">
        <v>10677</v>
      </c>
      <c r="E2422" s="9" t="str">
        <f>HYPERLINK("https://twitter.com/misanthrope1980/status/1036130938344824833","1036130938344824833")</f>
        <v>1036130938344824833</v>
      </c>
      <c r="F2422" s="4"/>
      <c r="G2422" s="4"/>
      <c r="H2422" s="4"/>
      <c r="I2422" s="10" t="str">
        <f>HYPERLINK("http://twitter.com","Twitter Web Client")</f>
        <v>Twitter Web Client</v>
      </c>
      <c r="J2422" s="2">
        <v>987</v>
      </c>
      <c r="K2422" s="2">
        <v>277</v>
      </c>
      <c r="L2422" s="2">
        <v>10</v>
      </c>
      <c r="M2422" s="2"/>
      <c r="N2422" s="8">
        <v>40049.642708333333</v>
      </c>
      <c r="O2422" s="4" t="s">
        <v>133</v>
      </c>
      <c r="P2422" s="3"/>
      <c r="Q2422" s="4"/>
      <c r="R2422" s="4"/>
      <c r="S2422" s="9" t="str">
        <f>HYPERLINK("https://pbs.twimg.com/profile_images/982619451823656961/LWgE9xD5.jpg","View")</f>
        <v>View</v>
      </c>
    </row>
    <row r="2423" spans="1:19" ht="30">
      <c r="A2423" s="8">
        <v>43345.432870370365</v>
      </c>
      <c r="B2423" s="11" t="str">
        <f>HYPERLINK("https://twitter.com/shaghayegh_313","@shaghayegh_313")</f>
        <v>@shaghayegh_313</v>
      </c>
      <c r="C2423" s="6" t="s">
        <v>10676</v>
      </c>
      <c r="D2423" s="5" t="s">
        <v>10675</v>
      </c>
      <c r="E2423" s="9" t="str">
        <f>HYPERLINK("https://twitter.com/shaghayegh_313/status/1036129931435102208","1036129931435102208")</f>
        <v>1036129931435102208</v>
      </c>
      <c r="F2423" s="4"/>
      <c r="G2423" s="4"/>
      <c r="H2423" s="4"/>
      <c r="I2423" s="10" t="str">
        <f>HYPERLINK("http://twitter.com","Twitter Web Client")</f>
        <v>Twitter Web Client</v>
      </c>
      <c r="J2423" s="2">
        <v>946</v>
      </c>
      <c r="K2423" s="2">
        <v>211</v>
      </c>
      <c r="L2423" s="2">
        <v>5</v>
      </c>
      <c r="M2423" s="2"/>
      <c r="N2423" s="8">
        <v>43335.539490740739</v>
      </c>
      <c r="O2423" s="4"/>
      <c r="P2423" s="3" t="s">
        <v>10674</v>
      </c>
      <c r="Q2423" s="4"/>
      <c r="R2423" s="4"/>
      <c r="S2423" s="9" t="str">
        <f>HYPERLINK("https://pbs.twimg.com/profile_images/1032545337108557824/gy11eHmj.jpg","View")</f>
        <v>View</v>
      </c>
    </row>
    <row r="2424" spans="1:19" ht="40">
      <c r="A2424" s="8">
        <v>43345.427025462966</v>
      </c>
      <c r="B2424" s="11" t="str">
        <f>HYPERLINK("https://twitter.com/SherafSamandar","@SherafSamandar")</f>
        <v>@SherafSamandar</v>
      </c>
      <c r="C2424" s="6" t="s">
        <v>6993</v>
      </c>
      <c r="D2424" s="5" t="s">
        <v>10673</v>
      </c>
      <c r="E2424" s="9" t="str">
        <f>HYPERLINK("https://twitter.com/SherafSamandar/status/1036127813714280450","1036127813714280450")</f>
        <v>1036127813714280450</v>
      </c>
      <c r="F2424" s="4"/>
      <c r="G2424" s="4"/>
      <c r="H2424" s="4"/>
      <c r="I2424" s="10" t="str">
        <f>HYPERLINK("http://twitter.com/download/android","Twitter for Android")</f>
        <v>Twitter for Android</v>
      </c>
      <c r="J2424" s="2">
        <v>4</v>
      </c>
      <c r="K2424" s="2">
        <v>44</v>
      </c>
      <c r="L2424" s="2">
        <v>0</v>
      </c>
      <c r="M2424" s="2"/>
      <c r="N2424" s="8">
        <v>42498.538865740746</v>
      </c>
      <c r="O2424" s="4" t="s">
        <v>6673</v>
      </c>
      <c r="P2424" s="3" t="s">
        <v>10672</v>
      </c>
      <c r="Q2424" s="4"/>
      <c r="R2424" s="4"/>
      <c r="S2424" s="9" t="str">
        <f>HYPERLINK("https://pbs.twimg.com/profile_images/1033590356955328513/LdPJKcyU.jpg","View")</f>
        <v>View</v>
      </c>
    </row>
    <row r="2425" spans="1:19" ht="20">
      <c r="A2425" s="8">
        <v>43345.423854166671</v>
      </c>
      <c r="B2425" s="11" t="str">
        <f>HYPERLINK("https://twitter.com/Abbasagha","@Abbasagha")</f>
        <v>@Abbasagha</v>
      </c>
      <c r="C2425" s="6" t="s">
        <v>10671</v>
      </c>
      <c r="D2425" s="5" t="s">
        <v>10670</v>
      </c>
      <c r="E2425" s="9" t="str">
        <f>HYPERLINK("https://twitter.com/Abbasagha/status/1036126663485153281","1036126663485153281")</f>
        <v>1036126663485153281</v>
      </c>
      <c r="F2425" s="4"/>
      <c r="G2425" s="4"/>
      <c r="H2425" s="4"/>
      <c r="I2425" s="10" t="str">
        <f>HYPERLINK("http://twitter.com/download/iphone","Twitter for iPhone")</f>
        <v>Twitter for iPhone</v>
      </c>
      <c r="J2425" s="2">
        <v>8473</v>
      </c>
      <c r="K2425" s="2">
        <v>1370</v>
      </c>
      <c r="L2425" s="2">
        <v>76</v>
      </c>
      <c r="M2425" s="2"/>
      <c r="N2425" s="8">
        <v>39228.678530092591</v>
      </c>
      <c r="O2425" s="4" t="s">
        <v>894</v>
      </c>
      <c r="P2425" s="3" t="s">
        <v>10669</v>
      </c>
      <c r="Q2425" s="10" t="s">
        <v>10668</v>
      </c>
      <c r="R2425" s="4"/>
      <c r="S2425" s="9" t="str">
        <f>HYPERLINK("https://pbs.twimg.com/profile_images/899278369400991745/QUrbP_v8.jpg","View")</f>
        <v>View</v>
      </c>
    </row>
    <row r="2426" spans="1:19" ht="40">
      <c r="A2426" s="8">
        <v>43345.417488425926</v>
      </c>
      <c r="B2426" s="11" t="str">
        <f>HYPERLINK("https://twitter.com/Alirezahse","@Alirezahse")</f>
        <v>@Alirezahse</v>
      </c>
      <c r="C2426" s="6" t="s">
        <v>6599</v>
      </c>
      <c r="D2426" s="5" t="s">
        <v>10667</v>
      </c>
      <c r="E2426" s="9" t="str">
        <f>HYPERLINK("https://twitter.com/Alirezahse/status/1036124357452554240","1036124357452554240")</f>
        <v>1036124357452554240</v>
      </c>
      <c r="F2426" s="4"/>
      <c r="G2426" s="4"/>
      <c r="H2426" s="4"/>
      <c r="I2426" s="10" t="str">
        <f>HYPERLINK("https://mobile.twitter.com","Twitter Lite")</f>
        <v>Twitter Lite</v>
      </c>
      <c r="J2426" s="2">
        <v>598</v>
      </c>
      <c r="K2426" s="2">
        <v>418</v>
      </c>
      <c r="L2426" s="2">
        <v>0</v>
      </c>
      <c r="M2426" s="2"/>
      <c r="N2426" s="8">
        <v>42903.015092592592</v>
      </c>
      <c r="O2426" s="4" t="s">
        <v>748</v>
      </c>
      <c r="P2426" s="3" t="s">
        <v>6596</v>
      </c>
      <c r="Q2426" s="4"/>
      <c r="R2426" s="4"/>
      <c r="S2426" s="9" t="str">
        <f>HYPERLINK("https://pbs.twimg.com/profile_images/1030737993743704064/ppFs6E7w.jpg","View")</f>
        <v>View</v>
      </c>
    </row>
    <row r="2427" spans="1:19" ht="40">
      <c r="A2427" s="8">
        <v>43345.416481481487</v>
      </c>
      <c r="B2427" s="11" t="str">
        <f>HYPERLINK("https://twitter.com/vaghg7","@vaghg7")</f>
        <v>@vaghg7</v>
      </c>
      <c r="C2427" s="6" t="s">
        <v>2821</v>
      </c>
      <c r="D2427" s="5" t="s">
        <v>10666</v>
      </c>
      <c r="E2427" s="9" t="str">
        <f>HYPERLINK("https://twitter.com/vaghg7/status/1036123991524630529","1036123991524630529")</f>
        <v>1036123991524630529</v>
      </c>
      <c r="F2427" s="4"/>
      <c r="G2427" s="4"/>
      <c r="H2427" s="4"/>
      <c r="I2427" s="10" t="str">
        <f>HYPERLINK("http://twitter.com/download/android","Twitter for Android")</f>
        <v>Twitter for Android</v>
      </c>
      <c r="J2427" s="2">
        <v>521</v>
      </c>
      <c r="K2427" s="2">
        <v>1100</v>
      </c>
      <c r="L2427" s="2">
        <v>1</v>
      </c>
      <c r="M2427" s="2"/>
      <c r="N2427" s="8">
        <v>42908.410486111112</v>
      </c>
      <c r="O2427" s="4"/>
      <c r="P2427" s="3" t="s">
        <v>2819</v>
      </c>
      <c r="Q2427" s="4"/>
      <c r="R2427" s="4"/>
      <c r="S2427" s="9" t="str">
        <f>HYPERLINK("https://pbs.twimg.com/profile_images/877759799047278593/b6KnbVkx.jpg","View")</f>
        <v>View</v>
      </c>
    </row>
    <row r="2428" spans="1:19" ht="40">
      <c r="A2428" s="8">
        <v>43345.41375</v>
      </c>
      <c r="B2428" s="11" t="str">
        <f>HYPERLINK("https://twitter.com/sobhe_no","@sobhe_no")</f>
        <v>@sobhe_no</v>
      </c>
      <c r="C2428" s="6" t="s">
        <v>4185</v>
      </c>
      <c r="D2428" s="5" t="s">
        <v>10665</v>
      </c>
      <c r="E2428" s="9" t="str">
        <f>HYPERLINK("https://twitter.com/sobhe_no/status/1036123003539664896","1036123003539664896")</f>
        <v>1036123003539664896</v>
      </c>
      <c r="F2428" s="4"/>
      <c r="G2428" s="4"/>
      <c r="H2428" s="4"/>
      <c r="I2428" s="10" t="str">
        <f>HYPERLINK("http://twitter.com","Twitter Web Client")</f>
        <v>Twitter Web Client</v>
      </c>
      <c r="J2428" s="2">
        <v>10665</v>
      </c>
      <c r="K2428" s="2">
        <v>31</v>
      </c>
      <c r="L2428" s="2">
        <v>71</v>
      </c>
      <c r="M2428" s="2"/>
      <c r="N2428" s="8">
        <v>42471.601400462961</v>
      </c>
      <c r="O2428" s="4" t="s">
        <v>34</v>
      </c>
      <c r="P2428" s="3" t="s">
        <v>4182</v>
      </c>
      <c r="Q2428" s="10" t="s">
        <v>4181</v>
      </c>
      <c r="R2428" s="4"/>
      <c r="S2428" s="9" t="str">
        <f>HYPERLINK("https://pbs.twimg.com/profile_images/737719828429963265/nghJhp_N.jpg","View")</f>
        <v>View</v>
      </c>
    </row>
    <row r="2429" spans="1:19" ht="40">
      <c r="A2429" s="8">
        <v>43345.412974537037</v>
      </c>
      <c r="B2429" s="11" t="str">
        <f>HYPERLINK("https://twitter.com/rouydad24","@rouydad24")</f>
        <v>@rouydad24</v>
      </c>
      <c r="C2429" s="6" t="s">
        <v>5989</v>
      </c>
      <c r="D2429" s="5" t="s">
        <v>10665</v>
      </c>
      <c r="E2429" s="9" t="str">
        <f>HYPERLINK("https://twitter.com/rouydad24/status/1036122719702720512","1036122719702720512")</f>
        <v>1036122719702720512</v>
      </c>
      <c r="F2429" s="4"/>
      <c r="G2429" s="4"/>
      <c r="H2429" s="4"/>
      <c r="I2429" s="10" t="str">
        <f>HYPERLINK("http://twitter.com","Twitter Web Client")</f>
        <v>Twitter Web Client</v>
      </c>
      <c r="J2429" s="2">
        <v>516</v>
      </c>
      <c r="K2429" s="2">
        <v>1952</v>
      </c>
      <c r="L2429" s="2">
        <v>5</v>
      </c>
      <c r="M2429" s="2"/>
      <c r="N2429" s="8">
        <v>42919.631469907406</v>
      </c>
      <c r="O2429" s="4" t="s">
        <v>133</v>
      </c>
      <c r="P2429" s="3" t="s">
        <v>5988</v>
      </c>
      <c r="Q2429" s="10" t="s">
        <v>5987</v>
      </c>
      <c r="R2429" s="4"/>
      <c r="S2429" s="9" t="str">
        <f>HYPERLINK("https://pbs.twimg.com/profile_images/881825939713282048/o2O6cC6w.jpg","View")</f>
        <v>View</v>
      </c>
    </row>
    <row r="2430" spans="1:19" ht="12.5">
      <c r="A2430" s="8">
        <v>43345.410312499997</v>
      </c>
      <c r="B2430" s="11" t="str">
        <f>HYPERLINK("https://twitter.com/ayazifariba","@ayazifariba")</f>
        <v>@ayazifariba</v>
      </c>
      <c r="C2430" s="6" t="s">
        <v>6252</v>
      </c>
      <c r="D2430" s="5" t="s">
        <v>10664</v>
      </c>
      <c r="E2430" s="9" t="str">
        <f>HYPERLINK("https://twitter.com/ayazifariba/status/1036121755377696768","1036121755377696768")</f>
        <v>1036121755377696768</v>
      </c>
      <c r="F2430" s="4"/>
      <c r="G2430" s="4"/>
      <c r="H2430" s="4"/>
      <c r="I2430" s="10" t="str">
        <f>HYPERLINK("http://twitter.com/download/android","Twitter for Android")</f>
        <v>Twitter for Android</v>
      </c>
      <c r="J2430" s="2">
        <v>100</v>
      </c>
      <c r="K2430" s="2">
        <v>508</v>
      </c>
      <c r="L2430" s="2">
        <v>0</v>
      </c>
      <c r="M2430" s="2"/>
      <c r="N2430" s="8">
        <v>42973.407708333332</v>
      </c>
      <c r="O2430" s="4"/>
      <c r="P2430" s="3" t="s">
        <v>6250</v>
      </c>
      <c r="Q2430" s="4"/>
      <c r="R2430" s="4"/>
      <c r="S2430" s="9" t="str">
        <f>HYPERLINK("https://pbs.twimg.com/profile_images/934852485575004161/4ZuQQctl.jpg","View")</f>
        <v>View</v>
      </c>
    </row>
    <row r="2431" spans="1:19" ht="20">
      <c r="A2431" s="8">
        <v>43345.409537037034</v>
      </c>
      <c r="B2431" s="11" t="str">
        <f>HYPERLINK("https://twitter.com/ebde9","@ebde9")</f>
        <v>@ebde9</v>
      </c>
      <c r="C2431" s="6" t="s">
        <v>10663</v>
      </c>
      <c r="D2431" s="5" t="s">
        <v>10662</v>
      </c>
      <c r="E2431" s="9" t="str">
        <f>HYPERLINK("https://twitter.com/ebde9/status/1036121473105244161","1036121473105244161")</f>
        <v>1036121473105244161</v>
      </c>
      <c r="F2431" s="4"/>
      <c r="G2431" s="4"/>
      <c r="H2431" s="4"/>
      <c r="I2431" s="10" t="str">
        <f>HYPERLINK("http://twitter.com","Twitter Web Client")</f>
        <v>Twitter Web Client</v>
      </c>
      <c r="J2431" s="2">
        <v>464</v>
      </c>
      <c r="K2431" s="2">
        <v>370</v>
      </c>
      <c r="L2431" s="2">
        <v>2</v>
      </c>
      <c r="M2431" s="2"/>
      <c r="N2431" s="8">
        <v>42189.648113425923</v>
      </c>
      <c r="O2431" s="4"/>
      <c r="P2431" s="3" t="s">
        <v>10661</v>
      </c>
      <c r="Q2431" s="4"/>
      <c r="R2431" s="4"/>
      <c r="S2431" s="9" t="str">
        <f>HYPERLINK("https://pbs.twimg.com/profile_images/993750549488111616/fSnvMdf7.jpg","View")</f>
        <v>View</v>
      </c>
    </row>
    <row r="2432" spans="1:19" ht="30">
      <c r="A2432" s="8">
        <v>43345.396157407406</v>
      </c>
      <c r="B2432" s="11" t="str">
        <f>HYPERLINK("https://twitter.com/mersadirani","@mersadirani")</f>
        <v>@mersadirani</v>
      </c>
      <c r="C2432" s="6" t="s">
        <v>10660</v>
      </c>
      <c r="D2432" s="5" t="s">
        <v>10659</v>
      </c>
      <c r="E2432" s="9" t="str">
        <f>HYPERLINK("https://twitter.com/mersadirani/status/1036116628277288960","1036116628277288960")</f>
        <v>1036116628277288960</v>
      </c>
      <c r="F2432" s="4"/>
      <c r="G2432" s="10" t="s">
        <v>10658</v>
      </c>
      <c r="H2432" s="4"/>
      <c r="I2432" s="10" t="str">
        <f>HYPERLINK("http://twitter.com","Twitter Web Client")</f>
        <v>Twitter Web Client</v>
      </c>
      <c r="J2432" s="2">
        <v>80</v>
      </c>
      <c r="K2432" s="2">
        <v>99</v>
      </c>
      <c r="L2432" s="2">
        <v>1</v>
      </c>
      <c r="M2432" s="2"/>
      <c r="N2432" s="8">
        <v>42818.974259259259</v>
      </c>
      <c r="O2432" s="4" t="s">
        <v>682</v>
      </c>
      <c r="P2432" s="3"/>
      <c r="Q2432" s="4"/>
      <c r="R2432" s="4"/>
      <c r="S2432" s="9" t="str">
        <f>HYPERLINK("https://pbs.twimg.com/profile_images/919513494508261377/ufN6oOut.jpg","View")</f>
        <v>View</v>
      </c>
    </row>
    <row r="2433" spans="1:19" ht="20">
      <c r="A2433" s="8">
        <v>43345.391053240739</v>
      </c>
      <c r="B2433" s="11" t="str">
        <f>HYPERLINK("https://twitter.com/Tasnimnews_Fa","@Tasnimnews_Fa")</f>
        <v>@Tasnimnews_Fa</v>
      </c>
      <c r="C2433" s="6" t="s">
        <v>603</v>
      </c>
      <c r="D2433" s="5" t="s">
        <v>10657</v>
      </c>
      <c r="E2433" s="9" t="str">
        <f>HYPERLINK("https://twitter.com/Tasnimnews_Fa/status/1036114778270441473","1036114778270441473")</f>
        <v>1036114778270441473</v>
      </c>
      <c r="F2433" s="10" t="s">
        <v>10656</v>
      </c>
      <c r="G2433" s="10" t="s">
        <v>10655</v>
      </c>
      <c r="H2433" s="4"/>
      <c r="I2433" s="10" t="str">
        <f>HYPERLINK("http://twitter.com","Twitter Web Client")</f>
        <v>Twitter Web Client</v>
      </c>
      <c r="J2433" s="2">
        <v>109588</v>
      </c>
      <c r="K2433" s="2">
        <v>20</v>
      </c>
      <c r="L2433" s="2">
        <v>376</v>
      </c>
      <c r="M2433" s="2" t="s">
        <v>80</v>
      </c>
      <c r="N2433" s="8">
        <v>41868.671585648146</v>
      </c>
      <c r="O2433" s="4" t="s">
        <v>133</v>
      </c>
      <c r="P2433" s="3" t="s">
        <v>599</v>
      </c>
      <c r="Q2433" s="10" t="s">
        <v>598</v>
      </c>
      <c r="R2433" s="4"/>
      <c r="S2433" s="9" t="str">
        <f>HYPERLINK("https://pbs.twimg.com/profile_images/942003149430239232/hvLw_1_E.jpg","View")</f>
        <v>View</v>
      </c>
    </row>
    <row r="2434" spans="1:19" ht="20">
      <c r="A2434" s="8">
        <v>43345.389513888891</v>
      </c>
      <c r="B2434" s="11" t="str">
        <f>HYPERLINK("https://twitter.com/velayat_b","@velayat_b")</f>
        <v>@velayat_b</v>
      </c>
      <c r="C2434" s="6" t="s">
        <v>10654</v>
      </c>
      <c r="D2434" s="5" t="s">
        <v>10653</v>
      </c>
      <c r="E2434" s="9" t="str">
        <f>HYPERLINK("https://twitter.com/velayat_b/status/1036114218704097280","1036114218704097280")</f>
        <v>1036114218704097280</v>
      </c>
      <c r="F2434" s="4"/>
      <c r="G2434" s="4"/>
      <c r="H2434" s="4"/>
      <c r="I2434" s="10" t="str">
        <f>HYPERLINK("http://twitter.com/download/android","Twitter for Android")</f>
        <v>Twitter for Android</v>
      </c>
      <c r="J2434" s="2">
        <v>1023</v>
      </c>
      <c r="K2434" s="2">
        <v>850</v>
      </c>
      <c r="L2434" s="2">
        <v>1</v>
      </c>
      <c r="M2434" s="2"/>
      <c r="N2434" s="8">
        <v>42989.963680555556</v>
      </c>
      <c r="O2434" s="4" t="s">
        <v>25</v>
      </c>
      <c r="P2434" s="3"/>
      <c r="Q2434" s="4"/>
      <c r="R2434" s="4"/>
      <c r="S2434" s="9" t="str">
        <f>HYPERLINK("https://pbs.twimg.com/profile_images/1005589219383771137/gU73TkX8.jpg","View")</f>
        <v>View</v>
      </c>
    </row>
    <row r="2435" spans="1:19" ht="20">
      <c r="A2435" s="8">
        <v>43345.385972222226</v>
      </c>
      <c r="B2435" s="11" t="str">
        <f>HYPERLINK("https://twitter.com/rmoshiry","@rmoshiry")</f>
        <v>@rmoshiry</v>
      </c>
      <c r="C2435" s="6" t="s">
        <v>7363</v>
      </c>
      <c r="D2435" s="5" t="s">
        <v>10652</v>
      </c>
      <c r="E2435" s="9" t="str">
        <f>HYPERLINK("https://twitter.com/rmoshiry/status/1036112935641391104","1036112935641391104")</f>
        <v>1036112935641391104</v>
      </c>
      <c r="F2435" s="4"/>
      <c r="G2435" s="4"/>
      <c r="H2435" s="4"/>
      <c r="I2435" s="10" t="str">
        <f>HYPERLINK("http://twitter.com/download/iphone","Twitter for iPhone")</f>
        <v>Twitter for iPhone</v>
      </c>
      <c r="J2435" s="2">
        <v>162</v>
      </c>
      <c r="K2435" s="2">
        <v>227</v>
      </c>
      <c r="L2435" s="2">
        <v>1</v>
      </c>
      <c r="M2435" s="2"/>
      <c r="N2435" s="8">
        <v>41235.574074074073</v>
      </c>
      <c r="O2435" s="4" t="s">
        <v>3191</v>
      </c>
      <c r="P2435" s="3" t="s">
        <v>7361</v>
      </c>
      <c r="Q2435" s="4"/>
      <c r="R2435" s="4"/>
      <c r="S2435" s="9" t="str">
        <f>HYPERLINK("https://pbs.twimg.com/profile_images/1023907658418536448/azgsRZWl.jpg","View")</f>
        <v>View</v>
      </c>
    </row>
    <row r="2436" spans="1:19" ht="12.5">
      <c r="A2436" s="8">
        <v>43345.385972222226</v>
      </c>
      <c r="B2436" s="11" t="str">
        <f>HYPERLINK("https://twitter.com/Htcarc","@Htcarc")</f>
        <v>@Htcarc</v>
      </c>
      <c r="C2436" s="6" t="s">
        <v>10651</v>
      </c>
      <c r="D2436" s="5" t="s">
        <v>10650</v>
      </c>
      <c r="E2436" s="9" t="str">
        <f>HYPERLINK("https://twitter.com/Htcarc/status/1036112935087742976","1036112935087742976")</f>
        <v>1036112935087742976</v>
      </c>
      <c r="F2436" s="4"/>
      <c r="G2436" s="4"/>
      <c r="H2436" s="4"/>
      <c r="I2436" s="10" t="str">
        <f>HYPERLINK("http://twitter.com/download/iphone","Twitter for iPhone")</f>
        <v>Twitter for iPhone</v>
      </c>
      <c r="J2436" s="2">
        <v>464</v>
      </c>
      <c r="K2436" s="2">
        <v>1877</v>
      </c>
      <c r="L2436" s="2">
        <v>1</v>
      </c>
      <c r="M2436" s="2"/>
      <c r="N2436" s="8">
        <v>40573.577118055553</v>
      </c>
      <c r="O2436" s="4" t="s">
        <v>10649</v>
      </c>
      <c r="P2436" s="3" t="s">
        <v>10648</v>
      </c>
      <c r="Q2436" s="4"/>
      <c r="R2436" s="4"/>
      <c r="S2436" s="9" t="str">
        <f>HYPERLINK("https://pbs.twimg.com/profile_images/1009074827293069312/Z84R5-LL.jpg","View")</f>
        <v>View</v>
      </c>
    </row>
    <row r="2437" spans="1:19" ht="40">
      <c r="A2437" s="8">
        <v>43345.385740740741</v>
      </c>
      <c r="B2437" s="11" t="str">
        <f>HYPERLINK("https://twitter.com/adelkhanim","@adelkhanim")</f>
        <v>@adelkhanim</v>
      </c>
      <c r="C2437" s="6" t="s">
        <v>10213</v>
      </c>
      <c r="D2437" s="5" t="s">
        <v>10647</v>
      </c>
      <c r="E2437" s="9" t="str">
        <f>HYPERLINK("https://twitter.com/adelkhanim/status/1036112849872072704","1036112849872072704")</f>
        <v>1036112849872072704</v>
      </c>
      <c r="F2437" s="4"/>
      <c r="G2437" s="4"/>
      <c r="H2437" s="4"/>
      <c r="I2437" s="10" t="str">
        <f>HYPERLINK("http://twitter.com/download/android","Twitter for Android")</f>
        <v>Twitter for Android</v>
      </c>
      <c r="J2437" s="2">
        <v>206</v>
      </c>
      <c r="K2437" s="2">
        <v>896</v>
      </c>
      <c r="L2437" s="2">
        <v>0</v>
      </c>
      <c r="M2437" s="2"/>
      <c r="N2437" s="8">
        <v>40832.520451388889</v>
      </c>
      <c r="O2437" s="4" t="s">
        <v>133</v>
      </c>
      <c r="P2437" s="3" t="s">
        <v>10211</v>
      </c>
      <c r="Q2437" s="10" t="s">
        <v>10210</v>
      </c>
      <c r="R2437" s="4"/>
      <c r="S2437" s="9" t="str">
        <f>HYPERLINK("https://pbs.twimg.com/profile_images/969211952940683264/jmwF5jtf.jpg","View")</f>
        <v>View</v>
      </c>
    </row>
    <row r="2438" spans="1:19" ht="12.5">
      <c r="A2438" s="8">
        <v>43345.38444444444</v>
      </c>
      <c r="B2438" s="11" t="str">
        <f>HYPERLINK("https://twitter.com/47501262","@47501262")</f>
        <v>@47501262</v>
      </c>
      <c r="C2438" s="6" t="s">
        <v>10646</v>
      </c>
      <c r="D2438" s="5" t="s">
        <v>10645</v>
      </c>
      <c r="E2438" s="9" t="str">
        <f>HYPERLINK("https://twitter.com/47501262/status/1036112383272464384","1036112383272464384")</f>
        <v>1036112383272464384</v>
      </c>
      <c r="F2438" s="4"/>
      <c r="G2438" s="4"/>
      <c r="H2438" s="4"/>
      <c r="I2438" s="10" t="str">
        <f>HYPERLINK("http://twitter.com/download/android","Twitter for Android")</f>
        <v>Twitter for Android</v>
      </c>
      <c r="J2438" s="2">
        <v>1864</v>
      </c>
      <c r="K2438" s="2">
        <v>1056</v>
      </c>
      <c r="L2438" s="2">
        <v>21</v>
      </c>
      <c r="M2438" s="2"/>
      <c r="N2438" s="8">
        <v>41350.797939814816</v>
      </c>
      <c r="O2438" s="4" t="s">
        <v>104</v>
      </c>
      <c r="P2438" s="3" t="s">
        <v>10644</v>
      </c>
      <c r="Q2438" s="10" t="s">
        <v>10643</v>
      </c>
      <c r="R2438" s="4"/>
      <c r="S2438" s="9" t="str">
        <f>HYPERLINK("https://pbs.twimg.com/profile_images/546907673199792128/2XkU84m9.jpeg","View")</f>
        <v>View</v>
      </c>
    </row>
    <row r="2439" spans="1:19" ht="30">
      <c r="A2439" s="8">
        <v>43345.380347222221</v>
      </c>
      <c r="B2439" s="11" t="str">
        <f>HYPERLINK("https://twitter.com/titre1_ir","@titre1_ir")</f>
        <v>@titre1_ir</v>
      </c>
      <c r="C2439" s="6" t="s">
        <v>10642</v>
      </c>
      <c r="D2439" s="5" t="s">
        <v>10641</v>
      </c>
      <c r="E2439" s="9" t="str">
        <f>HYPERLINK("https://twitter.com/titre1_ir/status/1036110896471461888","1036110896471461888")</f>
        <v>1036110896471461888</v>
      </c>
      <c r="F2439" s="4"/>
      <c r="G2439" s="4"/>
      <c r="H2439" s="4"/>
      <c r="I2439" s="10" t="str">
        <f>HYPERLINK("https://mobile.twitter.com","Twitter Lite")</f>
        <v>Twitter Lite</v>
      </c>
      <c r="J2439" s="2">
        <v>197</v>
      </c>
      <c r="K2439" s="2">
        <v>258</v>
      </c>
      <c r="L2439" s="2">
        <v>1</v>
      </c>
      <c r="M2439" s="2"/>
      <c r="N2439" s="8">
        <v>42446.391076388885</v>
      </c>
      <c r="O2439" s="4" t="s">
        <v>10640</v>
      </c>
      <c r="P2439" s="3" t="s">
        <v>10639</v>
      </c>
      <c r="Q2439" s="10" t="s">
        <v>10638</v>
      </c>
      <c r="R2439" s="4"/>
      <c r="S2439" s="9" t="str">
        <f>HYPERLINK("https://pbs.twimg.com/profile_images/710344384945004544/unIzRr3y.jpg","View")</f>
        <v>View</v>
      </c>
    </row>
    <row r="2440" spans="1:19" ht="30">
      <c r="A2440" s="8">
        <v>43345.37976851852</v>
      </c>
      <c r="B2440" s="11" t="str">
        <f>HYPERLINK("https://twitter.com/boursenews_ir","@boursenews_ir")</f>
        <v>@boursenews_ir</v>
      </c>
      <c r="C2440" s="6" t="s">
        <v>1783</v>
      </c>
      <c r="D2440" s="5" t="s">
        <v>10637</v>
      </c>
      <c r="E2440" s="9" t="str">
        <f>HYPERLINK("https://twitter.com/boursenews_ir/status/1036110687339261952","1036110687339261952")</f>
        <v>1036110687339261952</v>
      </c>
      <c r="F2440" s="4"/>
      <c r="G2440" s="4"/>
      <c r="H2440" s="4"/>
      <c r="I2440" s="10" t="str">
        <f>HYPERLINK("http://twitter.com/download/android","Twitter for Android")</f>
        <v>Twitter for Android</v>
      </c>
      <c r="J2440" s="2">
        <v>315</v>
      </c>
      <c r="K2440" s="2">
        <v>58</v>
      </c>
      <c r="L2440" s="2">
        <v>4</v>
      </c>
      <c r="M2440" s="2"/>
      <c r="N2440" s="8">
        <v>43166.397280092591</v>
      </c>
      <c r="O2440" s="4"/>
      <c r="P2440" s="3" t="s">
        <v>1781</v>
      </c>
      <c r="Q2440" s="10" t="s">
        <v>1780</v>
      </c>
      <c r="R2440" s="4"/>
      <c r="S2440" s="9" t="str">
        <f>HYPERLINK("https://pbs.twimg.com/profile_images/989209833038647296/NI5wUhXg.jpg","View")</f>
        <v>View</v>
      </c>
    </row>
    <row r="2441" spans="1:19" ht="30">
      <c r="A2441" s="8">
        <v>43345.379629629635</v>
      </c>
      <c r="B2441" s="11" t="str">
        <f>HYPERLINK("https://twitter.com/_roshanaa_","@_roshanaa_")</f>
        <v>@_roshanaa_</v>
      </c>
      <c r="C2441" s="6" t="s">
        <v>3236</v>
      </c>
      <c r="D2441" s="5" t="s">
        <v>10636</v>
      </c>
      <c r="E2441" s="9" t="str">
        <f>HYPERLINK("https://twitter.com/_roshanaa_/status/1036110636424617985","1036110636424617985")</f>
        <v>1036110636424617985</v>
      </c>
      <c r="F2441" s="4"/>
      <c r="G2441" s="10" t="s">
        <v>10635</v>
      </c>
      <c r="H2441" s="4"/>
      <c r="I2441" s="10" t="str">
        <f>HYPERLINK("http://twitter.com","Twitter Web Client")</f>
        <v>Twitter Web Client</v>
      </c>
      <c r="J2441" s="2">
        <v>2962</v>
      </c>
      <c r="K2441" s="2">
        <v>1055</v>
      </c>
      <c r="L2441" s="2">
        <v>5</v>
      </c>
      <c r="M2441" s="2"/>
      <c r="N2441" s="8">
        <v>41181.887025462966</v>
      </c>
      <c r="O2441" s="4"/>
      <c r="P2441" s="3" t="s">
        <v>3234</v>
      </c>
      <c r="Q2441" s="4"/>
      <c r="R2441" s="4"/>
      <c r="S2441" s="9" t="str">
        <f>HYPERLINK("https://pbs.twimg.com/profile_images/1009316472500441088/P_YKDDPV.jpg","View")</f>
        <v>View</v>
      </c>
    </row>
    <row r="2442" spans="1:19" ht="30">
      <c r="A2442" s="8">
        <v>43345.379363425927</v>
      </c>
      <c r="B2442" s="11" t="str">
        <f>HYPERLINK("https://twitter.com/khabaronlinee","@khabaronlinee")</f>
        <v>@khabaronlinee</v>
      </c>
      <c r="C2442" s="6" t="s">
        <v>10634</v>
      </c>
      <c r="D2442" s="5" t="s">
        <v>10633</v>
      </c>
      <c r="E2442" s="9" t="str">
        <f>HYPERLINK("https://twitter.com/khabaronlinee/status/1036110539993309184","1036110539993309184")</f>
        <v>1036110539993309184</v>
      </c>
      <c r="F2442" s="4"/>
      <c r="G2442" s="4"/>
      <c r="H2442" s="4"/>
      <c r="I2442" s="10" t="str">
        <f>HYPERLINK("http://twitter.com/download/iphone","Twitter for iPhone")</f>
        <v>Twitter for iPhone</v>
      </c>
      <c r="J2442" s="2">
        <v>58955</v>
      </c>
      <c r="K2442" s="2">
        <v>82</v>
      </c>
      <c r="L2442" s="2">
        <v>300</v>
      </c>
      <c r="M2442" s="2" t="s">
        <v>80</v>
      </c>
      <c r="N2442" s="8">
        <v>41049.832037037035</v>
      </c>
      <c r="O2442" s="4" t="s">
        <v>324</v>
      </c>
      <c r="P2442" s="3" t="s">
        <v>10632</v>
      </c>
      <c r="Q2442" s="10" t="s">
        <v>10631</v>
      </c>
      <c r="R2442" s="4"/>
      <c r="S2442" s="9" t="str">
        <f>HYPERLINK("https://pbs.twimg.com/profile_images/600250886640816128/gQb_bEV_.jpg","View")</f>
        <v>View</v>
      </c>
    </row>
    <row r="2443" spans="1:19" ht="20">
      <c r="A2443" s="8">
        <v>43345.37881944445</v>
      </c>
      <c r="B2443" s="11" t="str">
        <f>HYPERLINK("https://twitter.com/zalamzinbo","@zalamzinbo")</f>
        <v>@zalamzinbo</v>
      </c>
      <c r="C2443" s="6" t="s">
        <v>10630</v>
      </c>
      <c r="D2443" s="5" t="s">
        <v>10629</v>
      </c>
      <c r="E2443" s="9" t="str">
        <f>HYPERLINK("https://twitter.com/zalamzinbo/status/1036110344941461505","1036110344941461505")</f>
        <v>1036110344941461505</v>
      </c>
      <c r="F2443" s="4"/>
      <c r="G2443" s="4"/>
      <c r="H2443" s="4"/>
      <c r="I2443" s="10" t="str">
        <f>HYPERLINK("http://twitter.com/download/android","Twitter for Android")</f>
        <v>Twitter for Android</v>
      </c>
      <c r="J2443" s="2">
        <v>335</v>
      </c>
      <c r="K2443" s="2">
        <v>326</v>
      </c>
      <c r="L2443" s="2">
        <v>2</v>
      </c>
      <c r="M2443" s="2"/>
      <c r="N2443" s="8">
        <v>43143.991666666669</v>
      </c>
      <c r="O2443" s="4"/>
      <c r="P2443" s="3" t="s">
        <v>10628</v>
      </c>
      <c r="Q2443" s="4"/>
      <c r="R2443" s="4"/>
      <c r="S2443" s="9" t="str">
        <f>HYPERLINK("https://pbs.twimg.com/profile_images/963148509653491712/jJnEniKm.jpg","View")</f>
        <v>View</v>
      </c>
    </row>
    <row r="2444" spans="1:19" ht="40">
      <c r="A2444" s="8">
        <v>43345.378564814819</v>
      </c>
      <c r="B2444" s="11" t="str">
        <f>HYPERLINK("https://twitter.com/sazandegii","@sazandegii")</f>
        <v>@sazandegii</v>
      </c>
      <c r="C2444" s="6" t="s">
        <v>4156</v>
      </c>
      <c r="D2444" s="5" t="s">
        <v>10627</v>
      </c>
      <c r="E2444" s="9" t="str">
        <f>HYPERLINK("https://twitter.com/sazandegii/status/1036110249005117440","1036110249005117440")</f>
        <v>1036110249005117440</v>
      </c>
      <c r="F2444" s="4"/>
      <c r="G2444" s="4"/>
      <c r="H2444" s="4"/>
      <c r="I2444" s="10" t="str">
        <f>HYPERLINK("http://twitter.com/download/iphone","Twitter for iPhone")</f>
        <v>Twitter for iPhone</v>
      </c>
      <c r="J2444" s="2">
        <v>774</v>
      </c>
      <c r="K2444" s="2">
        <v>75</v>
      </c>
      <c r="L2444" s="2">
        <v>14</v>
      </c>
      <c r="M2444" s="2"/>
      <c r="N2444" s="8">
        <v>43144.881296296298</v>
      </c>
      <c r="O2444" s="4" t="s">
        <v>104</v>
      </c>
      <c r="P2444" s="3" t="s">
        <v>4153</v>
      </c>
      <c r="Q2444" s="4"/>
      <c r="R2444" s="4"/>
      <c r="S2444" s="9" t="str">
        <f>HYPERLINK("https://pbs.twimg.com/profile_images/970996181366202368/iBGYCP3F.jpg","View")</f>
        <v>View</v>
      </c>
    </row>
    <row r="2445" spans="1:19" ht="40">
      <c r="A2445" s="8">
        <v>43345.377835648149</v>
      </c>
      <c r="B2445" s="11" t="str">
        <f>HYPERLINK("https://twitter.com/eghtesadonline","@eghtesadonline")</f>
        <v>@eghtesadonline</v>
      </c>
      <c r="C2445" s="6" t="s">
        <v>5935</v>
      </c>
      <c r="D2445" s="5" t="s">
        <v>10626</v>
      </c>
      <c r="E2445" s="9" t="str">
        <f>HYPERLINK("https://twitter.com/eghtesadonline/status/1036109984839487488","1036109984839487488")</f>
        <v>1036109984839487488</v>
      </c>
      <c r="F2445" s="4"/>
      <c r="G2445" s="4"/>
      <c r="H2445" s="4"/>
      <c r="I2445" s="10" t="str">
        <f>HYPERLINK("http://twitter.com/download/android","Twitter for Android")</f>
        <v>Twitter for Android</v>
      </c>
      <c r="J2445" s="2">
        <v>2096</v>
      </c>
      <c r="K2445" s="2">
        <v>7</v>
      </c>
      <c r="L2445" s="2">
        <v>41</v>
      </c>
      <c r="M2445" s="2"/>
      <c r="N2445" s="8">
        <v>41595.377060185187</v>
      </c>
      <c r="O2445" s="4" t="s">
        <v>17</v>
      </c>
      <c r="P2445" s="3" t="s">
        <v>5933</v>
      </c>
      <c r="Q2445" s="10" t="s">
        <v>5932</v>
      </c>
      <c r="R2445" s="4"/>
      <c r="S2445" s="9" t="str">
        <f>HYPERLINK("https://pbs.twimg.com/profile_images/1034350708475224064/4dNqWRJC.jpg","View")</f>
        <v>View</v>
      </c>
    </row>
    <row r="2446" spans="1:19" ht="30">
      <c r="A2446" s="8">
        <v>43345.375451388885</v>
      </c>
      <c r="B2446" s="11" t="str">
        <f>HYPERLINK("https://twitter.com/ilnanews","@ilnanews")</f>
        <v>@ilnanews</v>
      </c>
      <c r="C2446" s="6" t="s">
        <v>6413</v>
      </c>
      <c r="D2446" s="5" t="s">
        <v>10625</v>
      </c>
      <c r="E2446" s="9" t="str">
        <f>HYPERLINK("https://twitter.com/ilnanews/status/1036109123589423105","1036109123589423105")</f>
        <v>1036109123589423105</v>
      </c>
      <c r="F2446" s="10" t="s">
        <v>10624</v>
      </c>
      <c r="G2446" s="10" t="s">
        <v>10623</v>
      </c>
      <c r="H2446" s="4"/>
      <c r="I2446" s="10" t="str">
        <f>HYPERLINK("http://twitter.com/download/android","Twitter for Android")</f>
        <v>Twitter for Android</v>
      </c>
      <c r="J2446" s="2">
        <v>32326</v>
      </c>
      <c r="K2446" s="2">
        <v>67</v>
      </c>
      <c r="L2446" s="2">
        <v>160</v>
      </c>
      <c r="M2446" s="2"/>
      <c r="N2446" s="8">
        <v>42062.024768518517</v>
      </c>
      <c r="O2446" s="4" t="s">
        <v>34</v>
      </c>
      <c r="P2446" s="3" t="s">
        <v>6409</v>
      </c>
      <c r="Q2446" s="10" t="s">
        <v>6408</v>
      </c>
      <c r="R2446" s="4"/>
      <c r="S2446" s="9" t="str">
        <f>HYPERLINK("https://pbs.twimg.com/profile_images/760387216782848000/TS1QyYLo.jpg","View")</f>
        <v>View</v>
      </c>
    </row>
    <row r="2447" spans="1:19" ht="40">
      <c r="A2447" s="8">
        <v>43345.373020833329</v>
      </c>
      <c r="B2447" s="11" t="str">
        <f>HYPERLINK("https://twitter.com/yjcagency","@yjcagency")</f>
        <v>@yjcagency</v>
      </c>
      <c r="C2447" s="6" t="s">
        <v>3511</v>
      </c>
      <c r="D2447" s="5" t="s">
        <v>10622</v>
      </c>
      <c r="E2447" s="9" t="str">
        <f>HYPERLINK("https://twitter.com/yjcagency/status/1036108243632902149","1036108243632902149")</f>
        <v>1036108243632902149</v>
      </c>
      <c r="F2447" s="4"/>
      <c r="G2447" s="10" t="s">
        <v>10621</v>
      </c>
      <c r="H2447" s="4"/>
      <c r="I2447" s="10" t="str">
        <f>HYPERLINK("http://twitter.com/download/android","Twitter for Android")</f>
        <v>Twitter for Android</v>
      </c>
      <c r="J2447" s="2">
        <v>10761</v>
      </c>
      <c r="K2447" s="2">
        <v>3</v>
      </c>
      <c r="L2447" s="2">
        <v>55</v>
      </c>
      <c r="M2447" s="2"/>
      <c r="N2447" s="8">
        <v>42691.645821759259</v>
      </c>
      <c r="O2447" s="4" t="s">
        <v>3508</v>
      </c>
      <c r="P2447" s="3" t="s">
        <v>3507</v>
      </c>
      <c r="Q2447" s="10" t="s">
        <v>3506</v>
      </c>
      <c r="R2447" s="4"/>
      <c r="S2447" s="9" t="str">
        <f>HYPERLINK("https://pbs.twimg.com/profile_images/1016530264250568704/lVYN9g8h.jpg","View")</f>
        <v>View</v>
      </c>
    </row>
    <row r="2448" spans="1:19" ht="20">
      <c r="A2448" s="8">
        <v>43345.369571759264</v>
      </c>
      <c r="B2448" s="11" t="str">
        <f>HYPERLINK("https://twitter.com/mehrnews_fa","@mehrnews_fa")</f>
        <v>@mehrnews_fa</v>
      </c>
      <c r="C2448" s="6" t="s">
        <v>2447</v>
      </c>
      <c r="D2448" s="5" t="s">
        <v>10620</v>
      </c>
      <c r="E2448" s="9" t="str">
        <f>HYPERLINK("https://twitter.com/mehrnews_fa/status/1036106990517407744","1036106990517407744")</f>
        <v>1036106990517407744</v>
      </c>
      <c r="F2448" s="10" t="s">
        <v>10619</v>
      </c>
      <c r="G2448" s="4"/>
      <c r="H2448" s="4"/>
      <c r="I2448" s="10" t="str">
        <f>HYPERLINK("http://twitter.com/download/iphone","Twitter for iPhone")</f>
        <v>Twitter for iPhone</v>
      </c>
      <c r="J2448" s="2">
        <v>24104</v>
      </c>
      <c r="K2448" s="2">
        <v>8</v>
      </c>
      <c r="L2448" s="2">
        <v>135</v>
      </c>
      <c r="M2448" s="2"/>
      <c r="N2448" s="8">
        <v>42113.452511574069</v>
      </c>
      <c r="O2448" s="4" t="s">
        <v>17</v>
      </c>
      <c r="P2448" s="3" t="s">
        <v>2444</v>
      </c>
      <c r="Q2448" s="10" t="s">
        <v>2443</v>
      </c>
      <c r="R2448" s="4"/>
      <c r="S2448" s="9" t="str">
        <f>HYPERLINK("https://pbs.twimg.com/profile_images/963011131404177408/MUZXzT7V.jpg","View")</f>
        <v>View</v>
      </c>
    </row>
    <row r="2449" spans="1:19" ht="30">
      <c r="A2449" s="8">
        <v>43345.363333333335</v>
      </c>
      <c r="B2449" s="11" t="str">
        <f>HYPERLINK("https://twitter.com/feri_par_talaee","@feri_par_talaee")</f>
        <v>@feri_par_talaee</v>
      </c>
      <c r="C2449" s="6" t="s">
        <v>10618</v>
      </c>
      <c r="D2449" s="5" t="s">
        <v>10617</v>
      </c>
      <c r="E2449" s="9" t="str">
        <f>HYPERLINK("https://twitter.com/feri_par_talaee/status/1036104730114703360","1036104730114703360")</f>
        <v>1036104730114703360</v>
      </c>
      <c r="F2449" s="4"/>
      <c r="G2449" s="4"/>
      <c r="H2449" s="4"/>
      <c r="I2449" s="10" t="str">
        <f>HYPERLINK("http://twitter.com/download/android","Twitter for Android")</f>
        <v>Twitter for Android</v>
      </c>
      <c r="J2449" s="2">
        <v>348</v>
      </c>
      <c r="K2449" s="2">
        <v>2435</v>
      </c>
      <c r="L2449" s="2">
        <v>1</v>
      </c>
      <c r="M2449" s="2"/>
      <c r="N2449" s="8">
        <v>43314.201701388884</v>
      </c>
      <c r="O2449" s="4" t="s">
        <v>5493</v>
      </c>
      <c r="P2449" s="3" t="s">
        <v>10616</v>
      </c>
      <c r="Q2449" s="4"/>
      <c r="R2449" s="4"/>
      <c r="S2449" s="9" t="str">
        <f>HYPERLINK("https://pbs.twimg.com/profile_images/1027505529529278464/S4k2oXBx.jpg","View")</f>
        <v>View</v>
      </c>
    </row>
    <row r="2450" spans="1:19" ht="20">
      <c r="A2450" s="8">
        <v>43345.352696759262</v>
      </c>
      <c r="B2450" s="11" t="str">
        <f>HYPERLINK("https://twitter.com/seyed_mohsen22","@seyed_mohsen22")</f>
        <v>@seyed_mohsen22</v>
      </c>
      <c r="C2450" s="6" t="s">
        <v>10615</v>
      </c>
      <c r="D2450" s="5" t="s">
        <v>10614</v>
      </c>
      <c r="E2450" s="9" t="str">
        <f>HYPERLINK("https://twitter.com/seyed_mohsen22/status/1036100877805871104","1036100877805871104")</f>
        <v>1036100877805871104</v>
      </c>
      <c r="F2450" s="4"/>
      <c r="G2450" s="4"/>
      <c r="H2450" s="4"/>
      <c r="I2450" s="10" t="str">
        <f>HYPERLINK("https://mobile.twitter.com","Twitter Lite")</f>
        <v>Twitter Lite</v>
      </c>
      <c r="J2450" s="2">
        <v>4</v>
      </c>
      <c r="K2450" s="2">
        <v>5</v>
      </c>
      <c r="L2450" s="2">
        <v>0</v>
      </c>
      <c r="M2450" s="2"/>
      <c r="N2450" s="8">
        <v>43324.410196759258</v>
      </c>
      <c r="O2450" s="4"/>
      <c r="P2450" s="3"/>
      <c r="Q2450" s="4"/>
      <c r="R2450" s="4"/>
      <c r="S2450" s="2" t="s">
        <v>155</v>
      </c>
    </row>
    <row r="2451" spans="1:19" ht="30">
      <c r="A2451" s="8">
        <v>43345.349629629629</v>
      </c>
      <c r="B2451" s="11" t="str">
        <f>HYPERLINK("https://twitter.com/ensafnews","@ensafnews")</f>
        <v>@ensafnews</v>
      </c>
      <c r="C2451" s="6" t="s">
        <v>10613</v>
      </c>
      <c r="D2451" s="5" t="s">
        <v>10612</v>
      </c>
      <c r="E2451" s="9" t="str">
        <f>HYPERLINK("https://twitter.com/ensafnews/status/1036099764390162432","1036099764390162432")</f>
        <v>1036099764390162432</v>
      </c>
      <c r="F2451" s="10" t="s">
        <v>10611</v>
      </c>
      <c r="G2451" s="10" t="s">
        <v>10610</v>
      </c>
      <c r="H2451" s="4"/>
      <c r="I2451" s="10" t="str">
        <f>HYPERLINK("https://about.twitter.com/products/tweetdeck","TweetDeck")</f>
        <v>TweetDeck</v>
      </c>
      <c r="J2451" s="2">
        <v>1261</v>
      </c>
      <c r="K2451" s="2">
        <v>36</v>
      </c>
      <c r="L2451" s="2">
        <v>22</v>
      </c>
      <c r="M2451" s="2"/>
      <c r="N2451" s="8">
        <v>41670.882800925923</v>
      </c>
      <c r="O2451" s="4" t="s">
        <v>104</v>
      </c>
      <c r="P2451" s="3" t="s">
        <v>10609</v>
      </c>
      <c r="Q2451" s="10" t="s">
        <v>10608</v>
      </c>
      <c r="R2451" s="4"/>
      <c r="S2451" s="9" t="str">
        <f>HYPERLINK("https://pbs.twimg.com/profile_images/975699863542235136/I8DUPTr7.jpg","View")</f>
        <v>View</v>
      </c>
    </row>
    <row r="2452" spans="1:19" ht="40">
      <c r="A2452" s="8">
        <v>43345.347291666665</v>
      </c>
      <c r="B2452" s="11" t="str">
        <f>HYPERLINK("https://twitter.com/meysammansoori","@meysammansoori")</f>
        <v>@meysammansoori</v>
      </c>
      <c r="C2452" s="6" t="s">
        <v>10607</v>
      </c>
      <c r="D2452" s="5" t="s">
        <v>10606</v>
      </c>
      <c r="E2452" s="9" t="str">
        <f>HYPERLINK("https://twitter.com/meysammansoori/status/1036098919564898304","1036098919564898304")</f>
        <v>1036098919564898304</v>
      </c>
      <c r="F2452" s="4"/>
      <c r="G2452" s="4"/>
      <c r="H2452" s="4"/>
      <c r="I2452" s="10" t="str">
        <f>HYPERLINK("https://mobile.twitter.com","Twitter Lite")</f>
        <v>Twitter Lite</v>
      </c>
      <c r="J2452" s="2">
        <v>138</v>
      </c>
      <c r="K2452" s="2">
        <v>370</v>
      </c>
      <c r="L2452" s="2">
        <v>0</v>
      </c>
      <c r="M2452" s="2"/>
      <c r="N2452" s="8">
        <v>43112.582314814819</v>
      </c>
      <c r="O2452" s="4" t="s">
        <v>17</v>
      </c>
      <c r="P2452" s="3" t="s">
        <v>10605</v>
      </c>
      <c r="Q2452" s="4"/>
      <c r="R2452" s="4"/>
      <c r="S2452" s="9" t="str">
        <f>HYPERLINK("https://pbs.twimg.com/profile_images/951764284362571776/VqGtkmMI.jpg","View")</f>
        <v>View</v>
      </c>
    </row>
    <row r="2453" spans="1:19" ht="40">
      <c r="A2453" s="8">
        <v>43345.344212962962</v>
      </c>
      <c r="B2453" s="11" t="str">
        <f>HYPERLINK("https://twitter.com/IranTehran313","@IranTehran313")</f>
        <v>@IranTehran313</v>
      </c>
      <c r="C2453" s="6">
        <v>13</v>
      </c>
      <c r="D2453" s="5" t="s">
        <v>10604</v>
      </c>
      <c r="E2453" s="9" t="str">
        <f>HYPERLINK("https://twitter.com/IranTehran313/status/1036097802533830657","1036097802533830657")</f>
        <v>1036097802533830657</v>
      </c>
      <c r="F2453" s="4"/>
      <c r="G2453" s="4"/>
      <c r="H2453" s="4"/>
      <c r="I2453" s="10" t="str">
        <f>HYPERLINK("http://twitter.com/download/iphone","Twitter for iPhone")</f>
        <v>Twitter for iPhone</v>
      </c>
      <c r="J2453" s="2">
        <v>4</v>
      </c>
      <c r="K2453" s="2">
        <v>0</v>
      </c>
      <c r="L2453" s="2">
        <v>0</v>
      </c>
      <c r="M2453" s="2"/>
      <c r="N2453" s="8">
        <v>41757.120173611111</v>
      </c>
      <c r="O2453" s="4"/>
      <c r="P2453" s="3"/>
      <c r="Q2453" s="4"/>
      <c r="R2453" s="4"/>
      <c r="S2453" s="9" t="str">
        <f>HYPERLINK("https://pbs.twimg.com/profile_images/461247865600221184/SdwNsg8d.jpeg","View")</f>
        <v>View</v>
      </c>
    </row>
    <row r="2454" spans="1:19" ht="70">
      <c r="A2454" s="8">
        <v>43345.33084490741</v>
      </c>
      <c r="B2454" s="11" t="str">
        <f>HYPERLINK("https://twitter.com/AtrackRahatrack","@AtrackRahatrack")</f>
        <v>@AtrackRahatrack</v>
      </c>
      <c r="C2454" s="6" t="s">
        <v>10603</v>
      </c>
      <c r="D2454" s="5" t="s">
        <v>10602</v>
      </c>
      <c r="E2454" s="9" t="str">
        <f>HYPERLINK("https://twitter.com/AtrackRahatrack/status/1036092958871891968","1036092958871891968")</f>
        <v>1036092958871891968</v>
      </c>
      <c r="F2454" s="10" t="s">
        <v>10601</v>
      </c>
      <c r="G2454" s="4"/>
      <c r="H2454" s="4"/>
      <c r="I2454" s="10" t="str">
        <f>HYPERLINK("http://twitter.com","Twitter Web Client")</f>
        <v>Twitter Web Client</v>
      </c>
      <c r="J2454" s="2">
        <v>32</v>
      </c>
      <c r="K2454" s="2">
        <v>100</v>
      </c>
      <c r="L2454" s="2">
        <v>0</v>
      </c>
      <c r="M2454" s="2"/>
      <c r="N2454" s="8">
        <v>42943.986793981487</v>
      </c>
      <c r="O2454" s="4"/>
      <c r="P2454" s="14" t="s">
        <v>10600</v>
      </c>
      <c r="Q2454" s="4"/>
      <c r="R2454" s="4"/>
      <c r="S2454" s="9" t="str">
        <f>HYPERLINK("https://pbs.twimg.com/profile_images/890661098315288576/T-1sbDXl.jpg","View")</f>
        <v>View</v>
      </c>
    </row>
    <row r="2455" spans="1:19" ht="20">
      <c r="A2455" s="8">
        <v>43345.317500000005</v>
      </c>
      <c r="B2455" s="11" t="str">
        <f>HYPERLINK("https://twitter.com/Jj2JWMulvWL0NFP","@Jj2JWMulvWL0NFP")</f>
        <v>@Jj2JWMulvWL0NFP</v>
      </c>
      <c r="C2455" s="6" t="s">
        <v>10327</v>
      </c>
      <c r="D2455" s="5" t="s">
        <v>10599</v>
      </c>
      <c r="E2455" s="9" t="str">
        <f>HYPERLINK("https://twitter.com/Jj2JWMulvWL0NFP/status/1036088121786593280","1036088121786593280")</f>
        <v>1036088121786593280</v>
      </c>
      <c r="F2455" s="4"/>
      <c r="G2455" s="4"/>
      <c r="H2455" s="4"/>
      <c r="I2455" s="10" t="str">
        <f>HYPERLINK("http://twitter.com/download/android","Twitter for Android")</f>
        <v>Twitter for Android</v>
      </c>
      <c r="J2455" s="2">
        <v>7</v>
      </c>
      <c r="K2455" s="2">
        <v>41</v>
      </c>
      <c r="L2455" s="2">
        <v>0</v>
      </c>
      <c r="M2455" s="2"/>
      <c r="N2455" s="8">
        <v>43336.507245370369</v>
      </c>
      <c r="O2455" s="4"/>
      <c r="P2455" s="3" t="s">
        <v>10598</v>
      </c>
      <c r="Q2455" s="4"/>
      <c r="R2455" s="4"/>
      <c r="S2455" s="9" t="str">
        <f>HYPERLINK("https://pbs.twimg.com/profile_images/1032896898468913152/fhYCnz49.jpg","View")</f>
        <v>View</v>
      </c>
    </row>
    <row r="2456" spans="1:19" ht="20">
      <c r="A2456" s="8">
        <v>43345.311053240745</v>
      </c>
      <c r="B2456" s="11" t="str">
        <f>HYPERLINK("https://twitter.com/hezbolahiran","@hezbolahiran")</f>
        <v>@hezbolahiran</v>
      </c>
      <c r="C2456" s="6" t="s">
        <v>10597</v>
      </c>
      <c r="D2456" s="5" t="s">
        <v>10596</v>
      </c>
      <c r="E2456" s="9" t="str">
        <f>HYPERLINK("https://twitter.com/hezbolahiran/status/1036085785315958784","1036085785315958784")</f>
        <v>1036085785315958784</v>
      </c>
      <c r="F2456" s="4"/>
      <c r="G2456" s="4"/>
      <c r="H2456" s="4"/>
      <c r="I2456" s="10" t="str">
        <f>HYPERLINK("https://mobile.twitter.com","Twitter Lite")</f>
        <v>Twitter Lite</v>
      </c>
      <c r="J2456" s="2">
        <v>19</v>
      </c>
      <c r="K2456" s="2">
        <v>164</v>
      </c>
      <c r="L2456" s="2">
        <v>0</v>
      </c>
      <c r="M2456" s="2"/>
      <c r="N2456" s="8">
        <v>43338.628263888888</v>
      </c>
      <c r="O2456" s="4"/>
      <c r="P2456" s="3"/>
      <c r="Q2456" s="4"/>
      <c r="R2456" s="4"/>
      <c r="S2456" s="9" t="str">
        <f>HYPERLINK("https://pbs.twimg.com/profile_images/1034066697588625408/WY9enXa2.jpg","View")</f>
        <v>View</v>
      </c>
    </row>
    <row r="2457" spans="1:19" ht="40">
      <c r="A2457" s="8">
        <v>43345.308020833334</v>
      </c>
      <c r="B2457" s="11" t="str">
        <f>HYPERLINK("https://twitter.com/mrezaqasemluyan","@mrezaqasemluyan")</f>
        <v>@mrezaqasemluyan</v>
      </c>
      <c r="C2457" s="6" t="s">
        <v>10595</v>
      </c>
      <c r="D2457" s="5" t="s">
        <v>10594</v>
      </c>
      <c r="E2457" s="9" t="str">
        <f>HYPERLINK("https://twitter.com/mrezaqasemluyan/status/1036084687553417216","1036084687553417216")</f>
        <v>1036084687553417216</v>
      </c>
      <c r="F2457" s="4"/>
      <c r="G2457" s="4"/>
      <c r="H2457" s="4"/>
      <c r="I2457" s="10" t="str">
        <f>HYPERLINK("http://twitter.com/download/iphone","Twitter for iPhone")</f>
        <v>Twitter for iPhone</v>
      </c>
      <c r="J2457" s="2">
        <v>149</v>
      </c>
      <c r="K2457" s="2">
        <v>141</v>
      </c>
      <c r="L2457" s="2">
        <v>2</v>
      </c>
      <c r="M2457" s="2"/>
      <c r="N2457" s="8">
        <v>42892.228356481486</v>
      </c>
      <c r="O2457" s="4" t="s">
        <v>34</v>
      </c>
      <c r="P2457" s="3" t="s">
        <v>10593</v>
      </c>
      <c r="Q2457" s="4"/>
      <c r="R2457" s="4"/>
      <c r="S2457" s="9" t="str">
        <f>HYPERLINK("https://pbs.twimg.com/profile_images/1032798361051648002/YfLMgYX1.jpg","View")</f>
        <v>View</v>
      </c>
    </row>
    <row r="2458" spans="1:19" ht="40">
      <c r="A2458" s="8">
        <v>43345.305914351848</v>
      </c>
      <c r="B2458" s="11" t="str">
        <f>HYPERLINK("https://twitter.com/ms00smms00sm","@ms00smms00sm")</f>
        <v>@ms00smms00sm</v>
      </c>
      <c r="C2458" s="6" t="s">
        <v>10592</v>
      </c>
      <c r="D2458" s="5" t="s">
        <v>10591</v>
      </c>
      <c r="E2458" s="9" t="str">
        <f>HYPERLINK("https://twitter.com/ms00smms00sm/status/1036083923854471168","1036083923854471168")</f>
        <v>1036083923854471168</v>
      </c>
      <c r="F2458" s="4"/>
      <c r="G2458" s="10" t="s">
        <v>10590</v>
      </c>
      <c r="H2458" s="4"/>
      <c r="I2458" s="10" t="str">
        <f>HYPERLINK("http://twitter.com/download/android","Twitter for Android")</f>
        <v>Twitter for Android</v>
      </c>
      <c r="J2458" s="2">
        <v>1060</v>
      </c>
      <c r="K2458" s="2">
        <v>4815</v>
      </c>
      <c r="L2458" s="2">
        <v>0</v>
      </c>
      <c r="M2458" s="2"/>
      <c r="N2458" s="8">
        <v>43190.792685185181</v>
      </c>
      <c r="O2458" s="4" t="s">
        <v>34</v>
      </c>
      <c r="P2458" s="3" t="s">
        <v>10589</v>
      </c>
      <c r="Q2458" s="4"/>
      <c r="R2458" s="4"/>
      <c r="S2458" s="9" t="str">
        <f>HYPERLINK("https://pbs.twimg.com/profile_images/989439768927780864/2IgSS2tm.jpg","View")</f>
        <v>View</v>
      </c>
    </row>
    <row r="2459" spans="1:19" ht="30">
      <c r="A2459" s="8">
        <v>43345.298645833333</v>
      </c>
      <c r="B2459" s="11" t="str">
        <f>HYPERLINK("https://twitter.com/s_enayati","@s_enayati")</f>
        <v>@s_enayati</v>
      </c>
      <c r="C2459" s="6" t="s">
        <v>10588</v>
      </c>
      <c r="D2459" s="5" t="s">
        <v>10587</v>
      </c>
      <c r="E2459" s="9" t="str">
        <f>HYPERLINK("https://twitter.com/s_enayati/status/1036081290171297794","1036081290171297794")</f>
        <v>1036081290171297794</v>
      </c>
      <c r="F2459" s="4"/>
      <c r="G2459" s="4"/>
      <c r="H2459" s="4"/>
      <c r="I2459" s="10" t="str">
        <f>HYPERLINK("http://twitter.com/download/android","Twitter for Android")</f>
        <v>Twitter for Android</v>
      </c>
      <c r="J2459" s="2">
        <v>2795</v>
      </c>
      <c r="K2459" s="2">
        <v>2913</v>
      </c>
      <c r="L2459" s="2">
        <v>1</v>
      </c>
      <c r="M2459" s="2"/>
      <c r="N2459" s="8">
        <v>42698.113043981481</v>
      </c>
      <c r="O2459" s="4" t="s">
        <v>104</v>
      </c>
      <c r="P2459" s="3" t="s">
        <v>10586</v>
      </c>
      <c r="Q2459" s="10" t="s">
        <v>10585</v>
      </c>
      <c r="R2459" s="4"/>
      <c r="S2459" s="9" t="str">
        <f>HYPERLINK("https://pbs.twimg.com/profile_images/1001320880784461825/mSTDim5S.jpg","View")</f>
        <v>View</v>
      </c>
    </row>
    <row r="2460" spans="1:19" ht="40">
      <c r="A2460" s="8">
        <v>43345.276076388887</v>
      </c>
      <c r="B2460" s="11" t="str">
        <f>HYPERLINK("https://twitter.com/banbrhmorteza","@banbrhmorteza")</f>
        <v>@banbrhmorteza</v>
      </c>
      <c r="C2460" s="6" t="s">
        <v>10584</v>
      </c>
      <c r="D2460" s="5" t="s">
        <v>10583</v>
      </c>
      <c r="E2460" s="9" t="str">
        <f>HYPERLINK("https://twitter.com/banbrhmorteza/status/1036073111127511040","1036073111127511040")</f>
        <v>1036073111127511040</v>
      </c>
      <c r="F2460" s="4"/>
      <c r="G2460" s="4"/>
      <c r="H2460" s="4"/>
      <c r="I2460" s="10" t="str">
        <f>HYPERLINK("http://twitter.com/download/android","Twitter for Android")</f>
        <v>Twitter for Android</v>
      </c>
      <c r="J2460" s="2">
        <v>164</v>
      </c>
      <c r="K2460" s="2">
        <v>453</v>
      </c>
      <c r="L2460" s="2">
        <v>0</v>
      </c>
      <c r="M2460" s="2"/>
      <c r="N2460" s="8">
        <v>42733.875023148154</v>
      </c>
      <c r="O2460" s="4"/>
      <c r="P2460" s="3"/>
      <c r="Q2460" s="4"/>
      <c r="R2460" s="4"/>
      <c r="S2460" s="9" t="str">
        <f>HYPERLINK("https://pbs.twimg.com/profile_images/914122294796128257/KPr6xwjE.jpg","View")</f>
        <v>View</v>
      </c>
    </row>
    <row r="2461" spans="1:19" ht="30">
      <c r="A2461" s="8">
        <v>43345.275393518517</v>
      </c>
      <c r="B2461" s="11" t="str">
        <f>HYPERLINK("https://twitter.com/AtowC","@AtowC")</f>
        <v>@AtowC</v>
      </c>
      <c r="C2461" s="6" t="s">
        <v>10582</v>
      </c>
      <c r="D2461" s="5" t="s">
        <v>10581</v>
      </c>
      <c r="E2461" s="9" t="str">
        <f>HYPERLINK("https://twitter.com/AtowC/status/1036072863676153862","1036072863676153862")</f>
        <v>1036072863676153862</v>
      </c>
      <c r="F2461" s="4"/>
      <c r="G2461" s="4"/>
      <c r="H2461" s="4"/>
      <c r="I2461" s="10" t="str">
        <f>HYPERLINK("http://twitter.com/download/iphone","Twitter for iPhone")</f>
        <v>Twitter for iPhone</v>
      </c>
      <c r="J2461" s="2">
        <v>1</v>
      </c>
      <c r="K2461" s="2">
        <v>1</v>
      </c>
      <c r="L2461" s="2">
        <v>0</v>
      </c>
      <c r="M2461" s="2"/>
      <c r="N2461" s="8">
        <v>42590.592083333337</v>
      </c>
      <c r="O2461" s="4" t="s">
        <v>682</v>
      </c>
      <c r="P2461" s="3" t="s">
        <v>10580</v>
      </c>
      <c r="Q2461" s="4"/>
      <c r="R2461" s="4"/>
      <c r="S2461" s="9" t="str">
        <f>HYPERLINK("https://pbs.twimg.com/profile_images/1033702460391649280/vjW8eLJU.jpg","View")</f>
        <v>View</v>
      </c>
    </row>
    <row r="2462" spans="1:19" ht="40">
      <c r="A2462" s="8">
        <v>43345.167256944449</v>
      </c>
      <c r="B2462" s="11" t="str">
        <f>HYPERLINK("https://twitter.com/Rezaz7197","@Rezaz7197")</f>
        <v>@Rezaz7197</v>
      </c>
      <c r="C2462" s="6" t="s">
        <v>3577</v>
      </c>
      <c r="D2462" s="5" t="s">
        <v>10579</v>
      </c>
      <c r="E2462" s="9" t="str">
        <f>HYPERLINK("https://twitter.com/Rezaz7197/status/1036033676717502470","1036033676717502470")</f>
        <v>1036033676717502470</v>
      </c>
      <c r="F2462" s="4"/>
      <c r="G2462" s="4"/>
      <c r="H2462" s="4"/>
      <c r="I2462" s="10" t="str">
        <f>HYPERLINK("http://twitter.com/download/iphone","Twitter for iPhone")</f>
        <v>Twitter for iPhone</v>
      </c>
      <c r="J2462" s="2">
        <v>110</v>
      </c>
      <c r="K2462" s="2">
        <v>132</v>
      </c>
      <c r="L2462" s="2">
        <v>0</v>
      </c>
      <c r="M2462" s="2"/>
      <c r="N2462" s="8">
        <v>43312.732569444444</v>
      </c>
      <c r="O2462" s="4"/>
      <c r="P2462" s="3" t="s">
        <v>3575</v>
      </c>
      <c r="Q2462" s="4"/>
      <c r="R2462" s="4"/>
      <c r="S2462" s="9" t="str">
        <f>HYPERLINK("https://pbs.twimg.com/profile_images/1024290322015125505/wjbMghxa.jpg","View")</f>
        <v>View</v>
      </c>
    </row>
    <row r="2463" spans="1:19" ht="20">
      <c r="A2463" s="8">
        <v>43345.164189814815</v>
      </c>
      <c r="B2463" s="11" t="str">
        <f>HYPERLINK("https://twitter.com/E3L4WBKvBpmWj9W","@E3L4WBKvBpmWj9W")</f>
        <v>@E3L4WBKvBpmWj9W</v>
      </c>
      <c r="C2463" s="6" t="s">
        <v>10578</v>
      </c>
      <c r="D2463" s="5" t="s">
        <v>10577</v>
      </c>
      <c r="E2463" s="9" t="str">
        <f>HYPERLINK("https://twitter.com/E3L4WBKvBpmWj9W/status/1036032562404237312","1036032562404237312")</f>
        <v>1036032562404237312</v>
      </c>
      <c r="F2463" s="4"/>
      <c r="G2463" s="4"/>
      <c r="H2463" s="4"/>
      <c r="I2463" s="10" t="str">
        <f>HYPERLINK("http://twitter.com/download/android","Twitter for Android")</f>
        <v>Twitter for Android</v>
      </c>
      <c r="J2463" s="2">
        <v>2313</v>
      </c>
      <c r="K2463" s="2">
        <v>2481</v>
      </c>
      <c r="L2463" s="2">
        <v>0</v>
      </c>
      <c r="M2463" s="2"/>
      <c r="N2463" s="8">
        <v>43137.18885416667</v>
      </c>
      <c r="O2463" s="4" t="s">
        <v>10576</v>
      </c>
      <c r="P2463" s="3" t="s">
        <v>10575</v>
      </c>
      <c r="Q2463" s="4"/>
      <c r="R2463" s="4"/>
      <c r="S2463" s="9" t="str">
        <f>HYPERLINK("https://pbs.twimg.com/profile_images/978272825692901376/mhT4uHTs.jpg","View")</f>
        <v>View</v>
      </c>
    </row>
    <row r="2464" spans="1:19" ht="40">
      <c r="A2464" s="8">
        <v>43345.142488425925</v>
      </c>
      <c r="B2464" s="11" t="str">
        <f>HYPERLINK("https://twitter.com/Moshtagh2012","@Moshtagh2012")</f>
        <v>@Moshtagh2012</v>
      </c>
      <c r="C2464" s="6" t="s">
        <v>10574</v>
      </c>
      <c r="D2464" s="5" t="s">
        <v>10573</v>
      </c>
      <c r="E2464" s="9" t="str">
        <f>HYPERLINK("https://twitter.com/Moshtagh2012/status/1036024698411208704","1036024698411208704")</f>
        <v>1036024698411208704</v>
      </c>
      <c r="F2464" s="4"/>
      <c r="G2464" s="4"/>
      <c r="H2464" s="4"/>
      <c r="I2464" s="10" t="str">
        <f>HYPERLINK("http://twitter.com/download/iphone","Twitter for iPhone")</f>
        <v>Twitter for iPhone</v>
      </c>
      <c r="J2464" s="2">
        <v>56</v>
      </c>
      <c r="K2464" s="2">
        <v>91</v>
      </c>
      <c r="L2464" s="2">
        <v>0</v>
      </c>
      <c r="M2464" s="2"/>
      <c r="N2464" s="8">
        <v>41109.083958333329</v>
      </c>
      <c r="O2464" s="4" t="s">
        <v>10572</v>
      </c>
      <c r="P2464" s="3" t="s">
        <v>10571</v>
      </c>
      <c r="Q2464" s="4"/>
      <c r="R2464" s="4"/>
      <c r="S2464" s="9" t="str">
        <f>HYPERLINK("https://pbs.twimg.com/profile_images/854128010076672000/uG2AmzhQ.jpg","View")</f>
        <v>View</v>
      </c>
    </row>
    <row r="2465" spans="1:19" ht="40">
      <c r="A2465" s="8">
        <v>43345.126481481479</v>
      </c>
      <c r="B2465" s="11" t="str">
        <f>HYPERLINK("https://twitter.com/sepehriism","@sepehriism")</f>
        <v>@sepehriism</v>
      </c>
      <c r="C2465" s="6" t="s">
        <v>10570</v>
      </c>
      <c r="D2465" s="5" t="s">
        <v>10569</v>
      </c>
      <c r="E2465" s="9" t="str">
        <f>HYPERLINK("https://twitter.com/sepehriism/status/1036018901098758144","1036018901098758144")</f>
        <v>1036018901098758144</v>
      </c>
      <c r="F2465" s="4"/>
      <c r="G2465" s="4"/>
      <c r="H2465" s="4"/>
      <c r="I2465" s="10" t="str">
        <f>HYPERLINK("http://twitter.com/download/iphone","Twitter for iPhone")</f>
        <v>Twitter for iPhone</v>
      </c>
      <c r="J2465" s="2">
        <v>703</v>
      </c>
      <c r="K2465" s="2">
        <v>599</v>
      </c>
      <c r="L2465" s="2">
        <v>0</v>
      </c>
      <c r="M2465" s="2"/>
      <c r="N2465" s="8">
        <v>42887.190775462965</v>
      </c>
      <c r="O2465" s="4"/>
      <c r="P2465" s="3" t="s">
        <v>10568</v>
      </c>
      <c r="Q2465" s="4"/>
      <c r="R2465" s="4"/>
      <c r="S2465" s="9" t="str">
        <f>HYPERLINK("https://pbs.twimg.com/profile_images/1036013067841093632/ga7FNwxn.jpg","View")</f>
        <v>View</v>
      </c>
    </row>
    <row r="2466" spans="1:19" ht="20">
      <c r="A2466" s="8">
        <v>43345.116805555561</v>
      </c>
      <c r="B2466" s="11" t="str">
        <f>HYPERLINK("https://twitter.com/Atn_emrooz","@Atn_emrooz")</f>
        <v>@Atn_emrooz</v>
      </c>
      <c r="C2466" s="6" t="s">
        <v>10567</v>
      </c>
      <c r="D2466" s="5" t="s">
        <v>10566</v>
      </c>
      <c r="E2466" s="9" t="str">
        <f>HYPERLINK("https://twitter.com/Atn_emrooz/status/1036015394337837056","1036015394337837056")</f>
        <v>1036015394337837056</v>
      </c>
      <c r="F2466" s="4"/>
      <c r="G2466" s="10" t="s">
        <v>10565</v>
      </c>
      <c r="H2466" s="4"/>
      <c r="I2466" s="10" t="str">
        <f>HYPERLINK("http://twitter.com/download/android","Twitter for Android")</f>
        <v>Twitter for Android</v>
      </c>
      <c r="J2466" s="2">
        <v>145</v>
      </c>
      <c r="K2466" s="2">
        <v>14</v>
      </c>
      <c r="L2466" s="2">
        <v>0</v>
      </c>
      <c r="M2466" s="2"/>
      <c r="N2466" s="8">
        <v>43309.73165509259</v>
      </c>
      <c r="O2466" s="4"/>
      <c r="P2466" s="3" t="s">
        <v>10564</v>
      </c>
      <c r="Q2466" s="4"/>
      <c r="R2466" s="4"/>
      <c r="S2466" s="9" t="str">
        <f>HYPERLINK("https://pbs.twimg.com/profile_images/1023195649284681728/djAT8q6I.jpg","View")</f>
        <v>View</v>
      </c>
    </row>
    <row r="2467" spans="1:19" ht="40">
      <c r="A2467" s="8">
        <v>43345.108969907407</v>
      </c>
      <c r="B2467" s="11" t="str">
        <f>HYPERLINK("https://twitter.com/HRtahmasebip","@HRtahmasebip")</f>
        <v>@HRtahmasebip</v>
      </c>
      <c r="C2467" s="6" t="s">
        <v>7805</v>
      </c>
      <c r="D2467" s="5" t="s">
        <v>10563</v>
      </c>
      <c r="E2467" s="9" t="str">
        <f>HYPERLINK("https://twitter.com/HRtahmasebip/status/1036012551186853888","1036012551186853888")</f>
        <v>1036012551186853888</v>
      </c>
      <c r="F2467" s="4"/>
      <c r="G2467" s="4"/>
      <c r="H2467" s="4"/>
      <c r="I2467" s="10" t="str">
        <f>HYPERLINK("http://twitter.com/download/iphone","Twitter for iPhone")</f>
        <v>Twitter for iPhone</v>
      </c>
      <c r="J2467" s="2">
        <v>332</v>
      </c>
      <c r="K2467" s="2">
        <v>463</v>
      </c>
      <c r="L2467" s="2">
        <v>0</v>
      </c>
      <c r="M2467" s="2"/>
      <c r="N2467" s="8">
        <v>42499.067974537036</v>
      </c>
      <c r="O2467" s="4" t="s">
        <v>34</v>
      </c>
      <c r="P2467" s="3" t="s">
        <v>7802</v>
      </c>
      <c r="Q2467" s="4"/>
      <c r="R2467" s="4"/>
      <c r="S2467" s="9" t="str">
        <f>HYPERLINK("https://pbs.twimg.com/profile_images/996740243540688896/jK0e65MK.jpg","View")</f>
        <v>View</v>
      </c>
    </row>
    <row r="2468" spans="1:19" ht="30">
      <c r="A2468" s="8">
        <v>43345.103819444441</v>
      </c>
      <c r="B2468" s="11" t="str">
        <f>HYPERLINK("https://twitter.com/zakhmigerash","@zakhmigerash")</f>
        <v>@zakhmigerash</v>
      </c>
      <c r="C2468" s="6" t="s">
        <v>10562</v>
      </c>
      <c r="D2468" s="5" t="s">
        <v>10561</v>
      </c>
      <c r="E2468" s="9" t="str">
        <f>HYPERLINK("https://twitter.com/zakhmigerash/status/1036010686957142019","1036010686957142019")</f>
        <v>1036010686957142019</v>
      </c>
      <c r="F2468" s="4"/>
      <c r="G2468" s="4"/>
      <c r="H2468" s="4"/>
      <c r="I2468" s="10" t="str">
        <f>HYPERLINK("http://twitter.com/download/android","Twitter for Android")</f>
        <v>Twitter for Android</v>
      </c>
      <c r="J2468" s="2">
        <v>44</v>
      </c>
      <c r="K2468" s="2">
        <v>188</v>
      </c>
      <c r="L2468" s="2">
        <v>1</v>
      </c>
      <c r="M2468" s="2"/>
      <c r="N2468" s="8">
        <v>42924.043969907405</v>
      </c>
      <c r="O2468" s="4" t="s">
        <v>324</v>
      </c>
      <c r="P2468" s="3" t="s">
        <v>10560</v>
      </c>
      <c r="Q2468" s="4"/>
      <c r="R2468" s="4"/>
      <c r="S2468" s="9" t="str">
        <f>HYPERLINK("https://pbs.twimg.com/profile_images/1026731149991784449/hzGrlHs_.jpg","View")</f>
        <v>View</v>
      </c>
    </row>
    <row r="2469" spans="1:19" ht="80">
      <c r="A2469" s="8">
        <v>43345.084421296298</v>
      </c>
      <c r="B2469" s="11" t="str">
        <f>HYPERLINK("https://twitter.com/SMPrfa","@SMPrfa")</f>
        <v>@SMPrfa</v>
      </c>
      <c r="C2469" s="6" t="s">
        <v>6431</v>
      </c>
      <c r="D2469" s="5" t="s">
        <v>10559</v>
      </c>
      <c r="E2469" s="9" t="str">
        <f>HYPERLINK("https://twitter.com/SMPrfa/status/1036003658918449152","1036003658918449152")</f>
        <v>1036003658918449152</v>
      </c>
      <c r="F2469" s="10" t="s">
        <v>10558</v>
      </c>
      <c r="G2469" s="10" t="s">
        <v>10557</v>
      </c>
      <c r="H2469" s="4"/>
      <c r="I2469" s="10" t="str">
        <f>HYPERLINK("http://twitter.com","Twitter Web Client")</f>
        <v>Twitter Web Client</v>
      </c>
      <c r="J2469" s="2">
        <v>506</v>
      </c>
      <c r="K2469" s="2">
        <v>626</v>
      </c>
      <c r="L2469" s="2">
        <v>1</v>
      </c>
      <c r="M2469" s="2"/>
      <c r="N2469" s="8">
        <v>41640.805601851855</v>
      </c>
      <c r="O2469" s="4" t="s">
        <v>324</v>
      </c>
      <c r="P2469" s="3" t="s">
        <v>6429</v>
      </c>
      <c r="Q2469" s="4"/>
      <c r="R2469" s="4"/>
      <c r="S2469" s="9" t="str">
        <f>HYPERLINK("https://pbs.twimg.com/profile_images/1031346454550462464/qwjTVq8Q.jpg","View")</f>
        <v>View</v>
      </c>
    </row>
    <row r="2470" spans="1:19" ht="30">
      <c r="A2470" s="8">
        <v>43345.069236111114</v>
      </c>
      <c r="B2470" s="11" t="str">
        <f>HYPERLINK("https://twitter.com/SalavatiAlireza","@SalavatiAlireza")</f>
        <v>@SalavatiAlireza</v>
      </c>
      <c r="C2470" s="6" t="s">
        <v>4314</v>
      </c>
      <c r="D2470" s="5" t="s">
        <v>10556</v>
      </c>
      <c r="E2470" s="9" t="str">
        <f>HYPERLINK("https://twitter.com/SalavatiAlireza/status/1035998154381029376","1035998154381029376")</f>
        <v>1035998154381029376</v>
      </c>
      <c r="F2470" s="10" t="s">
        <v>10555</v>
      </c>
      <c r="G2470" s="4"/>
      <c r="H2470" s="4"/>
      <c r="I2470" s="10" t="str">
        <f>HYPERLINK("http://twitter.com/download/android","Twitter for Android")</f>
        <v>Twitter for Android</v>
      </c>
      <c r="J2470" s="2">
        <v>434</v>
      </c>
      <c r="K2470" s="2">
        <v>112</v>
      </c>
      <c r="L2470" s="2">
        <v>2</v>
      </c>
      <c r="M2470" s="2"/>
      <c r="N2470" s="8">
        <v>40976.810219907406</v>
      </c>
      <c r="O2470" s="4" t="s">
        <v>460</v>
      </c>
      <c r="P2470" s="3" t="s">
        <v>4312</v>
      </c>
      <c r="Q2470" s="10" t="s">
        <v>4311</v>
      </c>
      <c r="R2470" s="4"/>
      <c r="S2470" s="9" t="str">
        <f>HYPERLINK("https://pbs.twimg.com/profile_images/1033389623978991616/swE62Zz4.jpg","View")</f>
        <v>View</v>
      </c>
    </row>
    <row r="2471" spans="1:19" ht="20">
      <c r="A2471" s="8">
        <v>43345.067916666667</v>
      </c>
      <c r="B2471" s="11" t="str">
        <f>HYPERLINK("https://twitter.com/habibzamanii","@habibzamanii")</f>
        <v>@habibzamanii</v>
      </c>
      <c r="C2471" s="6" t="s">
        <v>10554</v>
      </c>
      <c r="D2471" s="5" t="s">
        <v>10553</v>
      </c>
      <c r="E2471" s="9" t="str">
        <f>HYPERLINK("https://twitter.com/habibzamanii/status/1035997675785801730","1035997675785801730")</f>
        <v>1035997675785801730</v>
      </c>
      <c r="F2471" s="4"/>
      <c r="G2471" s="4"/>
      <c r="H2471" s="4"/>
      <c r="I2471" s="10" t="str">
        <f>HYPERLINK("http://twitter.com/download/android","Twitter for Android")</f>
        <v>Twitter for Android</v>
      </c>
      <c r="J2471" s="2">
        <v>29</v>
      </c>
      <c r="K2471" s="2">
        <v>267</v>
      </c>
      <c r="L2471" s="2">
        <v>0</v>
      </c>
      <c r="M2471" s="2"/>
      <c r="N2471" s="8">
        <v>42872.511284722219</v>
      </c>
      <c r="O2471" s="4"/>
      <c r="P2471" s="3" t="s">
        <v>10552</v>
      </c>
      <c r="Q2471" s="4"/>
      <c r="R2471" s="4"/>
      <c r="S2471" s="9" t="str">
        <f>HYPERLINK("https://pbs.twimg.com/profile_images/871482697562169344/Z4dEmJeN.jpg","View")</f>
        <v>View</v>
      </c>
    </row>
    <row r="2472" spans="1:19" ht="12.5">
      <c r="A2472" s="8">
        <v>43345.067349537036</v>
      </c>
      <c r="B2472" s="11" t="str">
        <f>HYPERLINK("https://twitter.com/Meran7777","@Meran7777")</f>
        <v>@Meran7777</v>
      </c>
      <c r="C2472" s="6" t="s">
        <v>10551</v>
      </c>
      <c r="D2472" s="5" t="s">
        <v>10550</v>
      </c>
      <c r="E2472" s="9" t="str">
        <f>HYPERLINK("https://twitter.com/Meran7777/status/1035997469019123712","1035997469019123712")</f>
        <v>1035997469019123712</v>
      </c>
      <c r="F2472" s="4"/>
      <c r="G2472" s="4"/>
      <c r="H2472" s="4"/>
      <c r="I2472" s="10" t="str">
        <f>HYPERLINK("http://twitter.com/download/android","Twitter for Android")</f>
        <v>Twitter for Android</v>
      </c>
      <c r="J2472" s="2">
        <v>13</v>
      </c>
      <c r="K2472" s="2">
        <v>20</v>
      </c>
      <c r="L2472" s="2">
        <v>0</v>
      </c>
      <c r="M2472" s="2"/>
      <c r="N2472" s="8">
        <v>40795.994849537034</v>
      </c>
      <c r="O2472" s="4" t="s">
        <v>133</v>
      </c>
      <c r="P2472" s="3" t="s">
        <v>10549</v>
      </c>
      <c r="Q2472" s="4"/>
      <c r="R2472" s="4"/>
      <c r="S2472" s="9" t="str">
        <f>HYPERLINK("https://pbs.twimg.com/profile_images/1035680106629541889/LooHnq87.jpg","View")</f>
        <v>View</v>
      </c>
    </row>
    <row r="2473" spans="1:19" ht="40">
      <c r="A2473" s="8">
        <v>43345.066550925927</v>
      </c>
      <c r="B2473" s="11" t="str">
        <f>HYPERLINK("https://twitter.com/MrZactly","@MrZactly")</f>
        <v>@MrZactly</v>
      </c>
      <c r="C2473" s="6" t="s">
        <v>10548</v>
      </c>
      <c r="D2473" s="5" t="s">
        <v>10547</v>
      </c>
      <c r="E2473" s="9" t="str">
        <f>HYPERLINK("https://twitter.com/MrZactly/status/1035997179029188608","1035997179029188608")</f>
        <v>1035997179029188608</v>
      </c>
      <c r="F2473" s="4"/>
      <c r="G2473" s="4"/>
      <c r="H2473" s="4"/>
      <c r="I2473" s="10" t="str">
        <f>HYPERLINK("http://twitter.com/download/iphone","Twitter for iPhone")</f>
        <v>Twitter for iPhone</v>
      </c>
      <c r="J2473" s="2">
        <v>70</v>
      </c>
      <c r="K2473" s="2">
        <v>407</v>
      </c>
      <c r="L2473" s="2">
        <v>0</v>
      </c>
      <c r="M2473" s="2"/>
      <c r="N2473" s="8">
        <v>43109.704155092593</v>
      </c>
      <c r="O2473" s="4"/>
      <c r="P2473" s="3" t="s">
        <v>10546</v>
      </c>
      <c r="Q2473" s="4"/>
      <c r="R2473" s="4"/>
      <c r="S2473" s="9" t="str">
        <f>HYPERLINK("https://pbs.twimg.com/profile_images/959898854870081536/ULj7MPz2.jpg","View")</f>
        <v>View</v>
      </c>
    </row>
    <row r="2474" spans="1:19" ht="20">
      <c r="A2474" s="8">
        <v>43345.060706018514</v>
      </c>
      <c r="B2474" s="11" t="str">
        <f>HYPERLINK("https://twitter.com/Naeimabadi_h","@Naeimabadi_h")</f>
        <v>@Naeimabadi_h</v>
      </c>
      <c r="C2474" s="6" t="s">
        <v>4982</v>
      </c>
      <c r="D2474" s="5" t="s">
        <v>10545</v>
      </c>
      <c r="E2474" s="9" t="str">
        <f>HYPERLINK("https://twitter.com/Naeimabadi_h/status/1035995062738583552","1035995062738583552")</f>
        <v>1035995062738583552</v>
      </c>
      <c r="F2474" s="4"/>
      <c r="G2474" s="4"/>
      <c r="H2474" s="4"/>
      <c r="I2474" s="10" t="str">
        <f>HYPERLINK("http://twitter.com/download/iphone","Twitter for iPhone")</f>
        <v>Twitter for iPhone</v>
      </c>
      <c r="J2474" s="2">
        <v>199</v>
      </c>
      <c r="K2474" s="2">
        <v>267</v>
      </c>
      <c r="L2474" s="2">
        <v>0</v>
      </c>
      <c r="M2474" s="2"/>
      <c r="N2474" s="8">
        <v>41000.825902777782</v>
      </c>
      <c r="O2474" s="4" t="s">
        <v>17</v>
      </c>
      <c r="P2474" s="3" t="s">
        <v>4979</v>
      </c>
      <c r="Q2474" s="4"/>
      <c r="R2474" s="4"/>
      <c r="S2474" s="9" t="str">
        <f>HYPERLINK("https://pbs.twimg.com/profile_images/990640974387908610/5-M2cY8h.jpg","View")</f>
        <v>View</v>
      </c>
    </row>
    <row r="2475" spans="1:19" ht="20">
      <c r="A2475" s="8">
        <v>43345.060069444444</v>
      </c>
      <c r="B2475" s="11" t="str">
        <f>HYPERLINK("https://twitter.com/jedale_farhangi","@jedale_farhangi")</f>
        <v>@jedale_farhangi</v>
      </c>
      <c r="C2475" s="6" t="s">
        <v>10544</v>
      </c>
      <c r="D2475" s="5" t="s">
        <v>10543</v>
      </c>
      <c r="E2475" s="9" t="str">
        <f>HYPERLINK("https://twitter.com/jedale_farhangi/status/1035994833192710146","1035994833192710146")</f>
        <v>1035994833192710146</v>
      </c>
      <c r="F2475" s="4"/>
      <c r="G2475" s="10" t="s">
        <v>10542</v>
      </c>
      <c r="H2475" s="4"/>
      <c r="I2475" s="10" t="str">
        <f>HYPERLINK("http://twitter.com/download/android","Twitter for Android")</f>
        <v>Twitter for Android</v>
      </c>
      <c r="J2475" s="2">
        <v>419</v>
      </c>
      <c r="K2475" s="2">
        <v>702</v>
      </c>
      <c r="L2475" s="2">
        <v>1</v>
      </c>
      <c r="M2475" s="2"/>
      <c r="N2475" s="8">
        <v>43276.684131944443</v>
      </c>
      <c r="O2475" s="4"/>
      <c r="P2475" s="3" t="s">
        <v>10541</v>
      </c>
      <c r="Q2475" s="4"/>
      <c r="R2475" s="4"/>
      <c r="S2475" s="9" t="str">
        <f>HYPERLINK("https://pbs.twimg.com/profile_images/1019185540762136576/IhHwzm65.jpg","View")</f>
        <v>View</v>
      </c>
    </row>
    <row r="2476" spans="1:19" ht="30">
      <c r="A2476" s="8">
        <v>43345.052268518513</v>
      </c>
      <c r="B2476" s="11" t="str">
        <f>HYPERLINK("https://twitter.com/kahenazam","@kahenazam")</f>
        <v>@kahenazam</v>
      </c>
      <c r="C2476" s="6" t="s">
        <v>429</v>
      </c>
      <c r="D2476" s="5" t="s">
        <v>10540</v>
      </c>
      <c r="E2476" s="9" t="str">
        <f>HYPERLINK("https://twitter.com/kahenazam/status/1035992004726013952","1035992004726013952")</f>
        <v>1035992004726013952</v>
      </c>
      <c r="F2476" s="4"/>
      <c r="G2476" s="4"/>
      <c r="H2476" s="4"/>
      <c r="I2476" s="10" t="str">
        <f>HYPERLINK("http://twitter.com/download/android","Twitter for Android")</f>
        <v>Twitter for Android</v>
      </c>
      <c r="J2476" s="2">
        <v>983</v>
      </c>
      <c r="K2476" s="2">
        <v>1007</v>
      </c>
      <c r="L2476" s="2">
        <v>0</v>
      </c>
      <c r="M2476" s="2"/>
      <c r="N2476" s="8">
        <v>43269.098993055552</v>
      </c>
      <c r="O2476" s="4" t="s">
        <v>426</v>
      </c>
      <c r="P2476" s="3" t="s">
        <v>425</v>
      </c>
      <c r="Q2476" s="4"/>
      <c r="R2476" s="4"/>
      <c r="S2476" s="9" t="str">
        <f>HYPERLINK("https://pbs.twimg.com/profile_images/1011209672462827523/KSpmjdN6.jpg","View")</f>
        <v>View</v>
      </c>
    </row>
    <row r="2477" spans="1:19" ht="30">
      <c r="A2477" s="8">
        <v>43345.04859953704</v>
      </c>
      <c r="B2477" s="11" t="str">
        <f>HYPERLINK("https://twitter.com/Saminew8","@Saminew8")</f>
        <v>@Saminew8</v>
      </c>
      <c r="C2477" s="6" t="s">
        <v>10539</v>
      </c>
      <c r="D2477" s="5" t="s">
        <v>10538</v>
      </c>
      <c r="E2477" s="9" t="str">
        <f>HYPERLINK("https://twitter.com/Saminew8/status/1035990673999179776","1035990673999179776")</f>
        <v>1035990673999179776</v>
      </c>
      <c r="F2477" s="4"/>
      <c r="G2477" s="10" t="s">
        <v>10537</v>
      </c>
      <c r="H2477" s="4"/>
      <c r="I2477" s="10" t="str">
        <f>HYPERLINK("http://twitter.com/download/iphone","Twitter for iPhone")</f>
        <v>Twitter for iPhone</v>
      </c>
      <c r="J2477" s="2">
        <v>208</v>
      </c>
      <c r="K2477" s="2">
        <v>191</v>
      </c>
      <c r="L2477" s="2">
        <v>2</v>
      </c>
      <c r="M2477" s="2"/>
      <c r="N2477" s="8">
        <v>43282.057800925926</v>
      </c>
      <c r="O2477" s="4" t="s">
        <v>10536</v>
      </c>
      <c r="P2477" s="3" t="s">
        <v>10535</v>
      </c>
      <c r="Q2477" s="4"/>
      <c r="R2477" s="4"/>
      <c r="S2477" s="9" t="str">
        <f>HYPERLINK("https://pbs.twimg.com/profile_images/1027797364940201985/ssSj9sLw.jpg","View")</f>
        <v>View</v>
      </c>
    </row>
    <row r="2478" spans="1:19" ht="40">
      <c r="A2478" s="8">
        <v>43345.046446759261</v>
      </c>
      <c r="B2478" s="11" t="str">
        <f>HYPERLINK("https://twitter.com/Omidmansor1","@Omidmansor1")</f>
        <v>@Omidmansor1</v>
      </c>
      <c r="C2478" s="6" t="s">
        <v>2816</v>
      </c>
      <c r="D2478" s="5" t="s">
        <v>10534</v>
      </c>
      <c r="E2478" s="9" t="str">
        <f>HYPERLINK("https://twitter.com/Omidmansor1/status/1035989894382989312","1035989894382989312")</f>
        <v>1035989894382989312</v>
      </c>
      <c r="F2478" s="4"/>
      <c r="G2478" s="10" t="s">
        <v>10533</v>
      </c>
      <c r="H2478" s="4"/>
      <c r="I2478" s="10" t="str">
        <f>HYPERLINK("https://mobile.twitter.com","Twitter Lite")</f>
        <v>Twitter Lite</v>
      </c>
      <c r="J2478" s="2">
        <v>41</v>
      </c>
      <c r="K2478" s="2">
        <v>77</v>
      </c>
      <c r="L2478" s="2">
        <v>0</v>
      </c>
      <c r="M2478" s="2"/>
      <c r="N2478" s="8">
        <v>43048.681377314817</v>
      </c>
      <c r="O2478" s="4"/>
      <c r="P2478" s="3" t="s">
        <v>2813</v>
      </c>
      <c r="Q2478" s="4"/>
      <c r="R2478" s="4"/>
      <c r="S2478" s="9" t="str">
        <f>HYPERLINK("https://pbs.twimg.com/profile_images/1033199679150981121/sBhUvbEi.jpg","View")</f>
        <v>View</v>
      </c>
    </row>
    <row r="2479" spans="1:19" ht="40">
      <c r="A2479" s="8">
        <v>43345.046261574069</v>
      </c>
      <c r="B2479" s="11" t="str">
        <f>HYPERLINK("https://twitter.com/Showman1restart","@Showman1restart")</f>
        <v>@Showman1restart</v>
      </c>
      <c r="C2479" s="6" t="s">
        <v>10532</v>
      </c>
      <c r="D2479" s="5" t="s">
        <v>10531</v>
      </c>
      <c r="E2479" s="9" t="str">
        <f>HYPERLINK("https://twitter.com/Showman1restart/status/1035989826573623298","1035989826573623298")</f>
        <v>1035989826573623298</v>
      </c>
      <c r="F2479" s="10" t="s">
        <v>10530</v>
      </c>
      <c r="G2479" s="10" t="s">
        <v>10529</v>
      </c>
      <c r="H2479" s="4"/>
      <c r="I2479" s="10" t="str">
        <f>HYPERLINK("http://twitter.com/download/iphone","Twitter for iPhone")</f>
        <v>Twitter for iPhone</v>
      </c>
      <c r="J2479" s="2">
        <v>1513</v>
      </c>
      <c r="K2479" s="2">
        <v>23</v>
      </c>
      <c r="L2479" s="2">
        <v>2</v>
      </c>
      <c r="M2479" s="2"/>
      <c r="N2479" s="8">
        <v>40596.957789351851</v>
      </c>
      <c r="O2479" s="4"/>
      <c r="P2479" s="3" t="s">
        <v>10528</v>
      </c>
      <c r="Q2479" s="10" t="s">
        <v>10527</v>
      </c>
      <c r="R2479" s="4"/>
      <c r="S2479" s="9" t="str">
        <f>HYPERLINK("https://pbs.twimg.com/profile_images/830526827995209728/sZQJC-Zp.jpg","View")</f>
        <v>View</v>
      </c>
    </row>
    <row r="2480" spans="1:19" ht="40">
      <c r="A2480" s="8">
        <v>43345.045891203699</v>
      </c>
      <c r="B2480" s="11" t="str">
        <f>HYPERLINK("https://twitter.com/usefnejad76","@usefnejad76")</f>
        <v>@usefnejad76</v>
      </c>
      <c r="C2480" s="6" t="s">
        <v>10526</v>
      </c>
      <c r="D2480" s="5" t="s">
        <v>10525</v>
      </c>
      <c r="E2480" s="9" t="str">
        <f>HYPERLINK("https://twitter.com/usefnejad76/status/1035989694838960128","1035989694838960128")</f>
        <v>1035989694838960128</v>
      </c>
      <c r="F2480" s="4"/>
      <c r="G2480" s="4"/>
      <c r="H2480" s="4"/>
      <c r="I2480" s="10" t="str">
        <f>HYPERLINK("http://twitter.com/download/android","Twitter for Android")</f>
        <v>Twitter for Android</v>
      </c>
      <c r="J2480" s="2">
        <v>20</v>
      </c>
      <c r="K2480" s="2">
        <v>19</v>
      </c>
      <c r="L2480" s="2">
        <v>0</v>
      </c>
      <c r="M2480" s="2"/>
      <c r="N2480" s="8">
        <v>43216.929120370369</v>
      </c>
      <c r="O2480" s="4" t="s">
        <v>133</v>
      </c>
      <c r="P2480" s="3" t="s">
        <v>10524</v>
      </c>
      <c r="Q2480" s="4"/>
      <c r="R2480" s="4"/>
      <c r="S2480" s="9" t="str">
        <f>HYPERLINK("https://pbs.twimg.com/profile_images/990297229603868672/VaqnOqAN.jpg","View")</f>
        <v>View</v>
      </c>
    </row>
    <row r="2481" spans="1:19" ht="20">
      <c r="A2481" s="8">
        <v>43345.045312499999</v>
      </c>
      <c r="B2481" s="11" t="str">
        <f>HYPERLINK("https://twitter.com/mojtahed10","@mojtahed10")</f>
        <v>@mojtahed10</v>
      </c>
      <c r="C2481" s="6" t="s">
        <v>10523</v>
      </c>
      <c r="D2481" s="5" t="s">
        <v>10522</v>
      </c>
      <c r="E2481" s="9" t="str">
        <f>HYPERLINK("https://twitter.com/mojtahed10/status/1035989483446042625","1035989483446042625")</f>
        <v>1035989483446042625</v>
      </c>
      <c r="F2481" s="4"/>
      <c r="G2481" s="10" t="s">
        <v>10521</v>
      </c>
      <c r="H2481" s="4"/>
      <c r="I2481" s="10" t="str">
        <f>HYPERLINK("http://twitter.com/download/android","Twitter for Android")</f>
        <v>Twitter for Android</v>
      </c>
      <c r="J2481" s="2">
        <v>0</v>
      </c>
      <c r="K2481" s="2">
        <v>0</v>
      </c>
      <c r="L2481" s="2">
        <v>0</v>
      </c>
      <c r="M2481" s="2"/>
      <c r="N2481" s="8">
        <v>43342.6637962963</v>
      </c>
      <c r="O2481" s="4"/>
      <c r="P2481" s="3"/>
      <c r="Q2481" s="4"/>
      <c r="R2481" s="4"/>
      <c r="S2481" s="9" t="str">
        <f>HYPERLINK("https://pbs.twimg.com/profile_images/1035128468768350208/xNuKhDfp.jpg","View")</f>
        <v>View</v>
      </c>
    </row>
    <row r="2482" spans="1:19" ht="40">
      <c r="A2482" s="8">
        <v>43345.044270833328</v>
      </c>
      <c r="B2482" s="11" t="str">
        <f>HYPERLINK("https://twitter.com/dr_moosavi","@dr_moosavi")</f>
        <v>@dr_moosavi</v>
      </c>
      <c r="C2482" s="6" t="s">
        <v>8143</v>
      </c>
      <c r="D2482" s="5" t="s">
        <v>10520</v>
      </c>
      <c r="E2482" s="9" t="str">
        <f>HYPERLINK("https://twitter.com/dr_moosavi/status/1035989106378072064","1035989106378072064")</f>
        <v>1035989106378072064</v>
      </c>
      <c r="F2482" s="4"/>
      <c r="G2482" s="4"/>
      <c r="H2482" s="4"/>
      <c r="I2482" s="10" t="str">
        <f>HYPERLINK("http://twitter.com/download/iphone","Twitter for iPhone")</f>
        <v>Twitter for iPhone</v>
      </c>
      <c r="J2482" s="2">
        <v>3984</v>
      </c>
      <c r="K2482" s="2">
        <v>365</v>
      </c>
      <c r="L2482" s="2">
        <v>41</v>
      </c>
      <c r="M2482" s="2"/>
      <c r="N2482" s="8">
        <v>39935.090844907405</v>
      </c>
      <c r="O2482" s="4" t="s">
        <v>8141</v>
      </c>
      <c r="P2482" s="3" t="s">
        <v>8140</v>
      </c>
      <c r="Q2482" s="10" t="s">
        <v>8139</v>
      </c>
      <c r="R2482" s="4"/>
      <c r="S2482" s="9" t="str">
        <f>HYPERLINK("https://pbs.twimg.com/profile_images/906801285889970177/qnc7ydWX.jpg","View")</f>
        <v>View</v>
      </c>
    </row>
    <row r="2483" spans="1:19" ht="30">
      <c r="A2483" s="8">
        <v>43345.044074074074</v>
      </c>
      <c r="B2483" s="11" t="str">
        <f>HYPERLINK("https://twitter.com/mohyeddin_farsi","@mohyeddin_farsi")</f>
        <v>@mohyeddin_farsi</v>
      </c>
      <c r="C2483" s="6" t="s">
        <v>3121</v>
      </c>
      <c r="D2483" s="5" t="s">
        <v>10519</v>
      </c>
      <c r="E2483" s="9" t="str">
        <f>HYPERLINK("https://twitter.com/mohyeddin_farsi/status/1035989035297189888","1035989035297189888")</f>
        <v>1035989035297189888</v>
      </c>
      <c r="F2483" s="4"/>
      <c r="G2483" s="4"/>
      <c r="H2483" s="4"/>
      <c r="I2483" s="10" t="str">
        <f>HYPERLINK("http://twitter.com/download/android","Twitter for Android")</f>
        <v>Twitter for Android</v>
      </c>
      <c r="J2483" s="2">
        <v>3055</v>
      </c>
      <c r="K2483" s="2">
        <v>4766</v>
      </c>
      <c r="L2483" s="2">
        <v>1</v>
      </c>
      <c r="M2483" s="2"/>
      <c r="N2483" s="8">
        <v>43208.817083333328</v>
      </c>
      <c r="O2483" s="4" t="s">
        <v>10298</v>
      </c>
      <c r="P2483" s="3" t="s">
        <v>10297</v>
      </c>
      <c r="Q2483" s="4"/>
      <c r="R2483" s="4"/>
      <c r="S2483" s="9" t="str">
        <f>HYPERLINK("https://pbs.twimg.com/profile_images/1025783168513789953/1ugz7yGG.jpg","View")</f>
        <v>View</v>
      </c>
    </row>
    <row r="2484" spans="1:19" ht="30">
      <c r="A2484" s="8">
        <v>43345.040590277778</v>
      </c>
      <c r="B2484" s="11" t="str">
        <f>HYPERLINK("https://twitter.com/moullack","@moullack")</f>
        <v>@moullack</v>
      </c>
      <c r="C2484" s="6" t="s">
        <v>10518</v>
      </c>
      <c r="D2484" s="5" t="s">
        <v>10517</v>
      </c>
      <c r="E2484" s="9" t="str">
        <f>HYPERLINK("https://twitter.com/moullack/status/1035987775202500610","1035987775202500610")</f>
        <v>1035987775202500610</v>
      </c>
      <c r="F2484" s="4"/>
      <c r="G2484" s="4"/>
      <c r="H2484" s="4"/>
      <c r="I2484" s="10" t="str">
        <f>HYPERLINK("http://twitter.com/download/android","Twitter for Android")</f>
        <v>Twitter for Android</v>
      </c>
      <c r="J2484" s="2">
        <v>5</v>
      </c>
      <c r="K2484" s="2">
        <v>116</v>
      </c>
      <c r="L2484" s="2">
        <v>0</v>
      </c>
      <c r="M2484" s="2"/>
      <c r="N2484" s="8">
        <v>43111.08090277778</v>
      </c>
      <c r="O2484" s="4"/>
      <c r="P2484" s="3" t="s">
        <v>10516</v>
      </c>
      <c r="Q2484" s="4"/>
      <c r="R2484" s="4"/>
      <c r="S2484" s="9" t="str">
        <f>HYPERLINK("https://pbs.twimg.com/profile_images/1023140447064125441/U2qrcmjL.jpg","View")</f>
        <v>View</v>
      </c>
    </row>
    <row r="2485" spans="1:19" ht="20">
      <c r="A2485" s="8">
        <v>43345.034942129627</v>
      </c>
      <c r="B2485" s="11" t="str">
        <f>HYPERLINK("https://twitter.com/PouyaBagheri8","@PouyaBagheri8")</f>
        <v>@PouyaBagheri8</v>
      </c>
      <c r="C2485" s="6" t="s">
        <v>10515</v>
      </c>
      <c r="D2485" s="5" t="s">
        <v>10514</v>
      </c>
      <c r="E2485" s="9" t="str">
        <f>HYPERLINK("https://twitter.com/PouyaBagheri8/status/1035985726532460555","1035985726532460555")</f>
        <v>1035985726532460555</v>
      </c>
      <c r="F2485" s="4"/>
      <c r="G2485" s="4"/>
      <c r="H2485" s="4"/>
      <c r="I2485" s="10" t="str">
        <f>HYPERLINK("http://twitter.com/download/android","Twitter for Android")</f>
        <v>Twitter for Android</v>
      </c>
      <c r="J2485" s="2">
        <v>15</v>
      </c>
      <c r="K2485" s="2">
        <v>13</v>
      </c>
      <c r="L2485" s="2">
        <v>0</v>
      </c>
      <c r="M2485" s="2"/>
      <c r="N2485" s="8">
        <v>43209.84783564815</v>
      </c>
      <c r="O2485" s="4"/>
      <c r="P2485" s="3" t="s">
        <v>10513</v>
      </c>
      <c r="Q2485" s="4"/>
      <c r="R2485" s="4"/>
      <c r="S2485" s="9" t="str">
        <f>HYPERLINK("https://pbs.twimg.com/profile_images/1023849109520875520/keUZsP2L.jpg","View")</f>
        <v>View</v>
      </c>
    </row>
    <row r="2486" spans="1:19" ht="40">
      <c r="A2486" s="8">
        <v>43345.034872685181</v>
      </c>
      <c r="B2486" s="11" t="str">
        <f>HYPERLINK("https://twitter.com/mr_golestani","@mr_golestani")</f>
        <v>@mr_golestani</v>
      </c>
      <c r="C2486" s="6" t="s">
        <v>10512</v>
      </c>
      <c r="D2486" s="5" t="s">
        <v>10511</v>
      </c>
      <c r="E2486" s="9" t="str">
        <f>HYPERLINK("https://twitter.com/mr_golestani/status/1035985701022703616","1035985701022703616")</f>
        <v>1035985701022703616</v>
      </c>
      <c r="F2486" s="4"/>
      <c r="G2486" s="4"/>
      <c r="H2486" s="4"/>
      <c r="I2486" s="10" t="str">
        <f>HYPERLINK("http://twitter.com/download/android","Twitter for Android")</f>
        <v>Twitter for Android</v>
      </c>
      <c r="J2486" s="2">
        <v>2233</v>
      </c>
      <c r="K2486" s="2">
        <v>2206</v>
      </c>
      <c r="L2486" s="2">
        <v>2</v>
      </c>
      <c r="M2486" s="2"/>
      <c r="N2486" s="8">
        <v>43164.472881944443</v>
      </c>
      <c r="O2486" s="4"/>
      <c r="P2486" s="3"/>
      <c r="Q2486" s="4"/>
      <c r="R2486" s="4"/>
      <c r="S2486" s="9" t="str">
        <f>HYPERLINK("https://pbs.twimg.com/profile_images/970570342048595968/vAU5XLFv.jpg","View")</f>
        <v>View</v>
      </c>
    </row>
    <row r="2487" spans="1:19" ht="40">
      <c r="A2487" s="8">
        <v>43345.034305555557</v>
      </c>
      <c r="B2487" s="11" t="str">
        <f>HYPERLINK("https://twitter.com/_mohammadl","@_mohammadl")</f>
        <v>@_mohammadl</v>
      </c>
      <c r="C2487" s="6" t="s">
        <v>10510</v>
      </c>
      <c r="D2487" s="5" t="s">
        <v>10509</v>
      </c>
      <c r="E2487" s="9" t="str">
        <f>HYPERLINK("https://twitter.com/_mohammadl/status/1035985495258550272","1035985495258550272")</f>
        <v>1035985495258550272</v>
      </c>
      <c r="F2487" s="4"/>
      <c r="G2487" s="10" t="s">
        <v>10508</v>
      </c>
      <c r="H2487" s="4"/>
      <c r="I2487" s="10" t="str">
        <f>HYPERLINK("http://twitter.com/download/android","Twitter for Android")</f>
        <v>Twitter for Android</v>
      </c>
      <c r="J2487" s="2">
        <v>218</v>
      </c>
      <c r="K2487" s="2">
        <v>74</v>
      </c>
      <c r="L2487" s="2">
        <v>0</v>
      </c>
      <c r="M2487" s="2"/>
      <c r="N2487" s="8">
        <v>43101.782060185185</v>
      </c>
      <c r="O2487" s="4"/>
      <c r="P2487" s="3" t="s">
        <v>10507</v>
      </c>
      <c r="Q2487" s="4"/>
      <c r="R2487" s="4"/>
      <c r="S2487" s="9" t="str">
        <f>HYPERLINK("https://pbs.twimg.com/profile_images/1028700634198016001/UemjohHq.jpg","View")</f>
        <v>View</v>
      </c>
    </row>
    <row r="2488" spans="1:19" ht="20">
      <c r="A2488" s="8">
        <v>43345.026574074072</v>
      </c>
      <c r="B2488" s="11" t="str">
        <f>HYPERLINK("https://twitter.com/mostafa_h1992","@mostafa_h1992")</f>
        <v>@mostafa_h1992</v>
      </c>
      <c r="C2488" s="6" t="s">
        <v>1076</v>
      </c>
      <c r="D2488" s="5" t="s">
        <v>9844</v>
      </c>
      <c r="E2488" s="9" t="str">
        <f>HYPERLINK("https://twitter.com/mostafa_h1992/status/1035982693996085248","1035982693996085248")</f>
        <v>1035982693996085248</v>
      </c>
      <c r="F2488" s="4"/>
      <c r="G2488" s="10" t="s">
        <v>10506</v>
      </c>
      <c r="H2488" s="4"/>
      <c r="I2488" s="10" t="str">
        <f>HYPERLINK("http://twitter.com/download/iphone","Twitter for iPhone")</f>
        <v>Twitter for iPhone</v>
      </c>
      <c r="J2488" s="2">
        <v>2</v>
      </c>
      <c r="K2488" s="2">
        <v>33</v>
      </c>
      <c r="L2488" s="2">
        <v>0</v>
      </c>
      <c r="M2488" s="2"/>
      <c r="N2488" s="8">
        <v>42324.874340277776</v>
      </c>
      <c r="O2488" s="4" t="s">
        <v>10504</v>
      </c>
      <c r="P2488" s="3" t="s">
        <v>1073</v>
      </c>
      <c r="Q2488" s="10" t="s">
        <v>1072</v>
      </c>
      <c r="R2488" s="4"/>
      <c r="S2488" s="9" t="str">
        <f>HYPERLINK("https://pbs.twimg.com/profile_images/1035981417942007808/wKv-amIa.jpg","View")</f>
        <v>View</v>
      </c>
    </row>
    <row r="2489" spans="1:19" ht="30">
      <c r="A2489" s="8">
        <v>43345.026238425926</v>
      </c>
      <c r="B2489" s="11" t="str">
        <f>HYPERLINK("https://twitter.com/mostafa_h1992","@mostafa_h1992")</f>
        <v>@mostafa_h1992</v>
      </c>
      <c r="C2489" s="6" t="s">
        <v>1076</v>
      </c>
      <c r="D2489" s="5" t="s">
        <v>9828</v>
      </c>
      <c r="E2489" s="9" t="str">
        <f>HYPERLINK("https://twitter.com/mostafa_h1992/status/1035982572076056579","1035982572076056579")</f>
        <v>1035982572076056579</v>
      </c>
      <c r="F2489" s="4"/>
      <c r="G2489" s="4"/>
      <c r="H2489" s="4"/>
      <c r="I2489" s="10" t="str">
        <f>HYPERLINK("http://twitter.com/download/iphone","Twitter for iPhone")</f>
        <v>Twitter for iPhone</v>
      </c>
      <c r="J2489" s="2">
        <v>2</v>
      </c>
      <c r="K2489" s="2">
        <v>33</v>
      </c>
      <c r="L2489" s="2">
        <v>0</v>
      </c>
      <c r="M2489" s="2"/>
      <c r="N2489" s="8">
        <v>42324.874340277776</v>
      </c>
      <c r="O2489" s="4" t="s">
        <v>10504</v>
      </c>
      <c r="P2489" s="3" t="s">
        <v>1073</v>
      </c>
      <c r="Q2489" s="10" t="s">
        <v>1072</v>
      </c>
      <c r="R2489" s="4"/>
      <c r="S2489" s="9" t="str">
        <f>HYPERLINK("https://pbs.twimg.com/profile_images/1035981417942007808/wKv-amIa.jpg","View")</f>
        <v>View</v>
      </c>
    </row>
    <row r="2490" spans="1:19" ht="30">
      <c r="A2490" s="8">
        <v>43345.026041666672</v>
      </c>
      <c r="B2490" s="11" t="str">
        <f>HYPERLINK("https://twitter.com/mostafa_h1992","@mostafa_h1992")</f>
        <v>@mostafa_h1992</v>
      </c>
      <c r="C2490" s="6" t="s">
        <v>1076</v>
      </c>
      <c r="D2490" s="5" t="s">
        <v>8255</v>
      </c>
      <c r="E2490" s="9" t="str">
        <f>HYPERLINK("https://twitter.com/mostafa_h1992/status/1035982498902233089","1035982498902233089")</f>
        <v>1035982498902233089</v>
      </c>
      <c r="F2490" s="4"/>
      <c r="G2490" s="4"/>
      <c r="H2490" s="4"/>
      <c r="I2490" s="10" t="str">
        <f>HYPERLINK("http://twitter.com/download/iphone","Twitter for iPhone")</f>
        <v>Twitter for iPhone</v>
      </c>
      <c r="J2490" s="2">
        <v>2</v>
      </c>
      <c r="K2490" s="2">
        <v>33</v>
      </c>
      <c r="L2490" s="2">
        <v>0</v>
      </c>
      <c r="M2490" s="2"/>
      <c r="N2490" s="8">
        <v>42324.874340277776</v>
      </c>
      <c r="O2490" s="4" t="s">
        <v>10504</v>
      </c>
      <c r="P2490" s="3" t="s">
        <v>1073</v>
      </c>
      <c r="Q2490" s="10" t="s">
        <v>1072</v>
      </c>
      <c r="R2490" s="4"/>
      <c r="S2490" s="9" t="str">
        <f>HYPERLINK("https://pbs.twimg.com/profile_images/1035981417942007808/wKv-amIa.jpg","View")</f>
        <v>View</v>
      </c>
    </row>
    <row r="2491" spans="1:19" ht="30">
      <c r="A2491" s="8">
        <v>43345.025648148148</v>
      </c>
      <c r="B2491" s="11" t="str">
        <f>HYPERLINK("https://twitter.com/mostafa_h1992","@mostafa_h1992")</f>
        <v>@mostafa_h1992</v>
      </c>
      <c r="C2491" s="6" t="s">
        <v>1076</v>
      </c>
      <c r="D2491" s="5" t="s">
        <v>10505</v>
      </c>
      <c r="E2491" s="9" t="str">
        <f>HYPERLINK("https://twitter.com/mostafa_h1992/status/1035982358594428928","1035982358594428928")</f>
        <v>1035982358594428928</v>
      </c>
      <c r="F2491" s="4"/>
      <c r="G2491" s="4"/>
      <c r="H2491" s="4"/>
      <c r="I2491" s="10" t="str">
        <f>HYPERLINK("http://twitter.com/download/iphone","Twitter for iPhone")</f>
        <v>Twitter for iPhone</v>
      </c>
      <c r="J2491" s="2">
        <v>2</v>
      </c>
      <c r="K2491" s="2">
        <v>33</v>
      </c>
      <c r="L2491" s="2">
        <v>0</v>
      </c>
      <c r="M2491" s="2"/>
      <c r="N2491" s="8">
        <v>42324.874340277776</v>
      </c>
      <c r="O2491" s="4" t="s">
        <v>10504</v>
      </c>
      <c r="P2491" s="3" t="s">
        <v>1073</v>
      </c>
      <c r="Q2491" s="10" t="s">
        <v>1072</v>
      </c>
      <c r="R2491" s="4"/>
      <c r="S2491" s="9" t="str">
        <f>HYPERLINK("https://pbs.twimg.com/profile_images/1035981417942007808/wKv-amIa.jpg","View")</f>
        <v>View</v>
      </c>
    </row>
    <row r="2492" spans="1:19" ht="30">
      <c r="A2492" s="8">
        <v>43345.021944444445</v>
      </c>
      <c r="B2492" s="11" t="str">
        <f>HYPERLINK("https://twitter.com/isaid73172285","@isaid73172285")</f>
        <v>@isaid73172285</v>
      </c>
      <c r="C2492" s="6" t="s">
        <v>10503</v>
      </c>
      <c r="D2492" s="5" t="s">
        <v>10502</v>
      </c>
      <c r="E2492" s="9" t="str">
        <f>HYPERLINK("https://twitter.com/isaid73172285/status/1035981016941375498","1035981016941375498")</f>
        <v>1035981016941375498</v>
      </c>
      <c r="F2492" s="4"/>
      <c r="G2492" s="4"/>
      <c r="H2492" s="4"/>
      <c r="I2492" s="10" t="str">
        <f>HYPERLINK("http://twitter.com/download/android","Twitter for Android")</f>
        <v>Twitter for Android</v>
      </c>
      <c r="J2492" s="2">
        <v>105</v>
      </c>
      <c r="K2492" s="2">
        <v>186</v>
      </c>
      <c r="L2492" s="2">
        <v>0</v>
      </c>
      <c r="M2492" s="2"/>
      <c r="N2492" s="8">
        <v>43269.969571759255</v>
      </c>
      <c r="O2492" s="4" t="s">
        <v>34</v>
      </c>
      <c r="P2492" s="3"/>
      <c r="Q2492" s="4"/>
      <c r="R2492" s="4"/>
      <c r="S2492" s="9" t="str">
        <f>HYPERLINK("https://pbs.twimg.com/profile_images/1027205995326578689/j5mQYHCI.jpg","View")</f>
        <v>View</v>
      </c>
    </row>
    <row r="2493" spans="1:19" ht="12.5">
      <c r="A2493" s="8">
        <v>43345.021782407406</v>
      </c>
      <c r="B2493" s="11" t="str">
        <f>HYPERLINK("https://twitter.com/MousaviMs","@MousaviMs")</f>
        <v>@MousaviMs</v>
      </c>
      <c r="C2493" s="6" t="s">
        <v>10501</v>
      </c>
      <c r="D2493" s="5" t="s">
        <v>10500</v>
      </c>
      <c r="E2493" s="9" t="str">
        <f>HYPERLINK("https://twitter.com/MousaviMs/status/1035980958401548288","1035980958401548288")</f>
        <v>1035980958401548288</v>
      </c>
      <c r="F2493" s="4"/>
      <c r="G2493" s="10" t="s">
        <v>10499</v>
      </c>
      <c r="H2493" s="4"/>
      <c r="I2493" s="10" t="str">
        <f>HYPERLINK("http://twitter.com/download/android","Twitter for Android")</f>
        <v>Twitter for Android</v>
      </c>
      <c r="J2493" s="2">
        <v>435</v>
      </c>
      <c r="K2493" s="2">
        <v>699</v>
      </c>
      <c r="L2493" s="2">
        <v>0</v>
      </c>
      <c r="M2493" s="2"/>
      <c r="N2493" s="8">
        <v>43248.955451388887</v>
      </c>
      <c r="O2493" s="4"/>
      <c r="P2493" s="3"/>
      <c r="Q2493" s="4"/>
      <c r="R2493" s="4"/>
      <c r="S2493" s="9" t="str">
        <f>HYPERLINK("https://pbs.twimg.com/profile_images/1002634153345593344/THh4xYMX.jpg","View")</f>
        <v>View</v>
      </c>
    </row>
    <row r="2494" spans="1:19" ht="30">
      <c r="A2494" s="8">
        <v>43345.014861111107</v>
      </c>
      <c r="B2494" s="11" t="str">
        <f>HYPERLINK("https://twitter.com/Didehbaan1","@Didehbaan1")</f>
        <v>@Didehbaan1</v>
      </c>
      <c r="C2494" s="6" t="s">
        <v>10498</v>
      </c>
      <c r="D2494" s="5" t="s">
        <v>10497</v>
      </c>
      <c r="E2494" s="9" t="str">
        <f>HYPERLINK("https://twitter.com/Didehbaan1/status/1035978450778107904","1035978450778107904")</f>
        <v>1035978450778107904</v>
      </c>
      <c r="F2494" s="4"/>
      <c r="G2494" s="4"/>
      <c r="H2494" s="4"/>
      <c r="I2494" s="10" t="str">
        <f>HYPERLINK("http://twitter.com","Twitter Web Client")</f>
        <v>Twitter Web Client</v>
      </c>
      <c r="J2494" s="2">
        <v>178</v>
      </c>
      <c r="K2494" s="2">
        <v>284</v>
      </c>
      <c r="L2494" s="2">
        <v>1</v>
      </c>
      <c r="M2494" s="2"/>
      <c r="N2494" s="8">
        <v>43270.618460648147</v>
      </c>
      <c r="O2494" s="4"/>
      <c r="P2494" s="3" t="s">
        <v>10496</v>
      </c>
      <c r="Q2494" s="4"/>
      <c r="R2494" s="4"/>
      <c r="S2494" s="9" t="str">
        <f>HYPERLINK("https://pbs.twimg.com/profile_images/1009021454514606080/iThmi9MD.jpg","View")</f>
        <v>View</v>
      </c>
    </row>
    <row r="2495" spans="1:19" ht="20">
      <c r="A2495" s="8">
        <v>43345.013495370367</v>
      </c>
      <c r="B2495" s="11" t="str">
        <f>HYPERLINK("https://twitter.com/Hamed_safaei","@Hamed_safaei")</f>
        <v>@Hamed_safaei</v>
      </c>
      <c r="C2495" s="6" t="s">
        <v>10495</v>
      </c>
      <c r="D2495" s="5" t="s">
        <v>10494</v>
      </c>
      <c r="E2495" s="9" t="str">
        <f>HYPERLINK("https://twitter.com/Hamed_safaei/status/1035977952780013568","1035977952780013568")</f>
        <v>1035977952780013568</v>
      </c>
      <c r="F2495" s="4"/>
      <c r="G2495" s="4"/>
      <c r="H2495" s="4"/>
      <c r="I2495" s="10" t="str">
        <f>HYPERLINK("http://twitter.com/download/android","Twitter for Android")</f>
        <v>Twitter for Android</v>
      </c>
      <c r="J2495" s="2">
        <v>276</v>
      </c>
      <c r="K2495" s="2">
        <v>230</v>
      </c>
      <c r="L2495" s="2">
        <v>4</v>
      </c>
      <c r="M2495" s="2"/>
      <c r="N2495" s="8">
        <v>42542.891701388886</v>
      </c>
      <c r="O2495" s="4" t="s">
        <v>17</v>
      </c>
      <c r="P2495" s="3" t="s">
        <v>10493</v>
      </c>
      <c r="Q2495" s="4"/>
      <c r="R2495" s="4"/>
      <c r="S2495" s="9" t="str">
        <f>HYPERLINK("https://pbs.twimg.com/profile_images/956177344305168387/mck0SHw9.jpg","View")</f>
        <v>View</v>
      </c>
    </row>
    <row r="2496" spans="1:19" ht="20">
      <c r="A2496" s="8">
        <v>43345.010798611111</v>
      </c>
      <c r="B2496" s="11" t="str">
        <f>HYPERLINK("https://twitter.com/Far_abasi","@Far_abasi")</f>
        <v>@Far_abasi</v>
      </c>
      <c r="C2496" s="6" t="s">
        <v>10492</v>
      </c>
      <c r="D2496" s="5" t="s">
        <v>10491</v>
      </c>
      <c r="E2496" s="9" t="str">
        <f>HYPERLINK("https://twitter.com/Far_abasi/status/1035976975133888512","1035976975133888512")</f>
        <v>1035976975133888512</v>
      </c>
      <c r="F2496" s="4"/>
      <c r="G2496" s="4"/>
      <c r="H2496" s="4"/>
      <c r="I2496" s="10" t="str">
        <f>HYPERLINK("http://twitter.com/download/iphone","Twitter for iPhone")</f>
        <v>Twitter for iPhone</v>
      </c>
      <c r="J2496" s="2">
        <v>37</v>
      </c>
      <c r="K2496" s="2">
        <v>82</v>
      </c>
      <c r="L2496" s="2">
        <v>0</v>
      </c>
      <c r="M2496" s="2"/>
      <c r="N2496" s="8">
        <v>42844.436458333337</v>
      </c>
      <c r="O2496" s="4" t="s">
        <v>17</v>
      </c>
      <c r="P2496" s="3" t="s">
        <v>10490</v>
      </c>
      <c r="Q2496" s="4"/>
      <c r="R2496" s="4"/>
      <c r="S2496" s="9" t="str">
        <f>HYPERLINK("https://pbs.twimg.com/profile_images/990514909296386048/Fw1QhXDF.jpg","View")</f>
        <v>View</v>
      </c>
    </row>
    <row r="2497" spans="1:19" ht="30">
      <c r="A2497" s="8">
        <v>43345.00981481481</v>
      </c>
      <c r="B2497" s="11" t="str">
        <f>HYPERLINK("https://twitter.com/joedad7","@joedad7")</f>
        <v>@joedad7</v>
      </c>
      <c r="C2497" s="6" t="s">
        <v>10489</v>
      </c>
      <c r="D2497" s="5" t="s">
        <v>10488</v>
      </c>
      <c r="E2497" s="9" t="str">
        <f>HYPERLINK("https://twitter.com/joedad7/status/1035976622149693440","1035976622149693440")</f>
        <v>1035976622149693440</v>
      </c>
      <c r="F2497" s="4"/>
      <c r="G2497" s="4"/>
      <c r="H2497" s="4"/>
      <c r="I2497" s="10" t="str">
        <f>HYPERLINK("http://twitter.com/download/iphone","Twitter for iPhone")</f>
        <v>Twitter for iPhone</v>
      </c>
      <c r="J2497" s="2">
        <v>167</v>
      </c>
      <c r="K2497" s="2">
        <v>267</v>
      </c>
      <c r="L2497" s="2">
        <v>1</v>
      </c>
      <c r="M2497" s="2"/>
      <c r="N2497" s="8">
        <v>42272.69321759259</v>
      </c>
      <c r="O2497" s="4" t="s">
        <v>10487</v>
      </c>
      <c r="P2497" s="3" t="s">
        <v>10486</v>
      </c>
      <c r="Q2497" s="4"/>
      <c r="R2497" s="4"/>
      <c r="S2497" s="9" t="str">
        <f>HYPERLINK("https://pbs.twimg.com/profile_images/980361214206332928/A2NcYMa8.jpg","View")</f>
        <v>View</v>
      </c>
    </row>
    <row r="2498" spans="1:19" ht="30">
      <c r="A2498" s="8">
        <v>43345.008761574078</v>
      </c>
      <c r="B2498" s="11" t="str">
        <f>HYPERLINK("https://twitter.com/IranIntl","@IranIntl")</f>
        <v>@IranIntl</v>
      </c>
      <c r="C2498" s="6" t="s">
        <v>2253</v>
      </c>
      <c r="D2498" s="5" t="s">
        <v>10485</v>
      </c>
      <c r="E2498" s="9" t="str">
        <f>HYPERLINK("https://twitter.com/IranIntl/status/1035976239322943488","1035976239322943488")</f>
        <v>1035976239322943488</v>
      </c>
      <c r="F2498" s="4"/>
      <c r="G2498" s="10" t="s">
        <v>10484</v>
      </c>
      <c r="H2498" s="4"/>
      <c r="I2498" s="10" t="str">
        <f>HYPERLINK("http://www.falcon.io","Falcon Social Media Management ")</f>
        <v xml:space="preserve">Falcon Social Media Management </v>
      </c>
      <c r="J2498" s="2">
        <v>10485</v>
      </c>
      <c r="K2498" s="2">
        <v>38</v>
      </c>
      <c r="L2498" s="2">
        <v>70</v>
      </c>
      <c r="M2498" s="2"/>
      <c r="N2498" s="8">
        <v>42495.854155092587</v>
      </c>
      <c r="O2498" s="4" t="s">
        <v>2250</v>
      </c>
      <c r="P2498" s="3" t="s">
        <v>2249</v>
      </c>
      <c r="Q2498" s="10" t="s">
        <v>2248</v>
      </c>
      <c r="R2498" s="4"/>
      <c r="S2498" s="9" t="str">
        <f>HYPERLINK("https://pbs.twimg.com/profile_images/959109044987416576/LIHHUain.jpg","View")</f>
        <v>View</v>
      </c>
    </row>
    <row r="2499" spans="1:19" ht="40">
      <c r="A2499" s="8">
        <v>43345.00172453704</v>
      </c>
      <c r="B2499" s="11" t="str">
        <f>HYPERLINK("https://twitter.com/baroonian","@baroonian")</f>
        <v>@baroonian</v>
      </c>
      <c r="C2499" s="6" t="s">
        <v>10483</v>
      </c>
      <c r="D2499" s="5" t="s">
        <v>10482</v>
      </c>
      <c r="E2499" s="9" t="str">
        <f>HYPERLINK("https://twitter.com/baroonian/status/1035973688833843203","1035973688833843203")</f>
        <v>1035973688833843203</v>
      </c>
      <c r="F2499" s="4"/>
      <c r="G2499" s="4"/>
      <c r="H2499" s="4"/>
      <c r="I2499" s="10" t="str">
        <f>HYPERLINK("http://twitter.com","Twitter Web Client")</f>
        <v>Twitter Web Client</v>
      </c>
      <c r="J2499" s="2">
        <v>46</v>
      </c>
      <c r="K2499" s="2">
        <v>103</v>
      </c>
      <c r="L2499" s="2">
        <v>2</v>
      </c>
      <c r="M2499" s="2"/>
      <c r="N2499" s="8">
        <v>42613.523888888885</v>
      </c>
      <c r="O2499" s="4" t="s">
        <v>34</v>
      </c>
      <c r="P2499" s="3" t="s">
        <v>10481</v>
      </c>
      <c r="Q2499" s="4"/>
      <c r="R2499" s="4"/>
      <c r="S2499" s="9" t="str">
        <f>HYPERLINK("https://pbs.twimg.com/profile_images/1035755071923875840/W_Yfyp8b.jpg","View")</f>
        <v>View</v>
      </c>
    </row>
    <row r="2500" spans="1:19" ht="40">
      <c r="A2500" s="8">
        <v>43344.993263888886</v>
      </c>
      <c r="B2500" s="11" t="str">
        <f>HYPERLINK("https://twitter.com/sh_ha_n","@sh_ha_n")</f>
        <v>@sh_ha_n</v>
      </c>
      <c r="C2500" s="6" t="s">
        <v>10480</v>
      </c>
      <c r="D2500" s="5" t="s">
        <v>10479</v>
      </c>
      <c r="E2500" s="9" t="str">
        <f>HYPERLINK("https://twitter.com/sh_ha_n/status/1035970624290807808","1035970624290807808")</f>
        <v>1035970624290807808</v>
      </c>
      <c r="F2500" s="4"/>
      <c r="G2500" s="10" t="s">
        <v>10478</v>
      </c>
      <c r="H2500" s="4"/>
      <c r="I2500" s="10" t="str">
        <f>HYPERLINK("http://twitter.com/download/android","Twitter for Android")</f>
        <v>Twitter for Android</v>
      </c>
      <c r="J2500" s="2">
        <v>1504</v>
      </c>
      <c r="K2500" s="2">
        <v>917</v>
      </c>
      <c r="L2500" s="2">
        <v>12</v>
      </c>
      <c r="M2500" s="2"/>
      <c r="N2500" s="8">
        <v>41614.952592592592</v>
      </c>
      <c r="O2500" s="4" t="s">
        <v>34</v>
      </c>
      <c r="P2500" s="3" t="s">
        <v>10477</v>
      </c>
      <c r="Q2500" s="4"/>
      <c r="R2500" s="4"/>
      <c r="S2500" s="9" t="str">
        <f>HYPERLINK("https://pbs.twimg.com/profile_images/1028662268773392384/9TipqyUb.jpg","View")</f>
        <v>View</v>
      </c>
    </row>
    <row r="2501" spans="1:19" ht="30">
      <c r="A2501" s="8">
        <v>43344.991909722223</v>
      </c>
      <c r="B2501" s="11" t="str">
        <f>HYPERLINK("https://twitter.com/Mahmood17419551","@Mahmood17419551")</f>
        <v>@Mahmood17419551</v>
      </c>
      <c r="C2501" s="6" t="s">
        <v>10476</v>
      </c>
      <c r="D2501" s="5" t="s">
        <v>10475</v>
      </c>
      <c r="E2501" s="9" t="str">
        <f>HYPERLINK("https://twitter.com/Mahmood17419551/status/1035970132533764097","1035970132533764097")</f>
        <v>1035970132533764097</v>
      </c>
      <c r="F2501" s="4"/>
      <c r="G2501" s="4"/>
      <c r="H2501" s="4"/>
      <c r="I2501" s="10" t="str">
        <f>HYPERLINK("http://twitter.com/download/android","Twitter for Android")</f>
        <v>Twitter for Android</v>
      </c>
      <c r="J2501" s="2">
        <v>85</v>
      </c>
      <c r="K2501" s="2">
        <v>81</v>
      </c>
      <c r="L2501" s="2">
        <v>0</v>
      </c>
      <c r="M2501" s="2"/>
      <c r="N2501" s="8">
        <v>42783.965960648144</v>
      </c>
      <c r="O2501" s="4"/>
      <c r="P2501" s="3"/>
      <c r="Q2501" s="10" t="s">
        <v>10474</v>
      </c>
      <c r="R2501" s="4"/>
      <c r="S2501" s="9" t="str">
        <f>HYPERLINK("https://pbs.twimg.com/profile_images/855490716319002624/nHLH9nY9.jpg","View")</f>
        <v>View</v>
      </c>
    </row>
    <row r="2502" spans="1:19" ht="20">
      <c r="A2502" s="8">
        <v>43344.991296296299</v>
      </c>
      <c r="B2502" s="11" t="str">
        <f>HYPERLINK("https://twitter.com/Galluoss","@Galluoss")</f>
        <v>@Galluoss</v>
      </c>
      <c r="C2502" s="6" t="s">
        <v>10473</v>
      </c>
      <c r="D2502" s="5" t="s">
        <v>10472</v>
      </c>
      <c r="E2502" s="9" t="str">
        <f>HYPERLINK("https://twitter.com/Galluoss/status/1035969909799432193","1035969909799432193")</f>
        <v>1035969909799432193</v>
      </c>
      <c r="F2502" s="4"/>
      <c r="G2502" s="4"/>
      <c r="H2502" s="4"/>
      <c r="I2502" s="10" t="str">
        <f>HYPERLINK("http://twitter.com/download/android","Twitter for Android")</f>
        <v>Twitter for Android</v>
      </c>
      <c r="J2502" s="2">
        <v>228</v>
      </c>
      <c r="K2502" s="2">
        <v>145</v>
      </c>
      <c r="L2502" s="2">
        <v>0</v>
      </c>
      <c r="M2502" s="2"/>
      <c r="N2502" s="8">
        <v>42781.0237962963</v>
      </c>
      <c r="O2502" s="4" t="s">
        <v>10471</v>
      </c>
      <c r="P2502" s="3" t="s">
        <v>10470</v>
      </c>
      <c r="Q2502" s="4"/>
      <c r="R2502" s="4"/>
      <c r="S2502" s="9" t="str">
        <f>HYPERLINK("https://pbs.twimg.com/profile_images/987392408693493762/SnRWYEWr.jpg","View")</f>
        <v>View</v>
      </c>
    </row>
    <row r="2503" spans="1:19" ht="20">
      <c r="A2503" s="8">
        <v>43344.988055555557</v>
      </c>
      <c r="B2503" s="11" t="str">
        <f>HYPERLINK("https://twitter.com/hashemi_tegzas","@hashemi_tegzas")</f>
        <v>@hashemi_tegzas</v>
      </c>
      <c r="C2503" s="6" t="s">
        <v>8977</v>
      </c>
      <c r="D2503" s="5" t="s">
        <v>10469</v>
      </c>
      <c r="E2503" s="9" t="str">
        <f>HYPERLINK("https://twitter.com/hashemi_tegzas/status/1035968735574667265","1035968735574667265")</f>
        <v>1035968735574667265</v>
      </c>
      <c r="F2503" s="4"/>
      <c r="G2503" s="4"/>
      <c r="H2503" s="4"/>
      <c r="I2503" s="10" t="str">
        <f>HYPERLINK("http://twitter.com/download/android","Twitter for Android")</f>
        <v>Twitter for Android</v>
      </c>
      <c r="J2503" s="2">
        <v>231</v>
      </c>
      <c r="K2503" s="2">
        <v>633</v>
      </c>
      <c r="L2503" s="2">
        <v>0</v>
      </c>
      <c r="M2503" s="2"/>
      <c r="N2503" s="8">
        <v>43076.265486111108</v>
      </c>
      <c r="O2503" s="4" t="s">
        <v>8974</v>
      </c>
      <c r="P2503" s="3" t="s">
        <v>8973</v>
      </c>
      <c r="Q2503" s="4"/>
      <c r="R2503" s="4"/>
      <c r="S2503" s="9" t="str">
        <f>HYPERLINK("https://pbs.twimg.com/profile_images/1032334629980790785/ugwrIo36.jpg","View")</f>
        <v>View</v>
      </c>
    </row>
    <row r="2504" spans="1:19" ht="30">
      <c r="A2504" s="8">
        <v>43344.986701388887</v>
      </c>
      <c r="B2504" s="11" t="str">
        <f>HYPERLINK("https://twitter.com/fa_akbarshahi","@fa_akbarshahi")</f>
        <v>@fa_akbarshahi</v>
      </c>
      <c r="C2504" s="6" t="s">
        <v>10468</v>
      </c>
      <c r="D2504" s="5" t="s">
        <v>10467</v>
      </c>
      <c r="E2504" s="9" t="str">
        <f>HYPERLINK("https://twitter.com/fa_akbarshahi/status/1035968245902323714","1035968245902323714")</f>
        <v>1035968245902323714</v>
      </c>
      <c r="F2504" s="4"/>
      <c r="G2504" s="4"/>
      <c r="H2504" s="4"/>
      <c r="I2504" s="10" t="str">
        <f>HYPERLINK("http://twitter.com/download/android","Twitter for Android")</f>
        <v>Twitter for Android</v>
      </c>
      <c r="J2504" s="2">
        <v>3406</v>
      </c>
      <c r="K2504" s="2">
        <v>228</v>
      </c>
      <c r="L2504" s="2">
        <v>20</v>
      </c>
      <c r="M2504" s="2"/>
      <c r="N2504" s="8">
        <v>42961.759999999995</v>
      </c>
      <c r="O2504" s="4"/>
      <c r="P2504" s="3" t="s">
        <v>10466</v>
      </c>
      <c r="Q2504" s="10" t="s">
        <v>10465</v>
      </c>
      <c r="R2504" s="4"/>
      <c r="S2504" s="9" t="str">
        <f>HYPERLINK("https://pbs.twimg.com/profile_images/1034456935372922880/zSklHhEW.jpg","View")</f>
        <v>View</v>
      </c>
    </row>
    <row r="2505" spans="1:19" ht="30">
      <c r="A2505" s="8">
        <v>43344.986018518517</v>
      </c>
      <c r="B2505" s="11" t="str">
        <f>HYPERLINK("https://twitter.com/MorvaridSaied","@MorvaridSaied")</f>
        <v>@MorvaridSaied</v>
      </c>
      <c r="C2505" s="6" t="s">
        <v>10464</v>
      </c>
      <c r="D2505" s="5" t="s">
        <v>10463</v>
      </c>
      <c r="E2505" s="9" t="str">
        <f>HYPERLINK("https://twitter.com/MorvaridSaied/status/1035967998375460870","1035967998375460870")</f>
        <v>1035967998375460870</v>
      </c>
      <c r="F2505" s="4"/>
      <c r="G2505" s="4"/>
      <c r="H2505" s="4"/>
      <c r="I2505" s="10" t="str">
        <f>HYPERLINK("http://twitter.com/download/iphone","Twitter for iPhone")</f>
        <v>Twitter for iPhone</v>
      </c>
      <c r="J2505" s="2">
        <v>72</v>
      </c>
      <c r="K2505" s="2">
        <v>334</v>
      </c>
      <c r="L2505" s="2">
        <v>0</v>
      </c>
      <c r="M2505" s="2"/>
      <c r="N2505" s="8">
        <v>43102.867326388892</v>
      </c>
      <c r="O2505" s="4"/>
      <c r="P2505" s="3" t="s">
        <v>10462</v>
      </c>
      <c r="Q2505" s="4"/>
      <c r="R2505" s="4"/>
      <c r="S2505" s="9" t="str">
        <f>HYPERLINK("https://pbs.twimg.com/profile_images/959491256421437440/jehDGJAu.jpg","View")</f>
        <v>View</v>
      </c>
    </row>
    <row r="2506" spans="1:19" ht="30">
      <c r="A2506" s="8">
        <v>43344.981828703705</v>
      </c>
      <c r="B2506" s="11" t="str">
        <f>HYPERLINK("https://twitter.com/amir_gtt","@amir_gtt")</f>
        <v>@amir_gtt</v>
      </c>
      <c r="C2506" s="6" t="s">
        <v>10461</v>
      </c>
      <c r="D2506" s="5" t="s">
        <v>10460</v>
      </c>
      <c r="E2506" s="9" t="str">
        <f>HYPERLINK("https://twitter.com/amir_gtt/status/1035966478867156992","1035966478867156992")</f>
        <v>1035966478867156992</v>
      </c>
      <c r="F2506" s="4"/>
      <c r="G2506" s="4"/>
      <c r="H2506" s="4"/>
      <c r="I2506" s="10" t="str">
        <f>HYPERLINK("http://twitter.com/download/android","Twitter for Android")</f>
        <v>Twitter for Android</v>
      </c>
      <c r="J2506" s="2">
        <v>1622</v>
      </c>
      <c r="K2506" s="2">
        <v>1947</v>
      </c>
      <c r="L2506" s="2">
        <v>0</v>
      </c>
      <c r="M2506" s="2"/>
      <c r="N2506" s="8">
        <v>42679.832870370374</v>
      </c>
      <c r="O2506" s="4" t="s">
        <v>10459</v>
      </c>
      <c r="P2506" s="3" t="s">
        <v>10458</v>
      </c>
      <c r="Q2506" s="4"/>
      <c r="R2506" s="4"/>
      <c r="S2506" s="9" t="str">
        <f>HYPERLINK("https://pbs.twimg.com/profile_images/984974757471969283/ro9bgOlX.jpg","View")</f>
        <v>View</v>
      </c>
    </row>
    <row r="2507" spans="1:19" ht="40">
      <c r="A2507" s="8">
        <v>43344.980578703704</v>
      </c>
      <c r="B2507" s="11" t="str">
        <f>HYPERLINK("https://twitter.com/RafatiSiavash","@RafatiSiavash")</f>
        <v>@RafatiSiavash</v>
      </c>
      <c r="C2507" s="6" t="s">
        <v>3226</v>
      </c>
      <c r="D2507" s="5" t="s">
        <v>10457</v>
      </c>
      <c r="E2507" s="9" t="str">
        <f>HYPERLINK("https://twitter.com/RafatiSiavash/status/1035966026784165888","1035966026784165888")</f>
        <v>1035966026784165888</v>
      </c>
      <c r="F2507" s="10" t="s">
        <v>10456</v>
      </c>
      <c r="G2507" s="4"/>
      <c r="H2507" s="4"/>
      <c r="I2507" s="10" t="str">
        <f>HYPERLINK("http://twitter.com","Twitter Web Client")</f>
        <v>Twitter Web Client</v>
      </c>
      <c r="J2507" s="2">
        <v>288</v>
      </c>
      <c r="K2507" s="2">
        <v>230</v>
      </c>
      <c r="L2507" s="2">
        <v>87</v>
      </c>
      <c r="M2507" s="2"/>
      <c r="N2507" s="8">
        <v>41050.769884259258</v>
      </c>
      <c r="O2507" s="4"/>
      <c r="P2507" s="3" t="s">
        <v>3223</v>
      </c>
      <c r="Q2507" s="10" t="s">
        <v>3222</v>
      </c>
      <c r="R2507" s="4"/>
      <c r="S2507" s="9" t="str">
        <f>HYPERLINK("https://pbs.twimg.com/profile_images/821385868690751488/Qqe0I1Bk.jpg","View")</f>
        <v>View</v>
      </c>
    </row>
    <row r="2508" spans="1:19" ht="40">
      <c r="A2508" s="8">
        <v>43344.976539351846</v>
      </c>
      <c r="B2508" s="11" t="str">
        <f>HYPERLINK("https://twitter.com/pegahtousi","@pegahtousi")</f>
        <v>@pegahtousi</v>
      </c>
      <c r="C2508" s="6" t="s">
        <v>10455</v>
      </c>
      <c r="D2508" s="5" t="s">
        <v>10454</v>
      </c>
      <c r="E2508" s="9" t="str">
        <f>HYPERLINK("https://twitter.com/pegahtousi/status/1035964563546669057","1035964563546669057")</f>
        <v>1035964563546669057</v>
      </c>
      <c r="F2508" s="4" t="s">
        <v>10453</v>
      </c>
      <c r="G2508" s="10" t="s">
        <v>10452</v>
      </c>
      <c r="H2508" s="4"/>
      <c r="I2508" s="10" t="str">
        <f>HYPERLINK("http://twitter.com/download/iphone","Twitter for iPhone")</f>
        <v>Twitter for iPhone</v>
      </c>
      <c r="J2508" s="2">
        <v>194</v>
      </c>
      <c r="K2508" s="2">
        <v>145</v>
      </c>
      <c r="L2508" s="2">
        <v>0</v>
      </c>
      <c r="M2508" s="2"/>
      <c r="N2508" s="8">
        <v>42832.80846064815</v>
      </c>
      <c r="O2508" s="4"/>
      <c r="P2508" s="3"/>
      <c r="Q2508" s="4"/>
      <c r="R2508" s="4"/>
      <c r="S2508" s="9" t="str">
        <f>HYPERLINK("https://pbs.twimg.com/profile_images/949757590665400320/p3nNxQX-.jpg","View")</f>
        <v>View</v>
      </c>
    </row>
    <row r="2509" spans="1:19" ht="30">
      <c r="A2509" s="8">
        <v>43344.975138888884</v>
      </c>
      <c r="B2509" s="11" t="str">
        <f>HYPERLINK("https://twitter.com/warrior609","@warrior609")</f>
        <v>@warrior609</v>
      </c>
      <c r="C2509" s="6" t="s">
        <v>10451</v>
      </c>
      <c r="D2509" s="5" t="s">
        <v>10450</v>
      </c>
      <c r="E2509" s="9" t="str">
        <f>HYPERLINK("https://twitter.com/warrior609/status/1035964052516814848","1035964052516814848")</f>
        <v>1035964052516814848</v>
      </c>
      <c r="F2509" s="4"/>
      <c r="G2509" s="4"/>
      <c r="H2509" s="4"/>
      <c r="I2509" s="10" t="str">
        <f>HYPERLINK("http://twitter.com/download/iphone","Twitter for iPhone")</f>
        <v>Twitter for iPhone</v>
      </c>
      <c r="J2509" s="2">
        <v>38</v>
      </c>
      <c r="K2509" s="2">
        <v>78</v>
      </c>
      <c r="L2509" s="2">
        <v>0</v>
      </c>
      <c r="M2509" s="2"/>
      <c r="N2509" s="8">
        <v>43066.602523148147</v>
      </c>
      <c r="O2509" s="4"/>
      <c r="P2509" s="3"/>
      <c r="Q2509" s="4"/>
      <c r="R2509" s="4"/>
      <c r="S2509" s="9" t="str">
        <f>HYPERLINK("https://pbs.twimg.com/profile_images/1015056182589968385/tu5RSTf7.jpg","View")</f>
        <v>View</v>
      </c>
    </row>
    <row r="2510" spans="1:19" ht="30">
      <c r="A2510" s="8">
        <v>43344.971354166672</v>
      </c>
      <c r="B2510" s="11" t="str">
        <f>HYPERLINK("https://twitter.com/yekagah","@yekagah")</f>
        <v>@yekagah</v>
      </c>
      <c r="C2510" s="6" t="s">
        <v>8</v>
      </c>
      <c r="D2510" s="5" t="s">
        <v>10449</v>
      </c>
      <c r="E2510" s="9" t="str">
        <f>HYPERLINK("https://twitter.com/yekagah/status/1035962683017908225","1035962683017908225")</f>
        <v>1035962683017908225</v>
      </c>
      <c r="F2510" s="4"/>
      <c r="G2510" s="4"/>
      <c r="H2510" s="4"/>
      <c r="I2510" s="10" t="str">
        <f>HYPERLINK("http://twitter.com/download/android","Twitter for Android")</f>
        <v>Twitter for Android</v>
      </c>
      <c r="J2510" s="2">
        <v>727</v>
      </c>
      <c r="K2510" s="2">
        <v>838</v>
      </c>
      <c r="L2510" s="2">
        <v>2</v>
      </c>
      <c r="M2510" s="2"/>
      <c r="N2510" s="8">
        <v>42837.615104166667</v>
      </c>
      <c r="O2510" s="4"/>
      <c r="P2510" s="3" t="s">
        <v>5</v>
      </c>
      <c r="Q2510" s="4"/>
      <c r="R2510" s="4"/>
      <c r="S2510" s="9" t="str">
        <f>HYPERLINK("https://pbs.twimg.com/profile_images/859483031224164356/5EzrnkDQ.jpg","View")</f>
        <v>View</v>
      </c>
    </row>
    <row r="2511" spans="1:19" ht="20">
      <c r="A2511" s="8">
        <v>43344.971076388887</v>
      </c>
      <c r="B2511" s="11" t="str">
        <f>HYPERLINK("https://twitter.com/Jj2JWMulvWL0NFP","@Jj2JWMulvWL0NFP")</f>
        <v>@Jj2JWMulvWL0NFP</v>
      </c>
      <c r="C2511" s="6" t="s">
        <v>10327</v>
      </c>
      <c r="D2511" s="5" t="s">
        <v>10448</v>
      </c>
      <c r="E2511" s="9" t="str">
        <f>HYPERLINK("https://twitter.com/Jj2JWMulvWL0NFP/status/1035962583185088514","1035962583185088514")</f>
        <v>1035962583185088514</v>
      </c>
      <c r="F2511" s="4"/>
      <c r="G2511" s="4"/>
      <c r="H2511" s="4"/>
      <c r="I2511" s="10" t="str">
        <f>HYPERLINK("http://twitter.com/download/android","Twitter for Android")</f>
        <v>Twitter for Android</v>
      </c>
      <c r="J2511" s="2">
        <v>7</v>
      </c>
      <c r="K2511" s="2">
        <v>41</v>
      </c>
      <c r="L2511" s="2">
        <v>0</v>
      </c>
      <c r="M2511" s="2"/>
      <c r="N2511" s="8">
        <v>43336.507245370369</v>
      </c>
      <c r="O2511" s="4"/>
      <c r="P2511" s="3"/>
      <c r="Q2511" s="4"/>
      <c r="R2511" s="4"/>
      <c r="S2511" s="9" t="str">
        <f>HYPERLINK("https://pbs.twimg.com/profile_images/1032896898468913152/fhYCnz49.jpg","View")</f>
        <v>View</v>
      </c>
    </row>
    <row r="2512" spans="1:19" ht="20">
      <c r="A2512" s="8">
        <v>43344.969618055555</v>
      </c>
      <c r="B2512" s="11" t="str">
        <f>HYPERLINK("https://twitter.com/Tahajavadi","@Tahajavadi")</f>
        <v>@Tahajavadi</v>
      </c>
      <c r="C2512" s="6" t="s">
        <v>10447</v>
      </c>
      <c r="D2512" s="5" t="s">
        <v>10446</v>
      </c>
      <c r="E2512" s="9" t="str">
        <f>HYPERLINK("https://twitter.com/Tahajavadi/status/1035962053893206019","1035962053893206019")</f>
        <v>1035962053893206019</v>
      </c>
      <c r="F2512" s="4"/>
      <c r="G2512" s="4"/>
      <c r="H2512" s="4"/>
      <c r="I2512" s="10" t="str">
        <f>HYPERLINK("http://twitter.com/download/android","Twitter for Android")</f>
        <v>Twitter for Android</v>
      </c>
      <c r="J2512" s="2">
        <v>22</v>
      </c>
      <c r="K2512" s="2">
        <v>18</v>
      </c>
      <c r="L2512" s="2">
        <v>0</v>
      </c>
      <c r="M2512" s="2"/>
      <c r="N2512" s="8">
        <v>43309.535659722227</v>
      </c>
      <c r="O2512" s="4" t="s">
        <v>17</v>
      </c>
      <c r="P2512" s="3" t="s">
        <v>10445</v>
      </c>
      <c r="Q2512" s="4"/>
      <c r="R2512" s="4"/>
      <c r="S2512" s="9" t="str">
        <f>HYPERLINK("https://pbs.twimg.com/profile_images/1031290485753622528/a04GGRBs.jpg","View")</f>
        <v>View</v>
      </c>
    </row>
    <row r="2513" spans="1:19" ht="30">
      <c r="A2513" s="8">
        <v>43344.96603009259</v>
      </c>
      <c r="B2513" s="11" t="str">
        <f>HYPERLINK("https://twitter.com/IranIntl","@IranIntl")</f>
        <v>@IranIntl</v>
      </c>
      <c r="C2513" s="6" t="s">
        <v>2253</v>
      </c>
      <c r="D2513" s="5" t="s">
        <v>10444</v>
      </c>
      <c r="E2513" s="9" t="str">
        <f>HYPERLINK("https://twitter.com/IranIntl/status/1035960753902309377","1035960753902309377")</f>
        <v>1035960753902309377</v>
      </c>
      <c r="F2513" s="4"/>
      <c r="G2513" s="10" t="s">
        <v>10443</v>
      </c>
      <c r="H2513" s="4"/>
      <c r="I2513" s="10" t="str">
        <f>HYPERLINK("http://twitter.com","Twitter Web Client")</f>
        <v>Twitter Web Client</v>
      </c>
      <c r="J2513" s="2">
        <v>10472</v>
      </c>
      <c r="K2513" s="2">
        <v>38</v>
      </c>
      <c r="L2513" s="2">
        <v>70</v>
      </c>
      <c r="M2513" s="2"/>
      <c r="N2513" s="8">
        <v>42495.854155092587</v>
      </c>
      <c r="O2513" s="4" t="s">
        <v>2250</v>
      </c>
      <c r="P2513" s="3" t="s">
        <v>2249</v>
      </c>
      <c r="Q2513" s="10" t="s">
        <v>2248</v>
      </c>
      <c r="R2513" s="4"/>
      <c r="S2513" s="9" t="str">
        <f>HYPERLINK("https://pbs.twimg.com/profile_images/959109044987416576/LIHHUain.jpg","View")</f>
        <v>View</v>
      </c>
    </row>
    <row r="2514" spans="1:19" ht="40">
      <c r="A2514" s="8">
        <v>43344.963738425926</v>
      </c>
      <c r="B2514" s="11" t="str">
        <f>HYPERLINK("https://twitter.com/Mohamadfeyzi74","@Mohamadfeyzi74")</f>
        <v>@Mohamadfeyzi74</v>
      </c>
      <c r="C2514" s="6" t="s">
        <v>10442</v>
      </c>
      <c r="D2514" s="5" t="s">
        <v>10441</v>
      </c>
      <c r="E2514" s="9" t="str">
        <f>HYPERLINK("https://twitter.com/Mohamadfeyzi74/status/1035959924780675073","1035959924780675073")</f>
        <v>1035959924780675073</v>
      </c>
      <c r="F2514" s="4"/>
      <c r="G2514" s="4"/>
      <c r="H2514" s="4"/>
      <c r="I2514" s="10" t="str">
        <f>HYPERLINK("https://mobile.twitter.com","Twitter Lite")</f>
        <v>Twitter Lite</v>
      </c>
      <c r="J2514" s="2">
        <v>179</v>
      </c>
      <c r="K2514" s="2">
        <v>600</v>
      </c>
      <c r="L2514" s="2">
        <v>0</v>
      </c>
      <c r="M2514" s="2"/>
      <c r="N2514" s="8">
        <v>41481.058518518519</v>
      </c>
      <c r="O2514" s="4"/>
      <c r="P2514" s="3" t="s">
        <v>10440</v>
      </c>
      <c r="Q2514" s="4"/>
      <c r="R2514" s="4"/>
      <c r="S2514" s="9" t="str">
        <f>HYPERLINK("https://pbs.twimg.com/profile_images/1035134638505820161/zLJ72hSi.jpg","View")</f>
        <v>View</v>
      </c>
    </row>
    <row r="2515" spans="1:19" ht="40">
      <c r="A2515" s="8">
        <v>43344.96292824074</v>
      </c>
      <c r="B2515" s="11" t="str">
        <f>HYPERLINK("https://twitter.com/Gharghetamana","@Gharghetamana")</f>
        <v>@Gharghetamana</v>
      </c>
      <c r="C2515" s="6" t="s">
        <v>10439</v>
      </c>
      <c r="D2515" s="5" t="s">
        <v>10438</v>
      </c>
      <c r="E2515" s="9" t="str">
        <f>HYPERLINK("https://twitter.com/Gharghetamana/status/1035959628788625408","1035959628788625408")</f>
        <v>1035959628788625408</v>
      </c>
      <c r="F2515" s="4"/>
      <c r="G2515" s="4"/>
      <c r="H2515" s="4"/>
      <c r="I2515" s="10" t="str">
        <f>HYPERLINK("http://twitter.com/download/android","Twitter for Android")</f>
        <v>Twitter for Android</v>
      </c>
      <c r="J2515" s="2">
        <v>90</v>
      </c>
      <c r="K2515" s="2">
        <v>228</v>
      </c>
      <c r="L2515" s="2">
        <v>0</v>
      </c>
      <c r="M2515" s="2"/>
      <c r="N2515" s="8">
        <v>43112.613518518519</v>
      </c>
      <c r="O2515" s="4" t="s">
        <v>10437</v>
      </c>
      <c r="P2515" s="3" t="s">
        <v>10436</v>
      </c>
      <c r="Q2515" s="4"/>
      <c r="R2515" s="4"/>
      <c r="S2515" s="9" t="str">
        <f>HYPERLINK("https://pbs.twimg.com/profile_images/1012978971162619904/Yfhdvj6r.jpg","View")</f>
        <v>View</v>
      </c>
    </row>
    <row r="2516" spans="1:19" ht="20">
      <c r="A2516" s="8">
        <v>43344.960543981477</v>
      </c>
      <c r="B2516" s="11" t="str">
        <f>HYPERLINK("https://twitter.com/smnejadhendi","@smnejadhendi")</f>
        <v>@smnejadhendi</v>
      </c>
      <c r="C2516" s="6" t="s">
        <v>10435</v>
      </c>
      <c r="D2516" s="5" t="s">
        <v>10434</v>
      </c>
      <c r="E2516" s="9" t="str">
        <f>HYPERLINK("https://twitter.com/smnejadhendi/status/1035958766917890048","1035958766917890048")</f>
        <v>1035958766917890048</v>
      </c>
      <c r="F2516" s="4"/>
      <c r="G2516" s="4"/>
      <c r="H2516" s="4"/>
      <c r="I2516" s="10" t="str">
        <f>HYPERLINK("http://twitter.com/download/android","Twitter for Android")</f>
        <v>Twitter for Android</v>
      </c>
      <c r="J2516" s="2">
        <v>214</v>
      </c>
      <c r="K2516" s="2">
        <v>588</v>
      </c>
      <c r="L2516" s="2">
        <v>1</v>
      </c>
      <c r="M2516" s="2"/>
      <c r="N2516" s="8">
        <v>41706.947627314818</v>
      </c>
      <c r="O2516" s="4" t="s">
        <v>104</v>
      </c>
      <c r="P2516" s="3" t="s">
        <v>10433</v>
      </c>
      <c r="Q2516" s="4"/>
      <c r="R2516" s="4"/>
      <c r="S2516" s="9" t="str">
        <f>HYPERLINK("https://pbs.twimg.com/profile_images/1032677776908726272/Irk6Mlmq.jpg","View")</f>
        <v>View</v>
      </c>
    </row>
    <row r="2517" spans="1:19" ht="60">
      <c r="A2517" s="8">
        <v>43344.960381944446</v>
      </c>
      <c r="B2517" s="11" t="str">
        <f>HYPERLINK("https://twitter.com/Ebrahimielaheh","@Ebrahimielaheh")</f>
        <v>@Ebrahimielaheh</v>
      </c>
      <c r="C2517" s="6" t="s">
        <v>10432</v>
      </c>
      <c r="D2517" s="5" t="s">
        <v>10431</v>
      </c>
      <c r="E2517" s="9" t="str">
        <f>HYPERLINK("https://twitter.com/Ebrahimielaheh/status/1035958705504890886","1035958705504890886")</f>
        <v>1035958705504890886</v>
      </c>
      <c r="F2517" s="10" t="s">
        <v>10430</v>
      </c>
      <c r="G2517" s="4"/>
      <c r="H2517" s="4"/>
      <c r="I2517" s="10" t="str">
        <f>HYPERLINK("http://twitter.com/download/android","Twitter for Android")</f>
        <v>Twitter for Android</v>
      </c>
      <c r="J2517" s="2">
        <v>704</v>
      </c>
      <c r="K2517" s="2">
        <v>378</v>
      </c>
      <c r="L2517" s="2">
        <v>5</v>
      </c>
      <c r="M2517" s="2"/>
      <c r="N2517" s="8">
        <v>42905.079918981486</v>
      </c>
      <c r="O2517" s="4" t="s">
        <v>133</v>
      </c>
      <c r="P2517" s="3" t="s">
        <v>10429</v>
      </c>
      <c r="Q2517" s="4"/>
      <c r="R2517" s="4"/>
      <c r="S2517" s="9" t="str">
        <f>HYPERLINK("https://pbs.twimg.com/profile_images/998985229078482944/UtkcAGal.jpg","View")</f>
        <v>View</v>
      </c>
    </row>
    <row r="2518" spans="1:19" ht="40">
      <c r="A2518" s="8">
        <v>43344.960347222222</v>
      </c>
      <c r="B2518" s="11" t="str">
        <f>HYPERLINK("https://twitter.com/biman64","@biman64")</f>
        <v>@biman64</v>
      </c>
      <c r="C2518" s="6" t="s">
        <v>10428</v>
      </c>
      <c r="D2518" s="5" t="s">
        <v>10427</v>
      </c>
      <c r="E2518" s="9" t="str">
        <f>HYPERLINK("https://twitter.com/biman64/status/1035958695144902657","1035958695144902657")</f>
        <v>1035958695144902657</v>
      </c>
      <c r="F2518" s="4"/>
      <c r="G2518" s="4"/>
      <c r="H2518" s="4"/>
      <c r="I2518" s="10" t="str">
        <f>HYPERLINK("http://twitter.com/download/iphone","Twitter for iPhone")</f>
        <v>Twitter for iPhone</v>
      </c>
      <c r="J2518" s="2">
        <v>5600</v>
      </c>
      <c r="K2518" s="2">
        <v>1211</v>
      </c>
      <c r="L2518" s="2">
        <v>61</v>
      </c>
      <c r="M2518" s="2" t="s">
        <v>80</v>
      </c>
      <c r="N2518" s="8">
        <v>40571.805196759262</v>
      </c>
      <c r="O2518" s="4" t="s">
        <v>10426</v>
      </c>
      <c r="P2518" s="3" t="s">
        <v>10425</v>
      </c>
      <c r="Q2518" s="10" t="s">
        <v>598</v>
      </c>
      <c r="R2518" s="4"/>
      <c r="S2518" s="9" t="str">
        <f>HYPERLINK("https://pbs.twimg.com/profile_images/949901220650532864/6dpkqb2k.jpg","View")</f>
        <v>View</v>
      </c>
    </row>
    <row r="2519" spans="1:19" ht="20">
      <c r="A2519" s="8">
        <v>43344.959201388891</v>
      </c>
      <c r="B2519" s="11" t="str">
        <f>HYPERLINK("https://twitter.com/hamed_pahlevani","@hamed_pahlevani")</f>
        <v>@hamed_pahlevani</v>
      </c>
      <c r="C2519" s="6" t="s">
        <v>183</v>
      </c>
      <c r="D2519" s="5" t="s">
        <v>10424</v>
      </c>
      <c r="E2519" s="9" t="str">
        <f>HYPERLINK("https://twitter.com/hamed_pahlevani/status/1035958277119660032","1035958277119660032")</f>
        <v>1035958277119660032</v>
      </c>
      <c r="F2519" s="4"/>
      <c r="G2519" s="4"/>
      <c r="H2519" s="4"/>
      <c r="I2519" s="10" t="str">
        <f>HYPERLINK("http://twitter.com/download/iphone","Twitter for iPhone")</f>
        <v>Twitter for iPhone</v>
      </c>
      <c r="J2519" s="2">
        <v>3949</v>
      </c>
      <c r="K2519" s="2">
        <v>306</v>
      </c>
      <c r="L2519" s="2">
        <v>36</v>
      </c>
      <c r="M2519" s="2"/>
      <c r="N2519" s="8">
        <v>41060.704652777778</v>
      </c>
      <c r="O2519" s="4" t="s">
        <v>34</v>
      </c>
      <c r="P2519" s="3" t="s">
        <v>180</v>
      </c>
      <c r="Q2519" s="10" t="s">
        <v>179</v>
      </c>
      <c r="R2519" s="4"/>
      <c r="S2519" s="9" t="str">
        <f>HYPERLINK("https://pbs.twimg.com/profile_images/977278551279001600/wYTXF58j.jpg","View")</f>
        <v>View</v>
      </c>
    </row>
    <row r="2520" spans="1:19" ht="20">
      <c r="A2520" s="8">
        <v>43344.958194444444</v>
      </c>
      <c r="B2520" s="11" t="str">
        <f>HYPERLINK("https://twitter.com/ya_ssin59","@ya_ssin59")</f>
        <v>@ya_ssin59</v>
      </c>
      <c r="C2520" s="6" t="s">
        <v>1839</v>
      </c>
      <c r="D2520" s="5" t="s">
        <v>10423</v>
      </c>
      <c r="E2520" s="9" t="str">
        <f>HYPERLINK("https://twitter.com/ya_ssin59/status/1035957913205043200","1035957913205043200")</f>
        <v>1035957913205043200</v>
      </c>
      <c r="F2520" s="4"/>
      <c r="G2520" s="4"/>
      <c r="H2520" s="4"/>
      <c r="I2520" s="10" t="str">
        <f>HYPERLINK("http://twitter.com","Twitter Web Client")</f>
        <v>Twitter Web Client</v>
      </c>
      <c r="J2520" s="2">
        <v>189</v>
      </c>
      <c r="K2520" s="2">
        <v>304</v>
      </c>
      <c r="L2520" s="2">
        <v>0</v>
      </c>
      <c r="M2520" s="2"/>
      <c r="N2520" s="8">
        <v>43127.943101851852</v>
      </c>
      <c r="O2520" s="4" t="s">
        <v>1837</v>
      </c>
      <c r="P2520" s="3" t="s">
        <v>10422</v>
      </c>
      <c r="Q2520" s="4"/>
      <c r="R2520" s="4"/>
      <c r="S2520" s="9" t="str">
        <f>HYPERLINK("https://pbs.twimg.com/profile_images/1034894981335592963/qJ14dqio.jpg","View")</f>
        <v>View</v>
      </c>
    </row>
    <row r="2521" spans="1:19" ht="40">
      <c r="A2521" s="8">
        <v>43344.955671296295</v>
      </c>
      <c r="B2521" s="11" t="str">
        <f>HYPERLINK("https://twitter.com/khoshbakht_a","@khoshbakht_a")</f>
        <v>@khoshbakht_a</v>
      </c>
      <c r="C2521" s="6" t="s">
        <v>10421</v>
      </c>
      <c r="D2521" s="5" t="s">
        <v>10420</v>
      </c>
      <c r="E2521" s="9" t="str">
        <f>HYPERLINK("https://twitter.com/khoshbakht_a/status/1035956997764444165","1035956997764444165")</f>
        <v>1035956997764444165</v>
      </c>
      <c r="F2521" s="4"/>
      <c r="G2521" s="4"/>
      <c r="H2521" s="4"/>
      <c r="I2521" s="10" t="str">
        <f>HYPERLINK("http://twitter.com","Twitter Web Client")</f>
        <v>Twitter Web Client</v>
      </c>
      <c r="J2521" s="2">
        <v>3053</v>
      </c>
      <c r="K2521" s="2">
        <v>820</v>
      </c>
      <c r="L2521" s="2">
        <v>13</v>
      </c>
      <c r="M2521" s="2"/>
      <c r="N2521" s="8">
        <v>42574.597881944443</v>
      </c>
      <c r="O2521" s="4"/>
      <c r="P2521" s="3" t="s">
        <v>10419</v>
      </c>
      <c r="Q2521" s="4"/>
      <c r="R2521" s="4"/>
      <c r="S2521" s="9" t="str">
        <f>HYPERLINK("https://pbs.twimg.com/profile_images/881074691275804672/iRs0cZVP.jpg","View")</f>
        <v>View</v>
      </c>
    </row>
    <row r="2522" spans="1:19" ht="30">
      <c r="A2522" s="8">
        <v>43344.954618055555</v>
      </c>
      <c r="B2522" s="11" t="str">
        <f>HYPERLINK("https://twitter.com/mahmood_cheragh","@mahmood_cheragh")</f>
        <v>@mahmood_cheragh</v>
      </c>
      <c r="C2522" s="6" t="s">
        <v>10418</v>
      </c>
      <c r="D2522" s="5" t="s">
        <v>10417</v>
      </c>
      <c r="E2522" s="9" t="str">
        <f>HYPERLINK("https://twitter.com/mahmood_cheragh/status/1035956617865568256","1035956617865568256")</f>
        <v>1035956617865568256</v>
      </c>
      <c r="F2522" s="4"/>
      <c r="G2522" s="4"/>
      <c r="H2522" s="4"/>
      <c r="I2522" s="10" t="str">
        <f>HYPERLINK("http://twitter.com/download/android","Twitter for Android")</f>
        <v>Twitter for Android</v>
      </c>
      <c r="J2522" s="2">
        <v>1350</v>
      </c>
      <c r="K2522" s="2">
        <v>3746</v>
      </c>
      <c r="L2522" s="2">
        <v>1</v>
      </c>
      <c r="M2522" s="2"/>
      <c r="N2522" s="8">
        <v>41810.58693287037</v>
      </c>
      <c r="O2522" s="4" t="s">
        <v>10416</v>
      </c>
      <c r="P2522" s="3" t="s">
        <v>10415</v>
      </c>
      <c r="Q2522" s="4"/>
      <c r="R2522" s="4"/>
      <c r="S2522" s="9" t="str">
        <f>HYPERLINK("https://pbs.twimg.com/profile_images/664744325109014528/G2KkuZ_q.jpg","View")</f>
        <v>View</v>
      </c>
    </row>
    <row r="2523" spans="1:19" ht="40">
      <c r="A2523" s="8">
        <v>43344.953946759255</v>
      </c>
      <c r="B2523" s="11" t="str">
        <f>HYPERLINK("https://twitter.com/kiarashhoseiny","@kiarashhoseiny")</f>
        <v>@kiarashhoseiny</v>
      </c>
      <c r="C2523" s="6" t="s">
        <v>10414</v>
      </c>
      <c r="D2523" s="5" t="s">
        <v>10413</v>
      </c>
      <c r="E2523" s="9" t="str">
        <f>HYPERLINK("https://twitter.com/kiarashhoseiny/status/1035956374859997184","1035956374859997184")</f>
        <v>1035956374859997184</v>
      </c>
      <c r="F2523" s="4"/>
      <c r="G2523" s="4"/>
      <c r="H2523" s="4"/>
      <c r="I2523" s="10" t="str">
        <f>HYPERLINK("http://twitter.com","Twitter Web Client")</f>
        <v>Twitter Web Client</v>
      </c>
      <c r="J2523" s="2">
        <v>27</v>
      </c>
      <c r="K2523" s="2">
        <v>97</v>
      </c>
      <c r="L2523" s="2">
        <v>0</v>
      </c>
      <c r="M2523" s="2"/>
      <c r="N2523" s="8">
        <v>42096.205625000002</v>
      </c>
      <c r="O2523" s="4"/>
      <c r="P2523" s="3"/>
      <c r="Q2523" s="4"/>
      <c r="R2523" s="4"/>
      <c r="S2523" s="9" t="str">
        <f>HYPERLINK("https://pbs.twimg.com/profile_images/1026899297088880640/R3DlVIac.jpg","View")</f>
        <v>View</v>
      </c>
    </row>
    <row r="2524" spans="1:19" ht="60">
      <c r="A2524" s="8">
        <v>43344.953518518523</v>
      </c>
      <c r="B2524" s="11" t="str">
        <f>HYPERLINK("https://twitter.com/RafatiSiavash","@RafatiSiavash")</f>
        <v>@RafatiSiavash</v>
      </c>
      <c r="C2524" s="6" t="s">
        <v>3226</v>
      </c>
      <c r="D2524" s="5" t="s">
        <v>10412</v>
      </c>
      <c r="E2524" s="9" t="str">
        <f>HYPERLINK("https://twitter.com/RafatiSiavash/status/1035956217959604230","1035956217959604230")</f>
        <v>1035956217959604230</v>
      </c>
      <c r="F2524" s="10" t="s">
        <v>10411</v>
      </c>
      <c r="G2524" s="10" t="s">
        <v>10410</v>
      </c>
      <c r="H2524" s="4"/>
      <c r="I2524" s="10" t="str">
        <f>HYPERLINK("http://twitter.com","Twitter Web Client")</f>
        <v>Twitter Web Client</v>
      </c>
      <c r="J2524" s="2">
        <v>288</v>
      </c>
      <c r="K2524" s="2">
        <v>230</v>
      </c>
      <c r="L2524" s="2">
        <v>87</v>
      </c>
      <c r="M2524" s="2"/>
      <c r="N2524" s="8">
        <v>41050.769884259258</v>
      </c>
      <c r="O2524" s="4"/>
      <c r="P2524" s="3" t="s">
        <v>3223</v>
      </c>
      <c r="Q2524" s="10" t="s">
        <v>3222</v>
      </c>
      <c r="R2524" s="4"/>
      <c r="S2524" s="9" t="str">
        <f>HYPERLINK("https://pbs.twimg.com/profile_images/821385868690751488/Qqe0I1Bk.jpg","View")</f>
        <v>View</v>
      </c>
    </row>
    <row r="2525" spans="1:19" ht="30">
      <c r="A2525" s="8">
        <v>43344.950671296298</v>
      </c>
      <c r="B2525" s="11" t="str">
        <f>HYPERLINK("https://twitter.com/zakariyanarazi","@zakariyanarazi")</f>
        <v>@zakariyanarazi</v>
      </c>
      <c r="C2525" s="6" t="s">
        <v>10409</v>
      </c>
      <c r="D2525" s="5" t="s">
        <v>10408</v>
      </c>
      <c r="E2525" s="9" t="str">
        <f>HYPERLINK("https://twitter.com/zakariyanarazi/status/1035955186454421504","1035955186454421504")</f>
        <v>1035955186454421504</v>
      </c>
      <c r="F2525" s="4"/>
      <c r="G2525" s="4"/>
      <c r="H2525" s="4"/>
      <c r="I2525" s="10" t="str">
        <f>HYPERLINK("http://twitter.com/download/android","Twitter for Android")</f>
        <v>Twitter for Android</v>
      </c>
      <c r="J2525" s="2">
        <v>7661</v>
      </c>
      <c r="K2525" s="2">
        <v>2921</v>
      </c>
      <c r="L2525" s="2">
        <v>15</v>
      </c>
      <c r="M2525" s="2"/>
      <c r="N2525" s="8">
        <v>42501.791990740741</v>
      </c>
      <c r="O2525" s="4" t="s">
        <v>17</v>
      </c>
      <c r="P2525" s="3" t="s">
        <v>10407</v>
      </c>
      <c r="Q2525" s="4"/>
      <c r="R2525" s="4"/>
      <c r="S2525" s="9" t="str">
        <f>HYPERLINK("https://pbs.twimg.com/profile_images/866926794095697921/qYOLhAI9.jpg","View")</f>
        <v>View</v>
      </c>
    </row>
    <row r="2526" spans="1:19" ht="20">
      <c r="A2526" s="8">
        <v>43344.949004629627</v>
      </c>
      <c r="B2526" s="11" t="str">
        <f>HYPERLINK("https://twitter.com/hekatom","@hekatom")</f>
        <v>@hekatom</v>
      </c>
      <c r="C2526" s="6" t="s">
        <v>10406</v>
      </c>
      <c r="D2526" s="5" t="s">
        <v>10405</v>
      </c>
      <c r="E2526" s="9" t="str">
        <f>HYPERLINK("https://twitter.com/hekatom/status/1035954584823504896","1035954584823504896")</f>
        <v>1035954584823504896</v>
      </c>
      <c r="F2526" s="4"/>
      <c r="G2526" s="4"/>
      <c r="H2526" s="4"/>
      <c r="I2526" s="10" t="str">
        <f>HYPERLINK("http://twitter.com/download/android","Twitter for Android")</f>
        <v>Twitter for Android</v>
      </c>
      <c r="J2526" s="2">
        <v>17</v>
      </c>
      <c r="K2526" s="2">
        <v>104</v>
      </c>
      <c r="L2526" s="2">
        <v>0</v>
      </c>
      <c r="M2526" s="2"/>
      <c r="N2526" s="8">
        <v>42554.716458333336</v>
      </c>
      <c r="O2526" s="4"/>
      <c r="P2526" s="3"/>
      <c r="Q2526" s="4"/>
      <c r="R2526" s="4"/>
      <c r="S2526" s="2" t="s">
        <v>155</v>
      </c>
    </row>
    <row r="2527" spans="1:19" ht="20">
      <c r="A2527" s="8">
        <v>43344.948796296296</v>
      </c>
      <c r="B2527" s="11" t="str">
        <f>HYPERLINK("https://twitter.com/hamed_pahlevani","@hamed_pahlevani")</f>
        <v>@hamed_pahlevani</v>
      </c>
      <c r="C2527" s="6" t="s">
        <v>183</v>
      </c>
      <c r="D2527" s="5" t="s">
        <v>10404</v>
      </c>
      <c r="E2527" s="9" t="str">
        <f>HYPERLINK("https://twitter.com/hamed_pahlevani/status/1035954508751425536","1035954508751425536")</f>
        <v>1035954508751425536</v>
      </c>
      <c r="F2527" s="4"/>
      <c r="G2527" s="4"/>
      <c r="H2527" s="4"/>
      <c r="I2527" s="10" t="str">
        <f>HYPERLINK("http://twitter.com/download/iphone","Twitter for iPhone")</f>
        <v>Twitter for iPhone</v>
      </c>
      <c r="J2527" s="2">
        <v>3949</v>
      </c>
      <c r="K2527" s="2">
        <v>306</v>
      </c>
      <c r="L2527" s="2">
        <v>36</v>
      </c>
      <c r="M2527" s="2"/>
      <c r="N2527" s="8">
        <v>41060.704652777778</v>
      </c>
      <c r="O2527" s="4" t="s">
        <v>34</v>
      </c>
      <c r="P2527" s="3" t="s">
        <v>180</v>
      </c>
      <c r="Q2527" s="10" t="s">
        <v>179</v>
      </c>
      <c r="R2527" s="4"/>
      <c r="S2527" s="9" t="str">
        <f>HYPERLINK("https://pbs.twimg.com/profile_images/977278551279001600/wYTXF58j.jpg","View")</f>
        <v>View</v>
      </c>
    </row>
    <row r="2528" spans="1:19" ht="20">
      <c r="A2528" s="8">
        <v>43344.948564814811</v>
      </c>
      <c r="B2528" s="11" t="str">
        <f>HYPERLINK("https://twitter.com/satj3363","@satj3363")</f>
        <v>@satj3363</v>
      </c>
      <c r="C2528" s="6" t="s">
        <v>10403</v>
      </c>
      <c r="D2528" s="5" t="s">
        <v>10402</v>
      </c>
      <c r="E2528" s="9" t="str">
        <f>HYPERLINK("https://twitter.com/satj3363/status/1035954424353619968","1035954424353619968")</f>
        <v>1035954424353619968</v>
      </c>
      <c r="F2528" s="4"/>
      <c r="G2528" s="4"/>
      <c r="H2528" s="4"/>
      <c r="I2528" s="10" t="str">
        <f>HYPERLINK("http://twitter.com/download/iphone","Twitter for iPhone")</f>
        <v>Twitter for iPhone</v>
      </c>
      <c r="J2528" s="2">
        <v>295</v>
      </c>
      <c r="K2528" s="2">
        <v>935</v>
      </c>
      <c r="L2528" s="2">
        <v>0</v>
      </c>
      <c r="M2528" s="2"/>
      <c r="N2528" s="8">
        <v>40179.946967592594</v>
      </c>
      <c r="O2528" s="4"/>
      <c r="P2528" s="3" t="s">
        <v>10401</v>
      </c>
      <c r="Q2528" s="4"/>
      <c r="R2528" s="4"/>
      <c r="S2528" s="9" t="str">
        <f>HYPERLINK("https://pbs.twimg.com/profile_images/819252089029328899/BbkT6evP.jpg","View")</f>
        <v>View</v>
      </c>
    </row>
    <row r="2529" spans="1:19" ht="30">
      <c r="A2529" s="8">
        <v>43344.947002314817</v>
      </c>
      <c r="B2529" s="11" t="str">
        <f>HYPERLINK("https://twitter.com/KANDID3463","@KANDID3463")</f>
        <v>@KANDID3463</v>
      </c>
      <c r="C2529" s="6" t="s">
        <v>10383</v>
      </c>
      <c r="D2529" s="5" t="s">
        <v>10400</v>
      </c>
      <c r="E2529" s="9" t="str">
        <f>HYPERLINK("https://twitter.com/KANDID3463/status/1035953859905179648","1035953859905179648")</f>
        <v>1035953859905179648</v>
      </c>
      <c r="F2529" s="4"/>
      <c r="G2529" s="4"/>
      <c r="H2529" s="4"/>
      <c r="I2529" s="10" t="str">
        <f>HYPERLINK("http://twitter.com/download/android","Twitter for Android")</f>
        <v>Twitter for Android</v>
      </c>
      <c r="J2529" s="2">
        <v>551</v>
      </c>
      <c r="K2529" s="2">
        <v>352</v>
      </c>
      <c r="L2529" s="2">
        <v>5</v>
      </c>
      <c r="M2529" s="2"/>
      <c r="N2529" s="8">
        <v>42090.85864583333</v>
      </c>
      <c r="O2529" s="4" t="s">
        <v>682</v>
      </c>
      <c r="P2529" s="3" t="s">
        <v>10380</v>
      </c>
      <c r="Q2529" s="4"/>
      <c r="R2529" s="4"/>
      <c r="S2529" s="9" t="str">
        <f>HYPERLINK("https://pbs.twimg.com/profile_images/890725811493490688/kQ56zCPq.jpg","View")</f>
        <v>View</v>
      </c>
    </row>
    <row r="2530" spans="1:19" ht="40">
      <c r="A2530" s="8">
        <v>43344.941932870366</v>
      </c>
      <c r="B2530" s="11" t="str">
        <f>HYPERLINK("https://twitter.com/ESMAEELZAMANI1","@ESMAEELZAMANI1")</f>
        <v>@ESMAEELZAMANI1</v>
      </c>
      <c r="C2530" s="6" t="s">
        <v>8068</v>
      </c>
      <c r="D2530" s="5" t="s">
        <v>10399</v>
      </c>
      <c r="E2530" s="9" t="str">
        <f>HYPERLINK("https://twitter.com/ESMAEELZAMANI1/status/1035952020304347141","1035952020304347141")</f>
        <v>1035952020304347141</v>
      </c>
      <c r="F2530" s="4"/>
      <c r="G2530" s="4"/>
      <c r="H2530" s="4"/>
      <c r="I2530" s="10" t="str">
        <f>HYPERLINK("http://twitter.com","Twitter Web Client")</f>
        <v>Twitter Web Client</v>
      </c>
      <c r="J2530" s="2">
        <v>0</v>
      </c>
      <c r="K2530" s="2">
        <v>2</v>
      </c>
      <c r="L2530" s="2">
        <v>0</v>
      </c>
      <c r="M2530" s="2"/>
      <c r="N2530" s="8">
        <v>43327.992314814815</v>
      </c>
      <c r="O2530" s="4"/>
      <c r="P2530" s="3"/>
      <c r="Q2530" s="4"/>
      <c r="R2530" s="4"/>
      <c r="S2530" s="9" t="str">
        <f>HYPERLINK("https://pbs.twimg.com/profile_images/1031256571446054912/pOHI-dEc.jpg","View")</f>
        <v>View</v>
      </c>
    </row>
    <row r="2531" spans="1:19" ht="30">
      <c r="A2531" s="8">
        <v>43344.940474537041</v>
      </c>
      <c r="B2531" s="11" t="str">
        <f>HYPERLINK("https://twitter.com/ata_afs","@ata_afs")</f>
        <v>@ata_afs</v>
      </c>
      <c r="C2531" s="6" t="s">
        <v>1217</v>
      </c>
      <c r="D2531" s="5" t="s">
        <v>10398</v>
      </c>
      <c r="E2531" s="9" t="str">
        <f>HYPERLINK("https://twitter.com/ata_afs/status/1035951493600272384","1035951493600272384")</f>
        <v>1035951493600272384</v>
      </c>
      <c r="F2531" s="4"/>
      <c r="G2531" s="4"/>
      <c r="H2531" s="4"/>
      <c r="I2531" s="10" t="str">
        <f>HYPERLINK("http://twitter.com/download/iphone","Twitter for iPhone")</f>
        <v>Twitter for iPhone</v>
      </c>
      <c r="J2531" s="2">
        <v>376</v>
      </c>
      <c r="K2531" s="2">
        <v>693</v>
      </c>
      <c r="L2531" s="2">
        <v>0</v>
      </c>
      <c r="M2531" s="2"/>
      <c r="N2531" s="8">
        <v>41833.536099537036</v>
      </c>
      <c r="O2531" s="4" t="s">
        <v>34</v>
      </c>
      <c r="P2531" s="3" t="s">
        <v>1213</v>
      </c>
      <c r="Q2531" s="4"/>
      <c r="R2531" s="4"/>
      <c r="S2531" s="9" t="str">
        <f>HYPERLINK("https://pbs.twimg.com/profile_images/958374868008960000/IRXSv5-C.jpg","View")</f>
        <v>View</v>
      </c>
    </row>
    <row r="2532" spans="1:19" ht="40">
      <c r="A2532" s="8">
        <v>43344.933969907404</v>
      </c>
      <c r="B2532" s="11" t="str">
        <f>HYPERLINK("https://twitter.com/Mohajerbitab","@Mohajerbitab")</f>
        <v>@Mohajerbitab</v>
      </c>
      <c r="C2532" s="6" t="s">
        <v>5559</v>
      </c>
      <c r="D2532" s="5" t="s">
        <v>10397</v>
      </c>
      <c r="E2532" s="9" t="str">
        <f>HYPERLINK("https://twitter.com/Mohajerbitab/status/1035949136804302848","1035949136804302848")</f>
        <v>1035949136804302848</v>
      </c>
      <c r="F2532" s="4"/>
      <c r="G2532" s="10" t="s">
        <v>10396</v>
      </c>
      <c r="H2532" s="4"/>
      <c r="I2532" s="10" t="str">
        <f>HYPERLINK("http://twitter.com/download/android","Twitter for Android")</f>
        <v>Twitter for Android</v>
      </c>
      <c r="J2532" s="2">
        <v>108</v>
      </c>
      <c r="K2532" s="2">
        <v>153</v>
      </c>
      <c r="L2532" s="2">
        <v>1</v>
      </c>
      <c r="M2532" s="2"/>
      <c r="N2532" s="8">
        <v>43121.590682870374</v>
      </c>
      <c r="O2532" s="4" t="s">
        <v>17</v>
      </c>
      <c r="P2532" s="3" t="s">
        <v>5557</v>
      </c>
      <c r="Q2532" s="4"/>
      <c r="R2532" s="4"/>
      <c r="S2532" s="9" t="str">
        <f>HYPERLINK("https://pbs.twimg.com/profile_images/955038416697200645/y-gtAR_w.jpg","View")</f>
        <v>View</v>
      </c>
    </row>
    <row r="2533" spans="1:19" ht="40">
      <c r="A2533" s="8">
        <v>43344.933749999997</v>
      </c>
      <c r="B2533" s="11" t="str">
        <f>HYPERLINK("https://twitter.com/MSiamak","@MSiamak")</f>
        <v>@MSiamak</v>
      </c>
      <c r="C2533" s="6" t="s">
        <v>10395</v>
      </c>
      <c r="D2533" s="5" t="s">
        <v>10394</v>
      </c>
      <c r="E2533" s="9" t="str">
        <f>HYPERLINK("https://twitter.com/MSiamak/status/1035949054256197637","1035949054256197637")</f>
        <v>1035949054256197637</v>
      </c>
      <c r="F2533" s="4"/>
      <c r="G2533" s="4"/>
      <c r="H2533" s="4"/>
      <c r="I2533" s="10" t="str">
        <f>HYPERLINK("https://mobile.twitter.com","Twitter Lite")</f>
        <v>Twitter Lite</v>
      </c>
      <c r="J2533" s="2">
        <v>1857</v>
      </c>
      <c r="K2533" s="2">
        <v>1552</v>
      </c>
      <c r="L2533" s="2">
        <v>7</v>
      </c>
      <c r="M2533" s="2"/>
      <c r="N2533" s="8">
        <v>40869.14644675926</v>
      </c>
      <c r="O2533" s="4" t="s">
        <v>5507</v>
      </c>
      <c r="P2533" s="3" t="s">
        <v>10393</v>
      </c>
      <c r="Q2533" s="4"/>
      <c r="R2533" s="4"/>
      <c r="S2533" s="9" t="str">
        <f>HYPERLINK("https://pbs.twimg.com/profile_images/1031359480259399680/XF_oa05j.jpg","View")</f>
        <v>View</v>
      </c>
    </row>
    <row r="2534" spans="1:19" ht="40">
      <c r="A2534" s="8">
        <v>43344.932384259257</v>
      </c>
      <c r="B2534" s="11" t="str">
        <f>HYPERLINK("https://twitter.com/Signal_10darsad","@Signal_10darsad")</f>
        <v>@Signal_10darsad</v>
      </c>
      <c r="C2534" s="11" t="s">
        <v>10392</v>
      </c>
      <c r="D2534" s="5" t="s">
        <v>10391</v>
      </c>
      <c r="E2534" s="9" t="str">
        <f>HYPERLINK("https://twitter.com/Signal_10darsad/status/1035948562465603584","1035948562465603584")</f>
        <v>1035948562465603584</v>
      </c>
      <c r="F2534" s="10" t="s">
        <v>10390</v>
      </c>
      <c r="G2534" s="10" t="s">
        <v>10389</v>
      </c>
      <c r="H2534" s="4"/>
      <c r="I2534" s="10" t="str">
        <f>HYPERLINK("http://twitter.com/download/android","Twitter for Android")</f>
        <v>Twitter for Android</v>
      </c>
      <c r="J2534" s="2">
        <v>90</v>
      </c>
      <c r="K2534" s="2">
        <v>199</v>
      </c>
      <c r="L2534" s="2">
        <v>1</v>
      </c>
      <c r="M2534" s="2"/>
      <c r="N2534" s="8">
        <v>43213.289386574077</v>
      </c>
      <c r="O2534" s="4"/>
      <c r="P2534" s="3" t="s">
        <v>10388</v>
      </c>
      <c r="Q2534" s="4"/>
      <c r="R2534" s="4"/>
      <c r="S2534" s="9" t="str">
        <f>HYPERLINK("https://pbs.twimg.com/profile_images/989432471522627584/ZiaxSQfc.jpg","View")</f>
        <v>View</v>
      </c>
    </row>
    <row r="2535" spans="1:19" ht="20">
      <c r="A2535" s="8">
        <v>43344.930787037039</v>
      </c>
      <c r="B2535" s="11" t="str">
        <f>HYPERLINK("https://twitter.com/mahmodi_sahar","@mahmodi_sahar")</f>
        <v>@mahmodi_sahar</v>
      </c>
      <c r="C2535" s="6" t="s">
        <v>4512</v>
      </c>
      <c r="D2535" s="5" t="s">
        <v>10387</v>
      </c>
      <c r="E2535" s="9" t="str">
        <f>HYPERLINK("https://twitter.com/mahmodi_sahar/status/1035947980375904258","1035947980375904258")</f>
        <v>1035947980375904258</v>
      </c>
      <c r="F2535" s="4"/>
      <c r="G2535" s="4"/>
      <c r="H2535" s="4"/>
      <c r="I2535" s="10" t="str">
        <f>HYPERLINK("http://twitter.com/download/android","Twitter for Android")</f>
        <v>Twitter for Android</v>
      </c>
      <c r="J2535" s="2">
        <v>3330</v>
      </c>
      <c r="K2535" s="2">
        <v>1466</v>
      </c>
      <c r="L2535" s="2">
        <v>10</v>
      </c>
      <c r="M2535" s="2"/>
      <c r="N2535" s="8">
        <v>43102.837361111116</v>
      </c>
      <c r="O2535" s="4" t="s">
        <v>17</v>
      </c>
      <c r="P2535" s="3" t="s">
        <v>4510</v>
      </c>
      <c r="Q2535" s="4"/>
      <c r="R2535" s="4"/>
      <c r="S2535" s="9" t="str">
        <f>HYPERLINK("https://pbs.twimg.com/profile_images/982673974726483970/UiYSW22j.jpg","View")</f>
        <v>View</v>
      </c>
    </row>
    <row r="2536" spans="1:19" ht="30">
      <c r="A2536" s="8">
        <v>43344.929236111115</v>
      </c>
      <c r="B2536" s="11" t="str">
        <f>HYPERLINK("https://twitter.com/hosseinfaho","@hosseinfaho")</f>
        <v>@hosseinfaho</v>
      </c>
      <c r="C2536" s="6" t="s">
        <v>10386</v>
      </c>
      <c r="D2536" s="5" t="s">
        <v>10385</v>
      </c>
      <c r="E2536" s="9" t="str">
        <f>HYPERLINK("https://twitter.com/hosseinfaho/status/1035947421833068545","1035947421833068545")</f>
        <v>1035947421833068545</v>
      </c>
      <c r="F2536" s="4"/>
      <c r="G2536" s="10" t="s">
        <v>10384</v>
      </c>
      <c r="H2536" s="4"/>
      <c r="I2536" s="10" t="str">
        <f>HYPERLINK("http://twitter.com/download/android","Twitter for Android")</f>
        <v>Twitter for Android</v>
      </c>
      <c r="J2536" s="2">
        <v>35</v>
      </c>
      <c r="K2536" s="2">
        <v>16</v>
      </c>
      <c r="L2536" s="2">
        <v>0</v>
      </c>
      <c r="M2536" s="2"/>
      <c r="N2536" s="8">
        <v>42930.479675925926</v>
      </c>
      <c r="O2536" s="4"/>
      <c r="P2536" s="3"/>
      <c r="Q2536" s="4"/>
      <c r="R2536" s="4"/>
      <c r="S2536" s="9" t="str">
        <f>HYPERLINK("https://pbs.twimg.com/profile_images/885758318475653120/5v4hXe1f.jpg","View")</f>
        <v>View</v>
      </c>
    </row>
    <row r="2537" spans="1:19" ht="40">
      <c r="A2537" s="8">
        <v>43344.92633101852</v>
      </c>
      <c r="B2537" s="11" t="str">
        <f>HYPERLINK("https://twitter.com/KANDID3463","@KANDID3463")</f>
        <v>@KANDID3463</v>
      </c>
      <c r="C2537" s="6" t="s">
        <v>10383</v>
      </c>
      <c r="D2537" s="5" t="s">
        <v>10382</v>
      </c>
      <c r="E2537" s="9" t="str">
        <f>HYPERLINK("https://twitter.com/KANDID3463/status/1035946367779319810","1035946367779319810")</f>
        <v>1035946367779319810</v>
      </c>
      <c r="F2537" s="4"/>
      <c r="G2537" s="10" t="s">
        <v>10381</v>
      </c>
      <c r="H2537" s="4"/>
      <c r="I2537" s="10" t="str">
        <f>HYPERLINK("http://twitter.com/download/android","Twitter for Android")</f>
        <v>Twitter for Android</v>
      </c>
      <c r="J2537" s="2">
        <v>551</v>
      </c>
      <c r="K2537" s="2">
        <v>352</v>
      </c>
      <c r="L2537" s="2">
        <v>5</v>
      </c>
      <c r="M2537" s="2"/>
      <c r="N2537" s="8">
        <v>42090.85864583333</v>
      </c>
      <c r="O2537" s="4" t="s">
        <v>682</v>
      </c>
      <c r="P2537" s="3" t="s">
        <v>10380</v>
      </c>
      <c r="Q2537" s="4"/>
      <c r="R2537" s="4"/>
      <c r="S2537" s="9" t="str">
        <f>HYPERLINK("https://pbs.twimg.com/profile_images/890725811493490688/kQ56zCPq.jpg","View")</f>
        <v>View</v>
      </c>
    </row>
    <row r="2538" spans="1:19" ht="20">
      <c r="A2538" s="8">
        <v>43344.926180555558</v>
      </c>
      <c r="B2538" s="11" t="str">
        <f>HYPERLINK("https://twitter.com/moraba58","@moraba58")</f>
        <v>@moraba58</v>
      </c>
      <c r="C2538" s="6" t="s">
        <v>10378</v>
      </c>
      <c r="D2538" s="5" t="s">
        <v>10379</v>
      </c>
      <c r="E2538" s="9" t="str">
        <f>HYPERLINK("https://twitter.com/moraba58/status/1035946313798569984","1035946313798569984")</f>
        <v>1035946313798569984</v>
      </c>
      <c r="F2538" s="4"/>
      <c r="G2538" s="4"/>
      <c r="H2538" s="4"/>
      <c r="I2538" s="10" t="str">
        <f>HYPERLINK("http://twitter.com/download/android","Twitter for Android")</f>
        <v>Twitter for Android</v>
      </c>
      <c r="J2538" s="2">
        <v>725</v>
      </c>
      <c r="K2538" s="2">
        <v>745</v>
      </c>
      <c r="L2538" s="2">
        <v>0</v>
      </c>
      <c r="M2538" s="2"/>
      <c r="N2538" s="8">
        <v>42867.836087962962</v>
      </c>
      <c r="O2538" s="4" t="s">
        <v>133</v>
      </c>
      <c r="P2538" s="3" t="s">
        <v>10376</v>
      </c>
      <c r="Q2538" s="4"/>
      <c r="R2538" s="4"/>
      <c r="S2538" s="9" t="str">
        <f>HYPERLINK("https://pbs.twimg.com/profile_images/1011007947785297921/FH6MCP9G.jpg","View")</f>
        <v>View</v>
      </c>
    </row>
    <row r="2539" spans="1:19" ht="40">
      <c r="A2539" s="8">
        <v>43344.924074074079</v>
      </c>
      <c r="B2539" s="11" t="str">
        <f>HYPERLINK("https://twitter.com/moraba58","@moraba58")</f>
        <v>@moraba58</v>
      </c>
      <c r="C2539" s="6" t="s">
        <v>10378</v>
      </c>
      <c r="D2539" s="5" t="s">
        <v>10377</v>
      </c>
      <c r="E2539" s="9" t="str">
        <f>HYPERLINK("https://twitter.com/moraba58/status/1035945550355619841","1035945550355619841")</f>
        <v>1035945550355619841</v>
      </c>
      <c r="F2539" s="4"/>
      <c r="G2539" s="4"/>
      <c r="H2539" s="4"/>
      <c r="I2539" s="10" t="str">
        <f>HYPERLINK("http://twitter.com/download/android","Twitter for Android")</f>
        <v>Twitter for Android</v>
      </c>
      <c r="J2539" s="2">
        <v>725</v>
      </c>
      <c r="K2539" s="2">
        <v>745</v>
      </c>
      <c r="L2539" s="2">
        <v>0</v>
      </c>
      <c r="M2539" s="2"/>
      <c r="N2539" s="8">
        <v>42867.836087962962</v>
      </c>
      <c r="O2539" s="4" t="s">
        <v>133</v>
      </c>
      <c r="P2539" s="3" t="s">
        <v>10376</v>
      </c>
      <c r="Q2539" s="4"/>
      <c r="R2539" s="4"/>
      <c r="S2539" s="9" t="str">
        <f>HYPERLINK("https://pbs.twimg.com/profile_images/1011007947785297921/FH6MCP9G.jpg","View")</f>
        <v>View</v>
      </c>
    </row>
    <row r="2540" spans="1:19" ht="40">
      <c r="A2540" s="8">
        <v>43344.923437500001</v>
      </c>
      <c r="B2540" s="11" t="str">
        <f>HYPERLINK("https://twitter.com/rasoul_110","@rasoul_110")</f>
        <v>@rasoul_110</v>
      </c>
      <c r="C2540" s="6" t="s">
        <v>10375</v>
      </c>
      <c r="D2540" s="5" t="s">
        <v>10374</v>
      </c>
      <c r="E2540" s="9" t="str">
        <f>HYPERLINK("https://twitter.com/rasoul_110/status/1035945320121860096","1035945320121860096")</f>
        <v>1035945320121860096</v>
      </c>
      <c r="F2540" s="4"/>
      <c r="G2540" s="4"/>
      <c r="H2540" s="4"/>
      <c r="I2540" s="10" t="str">
        <f>HYPERLINK("http://twitter.com/download/android","Twitter for Android")</f>
        <v>Twitter for Android</v>
      </c>
      <c r="J2540" s="2">
        <v>3251</v>
      </c>
      <c r="K2540" s="2">
        <v>396</v>
      </c>
      <c r="L2540" s="2">
        <v>8</v>
      </c>
      <c r="M2540" s="2"/>
      <c r="N2540" s="8">
        <v>42945.668958333335</v>
      </c>
      <c r="O2540" s="4" t="s">
        <v>17</v>
      </c>
      <c r="P2540" s="3"/>
      <c r="Q2540" s="4"/>
      <c r="R2540" s="4"/>
      <c r="S2540" s="9" t="str">
        <f>HYPERLINK("https://pbs.twimg.com/profile_images/1035296032047988736/si9tigpR.jpg","View")</f>
        <v>View</v>
      </c>
    </row>
    <row r="2541" spans="1:19" ht="30">
      <c r="A2541" s="8">
        <v>43344.921875</v>
      </c>
      <c r="B2541" s="11" t="str">
        <f>HYPERLINK("https://twitter.com/Luxelinii","@Luxelinii")</f>
        <v>@Luxelinii</v>
      </c>
      <c r="C2541" s="6" t="s">
        <v>2605</v>
      </c>
      <c r="D2541" s="5" t="s">
        <v>10373</v>
      </c>
      <c r="E2541" s="9" t="str">
        <f>HYPERLINK("https://twitter.com/Luxelinii/status/1035944751017742336","1035944751017742336")</f>
        <v>1035944751017742336</v>
      </c>
      <c r="F2541" s="10" t="s">
        <v>10372</v>
      </c>
      <c r="G2541" s="4"/>
      <c r="H2541" s="4"/>
      <c r="I2541" s="10" t="str">
        <f>HYPERLINK("http://twitter.com","Twitter Web Client")</f>
        <v>Twitter Web Client</v>
      </c>
      <c r="J2541" s="2">
        <v>387</v>
      </c>
      <c r="K2541" s="2">
        <v>248</v>
      </c>
      <c r="L2541" s="2">
        <v>0</v>
      </c>
      <c r="M2541" s="2"/>
      <c r="N2541" s="8">
        <v>43105.146203703705</v>
      </c>
      <c r="O2541" s="4" t="s">
        <v>2601</v>
      </c>
      <c r="P2541" s="3" t="s">
        <v>10371</v>
      </c>
      <c r="Q2541" s="4"/>
      <c r="R2541" s="4"/>
      <c r="S2541" s="9" t="str">
        <f>HYPERLINK("https://pbs.twimg.com/profile_images/1010018521932165122/oT7IocqS.jpg","View")</f>
        <v>View</v>
      </c>
    </row>
    <row r="2542" spans="1:19" ht="20">
      <c r="A2542" s="8">
        <v>43344.916041666671</v>
      </c>
      <c r="B2542" s="11" t="str">
        <f>HYPERLINK("https://twitter.com/seyyedehtesham","@seyyedehtesham")</f>
        <v>@seyyedehtesham</v>
      </c>
      <c r="C2542" s="6" t="s">
        <v>9937</v>
      </c>
      <c r="D2542" s="5" t="s">
        <v>10370</v>
      </c>
      <c r="E2542" s="9" t="str">
        <f>HYPERLINK("https://twitter.com/seyyedehtesham/status/1035942637092646915","1035942637092646915")</f>
        <v>1035942637092646915</v>
      </c>
      <c r="F2542" s="4"/>
      <c r="G2542" s="4"/>
      <c r="H2542" s="4"/>
      <c r="I2542" s="10" t="str">
        <f>HYPERLINK("http://twitter.com/download/android","Twitter for Android")</f>
        <v>Twitter for Android</v>
      </c>
      <c r="J2542" s="2">
        <v>3068</v>
      </c>
      <c r="K2542" s="2">
        <v>456</v>
      </c>
      <c r="L2542" s="2">
        <v>28</v>
      </c>
      <c r="M2542" s="2"/>
      <c r="N2542" s="8">
        <v>41451.7894212963</v>
      </c>
      <c r="O2542" s="4"/>
      <c r="P2542" s="3" t="s">
        <v>9935</v>
      </c>
      <c r="Q2542" s="4"/>
      <c r="R2542" s="4"/>
      <c r="S2542" s="9" t="str">
        <f>HYPERLINK("https://pbs.twimg.com/profile_images/935798516777193472/GZLzsxol.jpg","View")</f>
        <v>View</v>
      </c>
    </row>
    <row r="2543" spans="1:19" ht="30">
      <c r="A2543" s="8">
        <v>43344.914525462962</v>
      </c>
      <c r="B2543" s="11" t="str">
        <f>HYPERLINK("https://twitter.com/salman_sanjary","@salman_sanjary")</f>
        <v>@salman_sanjary</v>
      </c>
      <c r="C2543" s="6" t="s">
        <v>3365</v>
      </c>
      <c r="D2543" s="5" t="s">
        <v>10369</v>
      </c>
      <c r="E2543" s="9" t="str">
        <f>HYPERLINK("https://twitter.com/salman_sanjary/status/1035942087269777408","1035942087269777408")</f>
        <v>1035942087269777408</v>
      </c>
      <c r="F2543" s="4"/>
      <c r="G2543" s="4"/>
      <c r="H2543" s="4"/>
      <c r="I2543" s="10" t="str">
        <f>HYPERLINK("http://twitter.com/download/android","Twitter for Android")</f>
        <v>Twitter for Android</v>
      </c>
      <c r="J2543" s="2">
        <v>110</v>
      </c>
      <c r="K2543" s="2">
        <v>224</v>
      </c>
      <c r="L2543" s="2">
        <v>1</v>
      </c>
      <c r="M2543" s="2"/>
      <c r="N2543" s="8">
        <v>43310.393240740741</v>
      </c>
      <c r="O2543" s="4" t="s">
        <v>3363</v>
      </c>
      <c r="P2543" s="3" t="s">
        <v>3362</v>
      </c>
      <c r="Q2543" s="4"/>
      <c r="R2543" s="4"/>
      <c r="S2543" s="9" t="str">
        <f>HYPERLINK("https://pbs.twimg.com/profile_images/1023443114164404225/aoqNKpOX.jpg","View")</f>
        <v>View</v>
      </c>
    </row>
    <row r="2544" spans="1:19" ht="40">
      <c r="A2544" s="8">
        <v>43344.911921296298</v>
      </c>
      <c r="B2544" s="11" t="str">
        <f>HYPERLINK("https://twitter.com/Mitra_4_","@Mitra_4_")</f>
        <v>@Mitra_4_</v>
      </c>
      <c r="C2544" s="6" t="s">
        <v>10368</v>
      </c>
      <c r="D2544" s="5" t="s">
        <v>10367</v>
      </c>
      <c r="E2544" s="9" t="str">
        <f>HYPERLINK("https://twitter.com/Mitra_4_/status/1035941147158425600","1035941147158425600")</f>
        <v>1035941147158425600</v>
      </c>
      <c r="F2544" s="4"/>
      <c r="G2544" s="4"/>
      <c r="H2544" s="4"/>
      <c r="I2544" s="10" t="str">
        <f>HYPERLINK("http://twitter.com/download/iphone","Twitter for iPhone")</f>
        <v>Twitter for iPhone</v>
      </c>
      <c r="J2544" s="2">
        <v>441</v>
      </c>
      <c r="K2544" s="2">
        <v>249</v>
      </c>
      <c r="L2544" s="2">
        <v>0</v>
      </c>
      <c r="M2544" s="2"/>
      <c r="N2544" s="8">
        <v>43043.41170138889</v>
      </c>
      <c r="O2544" s="4" t="s">
        <v>7139</v>
      </c>
      <c r="P2544" s="3" t="s">
        <v>10366</v>
      </c>
      <c r="Q2544" s="4"/>
      <c r="R2544" s="4"/>
      <c r="S2544" s="9" t="str">
        <f>HYPERLINK("https://pbs.twimg.com/profile_images/926704283806044160/U0rPBsOc.jpg","View")</f>
        <v>View</v>
      </c>
    </row>
    <row r="2545" spans="1:19" ht="40">
      <c r="A2545" s="8">
        <v>43344.90489583333</v>
      </c>
      <c r="B2545" s="11" t="str">
        <f>HYPERLINK("https://twitter.com/Ariamehr_p1356","@Ariamehr_p1356")</f>
        <v>@Ariamehr_p1356</v>
      </c>
      <c r="C2545" s="6" t="s">
        <v>10365</v>
      </c>
      <c r="D2545" s="5" t="s">
        <v>10364</v>
      </c>
      <c r="E2545" s="9" t="str">
        <f>HYPERLINK("https://twitter.com/Ariamehr_p1356/status/1035938599433367552","1035938599433367552")</f>
        <v>1035938599433367552</v>
      </c>
      <c r="F2545" s="4"/>
      <c r="G2545" s="4"/>
      <c r="H2545" s="4"/>
      <c r="I2545" s="10" t="str">
        <f>HYPERLINK("http://twitter.com/download/android","Twitter for Android")</f>
        <v>Twitter for Android</v>
      </c>
      <c r="J2545" s="2">
        <v>2356</v>
      </c>
      <c r="K2545" s="2">
        <v>1854</v>
      </c>
      <c r="L2545" s="2">
        <v>2</v>
      </c>
      <c r="M2545" s="2"/>
      <c r="N2545" s="8">
        <v>43110.742291666669</v>
      </c>
      <c r="O2545" s="4" t="s">
        <v>25</v>
      </c>
      <c r="P2545" s="3" t="s">
        <v>10363</v>
      </c>
      <c r="Q2545" s="4"/>
      <c r="R2545" s="4"/>
      <c r="S2545" s="9" t="str">
        <f>HYPERLINK("https://pbs.twimg.com/profile_images/1024423014434332674/4-KUsWeX.jpg","View")</f>
        <v>View</v>
      </c>
    </row>
    <row r="2546" spans="1:19" ht="20">
      <c r="A2546" s="8">
        <v>43344.904444444444</v>
      </c>
      <c r="B2546" s="11" t="str">
        <f>HYPERLINK("https://twitter.com/morteza_rf_","@morteza_rf_")</f>
        <v>@morteza_rf_</v>
      </c>
      <c r="C2546" s="6" t="s">
        <v>10362</v>
      </c>
      <c r="D2546" s="5" t="s">
        <v>10361</v>
      </c>
      <c r="E2546" s="9" t="str">
        <f>HYPERLINK("https://twitter.com/morteza_rf_/status/1035938435884896257","1035938435884896257")</f>
        <v>1035938435884896257</v>
      </c>
      <c r="F2546" s="4"/>
      <c r="G2546" s="4"/>
      <c r="H2546" s="4"/>
      <c r="I2546" s="10" t="str">
        <f>HYPERLINK("http://twitter.com/download/iphone","Twitter for iPhone")</f>
        <v>Twitter for iPhone</v>
      </c>
      <c r="J2546" s="2">
        <v>33</v>
      </c>
      <c r="K2546" s="2">
        <v>32</v>
      </c>
      <c r="L2546" s="2">
        <v>0</v>
      </c>
      <c r="M2546" s="2"/>
      <c r="N2546" s="8">
        <v>43136.988240740742</v>
      </c>
      <c r="O2546" s="4"/>
      <c r="P2546" s="3" t="s">
        <v>10360</v>
      </c>
      <c r="Q2546" s="4"/>
      <c r="R2546" s="4"/>
      <c r="S2546" s="9" t="str">
        <f>HYPERLINK("https://pbs.twimg.com/profile_images/1031284467900575744/utOjIt5G.jpg","View")</f>
        <v>View</v>
      </c>
    </row>
    <row r="2547" spans="1:19" ht="30">
      <c r="A2547" s="8">
        <v>43344.903773148151</v>
      </c>
      <c r="B2547" s="11" t="str">
        <f>HYPERLINK("https://twitter.com/MoqavematR","@MoqavematR")</f>
        <v>@MoqavematR</v>
      </c>
      <c r="C2547" s="6" t="s">
        <v>10359</v>
      </c>
      <c r="D2547" s="5" t="s">
        <v>10358</v>
      </c>
      <c r="E2547" s="9" t="str">
        <f>HYPERLINK("https://twitter.com/MoqavematR/status/1035938193546387456","1035938193546387456")</f>
        <v>1035938193546387456</v>
      </c>
      <c r="F2547" s="4"/>
      <c r="G2547" s="4"/>
      <c r="H2547" s="4"/>
      <c r="I2547" s="10" t="str">
        <f>HYPERLINK("http://twitter.com/download/iphone","Twitter for iPhone")</f>
        <v>Twitter for iPhone</v>
      </c>
      <c r="J2547" s="2">
        <v>68</v>
      </c>
      <c r="K2547" s="2">
        <v>71</v>
      </c>
      <c r="L2547" s="2">
        <v>0</v>
      </c>
      <c r="M2547" s="2"/>
      <c r="N2547" s="8">
        <v>42530.527175925927</v>
      </c>
      <c r="O2547" s="4" t="s">
        <v>34</v>
      </c>
      <c r="P2547" s="3" t="s">
        <v>10357</v>
      </c>
      <c r="Q2547" s="10" t="s">
        <v>10356</v>
      </c>
      <c r="R2547" s="4"/>
      <c r="S2547" s="9" t="str">
        <f>HYPERLINK("https://pbs.twimg.com/profile_images/740820834286239744/A_oJHuTz.jpg","View")</f>
        <v>View</v>
      </c>
    </row>
    <row r="2548" spans="1:19" ht="20">
      <c r="A2548" s="8">
        <v>43344.90351851852</v>
      </c>
      <c r="B2548" s="11" t="str">
        <f>HYPERLINK("https://twitter.com/nabavi8","@nabavi8")</f>
        <v>@nabavi8</v>
      </c>
      <c r="C2548" s="6" t="s">
        <v>4465</v>
      </c>
      <c r="D2548" s="5" t="s">
        <v>10355</v>
      </c>
      <c r="E2548" s="9" t="str">
        <f>HYPERLINK("https://twitter.com/nabavi8/status/1035938099627343874","1035938099627343874")</f>
        <v>1035938099627343874</v>
      </c>
      <c r="F2548" s="4"/>
      <c r="G2548" s="4"/>
      <c r="H2548" s="4"/>
      <c r="I2548" s="10" t="str">
        <f>HYPERLINK("http://twitter.com","Twitter Web Client")</f>
        <v>Twitter Web Client</v>
      </c>
      <c r="J2548" s="2">
        <v>115</v>
      </c>
      <c r="K2548" s="2">
        <v>475</v>
      </c>
      <c r="L2548" s="2">
        <v>1</v>
      </c>
      <c r="M2548" s="2"/>
      <c r="N2548" s="8">
        <v>41600.829421296294</v>
      </c>
      <c r="O2548" s="4" t="s">
        <v>794</v>
      </c>
      <c r="P2548" s="3" t="s">
        <v>4463</v>
      </c>
      <c r="Q2548" s="4"/>
      <c r="R2548" s="4"/>
      <c r="S2548" s="9" t="str">
        <f>HYPERLINK("https://pbs.twimg.com/profile_images/668534963575255041/4KqebuFh.jpg","View")</f>
        <v>View</v>
      </c>
    </row>
    <row r="2549" spans="1:19" ht="40">
      <c r="A2549" s="8">
        <v>43344.901203703703</v>
      </c>
      <c r="B2549" s="11" t="str">
        <f>HYPERLINK("https://twitter.com/RafatiSiavash","@RafatiSiavash")</f>
        <v>@RafatiSiavash</v>
      </c>
      <c r="C2549" s="6" t="s">
        <v>3226</v>
      </c>
      <c r="D2549" s="5" t="s">
        <v>10354</v>
      </c>
      <c r="E2549" s="9" t="str">
        <f>HYPERLINK("https://twitter.com/RafatiSiavash/status/1035937261752381440","1035937261752381440")</f>
        <v>1035937261752381440</v>
      </c>
      <c r="F2549" s="4"/>
      <c r="G2549" s="4"/>
      <c r="H2549" s="4"/>
      <c r="I2549" s="10" t="str">
        <f>HYPERLINK("http://twitter.com","Twitter Web Client")</f>
        <v>Twitter Web Client</v>
      </c>
      <c r="J2549" s="2">
        <v>288</v>
      </c>
      <c r="K2549" s="2">
        <v>230</v>
      </c>
      <c r="L2549" s="2">
        <v>87</v>
      </c>
      <c r="M2549" s="2"/>
      <c r="N2549" s="8">
        <v>41050.769884259258</v>
      </c>
      <c r="O2549" s="4"/>
      <c r="P2549" s="3" t="s">
        <v>3223</v>
      </c>
      <c r="Q2549" s="10" t="s">
        <v>3222</v>
      </c>
      <c r="R2549" s="4"/>
      <c r="S2549" s="9" t="str">
        <f>HYPERLINK("https://pbs.twimg.com/profile_images/821385868690751488/Qqe0I1Bk.jpg","View")</f>
        <v>View</v>
      </c>
    </row>
    <row r="2550" spans="1:19" ht="40">
      <c r="A2550" s="8">
        <v>43344.900648148148</v>
      </c>
      <c r="B2550" s="11" t="str">
        <f>HYPERLINK("https://twitter.com/khablala","@khablala")</f>
        <v>@khablala</v>
      </c>
      <c r="C2550" s="6" t="s">
        <v>10353</v>
      </c>
      <c r="D2550" s="5" t="s">
        <v>10352</v>
      </c>
      <c r="E2550" s="9" t="str">
        <f>HYPERLINK("https://twitter.com/khablala/status/1035937059029045248","1035937059029045248")</f>
        <v>1035937059029045248</v>
      </c>
      <c r="F2550" s="4"/>
      <c r="G2550" s="10" t="s">
        <v>10351</v>
      </c>
      <c r="H2550" s="4"/>
      <c r="I2550" s="10" t="str">
        <f>HYPERLINK("http://twitter.com/download/android","Twitter for Android")</f>
        <v>Twitter for Android</v>
      </c>
      <c r="J2550" s="2">
        <v>302</v>
      </c>
      <c r="K2550" s="2">
        <v>799</v>
      </c>
      <c r="L2550" s="2">
        <v>1</v>
      </c>
      <c r="M2550" s="2"/>
      <c r="N2550" s="8">
        <v>42738.638275462959</v>
      </c>
      <c r="O2550" s="4" t="s">
        <v>10350</v>
      </c>
      <c r="P2550" s="3" t="s">
        <v>10349</v>
      </c>
      <c r="Q2550" s="4"/>
      <c r="R2550" s="4"/>
      <c r="S2550" s="9" t="str">
        <f>HYPERLINK("https://pbs.twimg.com/profile_images/1033473913035087872/CSYvKkt7.jpg","View")</f>
        <v>View</v>
      </c>
    </row>
    <row r="2551" spans="1:19" ht="50">
      <c r="A2551" s="8">
        <v>43344.898599537039</v>
      </c>
      <c r="B2551" s="11" t="str">
        <f>HYPERLINK("https://twitter.com/saahaami","@saahaami")</f>
        <v>@saahaami</v>
      </c>
      <c r="C2551" s="6" t="s">
        <v>10348</v>
      </c>
      <c r="D2551" s="5" t="s">
        <v>10347</v>
      </c>
      <c r="E2551" s="9" t="str">
        <f>HYPERLINK("https://twitter.com/saahaami/status/1035936315907481600","1035936315907481600")</f>
        <v>1035936315907481600</v>
      </c>
      <c r="F2551" s="4"/>
      <c r="G2551" s="4"/>
      <c r="H2551" s="4"/>
      <c r="I2551" s="10" t="str">
        <f>HYPERLINK("http://twitter.com/download/android","Twitter for Android")</f>
        <v>Twitter for Android</v>
      </c>
      <c r="J2551" s="2">
        <v>4552</v>
      </c>
      <c r="K2551" s="2">
        <v>4557</v>
      </c>
      <c r="L2551" s="2">
        <v>4</v>
      </c>
      <c r="M2551" s="2"/>
      <c r="N2551" s="8">
        <v>42811.682870370365</v>
      </c>
      <c r="O2551" s="4" t="s">
        <v>10346</v>
      </c>
      <c r="P2551" s="3" t="s">
        <v>10345</v>
      </c>
      <c r="Q2551" s="4"/>
      <c r="R2551" s="4"/>
      <c r="S2551" s="9" t="str">
        <f>HYPERLINK("https://pbs.twimg.com/profile_images/1024846209436065792/9XTC2lmn.jpg","View")</f>
        <v>View</v>
      </c>
    </row>
    <row r="2552" spans="1:19" ht="50">
      <c r="A2552" s="8">
        <v>43344.896909722222</v>
      </c>
      <c r="B2552" s="11" t="str">
        <f>HYPERLINK("https://twitter.com/FarsNews_Agency","@FarsNews_Agency")</f>
        <v>@FarsNews_Agency</v>
      </c>
      <c r="C2552" s="6" t="s">
        <v>83</v>
      </c>
      <c r="D2552" s="5" t="s">
        <v>10344</v>
      </c>
      <c r="E2552" s="9" t="str">
        <f>HYPERLINK("https://twitter.com/FarsNews_Agency/status/1035935706085027840","1035935706085027840")</f>
        <v>1035935706085027840</v>
      </c>
      <c r="F2552" s="10" t="s">
        <v>10343</v>
      </c>
      <c r="G2552" s="10" t="s">
        <v>10342</v>
      </c>
      <c r="H2552" s="4"/>
      <c r="I2552" s="10" t="str">
        <f>HYPERLINK("http://twitter.com","Twitter Web Client")</f>
        <v>Twitter Web Client</v>
      </c>
      <c r="J2552" s="2">
        <v>54481</v>
      </c>
      <c r="K2552" s="2">
        <v>1</v>
      </c>
      <c r="L2552" s="2">
        <v>345</v>
      </c>
      <c r="M2552" s="2" t="s">
        <v>80</v>
      </c>
      <c r="N2552" s="8">
        <v>41779.409398148149</v>
      </c>
      <c r="O2552" s="4" t="s">
        <v>79</v>
      </c>
      <c r="P2552" s="3" t="s">
        <v>78</v>
      </c>
      <c r="Q2552" s="10" t="s">
        <v>77</v>
      </c>
      <c r="R2552" s="4"/>
      <c r="S2552" s="9" t="str">
        <f>HYPERLINK("https://pbs.twimg.com/profile_images/970300864257777664/8y7AvX_N.jpg","View")</f>
        <v>View</v>
      </c>
    </row>
    <row r="2553" spans="1:19" ht="30">
      <c r="A2553" s="8">
        <v>43344.888483796298</v>
      </c>
      <c r="B2553" s="11" t="str">
        <f>HYPERLINK("https://twitter.com/Salmansaljoogh","@Salmansaljoogh")</f>
        <v>@Salmansaljoogh</v>
      </c>
      <c r="C2553" s="6" t="s">
        <v>10341</v>
      </c>
      <c r="D2553" s="5" t="s">
        <v>10340</v>
      </c>
      <c r="E2553" s="9" t="str">
        <f>HYPERLINK("https://twitter.com/Salmansaljoogh/status/1035932652233211904","1035932652233211904")</f>
        <v>1035932652233211904</v>
      </c>
      <c r="F2553" s="4"/>
      <c r="G2553" s="4"/>
      <c r="H2553" s="4"/>
      <c r="I2553" s="10" t="str">
        <f>HYPERLINK("http://twitter.com/download/android","Twitter for Android")</f>
        <v>Twitter for Android</v>
      </c>
      <c r="J2553" s="2">
        <v>31</v>
      </c>
      <c r="K2553" s="2">
        <v>68</v>
      </c>
      <c r="L2553" s="2">
        <v>0</v>
      </c>
      <c r="M2553" s="2"/>
      <c r="N2553" s="8">
        <v>43076.066527777773</v>
      </c>
      <c r="O2553" s="4"/>
      <c r="P2553" s="3"/>
      <c r="Q2553" s="4"/>
      <c r="R2553" s="4"/>
      <c r="S2553" s="9" t="str">
        <f>HYPERLINK("https://pbs.twimg.com/profile_images/938532140739854336/JpNG_GvD.jpg","View")</f>
        <v>View</v>
      </c>
    </row>
    <row r="2554" spans="1:19" ht="30">
      <c r="A2554" s="8">
        <v>43344.887916666667</v>
      </c>
      <c r="B2554" s="11" t="str">
        <f>HYPERLINK("https://twitter.com/RafatiSiavash","@RafatiSiavash")</f>
        <v>@RafatiSiavash</v>
      </c>
      <c r="C2554" s="6" t="s">
        <v>3226</v>
      </c>
      <c r="D2554" s="5" t="s">
        <v>10339</v>
      </c>
      <c r="E2554" s="9" t="str">
        <f>HYPERLINK("https://twitter.com/RafatiSiavash/status/1035932445605068802","1035932445605068802")</f>
        <v>1035932445605068802</v>
      </c>
      <c r="F2554" s="10" t="s">
        <v>10338</v>
      </c>
      <c r="G2554" s="4"/>
      <c r="H2554" s="4"/>
      <c r="I2554" s="10" t="str">
        <f>HYPERLINK("http://twitter.com","Twitter Web Client")</f>
        <v>Twitter Web Client</v>
      </c>
      <c r="J2554" s="2">
        <v>288</v>
      </c>
      <c r="K2554" s="2">
        <v>230</v>
      </c>
      <c r="L2554" s="2">
        <v>87</v>
      </c>
      <c r="M2554" s="2"/>
      <c r="N2554" s="8">
        <v>41050.769884259258</v>
      </c>
      <c r="O2554" s="4"/>
      <c r="P2554" s="3" t="s">
        <v>3223</v>
      </c>
      <c r="Q2554" s="10" t="s">
        <v>3222</v>
      </c>
      <c r="R2554" s="4"/>
      <c r="S2554" s="9" t="str">
        <f>HYPERLINK("https://pbs.twimg.com/profile_images/821385868690751488/Qqe0I1Bk.jpg","View")</f>
        <v>View</v>
      </c>
    </row>
    <row r="2555" spans="1:19" ht="30">
      <c r="A2555" s="8">
        <v>43344.88008101852</v>
      </c>
      <c r="B2555" s="11" t="str">
        <f>HYPERLINK("https://twitter.com/People_comment","@People_comment")</f>
        <v>@People_comment</v>
      </c>
      <c r="C2555" s="6" t="s">
        <v>10337</v>
      </c>
      <c r="D2555" s="5" t="s">
        <v>10336</v>
      </c>
      <c r="E2555" s="9" t="str">
        <f>HYPERLINK("https://twitter.com/People_comment/status/1035929606652551168","1035929606652551168")</f>
        <v>1035929606652551168</v>
      </c>
      <c r="F2555" s="4"/>
      <c r="G2555" s="4"/>
      <c r="H2555" s="4"/>
      <c r="I2555" s="10" t="str">
        <f>HYPERLINK("http://twitter.com/download/android","Twitter for Android")</f>
        <v>Twitter for Android</v>
      </c>
      <c r="J2555" s="2">
        <v>873</v>
      </c>
      <c r="K2555" s="2">
        <v>958</v>
      </c>
      <c r="L2555" s="2">
        <v>0</v>
      </c>
      <c r="M2555" s="2"/>
      <c r="N2555" s="8">
        <v>43248.862291666665</v>
      </c>
      <c r="O2555" s="4" t="s">
        <v>10335</v>
      </c>
      <c r="P2555" s="3" t="s">
        <v>10334</v>
      </c>
      <c r="Q2555" s="4"/>
      <c r="R2555" s="4"/>
      <c r="S2555" s="9" t="str">
        <f>HYPERLINK("https://pbs.twimg.com/profile_images/1027837823196520448/pdM0oEsF.jpg","View")</f>
        <v>View</v>
      </c>
    </row>
    <row r="2556" spans="1:19" ht="40">
      <c r="A2556" s="8">
        <v>43344.874826388885</v>
      </c>
      <c r="B2556" s="11" t="str">
        <f>HYPERLINK("https://twitter.com/szfaegh","@szfaegh")</f>
        <v>@szfaegh</v>
      </c>
      <c r="C2556" s="6" t="s">
        <v>8089</v>
      </c>
      <c r="D2556" s="5" t="s">
        <v>10333</v>
      </c>
      <c r="E2556" s="9" t="str">
        <f>HYPERLINK("https://twitter.com/szfaegh/status/1035927703583633408","1035927703583633408")</f>
        <v>1035927703583633408</v>
      </c>
      <c r="F2556" s="4"/>
      <c r="G2556" s="4"/>
      <c r="H2556" s="4"/>
      <c r="I2556" s="10" t="str">
        <f>HYPERLINK("http://twitter.com/#!/download/ipad","Twitter for iPad")</f>
        <v>Twitter for iPad</v>
      </c>
      <c r="J2556" s="2">
        <v>1027</v>
      </c>
      <c r="K2556" s="2">
        <v>5005</v>
      </c>
      <c r="L2556" s="2">
        <v>7</v>
      </c>
      <c r="M2556" s="2"/>
      <c r="N2556" s="8">
        <v>40623.490451388891</v>
      </c>
      <c r="O2556" s="4"/>
      <c r="P2556" s="3" t="s">
        <v>8087</v>
      </c>
      <c r="Q2556" s="4"/>
      <c r="R2556" s="4"/>
      <c r="S2556" s="9" t="str">
        <f>HYPERLINK("https://pbs.twimg.com/profile_images/1034056417555177537/qhlAiqrF.jpg","View")</f>
        <v>View</v>
      </c>
    </row>
    <row r="2557" spans="1:19" ht="30">
      <c r="A2557" s="8">
        <v>43344.873333333337</v>
      </c>
      <c r="B2557" s="11" t="str">
        <f>HYPERLINK("https://twitter.com/_miladkamali","@_miladkamali")</f>
        <v>@_miladkamali</v>
      </c>
      <c r="C2557" s="6" t="s">
        <v>10332</v>
      </c>
      <c r="D2557" s="5" t="s">
        <v>10331</v>
      </c>
      <c r="E2557" s="9" t="str">
        <f>HYPERLINK("https://twitter.com/_miladkamali/status/1035927159603437569","1035927159603437569")</f>
        <v>1035927159603437569</v>
      </c>
      <c r="F2557" s="4"/>
      <c r="G2557" s="4"/>
      <c r="H2557" s="4"/>
      <c r="I2557" s="10" t="str">
        <f>HYPERLINK("http://twitter.com/download/android","Twitter for Android")</f>
        <v>Twitter for Android</v>
      </c>
      <c r="J2557" s="2">
        <v>708</v>
      </c>
      <c r="K2557" s="2">
        <v>128</v>
      </c>
      <c r="L2557" s="2">
        <v>2</v>
      </c>
      <c r="M2557" s="2"/>
      <c r="N2557" s="8">
        <v>41005.260034722218</v>
      </c>
      <c r="O2557" s="4"/>
      <c r="P2557" s="3" t="s">
        <v>10330</v>
      </c>
      <c r="Q2557" s="10" t="s">
        <v>10329</v>
      </c>
      <c r="R2557" s="4"/>
      <c r="S2557" s="9" t="str">
        <f>HYPERLINK("https://pbs.twimg.com/profile_images/1006500700854145025/wc5k6d4u.jpg","View")</f>
        <v>View</v>
      </c>
    </row>
    <row r="2558" spans="1:19" ht="40">
      <c r="A2558" s="8">
        <v>43344.87222222222</v>
      </c>
      <c r="B2558" s="11" t="str">
        <f>HYPERLINK("https://twitter.com/abbasemahdavi","@abbasemahdavi")</f>
        <v>@abbasemahdavi</v>
      </c>
      <c r="C2558" s="6" t="s">
        <v>6046</v>
      </c>
      <c r="D2558" s="5" t="s">
        <v>10328</v>
      </c>
      <c r="E2558" s="9" t="str">
        <f>HYPERLINK("https://twitter.com/abbasemahdavi/status/1035926758787141634","1035926758787141634")</f>
        <v>1035926758787141634</v>
      </c>
      <c r="F2558" s="4"/>
      <c r="G2558" s="4"/>
      <c r="H2558" s="4"/>
      <c r="I2558" s="10" t="str">
        <f>HYPERLINK("http://twitter.com","Twitter Web Client")</f>
        <v>Twitter Web Client</v>
      </c>
      <c r="J2558" s="2">
        <v>172</v>
      </c>
      <c r="K2558" s="2">
        <v>134</v>
      </c>
      <c r="L2558" s="2">
        <v>2</v>
      </c>
      <c r="M2558" s="2"/>
      <c r="N2558" s="8">
        <v>42459.729050925926</v>
      </c>
      <c r="O2558" s="4"/>
      <c r="P2558" s="3"/>
      <c r="Q2558" s="10" t="s">
        <v>6042</v>
      </c>
      <c r="R2558" s="4"/>
      <c r="S2558" s="9" t="str">
        <f>HYPERLINK("https://pbs.twimg.com/profile_images/997185930728431616/0pC7tQCU.jpg","View")</f>
        <v>View</v>
      </c>
    </row>
    <row r="2559" spans="1:19" ht="20">
      <c r="A2559" s="8">
        <v>43344.868275462963</v>
      </c>
      <c r="B2559" s="11" t="str">
        <f>HYPERLINK("https://twitter.com/Jj2JWMulvWL0NFP","@Jj2JWMulvWL0NFP")</f>
        <v>@Jj2JWMulvWL0NFP</v>
      </c>
      <c r="C2559" s="6" t="s">
        <v>10327</v>
      </c>
      <c r="D2559" s="5" t="s">
        <v>10326</v>
      </c>
      <c r="E2559" s="9" t="str">
        <f>HYPERLINK("https://twitter.com/Jj2JWMulvWL0NFP/status/1035925330115080193","1035925330115080193")</f>
        <v>1035925330115080193</v>
      </c>
      <c r="F2559" s="4"/>
      <c r="G2559" s="4"/>
      <c r="H2559" s="4"/>
      <c r="I2559" s="10" t="str">
        <f>HYPERLINK("http://twitter.com/download/android","Twitter for Android")</f>
        <v>Twitter for Android</v>
      </c>
      <c r="J2559" s="2">
        <v>7</v>
      </c>
      <c r="K2559" s="2">
        <v>41</v>
      </c>
      <c r="L2559" s="2">
        <v>0</v>
      </c>
      <c r="M2559" s="2"/>
      <c r="N2559" s="8">
        <v>43336.507245370369</v>
      </c>
      <c r="O2559" s="4"/>
      <c r="P2559" s="3"/>
      <c r="Q2559" s="4"/>
      <c r="R2559" s="4"/>
      <c r="S2559" s="9" t="str">
        <f>HYPERLINK("https://pbs.twimg.com/profile_images/1032896898468913152/fhYCnz49.jpg","View")</f>
        <v>View</v>
      </c>
    </row>
    <row r="2560" spans="1:19" ht="20">
      <c r="A2560" s="8">
        <v>43344.865636574075</v>
      </c>
      <c r="B2560" s="11" t="str">
        <f>HYPERLINK("https://twitter.com/jalali_z76","@jalali_z76")</f>
        <v>@jalali_z76</v>
      </c>
      <c r="C2560" s="6" t="s">
        <v>9911</v>
      </c>
      <c r="D2560" s="5" t="s">
        <v>10325</v>
      </c>
      <c r="E2560" s="9" t="str">
        <f>HYPERLINK("https://twitter.com/jalali_z76/status/1035924371305586688","1035924371305586688")</f>
        <v>1035924371305586688</v>
      </c>
      <c r="F2560" s="4"/>
      <c r="G2560" s="10" t="s">
        <v>10324</v>
      </c>
      <c r="H2560" s="4"/>
      <c r="I2560" s="10" t="str">
        <f>HYPERLINK("http://twitter.com/download/android","Twitter for Android")</f>
        <v>Twitter for Android</v>
      </c>
      <c r="J2560" s="2">
        <v>6</v>
      </c>
      <c r="K2560" s="2">
        <v>7</v>
      </c>
      <c r="L2560" s="2">
        <v>0</v>
      </c>
      <c r="M2560" s="2"/>
      <c r="N2560" s="8">
        <v>43330.722199074073</v>
      </c>
      <c r="O2560" s="4" t="s">
        <v>1415</v>
      </c>
      <c r="P2560" s="3" t="s">
        <v>9909</v>
      </c>
      <c r="Q2560" s="4"/>
      <c r="R2560" s="4"/>
      <c r="S2560" s="9" t="str">
        <f>HYPERLINK("https://pbs.twimg.com/profile_images/1035584879835193346/J6q65JWz.jpg","View")</f>
        <v>View</v>
      </c>
    </row>
    <row r="2561" spans="1:19" ht="40">
      <c r="A2561" s="8">
        <v>43344.864004629635</v>
      </c>
      <c r="B2561" s="11" t="str">
        <f>HYPERLINK("https://twitter.com/RafatiSiavash","@RafatiSiavash")</f>
        <v>@RafatiSiavash</v>
      </c>
      <c r="C2561" s="6" t="s">
        <v>3226</v>
      </c>
      <c r="D2561" s="5" t="s">
        <v>10323</v>
      </c>
      <c r="E2561" s="9" t="str">
        <f>HYPERLINK("https://twitter.com/RafatiSiavash/status/1035923779921301505","1035923779921301505")</f>
        <v>1035923779921301505</v>
      </c>
      <c r="F2561" s="4"/>
      <c r="G2561" s="4"/>
      <c r="H2561" s="4"/>
      <c r="I2561" s="10" t="str">
        <f>HYPERLINK("http://twitter.com","Twitter Web Client")</f>
        <v>Twitter Web Client</v>
      </c>
      <c r="J2561" s="2">
        <v>288</v>
      </c>
      <c r="K2561" s="2">
        <v>230</v>
      </c>
      <c r="L2561" s="2">
        <v>87</v>
      </c>
      <c r="M2561" s="2"/>
      <c r="N2561" s="8">
        <v>41050.769884259258</v>
      </c>
      <c r="O2561" s="4"/>
      <c r="P2561" s="3" t="s">
        <v>3223</v>
      </c>
      <c r="Q2561" s="10" t="s">
        <v>3222</v>
      </c>
      <c r="R2561" s="4"/>
      <c r="S2561" s="9" t="str">
        <f>HYPERLINK("https://pbs.twimg.com/profile_images/821385868690751488/Qqe0I1Bk.jpg","View")</f>
        <v>View</v>
      </c>
    </row>
    <row r="2562" spans="1:19" ht="60">
      <c r="A2562" s="8">
        <v>43344.863692129627</v>
      </c>
      <c r="B2562" s="11" t="str">
        <f>HYPERLINK("https://twitter.com/baraabari_","@baraabari_")</f>
        <v>@baraabari_</v>
      </c>
      <c r="C2562" s="6" t="s">
        <v>9486</v>
      </c>
      <c r="D2562" s="5" t="s">
        <v>10322</v>
      </c>
      <c r="E2562" s="9" t="str">
        <f>HYPERLINK("https://twitter.com/baraabari_/status/1035923667279073280","1035923667279073280")</f>
        <v>1035923667279073280</v>
      </c>
      <c r="F2562" s="10" t="s">
        <v>10321</v>
      </c>
      <c r="G2562" s="10" t="s">
        <v>10320</v>
      </c>
      <c r="H2562" s="4"/>
      <c r="I2562" s="10" t="str">
        <f>HYPERLINK("http://twitter.com/download/iphone","Twitter for iPhone")</f>
        <v>Twitter for iPhone</v>
      </c>
      <c r="J2562" s="2">
        <v>43</v>
      </c>
      <c r="K2562" s="2">
        <v>27</v>
      </c>
      <c r="L2562" s="2">
        <v>0</v>
      </c>
      <c r="M2562" s="2"/>
      <c r="N2562" s="8">
        <v>43222.710023148145</v>
      </c>
      <c r="O2562" s="4"/>
      <c r="P2562" s="3" t="s">
        <v>10319</v>
      </c>
      <c r="Q2562" s="10" t="s">
        <v>9482</v>
      </c>
      <c r="R2562" s="4"/>
      <c r="S2562" s="9" t="str">
        <f>HYPERLINK("https://pbs.twimg.com/profile_images/1020364774268338177/C-GSMxtZ.jpg","View")</f>
        <v>View</v>
      </c>
    </row>
    <row r="2563" spans="1:19" ht="30">
      <c r="A2563" s="8">
        <v>43344.857453703706</v>
      </c>
      <c r="B2563" s="11" t="str">
        <f>HYPERLINK("https://twitter.com/AkhbarFori","@AkhbarFori")</f>
        <v>@AkhbarFori</v>
      </c>
      <c r="C2563" s="6" t="s">
        <v>703</v>
      </c>
      <c r="D2563" s="5" t="s">
        <v>10318</v>
      </c>
      <c r="E2563" s="9" t="str">
        <f>HYPERLINK("https://twitter.com/AkhbarFori/status/1035921406410797057","1035921406410797057")</f>
        <v>1035921406410797057</v>
      </c>
      <c r="F2563" s="10" t="s">
        <v>10317</v>
      </c>
      <c r="G2563" s="4"/>
      <c r="H2563" s="4"/>
      <c r="I2563" s="10" t="str">
        <f>HYPERLINK("http://twitter.com/download/android","Twitter for Android")</f>
        <v>Twitter for Android</v>
      </c>
      <c r="J2563" s="2">
        <v>2277</v>
      </c>
      <c r="K2563" s="2">
        <v>56</v>
      </c>
      <c r="L2563" s="2">
        <v>10</v>
      </c>
      <c r="M2563" s="2"/>
      <c r="N2563" s="8">
        <v>42681.433865740742</v>
      </c>
      <c r="O2563" s="4" t="s">
        <v>34</v>
      </c>
      <c r="P2563" s="3" t="s">
        <v>700</v>
      </c>
      <c r="Q2563" s="10" t="s">
        <v>699</v>
      </c>
      <c r="R2563" s="4"/>
      <c r="S2563" s="9" t="str">
        <f>HYPERLINK("https://pbs.twimg.com/profile_images/966310274599964674/M_bW7CfD.jpg","View")</f>
        <v>View</v>
      </c>
    </row>
    <row r="2564" spans="1:19" ht="20">
      <c r="A2564" s="8">
        <v>43344.853275462963</v>
      </c>
      <c r="B2564" s="11" t="str">
        <f>HYPERLINK("https://twitter.com/akharinkhabar","@akharinkhabar")</f>
        <v>@akharinkhabar</v>
      </c>
      <c r="C2564" s="6" t="s">
        <v>6060</v>
      </c>
      <c r="D2564" s="5" t="s">
        <v>10316</v>
      </c>
      <c r="E2564" s="9" t="str">
        <f>HYPERLINK("https://twitter.com/akharinkhabar/status/1035919893550575617","1035919893550575617")</f>
        <v>1035919893550575617</v>
      </c>
      <c r="F2564" s="10" t="s">
        <v>10315</v>
      </c>
      <c r="G2564" s="4"/>
      <c r="H2564" s="4"/>
      <c r="I2564" s="10" t="str">
        <f>HYPERLINK("http://twitter.com","Twitter Web Client")</f>
        <v>Twitter Web Client</v>
      </c>
      <c r="J2564" s="2">
        <v>6158</v>
      </c>
      <c r="K2564" s="2">
        <v>160</v>
      </c>
      <c r="L2564" s="2">
        <v>38</v>
      </c>
      <c r="M2564" s="2"/>
      <c r="N2564" s="8">
        <v>41664.528194444443</v>
      </c>
      <c r="O2564" s="4" t="s">
        <v>34</v>
      </c>
      <c r="P2564" s="3" t="s">
        <v>6057</v>
      </c>
      <c r="Q2564" s="10" t="s">
        <v>6056</v>
      </c>
      <c r="R2564" s="4"/>
      <c r="S2564" s="9" t="str">
        <f>HYPERLINK("https://pbs.twimg.com/profile_images/907548400987537408/C7mr0GDN.jpg","View")</f>
        <v>View</v>
      </c>
    </row>
    <row r="2565" spans="1:19" ht="30">
      <c r="A2565" s="8">
        <v>43344.851238425923</v>
      </c>
      <c r="B2565" s="11" t="str">
        <f>HYPERLINK("https://twitter.com/Zeytooooon1","@Zeytooooon1")</f>
        <v>@Zeytooooon1</v>
      </c>
      <c r="C2565" s="6" t="s">
        <v>10314</v>
      </c>
      <c r="D2565" s="5" t="s">
        <v>10313</v>
      </c>
      <c r="E2565" s="9" t="str">
        <f>HYPERLINK("https://twitter.com/Zeytooooon1/status/1035919154484662272","1035919154484662272")</f>
        <v>1035919154484662272</v>
      </c>
      <c r="F2565" s="4"/>
      <c r="G2565" s="4"/>
      <c r="H2565" s="4"/>
      <c r="I2565" s="10" t="str">
        <f>HYPERLINK("http://twitter.com","Twitter Web Client")</f>
        <v>Twitter Web Client</v>
      </c>
      <c r="J2565" s="2">
        <v>603</v>
      </c>
      <c r="K2565" s="2">
        <v>858</v>
      </c>
      <c r="L2565" s="2">
        <v>1</v>
      </c>
      <c r="M2565" s="2"/>
      <c r="N2565" s="8">
        <v>43248.992534722223</v>
      </c>
      <c r="O2565" s="4"/>
      <c r="P2565" s="3" t="s">
        <v>10312</v>
      </c>
      <c r="Q2565" s="4"/>
      <c r="R2565" s="4"/>
      <c r="S2565" s="9" t="str">
        <f>HYPERLINK("https://pbs.twimg.com/profile_images/1004717484304424960/udpnua5l.jpg","View")</f>
        <v>View</v>
      </c>
    </row>
    <row r="2566" spans="1:19" ht="40">
      <c r="A2566" s="8">
        <v>43344.835891203707</v>
      </c>
      <c r="B2566" s="11" t="str">
        <f>HYPERLINK("https://twitter.com/MZiaii","@MZiaii")</f>
        <v>@MZiaii</v>
      </c>
      <c r="C2566" s="6" t="s">
        <v>10296</v>
      </c>
      <c r="D2566" s="5" t="s">
        <v>10311</v>
      </c>
      <c r="E2566" s="9" t="str">
        <f>HYPERLINK("https://twitter.com/MZiaii/status/1035913594087649281","1035913594087649281")</f>
        <v>1035913594087649281</v>
      </c>
      <c r="F2566" s="4"/>
      <c r="G2566" s="10" t="s">
        <v>10310</v>
      </c>
      <c r="H2566" s="4"/>
      <c r="I2566" s="10" t="str">
        <f>HYPERLINK("http://twitter.com","Twitter Web Client")</f>
        <v>Twitter Web Client</v>
      </c>
      <c r="J2566" s="2">
        <v>400</v>
      </c>
      <c r="K2566" s="2">
        <v>346</v>
      </c>
      <c r="L2566" s="2">
        <v>7</v>
      </c>
      <c r="M2566" s="2"/>
      <c r="N2566" s="8">
        <v>42425.025000000001</v>
      </c>
      <c r="O2566" s="4" t="s">
        <v>10293</v>
      </c>
      <c r="P2566" s="3" t="s">
        <v>10292</v>
      </c>
      <c r="Q2566" s="4"/>
      <c r="R2566" s="4"/>
      <c r="S2566" s="9" t="str">
        <f>HYPERLINK("https://pbs.twimg.com/profile_images/1025106052554125313/qINnGNBT.jpg","View")</f>
        <v>View</v>
      </c>
    </row>
    <row r="2567" spans="1:19" ht="40">
      <c r="A2567" s="8">
        <v>43344.831307870365</v>
      </c>
      <c r="B2567" s="11" t="str">
        <f>HYPERLINK("https://twitter.com/mohsen_biglar","@mohsen_biglar")</f>
        <v>@mohsen_biglar</v>
      </c>
      <c r="C2567" s="6" t="s">
        <v>10309</v>
      </c>
      <c r="D2567" s="5" t="s">
        <v>10308</v>
      </c>
      <c r="E2567" s="9" t="str">
        <f>HYPERLINK("https://twitter.com/mohsen_biglar/status/1035911931146760196","1035911931146760196")</f>
        <v>1035911931146760196</v>
      </c>
      <c r="F2567" s="4"/>
      <c r="G2567" s="4"/>
      <c r="H2567" s="4"/>
      <c r="I2567" s="10" t="str">
        <f>HYPERLINK("http://twitter.com/download/iphone","Twitter for iPhone")</f>
        <v>Twitter for iPhone</v>
      </c>
      <c r="J2567" s="2">
        <v>381</v>
      </c>
      <c r="K2567" s="2">
        <v>312</v>
      </c>
      <c r="L2567" s="2">
        <v>2</v>
      </c>
      <c r="M2567" s="2"/>
      <c r="N2567" s="8">
        <v>42668.021828703699</v>
      </c>
      <c r="O2567" s="4" t="s">
        <v>34</v>
      </c>
      <c r="P2567" s="3" t="s">
        <v>10307</v>
      </c>
      <c r="Q2567" s="10" t="s">
        <v>10306</v>
      </c>
      <c r="R2567" s="4"/>
      <c r="S2567" s="9" t="str">
        <f>HYPERLINK("https://pbs.twimg.com/profile_images/851544668642959360/GI6mqFTe.jpg","View")</f>
        <v>View</v>
      </c>
    </row>
    <row r="2568" spans="1:19" ht="20">
      <c r="A2568" s="8">
        <v>43344.82912037037</v>
      </c>
      <c r="B2568" s="11" t="str">
        <f>HYPERLINK("https://twitter.com/nabavi8","@nabavi8")</f>
        <v>@nabavi8</v>
      </c>
      <c r="C2568" s="6" t="s">
        <v>4465</v>
      </c>
      <c r="D2568" s="5" t="s">
        <v>10305</v>
      </c>
      <c r="E2568" s="9" t="str">
        <f>HYPERLINK("https://twitter.com/nabavi8/status/1035911137995309056","1035911137995309056")</f>
        <v>1035911137995309056</v>
      </c>
      <c r="F2568" s="4"/>
      <c r="G2568" s="4"/>
      <c r="H2568" s="4"/>
      <c r="I2568" s="10" t="str">
        <f>HYPERLINK("http://twitter.com","Twitter Web Client")</f>
        <v>Twitter Web Client</v>
      </c>
      <c r="J2568" s="2">
        <v>115</v>
      </c>
      <c r="K2568" s="2">
        <v>475</v>
      </c>
      <c r="L2568" s="2">
        <v>1</v>
      </c>
      <c r="M2568" s="2"/>
      <c r="N2568" s="8">
        <v>41600.829421296294</v>
      </c>
      <c r="O2568" s="4" t="s">
        <v>794</v>
      </c>
      <c r="P2568" s="3" t="s">
        <v>4463</v>
      </c>
      <c r="Q2568" s="4"/>
      <c r="R2568" s="4"/>
      <c r="S2568" s="9" t="str">
        <f>HYPERLINK("https://pbs.twimg.com/profile_images/668534963575255041/4KqebuFh.jpg","View")</f>
        <v>View</v>
      </c>
    </row>
    <row r="2569" spans="1:19" ht="30">
      <c r="A2569" s="8">
        <v>43344.822824074072</v>
      </c>
      <c r="B2569" s="11" t="str">
        <f>HYPERLINK("https://twitter.com/AliRarhimi","@AliRarhimi")</f>
        <v>@AliRarhimi</v>
      </c>
      <c r="C2569" s="6" t="s">
        <v>10304</v>
      </c>
      <c r="D2569" s="5" t="s">
        <v>10303</v>
      </c>
      <c r="E2569" s="9" t="str">
        <f>HYPERLINK("https://twitter.com/AliRarhimi/status/1035908856147144704","1035908856147144704")</f>
        <v>1035908856147144704</v>
      </c>
      <c r="F2569" s="4"/>
      <c r="G2569" s="10" t="s">
        <v>10302</v>
      </c>
      <c r="H2569" s="4"/>
      <c r="I2569" s="10" t="str">
        <f>HYPERLINK("http://twitter.com/download/android","Twitter for Android")</f>
        <v>Twitter for Android</v>
      </c>
      <c r="J2569" s="2">
        <v>1209</v>
      </c>
      <c r="K2569" s="2">
        <v>2486</v>
      </c>
      <c r="L2569" s="2">
        <v>3</v>
      </c>
      <c r="M2569" s="2"/>
      <c r="N2569" s="8">
        <v>42568.442141203705</v>
      </c>
      <c r="O2569" s="4" t="s">
        <v>682</v>
      </c>
      <c r="P2569" s="3" t="s">
        <v>10301</v>
      </c>
      <c r="Q2569" s="4"/>
      <c r="R2569" s="4"/>
      <c r="S2569" s="9" t="str">
        <f>HYPERLINK("https://pbs.twimg.com/profile_images/907888486019223552/BA8QgTGR.jpg","View")</f>
        <v>View</v>
      </c>
    </row>
    <row r="2570" spans="1:19" ht="40">
      <c r="A2570" s="8">
        <v>43344.822789351849</v>
      </c>
      <c r="B2570" s="11" t="str">
        <f>HYPERLINK("https://twitter.com/mohyeddin_farsi","@mohyeddin_farsi")</f>
        <v>@mohyeddin_farsi</v>
      </c>
      <c r="C2570" s="6" t="s">
        <v>3121</v>
      </c>
      <c r="D2570" s="5" t="s">
        <v>10300</v>
      </c>
      <c r="E2570" s="9" t="str">
        <f>HYPERLINK("https://twitter.com/mohyeddin_farsi/status/1035908846483648512","1035908846483648512")</f>
        <v>1035908846483648512</v>
      </c>
      <c r="F2570" s="4"/>
      <c r="G2570" s="10" t="s">
        <v>10299</v>
      </c>
      <c r="H2570" s="4"/>
      <c r="I2570" s="10" t="str">
        <f>HYPERLINK("http://twitter.com/download/android","Twitter for Android")</f>
        <v>Twitter for Android</v>
      </c>
      <c r="J2570" s="2">
        <v>3061</v>
      </c>
      <c r="K2570" s="2">
        <v>4880</v>
      </c>
      <c r="L2570" s="2">
        <v>1</v>
      </c>
      <c r="M2570" s="2"/>
      <c r="N2570" s="8">
        <v>43208.817083333328</v>
      </c>
      <c r="O2570" s="4" t="s">
        <v>10298</v>
      </c>
      <c r="P2570" s="3" t="s">
        <v>10297</v>
      </c>
      <c r="Q2570" s="4"/>
      <c r="R2570" s="4"/>
      <c r="S2570" s="9" t="str">
        <f>HYPERLINK("https://pbs.twimg.com/profile_images/1025783168513789953/1ugz7yGG.jpg","View")</f>
        <v>View</v>
      </c>
    </row>
    <row r="2571" spans="1:19" ht="40">
      <c r="A2571" s="8">
        <v>43344.822083333333</v>
      </c>
      <c r="B2571" s="11" t="str">
        <f>HYPERLINK("https://twitter.com/MZiaii","@MZiaii")</f>
        <v>@MZiaii</v>
      </c>
      <c r="C2571" s="6" t="s">
        <v>10296</v>
      </c>
      <c r="D2571" s="5" t="s">
        <v>10295</v>
      </c>
      <c r="E2571" s="9" t="str">
        <f>HYPERLINK("https://twitter.com/MZiaii/status/1035908589712490502","1035908589712490502")</f>
        <v>1035908589712490502</v>
      </c>
      <c r="F2571" s="4"/>
      <c r="G2571" s="10" t="s">
        <v>10294</v>
      </c>
      <c r="H2571" s="4"/>
      <c r="I2571" s="10" t="str">
        <f>HYPERLINK("http://twitter.com","Twitter Web Client")</f>
        <v>Twitter Web Client</v>
      </c>
      <c r="J2571" s="2">
        <v>400</v>
      </c>
      <c r="K2571" s="2">
        <v>346</v>
      </c>
      <c r="L2571" s="2">
        <v>7</v>
      </c>
      <c r="M2571" s="2"/>
      <c r="N2571" s="8">
        <v>42425.025000000001</v>
      </c>
      <c r="O2571" s="4" t="s">
        <v>10293</v>
      </c>
      <c r="P2571" s="3" t="s">
        <v>10292</v>
      </c>
      <c r="Q2571" s="4"/>
      <c r="R2571" s="4"/>
      <c r="S2571" s="9" t="str">
        <f>HYPERLINK("https://pbs.twimg.com/profile_images/1025106052554125313/qINnGNBT.jpg","View")</f>
        <v>View</v>
      </c>
    </row>
    <row r="2572" spans="1:19" ht="40">
      <c r="A2572" s="8">
        <v>43344.822002314817</v>
      </c>
      <c r="B2572" s="11" t="str">
        <f>HYPERLINK("https://twitter.com/majid_hesaraki","@majid_hesaraki")</f>
        <v>@majid_hesaraki</v>
      </c>
      <c r="C2572" s="6" t="s">
        <v>5465</v>
      </c>
      <c r="D2572" s="5" t="s">
        <v>10291</v>
      </c>
      <c r="E2572" s="9" t="str">
        <f>HYPERLINK("https://twitter.com/majid_hesaraki/status/1035908559341608965","1035908559341608965")</f>
        <v>1035908559341608965</v>
      </c>
      <c r="F2572" s="4"/>
      <c r="G2572" s="4"/>
      <c r="H2572" s="4"/>
      <c r="I2572" s="10" t="str">
        <f>HYPERLINK("http://twitter.com/download/android","Twitter for Android")</f>
        <v>Twitter for Android</v>
      </c>
      <c r="J2572" s="2">
        <v>179</v>
      </c>
      <c r="K2572" s="2">
        <v>203</v>
      </c>
      <c r="L2572" s="2">
        <v>0</v>
      </c>
      <c r="M2572" s="2"/>
      <c r="N2572" s="8">
        <v>42866.568333333329</v>
      </c>
      <c r="O2572" s="4" t="s">
        <v>17</v>
      </c>
      <c r="P2572" s="3" t="s">
        <v>5463</v>
      </c>
      <c r="Q2572" s="4"/>
      <c r="R2572" s="4"/>
      <c r="S2572" s="9" t="str">
        <f>HYPERLINK("https://pbs.twimg.com/profile_images/1013741877634453505/9S7jmW6f.jpg","View")</f>
        <v>View</v>
      </c>
    </row>
    <row r="2573" spans="1:19" ht="50">
      <c r="A2573" s="8">
        <v>43344.820185185185</v>
      </c>
      <c r="B2573" s="11" t="str">
        <f>HYPERLINK("https://twitter.com/B_taraj","@B_taraj")</f>
        <v>@B_taraj</v>
      </c>
      <c r="C2573" s="6" t="s">
        <v>10290</v>
      </c>
      <c r="D2573" s="5" t="s">
        <v>10289</v>
      </c>
      <c r="E2573" s="9" t="str">
        <f>HYPERLINK("https://twitter.com/B_taraj/status/1035907902236708865","1035907902236708865")</f>
        <v>1035907902236708865</v>
      </c>
      <c r="F2573" s="10" t="s">
        <v>10288</v>
      </c>
      <c r="G2573" s="4"/>
      <c r="H2573" s="4"/>
      <c r="I2573" s="10" t="str">
        <f>HYPERLINK("http://twitter.com/download/android","Twitter for Android")</f>
        <v>Twitter for Android</v>
      </c>
      <c r="J2573" s="2">
        <v>4419</v>
      </c>
      <c r="K2573" s="2">
        <v>4844</v>
      </c>
      <c r="L2573" s="2">
        <v>3</v>
      </c>
      <c r="M2573" s="2"/>
      <c r="N2573" s="8">
        <v>43166.631643518514</v>
      </c>
      <c r="O2573" s="4"/>
      <c r="P2573" s="3" t="s">
        <v>10287</v>
      </c>
      <c r="Q2573" s="4"/>
      <c r="R2573" s="4"/>
      <c r="S2573" s="9" t="str">
        <f>HYPERLINK("https://pbs.twimg.com/profile_images/971360003679506432/0fRwcVIL.jpg","View")</f>
        <v>View</v>
      </c>
    </row>
    <row r="2574" spans="1:19" ht="30">
      <c r="A2574" s="8">
        <v>43344.809444444443</v>
      </c>
      <c r="B2574" s="11" t="str">
        <f>HYPERLINK("https://twitter.com/farhad_pd","@farhad_pd")</f>
        <v>@farhad_pd</v>
      </c>
      <c r="C2574" s="6" t="s">
        <v>1739</v>
      </c>
      <c r="D2574" s="5" t="s">
        <v>10286</v>
      </c>
      <c r="E2574" s="9" t="str">
        <f>HYPERLINK("https://twitter.com/farhad_pd/status/1035904010023260161","1035904010023260161")</f>
        <v>1035904010023260161</v>
      </c>
      <c r="F2574" s="4"/>
      <c r="G2574" s="4"/>
      <c r="H2574" s="4"/>
      <c r="I2574" s="10" t="str">
        <f>HYPERLINK("https://mobile.twitter.com","Twitter Lite")</f>
        <v>Twitter Lite</v>
      </c>
      <c r="J2574" s="2">
        <v>32</v>
      </c>
      <c r="K2574" s="2">
        <v>101</v>
      </c>
      <c r="L2574" s="2">
        <v>1</v>
      </c>
      <c r="M2574" s="2"/>
      <c r="N2574" s="8">
        <v>42722.74391203704</v>
      </c>
      <c r="O2574" s="4" t="s">
        <v>34</v>
      </c>
      <c r="P2574" s="3" t="s">
        <v>1737</v>
      </c>
      <c r="Q2574" s="10" t="s">
        <v>1736</v>
      </c>
      <c r="R2574" s="4"/>
      <c r="S2574" s="9" t="str">
        <f>HYPERLINK("https://pbs.twimg.com/profile_images/814105446894092289/tCHCkgmQ.jpg","View")</f>
        <v>View</v>
      </c>
    </row>
    <row r="2575" spans="1:19" ht="20">
      <c r="A2575" s="8">
        <v>43344.809270833328</v>
      </c>
      <c r="B2575" s="11" t="str">
        <f>HYPERLINK("https://twitter.com/Peyman_Alizadeh","@Peyman_Alizadeh")</f>
        <v>@Peyman_Alizadeh</v>
      </c>
      <c r="C2575" s="6" t="s">
        <v>10285</v>
      </c>
      <c r="D2575" s="5" t="s">
        <v>10284</v>
      </c>
      <c r="E2575" s="9" t="str">
        <f>HYPERLINK("https://twitter.com/Peyman_Alizadeh/status/1035903946047541248","1035903946047541248")</f>
        <v>1035903946047541248</v>
      </c>
      <c r="F2575" s="4"/>
      <c r="G2575" s="4"/>
      <c r="H2575" s="4"/>
      <c r="I2575" s="10" t="str">
        <f>HYPERLINK("http://twitter.com/download/android","Twitter for Android")</f>
        <v>Twitter for Android</v>
      </c>
      <c r="J2575" s="2">
        <v>143</v>
      </c>
      <c r="K2575" s="2">
        <v>220</v>
      </c>
      <c r="L2575" s="2">
        <v>1</v>
      </c>
      <c r="M2575" s="2"/>
      <c r="N2575" s="8">
        <v>40983.96261574074</v>
      </c>
      <c r="O2575" s="4"/>
      <c r="P2575" s="3"/>
      <c r="Q2575" s="4"/>
      <c r="R2575" s="4"/>
      <c r="S2575" s="9" t="str">
        <f>HYPERLINK("https://pbs.twimg.com/profile_images/856487514835607552/D4g65W-R.jpg","View")</f>
        <v>View</v>
      </c>
    </row>
    <row r="2576" spans="1:19" ht="30">
      <c r="A2576" s="8">
        <v>43344.803576388891</v>
      </c>
      <c r="B2576" s="11" t="str">
        <f>HYPERLINK("https://twitter.com/TohidAzizi1357","@TohidAzizi1357")</f>
        <v>@TohidAzizi1357</v>
      </c>
      <c r="C2576" s="6" t="s">
        <v>10283</v>
      </c>
      <c r="D2576" s="5" t="s">
        <v>10282</v>
      </c>
      <c r="E2576" s="9" t="str">
        <f>HYPERLINK("https://twitter.com/TohidAzizi1357/status/1035901880977764352","1035901880977764352")</f>
        <v>1035901880977764352</v>
      </c>
      <c r="F2576" s="4"/>
      <c r="G2576" s="10" t="s">
        <v>10281</v>
      </c>
      <c r="H2576" s="4"/>
      <c r="I2576" s="10" t="str">
        <f>HYPERLINK("http://twitter.com/download/android","Twitter for Android")</f>
        <v>Twitter for Android</v>
      </c>
      <c r="J2576" s="2">
        <v>13722</v>
      </c>
      <c r="K2576" s="2">
        <v>8838</v>
      </c>
      <c r="L2576" s="2">
        <v>105</v>
      </c>
      <c r="M2576" s="2"/>
      <c r="N2576" s="8">
        <v>41938.798993055556</v>
      </c>
      <c r="O2576" s="4"/>
      <c r="P2576" s="3" t="s">
        <v>10280</v>
      </c>
      <c r="Q2576" s="10" t="s">
        <v>10279</v>
      </c>
      <c r="R2576" s="4"/>
      <c r="S2576" s="9" t="str">
        <f>HYPERLINK("https://pbs.twimg.com/profile_images/964533887568244737/feN257vo.jpg","View")</f>
        <v>View</v>
      </c>
    </row>
    <row r="2577" spans="1:19" ht="40">
      <c r="A2577" s="8">
        <v>43344.802673611106</v>
      </c>
      <c r="B2577" s="11" t="str">
        <f>HYPERLINK("https://twitter.com/Kavoshgar3","@Kavoshgar3")</f>
        <v>@Kavoshgar3</v>
      </c>
      <c r="C2577" s="6" t="s">
        <v>5069</v>
      </c>
      <c r="D2577" s="5" t="s">
        <v>10278</v>
      </c>
      <c r="E2577" s="9" t="str">
        <f>HYPERLINK("https://twitter.com/Kavoshgar3/status/1035901554799337472","1035901554799337472")</f>
        <v>1035901554799337472</v>
      </c>
      <c r="F2577" s="4"/>
      <c r="G2577" s="10" t="s">
        <v>10277</v>
      </c>
      <c r="H2577" s="4"/>
      <c r="I2577" s="10" t="str">
        <f>HYPERLINK("http://twitter.com/download/iphone","Twitter for iPhone")</f>
        <v>Twitter for iPhone</v>
      </c>
      <c r="J2577" s="2">
        <v>5</v>
      </c>
      <c r="K2577" s="2">
        <v>23</v>
      </c>
      <c r="L2577" s="2">
        <v>0</v>
      </c>
      <c r="M2577" s="2"/>
      <c r="N2577" s="8">
        <v>43331.775787037041</v>
      </c>
      <c r="O2577" s="4" t="s">
        <v>5066</v>
      </c>
      <c r="P2577" s="3" t="s">
        <v>5065</v>
      </c>
      <c r="Q2577" s="4"/>
      <c r="R2577" s="4"/>
      <c r="S2577" s="9" t="str">
        <f>HYPERLINK("https://pbs.twimg.com/profile_images/1031190027022331904/LRu3gTYp.jpg","View")</f>
        <v>View</v>
      </c>
    </row>
    <row r="2578" spans="1:19" ht="50">
      <c r="A2578" s="8">
        <v>43344.799710648149</v>
      </c>
      <c r="B2578" s="11" t="str">
        <f>HYPERLINK("https://twitter.com/MSRoholahi","@MSRoholahi")</f>
        <v>@MSRoholahi</v>
      </c>
      <c r="C2578" s="6" t="s">
        <v>9713</v>
      </c>
      <c r="D2578" s="5" t="s">
        <v>10276</v>
      </c>
      <c r="E2578" s="9" t="str">
        <f>HYPERLINK("https://twitter.com/MSRoholahi/status/1035900480994594816","1035900480994594816")</f>
        <v>1035900480994594816</v>
      </c>
      <c r="F2578" s="4"/>
      <c r="G2578" s="10" t="s">
        <v>10275</v>
      </c>
      <c r="H2578" s="4"/>
      <c r="I2578" s="10" t="str">
        <f>HYPERLINK("http://twitter.com","Twitter Web Client")</f>
        <v>Twitter Web Client</v>
      </c>
      <c r="J2578" s="2">
        <v>158</v>
      </c>
      <c r="K2578" s="2">
        <v>263</v>
      </c>
      <c r="L2578" s="2">
        <v>2</v>
      </c>
      <c r="M2578" s="2"/>
      <c r="N2578" s="8">
        <v>43266.392245370371</v>
      </c>
      <c r="O2578" s="4" t="s">
        <v>9711</v>
      </c>
      <c r="P2578" s="3" t="s">
        <v>9710</v>
      </c>
      <c r="Q2578" s="10" t="s">
        <v>9709</v>
      </c>
      <c r="R2578" s="4"/>
      <c r="S2578" s="9" t="str">
        <f>HYPERLINK("https://pbs.twimg.com/profile_images/1035678925421260800/y46s2ngp.jpg","View")</f>
        <v>View</v>
      </c>
    </row>
    <row r="2579" spans="1:19" ht="30">
      <c r="A2579" s="8">
        <v>43344.796111111107</v>
      </c>
      <c r="B2579" s="11" t="str">
        <f>HYPERLINK("https://twitter.com/Farrokh631","@Farrokh631")</f>
        <v>@Farrokh631</v>
      </c>
      <c r="C2579" s="6" t="s">
        <v>2714</v>
      </c>
      <c r="D2579" s="5" t="s">
        <v>10274</v>
      </c>
      <c r="E2579" s="9" t="str">
        <f>HYPERLINK("https://twitter.com/Farrokh631/status/1035899175525863426","1035899175525863426")</f>
        <v>1035899175525863426</v>
      </c>
      <c r="F2579" s="4"/>
      <c r="G2579" s="10" t="s">
        <v>10273</v>
      </c>
      <c r="H2579" s="4"/>
      <c r="I2579" s="10" t="str">
        <f>HYPERLINK("http://twitter.com","Twitter Web Client")</f>
        <v>Twitter Web Client</v>
      </c>
      <c r="J2579" s="2">
        <v>88</v>
      </c>
      <c r="K2579" s="2">
        <v>80</v>
      </c>
      <c r="L2579" s="2">
        <v>0</v>
      </c>
      <c r="M2579" s="2"/>
      <c r="N2579" s="8">
        <v>43069.015092592592</v>
      </c>
      <c r="O2579" s="4" t="s">
        <v>34</v>
      </c>
      <c r="P2579" s="3" t="s">
        <v>2712</v>
      </c>
      <c r="Q2579" s="4"/>
      <c r="R2579" s="4"/>
      <c r="S2579" s="9" t="str">
        <f>HYPERLINK("https://pbs.twimg.com/profile_images/944317757448949760/Lvj8icjq.jpg","View")</f>
        <v>View</v>
      </c>
    </row>
    <row r="2580" spans="1:19" ht="30">
      <c r="A2580" s="8">
        <v>43344.794074074074</v>
      </c>
      <c r="B2580" s="11" t="str">
        <f>HYPERLINK("https://twitter.com/eslami_f65","@eslami_f65")</f>
        <v>@eslami_f65</v>
      </c>
      <c r="C2580" s="6" t="s">
        <v>10272</v>
      </c>
      <c r="D2580" s="5" t="s">
        <v>10271</v>
      </c>
      <c r="E2580" s="9" t="str">
        <f>HYPERLINK("https://twitter.com/eslami_f65/status/1035898440184684544","1035898440184684544")</f>
        <v>1035898440184684544</v>
      </c>
      <c r="F2580" s="4"/>
      <c r="G2580" s="4"/>
      <c r="H2580" s="4"/>
      <c r="I2580" s="10" t="str">
        <f>HYPERLINK("http://twitter.com/download/android","Twitter for Android")</f>
        <v>Twitter for Android</v>
      </c>
      <c r="J2580" s="2">
        <v>204</v>
      </c>
      <c r="K2580" s="2">
        <v>348</v>
      </c>
      <c r="L2580" s="2">
        <v>1</v>
      </c>
      <c r="M2580" s="2"/>
      <c r="N2580" s="8">
        <v>43140.717141203699</v>
      </c>
      <c r="O2580" s="4"/>
      <c r="P2580" s="3" t="s">
        <v>10270</v>
      </c>
      <c r="Q2580" s="4"/>
      <c r="R2580" s="4"/>
      <c r="S2580" s="9" t="str">
        <f>HYPERLINK("https://pbs.twimg.com/profile_images/999364817046548480/3S5qmfvE.jpg","View")</f>
        <v>View</v>
      </c>
    </row>
    <row r="2581" spans="1:19" ht="40">
      <c r="A2581" s="8">
        <v>43344.793726851851</v>
      </c>
      <c r="B2581" s="11" t="str">
        <f>HYPERLINK("https://twitter.com/jansakht9","@jansakht9")</f>
        <v>@jansakht9</v>
      </c>
      <c r="C2581" s="6" t="s">
        <v>9251</v>
      </c>
      <c r="D2581" s="5" t="s">
        <v>10269</v>
      </c>
      <c r="E2581" s="9" t="str">
        <f>HYPERLINK("https://twitter.com/jansakht9/status/1035898314280001537","1035898314280001537")</f>
        <v>1035898314280001537</v>
      </c>
      <c r="F2581" s="4"/>
      <c r="G2581" s="4"/>
      <c r="H2581" s="4"/>
      <c r="I2581" s="10" t="str">
        <f>HYPERLINK("https://mobile.twitter.com","Twitter Lite")</f>
        <v>Twitter Lite</v>
      </c>
      <c r="J2581" s="2">
        <v>32</v>
      </c>
      <c r="K2581" s="2">
        <v>152</v>
      </c>
      <c r="L2581" s="2">
        <v>0</v>
      </c>
      <c r="M2581" s="2"/>
      <c r="N2581" s="8">
        <v>43257.262488425928</v>
      </c>
      <c r="O2581" s="4"/>
      <c r="P2581" s="3" t="s">
        <v>9249</v>
      </c>
      <c r="Q2581" s="4"/>
      <c r="R2581" s="4"/>
      <c r="S2581" s="9" t="str">
        <f>HYPERLINK("https://pbs.twimg.com/profile_images/1033645501730549760/kne9Mzqf.jpg","View")</f>
        <v>View</v>
      </c>
    </row>
    <row r="2582" spans="1:19" ht="30">
      <c r="A2582" s="8">
        <v>43344.789085648154</v>
      </c>
      <c r="B2582" s="11" t="str">
        <f>HYPERLINK("https://twitter.com/freedom92979546","@freedom92979546")</f>
        <v>@freedom92979546</v>
      </c>
      <c r="C2582" s="6" t="s">
        <v>10268</v>
      </c>
      <c r="D2582" s="5" t="s">
        <v>10267</v>
      </c>
      <c r="E2582" s="9" t="str">
        <f>HYPERLINK("https://twitter.com/freedom92979546/status/1035896629423947776","1035896629423947776")</f>
        <v>1035896629423947776</v>
      </c>
      <c r="F2582" s="4"/>
      <c r="G2582" s="4"/>
      <c r="H2582" s="4"/>
      <c r="I2582" s="10" t="str">
        <f>HYPERLINK("http://twitter.com/download/iphone","Twitter for iPhone")</f>
        <v>Twitter for iPhone</v>
      </c>
      <c r="J2582" s="2">
        <v>1212</v>
      </c>
      <c r="K2582" s="2">
        <v>2119</v>
      </c>
      <c r="L2582" s="2">
        <v>1</v>
      </c>
      <c r="M2582" s="2"/>
      <c r="N2582" s="8">
        <v>43151.590254629627</v>
      </c>
      <c r="O2582" s="4"/>
      <c r="P2582" s="3" t="s">
        <v>10266</v>
      </c>
      <c r="Q2582" s="4"/>
      <c r="R2582" s="4"/>
      <c r="S2582" s="9" t="str">
        <f>HYPERLINK("https://pbs.twimg.com/profile_images/1001690335955881986/HX_rNsDf.jpg","View")</f>
        <v>View</v>
      </c>
    </row>
    <row r="2583" spans="1:19" ht="20">
      <c r="A2583" s="8">
        <v>43344.784085648149</v>
      </c>
      <c r="B2583" s="11" t="str">
        <f>HYPERLINK("https://twitter.com/Babakkey","@Babakkey")</f>
        <v>@Babakkey</v>
      </c>
      <c r="C2583" s="6" t="s">
        <v>10265</v>
      </c>
      <c r="D2583" s="5" t="s">
        <v>10264</v>
      </c>
      <c r="E2583" s="9" t="str">
        <f>HYPERLINK("https://twitter.com/Babakkey/status/1035894820563111936","1035894820563111936")</f>
        <v>1035894820563111936</v>
      </c>
      <c r="F2583" s="4"/>
      <c r="G2583" s="10" t="s">
        <v>10263</v>
      </c>
      <c r="H2583" s="4"/>
      <c r="I2583" s="10" t="str">
        <f>HYPERLINK("http://twitter.com/download/android","Twitter for Android")</f>
        <v>Twitter for Android</v>
      </c>
      <c r="J2583" s="2">
        <v>324</v>
      </c>
      <c r="K2583" s="2">
        <v>643</v>
      </c>
      <c r="L2583" s="2">
        <v>3</v>
      </c>
      <c r="M2583" s="2"/>
      <c r="N2583" s="8">
        <v>41479.831863425927</v>
      </c>
      <c r="O2583" s="4"/>
      <c r="P2583" s="3" t="s">
        <v>10262</v>
      </c>
      <c r="Q2583" s="4"/>
      <c r="R2583" s="4"/>
      <c r="S2583" s="9" t="str">
        <f>HYPERLINK("https://pbs.twimg.com/profile_images/978517694818349057/4Wq_dXFT.jpg","View")</f>
        <v>View</v>
      </c>
    </row>
    <row r="2584" spans="1:19" ht="40">
      <c r="A2584" s="8">
        <v>43344.780011574076</v>
      </c>
      <c r="B2584" s="11" t="str">
        <f>HYPERLINK("https://twitter.com/Zahedi_ir","@Zahedi_ir")</f>
        <v>@Zahedi_ir</v>
      </c>
      <c r="C2584" s="6" t="s">
        <v>900</v>
      </c>
      <c r="D2584" s="5" t="s">
        <v>10261</v>
      </c>
      <c r="E2584" s="9" t="str">
        <f>HYPERLINK("https://twitter.com/Zahedi_ir/status/1035893342222131201","1035893342222131201")</f>
        <v>1035893342222131201</v>
      </c>
      <c r="F2584" s="4"/>
      <c r="G2584" s="4"/>
      <c r="H2584" s="4"/>
      <c r="I2584" s="10" t="str">
        <f>HYPERLINK("https://mobile.twitter.com","Twitter Lite")</f>
        <v>Twitter Lite</v>
      </c>
      <c r="J2584" s="2">
        <v>284</v>
      </c>
      <c r="K2584" s="2">
        <v>75</v>
      </c>
      <c r="L2584" s="2">
        <v>10</v>
      </c>
      <c r="M2584" s="2"/>
      <c r="N2584" s="8">
        <v>42833.50571759259</v>
      </c>
      <c r="O2584" s="4" t="s">
        <v>324</v>
      </c>
      <c r="P2584" s="3" t="s">
        <v>898</v>
      </c>
      <c r="Q2584" s="10" t="s">
        <v>897</v>
      </c>
      <c r="R2584" s="4"/>
      <c r="S2584" s="9" t="str">
        <f>HYPERLINK("https://pbs.twimg.com/profile_images/850700359639203840/uHht1ZIQ.jpg","View")</f>
        <v>View</v>
      </c>
    </row>
    <row r="2585" spans="1:19" ht="30">
      <c r="A2585" s="8">
        <v>43344.780011574076</v>
      </c>
      <c r="B2585" s="11" t="str">
        <f>HYPERLINK("https://twitter.com/Peykarjoo","@Peykarjoo")</f>
        <v>@Peykarjoo</v>
      </c>
      <c r="C2585" s="6" t="s">
        <v>10260</v>
      </c>
      <c r="D2585" s="5" t="s">
        <v>10259</v>
      </c>
      <c r="E2585" s="9" t="str">
        <f>HYPERLINK("https://twitter.com/Peykarjoo/status/1035893341718802434","1035893341718802434")</f>
        <v>1035893341718802434</v>
      </c>
      <c r="F2585" s="4"/>
      <c r="G2585" s="4"/>
      <c r="H2585" s="4"/>
      <c r="I2585" s="10" t="str">
        <f>HYPERLINK("http://twitter.com/download/android","Twitter for Android")</f>
        <v>Twitter for Android</v>
      </c>
      <c r="J2585" s="2">
        <v>3642</v>
      </c>
      <c r="K2585" s="2">
        <v>1342</v>
      </c>
      <c r="L2585" s="2">
        <v>15</v>
      </c>
      <c r="M2585" s="2"/>
      <c r="N2585" s="8">
        <v>42867.4296875</v>
      </c>
      <c r="O2585" s="4"/>
      <c r="P2585" s="3" t="s">
        <v>10258</v>
      </c>
      <c r="Q2585" s="4"/>
      <c r="R2585" s="4"/>
      <c r="S2585" s="9" t="str">
        <f>HYPERLINK("https://pbs.twimg.com/profile_images/983186432431833094/Ou1-vfua.jpg","View")</f>
        <v>View</v>
      </c>
    </row>
    <row r="2586" spans="1:19" ht="20">
      <c r="A2586" s="8">
        <v>43344.776493055557</v>
      </c>
      <c r="B2586" s="11" t="str">
        <f>HYPERLINK("https://twitter.com/mohsenmov","@mohsenmov")</f>
        <v>@mohsenmov</v>
      </c>
      <c r="C2586" s="6" t="s">
        <v>10257</v>
      </c>
      <c r="D2586" s="5" t="s">
        <v>10256</v>
      </c>
      <c r="E2586" s="9" t="str">
        <f>HYPERLINK("https://twitter.com/mohsenmov/status/1035892065748561920","1035892065748561920")</f>
        <v>1035892065748561920</v>
      </c>
      <c r="F2586" s="4"/>
      <c r="G2586" s="4"/>
      <c r="H2586" s="4"/>
      <c r="I2586" s="10" t="str">
        <f>HYPERLINK("http://twitter.com","Twitter Web Client")</f>
        <v>Twitter Web Client</v>
      </c>
      <c r="J2586" s="2">
        <v>116</v>
      </c>
      <c r="K2586" s="2">
        <v>43</v>
      </c>
      <c r="L2586" s="2">
        <v>1</v>
      </c>
      <c r="M2586" s="2"/>
      <c r="N2586" s="8">
        <v>42824.903217592597</v>
      </c>
      <c r="O2586" s="4"/>
      <c r="P2586" s="3" t="s">
        <v>10255</v>
      </c>
      <c r="Q2586" s="4"/>
      <c r="R2586" s="4"/>
      <c r="S2586" s="9" t="str">
        <f>HYPERLINK("https://pbs.twimg.com/profile_images/1030931585158324224/uYSeTDgy.jpg","View")</f>
        <v>View</v>
      </c>
    </row>
    <row r="2587" spans="1:19" ht="40">
      <c r="A2587" s="8">
        <v>43344.774502314816</v>
      </c>
      <c r="B2587" s="11" t="str">
        <f>HYPERLINK("https://twitter.com/Alirezahse","@Alirezahse")</f>
        <v>@Alirezahse</v>
      </c>
      <c r="C2587" s="6" t="s">
        <v>6599</v>
      </c>
      <c r="D2587" s="5" t="s">
        <v>10254</v>
      </c>
      <c r="E2587" s="9" t="str">
        <f>HYPERLINK("https://twitter.com/Alirezahse/status/1035891347063033856","1035891347063033856")</f>
        <v>1035891347063033856</v>
      </c>
      <c r="F2587" s="4"/>
      <c r="G2587" s="4"/>
      <c r="H2587" s="4"/>
      <c r="I2587" s="10" t="str">
        <f>HYPERLINK("https://mobile.twitter.com","Twitter Lite")</f>
        <v>Twitter Lite</v>
      </c>
      <c r="J2587" s="2">
        <v>592</v>
      </c>
      <c r="K2587" s="2">
        <v>416</v>
      </c>
      <c r="L2587" s="2">
        <v>0</v>
      </c>
      <c r="M2587" s="2"/>
      <c r="N2587" s="8">
        <v>42903.015092592592</v>
      </c>
      <c r="O2587" s="4" t="s">
        <v>748</v>
      </c>
      <c r="P2587" s="3" t="s">
        <v>6596</v>
      </c>
      <c r="Q2587" s="4"/>
      <c r="R2587" s="4"/>
      <c r="S2587" s="9" t="str">
        <f>HYPERLINK("https://pbs.twimg.com/profile_images/1030737993743704064/ppFs6E7w.jpg","View")</f>
        <v>View</v>
      </c>
    </row>
    <row r="2588" spans="1:19" ht="30">
      <c r="A2588" s="8">
        <v>43344.773414351846</v>
      </c>
      <c r="B2588" s="11" t="str">
        <f>HYPERLINK("https://twitter.com/hamshahrinews","@hamshahrinews")</f>
        <v>@hamshahrinews</v>
      </c>
      <c r="C2588" s="6" t="s">
        <v>2149</v>
      </c>
      <c r="D2588" s="5" t="s">
        <v>10253</v>
      </c>
      <c r="E2588" s="9" t="str">
        <f>HYPERLINK("https://twitter.com/hamshahrinews/status/1035890950659301377","1035890950659301377")</f>
        <v>1035890950659301377</v>
      </c>
      <c r="F2588" s="4"/>
      <c r="G2588" s="4"/>
      <c r="H2588" s="4"/>
      <c r="I2588" s="10" t="str">
        <f>HYPERLINK("http://twitter.com","Twitter Web Client")</f>
        <v>Twitter Web Client</v>
      </c>
      <c r="J2588" s="2">
        <v>1887</v>
      </c>
      <c r="K2588" s="2">
        <v>12</v>
      </c>
      <c r="L2588" s="2">
        <v>36</v>
      </c>
      <c r="M2588" s="2"/>
      <c r="N2588" s="8">
        <v>42984.575752314813</v>
      </c>
      <c r="O2588" s="4" t="s">
        <v>133</v>
      </c>
      <c r="P2588" s="3" t="s">
        <v>2146</v>
      </c>
      <c r="Q2588" s="10" t="s">
        <v>2145</v>
      </c>
      <c r="R2588" s="4"/>
      <c r="S2588" s="9" t="str">
        <f>HYPERLINK("https://pbs.twimg.com/profile_images/918008480631533568/-awyAU90.jpg","View")</f>
        <v>View</v>
      </c>
    </row>
    <row r="2589" spans="1:19" ht="20">
      <c r="A2589" s="8">
        <v>43344.769074074073</v>
      </c>
      <c r="B2589" s="11" t="str">
        <f>HYPERLINK("https://twitter.com/barandazaan","@barandazaan")</f>
        <v>@barandazaan</v>
      </c>
      <c r="C2589" s="6" t="s">
        <v>10252</v>
      </c>
      <c r="D2589" s="5" t="s">
        <v>10251</v>
      </c>
      <c r="E2589" s="9" t="str">
        <f>HYPERLINK("https://twitter.com/barandazaan/status/1035889380555194369","1035889380555194369")</f>
        <v>1035889380555194369</v>
      </c>
      <c r="F2589" s="4"/>
      <c r="G2589" s="4"/>
      <c r="H2589" s="4"/>
      <c r="I2589" s="10" t="str">
        <f>HYPERLINK("http://twitter.com","Twitter Web Client")</f>
        <v>Twitter Web Client</v>
      </c>
      <c r="J2589" s="2">
        <v>362</v>
      </c>
      <c r="K2589" s="2">
        <v>337</v>
      </c>
      <c r="L2589" s="2">
        <v>0</v>
      </c>
      <c r="M2589" s="2"/>
      <c r="N2589" s="8">
        <v>41889.885775462964</v>
      </c>
      <c r="O2589" s="4" t="s">
        <v>25</v>
      </c>
      <c r="P2589" s="3" t="s">
        <v>10250</v>
      </c>
      <c r="Q2589" s="4"/>
      <c r="R2589" s="4"/>
      <c r="S2589" s="9" t="str">
        <f>HYPERLINK("https://pbs.twimg.com/profile_images/1035770688437727232/ICvIBkRm.jpg","View")</f>
        <v>View</v>
      </c>
    </row>
    <row r="2590" spans="1:19" ht="40">
      <c r="A2590" s="8">
        <v>43344.767766203702</v>
      </c>
      <c r="B2590" s="11" t="str">
        <f>HYPERLINK("https://twitter.com/FereshtehTariki","@FereshtehTariki")</f>
        <v>@FereshtehTariki</v>
      </c>
      <c r="C2590" s="6" t="s">
        <v>10249</v>
      </c>
      <c r="D2590" s="5" t="s">
        <v>10248</v>
      </c>
      <c r="E2590" s="9" t="str">
        <f>HYPERLINK("https://twitter.com/FereshtehTariki/status/1035888904187117568","1035888904187117568")</f>
        <v>1035888904187117568</v>
      </c>
      <c r="F2590" s="4"/>
      <c r="G2590" s="4"/>
      <c r="H2590" s="4"/>
      <c r="I2590" s="10" t="str">
        <f>HYPERLINK("http://twitter.com","Twitter Web Client")</f>
        <v>Twitter Web Client</v>
      </c>
      <c r="J2590" s="2">
        <v>214</v>
      </c>
      <c r="K2590" s="2">
        <v>87</v>
      </c>
      <c r="L2590" s="2">
        <v>1</v>
      </c>
      <c r="M2590" s="2"/>
      <c r="N2590" s="8">
        <v>42830.510034722218</v>
      </c>
      <c r="O2590" s="4"/>
      <c r="P2590" s="3" t="s">
        <v>10247</v>
      </c>
      <c r="Q2590" s="4"/>
      <c r="R2590" s="4"/>
      <c r="S2590" s="9" t="str">
        <f>HYPERLINK("https://pbs.twimg.com/profile_images/1035233129110417409/1GBjx0GI.jpg","View")</f>
        <v>View</v>
      </c>
    </row>
    <row r="2591" spans="1:19" ht="30">
      <c r="A2591" s="8">
        <v>43344.761793981481</v>
      </c>
      <c r="B2591" s="11" t="str">
        <f>HYPERLINK("https://twitter.com/hesam_asgari","@hesam_asgari")</f>
        <v>@hesam_asgari</v>
      </c>
      <c r="C2591" s="6" t="s">
        <v>10246</v>
      </c>
      <c r="D2591" s="5" t="s">
        <v>10245</v>
      </c>
      <c r="E2591" s="9" t="str">
        <f>HYPERLINK("https://twitter.com/hesam_asgari/status/1035886741914361858","1035886741914361858")</f>
        <v>1035886741914361858</v>
      </c>
      <c r="F2591" s="4"/>
      <c r="G2591" s="4"/>
      <c r="H2591" s="4"/>
      <c r="I2591" s="10" t="str">
        <f>HYPERLINK("http://twitter.com/download/android","Twitter for Android")</f>
        <v>Twitter for Android</v>
      </c>
      <c r="J2591" s="2">
        <v>72</v>
      </c>
      <c r="K2591" s="2">
        <v>118</v>
      </c>
      <c r="L2591" s="2">
        <v>0</v>
      </c>
      <c r="M2591" s="2"/>
      <c r="N2591" s="8">
        <v>42589.615752314814</v>
      </c>
      <c r="O2591" s="4" t="s">
        <v>133</v>
      </c>
      <c r="P2591" s="3" t="s">
        <v>10244</v>
      </c>
      <c r="Q2591" s="4"/>
      <c r="R2591" s="4"/>
      <c r="S2591" s="9" t="str">
        <f>HYPERLINK("https://pbs.twimg.com/profile_images/800819347602214913/NJ1poiSA.jpg","View")</f>
        <v>View</v>
      </c>
    </row>
    <row r="2592" spans="1:19" ht="30">
      <c r="A2592" s="8">
        <v>43344.760138888887</v>
      </c>
      <c r="B2592" s="11" t="str">
        <f>HYPERLINK("https://twitter.com/Kavoshgar3","@Kavoshgar3")</f>
        <v>@Kavoshgar3</v>
      </c>
      <c r="C2592" s="6" t="s">
        <v>5069</v>
      </c>
      <c r="D2592" s="5" t="s">
        <v>10243</v>
      </c>
      <c r="E2592" s="9" t="str">
        <f>HYPERLINK("https://twitter.com/Kavoshgar3/status/1035886139314454528","1035886139314454528")</f>
        <v>1035886139314454528</v>
      </c>
      <c r="F2592" s="4"/>
      <c r="G2592" s="10" t="s">
        <v>10242</v>
      </c>
      <c r="H2592" s="4"/>
      <c r="I2592" s="10" t="str">
        <f>HYPERLINK("http://twitter.com/download/iphone","Twitter for iPhone")</f>
        <v>Twitter for iPhone</v>
      </c>
      <c r="J2592" s="2">
        <v>5</v>
      </c>
      <c r="K2592" s="2">
        <v>23</v>
      </c>
      <c r="L2592" s="2">
        <v>0</v>
      </c>
      <c r="M2592" s="2"/>
      <c r="N2592" s="8">
        <v>43331.775787037041</v>
      </c>
      <c r="O2592" s="4" t="s">
        <v>5066</v>
      </c>
      <c r="P2592" s="3" t="s">
        <v>5065</v>
      </c>
      <c r="Q2592" s="4"/>
      <c r="R2592" s="4"/>
      <c r="S2592" s="9" t="str">
        <f>HYPERLINK("https://pbs.twimg.com/profile_images/1031190027022331904/LRu3gTYp.jpg","View")</f>
        <v>View</v>
      </c>
    </row>
    <row r="2593" spans="1:19" ht="40">
      <c r="A2593" s="8">
        <v>43344.748622685191</v>
      </c>
      <c r="B2593" s="11" t="str">
        <f>HYPERLINK("https://twitter.com/RafatiSiavash","@RafatiSiavash")</f>
        <v>@RafatiSiavash</v>
      </c>
      <c r="C2593" s="6" t="s">
        <v>3226</v>
      </c>
      <c r="D2593" s="5" t="s">
        <v>10241</v>
      </c>
      <c r="E2593" s="9" t="str">
        <f>HYPERLINK("https://twitter.com/RafatiSiavash/status/1035881968456671232","1035881968456671232")</f>
        <v>1035881968456671232</v>
      </c>
      <c r="F2593" s="10" t="s">
        <v>10240</v>
      </c>
      <c r="G2593" s="10" t="s">
        <v>10239</v>
      </c>
      <c r="H2593" s="4"/>
      <c r="I2593" s="10" t="str">
        <f>HYPERLINK("http://twitter.com","Twitter Web Client")</f>
        <v>Twitter Web Client</v>
      </c>
      <c r="J2593" s="2">
        <v>288</v>
      </c>
      <c r="K2593" s="2">
        <v>230</v>
      </c>
      <c r="L2593" s="2">
        <v>87</v>
      </c>
      <c r="M2593" s="2"/>
      <c r="N2593" s="8">
        <v>41050.769884259258</v>
      </c>
      <c r="O2593" s="4"/>
      <c r="P2593" s="3" t="s">
        <v>3223</v>
      </c>
      <c r="Q2593" s="10" t="s">
        <v>3222</v>
      </c>
      <c r="R2593" s="4"/>
      <c r="S2593" s="9" t="str">
        <f>HYPERLINK("https://pbs.twimg.com/profile_images/821385868690751488/Qqe0I1Bk.jpg","View")</f>
        <v>View</v>
      </c>
    </row>
    <row r="2594" spans="1:19" ht="40">
      <c r="A2594" s="8">
        <v>43344.74799768519</v>
      </c>
      <c r="B2594" s="11" t="str">
        <f>HYPERLINK("https://twitter.com/IranTehran313","@IranTehran313")</f>
        <v>@IranTehran313</v>
      </c>
      <c r="C2594" s="6">
        <v>13</v>
      </c>
      <c r="D2594" s="5" t="s">
        <v>10238</v>
      </c>
      <c r="E2594" s="9" t="str">
        <f>HYPERLINK("https://twitter.com/IranTehran313/status/1035881740605247488","1035881740605247488")</f>
        <v>1035881740605247488</v>
      </c>
      <c r="F2594" s="4"/>
      <c r="G2594" s="4"/>
      <c r="H2594" s="4"/>
      <c r="I2594" s="10" t="str">
        <f>HYPERLINK("http://twitter.com/download/iphone","Twitter for iPhone")</f>
        <v>Twitter for iPhone</v>
      </c>
      <c r="J2594" s="2">
        <v>4</v>
      </c>
      <c r="K2594" s="2">
        <v>0</v>
      </c>
      <c r="L2594" s="2">
        <v>0</v>
      </c>
      <c r="M2594" s="2"/>
      <c r="N2594" s="8">
        <v>41757.120173611111</v>
      </c>
      <c r="O2594" s="4"/>
      <c r="P2594" s="3"/>
      <c r="Q2594" s="4"/>
      <c r="R2594" s="4"/>
      <c r="S2594" s="9" t="str">
        <f>HYPERLINK("https://pbs.twimg.com/profile_images/461247865600221184/SdwNsg8d.jpeg","View")</f>
        <v>View</v>
      </c>
    </row>
    <row r="2595" spans="1:19" ht="40">
      <c r="A2595" s="8">
        <v>43344.744999999995</v>
      </c>
      <c r="B2595" s="11" t="str">
        <f>HYPERLINK("https://twitter.com/artamad93","@artamad93")</f>
        <v>@artamad93</v>
      </c>
      <c r="C2595" s="6" t="s">
        <v>6683</v>
      </c>
      <c r="D2595" s="5" t="s">
        <v>10237</v>
      </c>
      <c r="E2595" s="9" t="str">
        <f>HYPERLINK("https://twitter.com/artamad93/status/1035880656830705666","1035880656830705666")</f>
        <v>1035880656830705666</v>
      </c>
      <c r="F2595" s="4"/>
      <c r="G2595" s="4"/>
      <c r="H2595" s="4"/>
      <c r="I2595" s="10" t="str">
        <f>HYPERLINK("http://twitter.com/download/android","Twitter for Android")</f>
        <v>Twitter for Android</v>
      </c>
      <c r="J2595" s="2">
        <v>58</v>
      </c>
      <c r="K2595" s="2">
        <v>168</v>
      </c>
      <c r="L2595" s="2">
        <v>0</v>
      </c>
      <c r="M2595" s="2"/>
      <c r="N2595" s="8">
        <v>40925.030972222223</v>
      </c>
      <c r="O2595" s="4" t="s">
        <v>1631</v>
      </c>
      <c r="P2595" s="3" t="s">
        <v>6681</v>
      </c>
      <c r="Q2595" s="4"/>
      <c r="R2595" s="4"/>
      <c r="S2595" s="9" t="str">
        <f>HYPERLINK("https://pbs.twimg.com/profile_images/825662157777956864/7qvHKF4W.jpg","View")</f>
        <v>View</v>
      </c>
    </row>
    <row r="2596" spans="1:19" ht="40">
      <c r="A2596" s="8">
        <v>43344.744849537034</v>
      </c>
      <c r="B2596" s="11" t="str">
        <f>HYPERLINK("https://twitter.com/Bahman_sameti","@Bahman_sameti")</f>
        <v>@Bahman_sameti</v>
      </c>
      <c r="C2596" s="6" t="s">
        <v>10236</v>
      </c>
      <c r="D2596" s="5" t="s">
        <v>10235</v>
      </c>
      <c r="E2596" s="9" t="str">
        <f>HYPERLINK("https://twitter.com/Bahman_sameti/status/1035880600589225984","1035880600589225984")</f>
        <v>1035880600589225984</v>
      </c>
      <c r="F2596" s="4"/>
      <c r="G2596" s="10" t="s">
        <v>10234</v>
      </c>
      <c r="H2596" s="4"/>
      <c r="I2596" s="10" t="str">
        <f>HYPERLINK("http://twitter.com","Twitter Web Client")</f>
        <v>Twitter Web Client</v>
      </c>
      <c r="J2596" s="2">
        <v>806</v>
      </c>
      <c r="K2596" s="2">
        <v>750</v>
      </c>
      <c r="L2596" s="2">
        <v>0</v>
      </c>
      <c r="M2596" s="2"/>
      <c r="N2596" s="8">
        <v>43310.86855324074</v>
      </c>
      <c r="O2596" s="4" t="s">
        <v>34</v>
      </c>
      <c r="P2596" s="3" t="s">
        <v>10233</v>
      </c>
      <c r="Q2596" s="4"/>
      <c r="R2596" s="4"/>
      <c r="S2596" s="9" t="str">
        <f>HYPERLINK("https://pbs.twimg.com/profile_images/1023937372801495041/9fU6lmTk.jpg","View")</f>
        <v>View</v>
      </c>
    </row>
    <row r="2597" spans="1:19" ht="40">
      <c r="A2597" s="8">
        <v>43344.743923611109</v>
      </c>
      <c r="B2597" s="11" t="str">
        <f>HYPERLINK("https://twitter.com/FarshidRastin","@FarshidRastin")</f>
        <v>@FarshidRastin</v>
      </c>
      <c r="C2597" s="6" t="s">
        <v>10232</v>
      </c>
      <c r="D2597" s="5" t="s">
        <v>10231</v>
      </c>
      <c r="E2597" s="9" t="str">
        <f>HYPERLINK("https://twitter.com/FarshidRastin/status/1035880264986226688","1035880264986226688")</f>
        <v>1035880264986226688</v>
      </c>
      <c r="F2597" s="4"/>
      <c r="G2597" s="4"/>
      <c r="H2597" s="4"/>
      <c r="I2597" s="10" t="str">
        <f>HYPERLINK("http://twitter.com/download/android","Twitter for Android")</f>
        <v>Twitter for Android</v>
      </c>
      <c r="J2597" s="2">
        <v>73</v>
      </c>
      <c r="K2597" s="2">
        <v>207</v>
      </c>
      <c r="L2597" s="2">
        <v>0</v>
      </c>
      <c r="M2597" s="2"/>
      <c r="N2597" s="8">
        <v>41443.61204861111</v>
      </c>
      <c r="O2597" s="4" t="s">
        <v>10230</v>
      </c>
      <c r="P2597" s="3" t="s">
        <v>10229</v>
      </c>
      <c r="Q2597" s="4"/>
      <c r="R2597" s="4"/>
      <c r="S2597" s="9" t="str">
        <f>HYPERLINK("https://pbs.twimg.com/profile_images/378800000010412095/b53f24e024942b36c77f2ec792d79e22.jpeg","View")</f>
        <v>View</v>
      </c>
    </row>
    <row r="2598" spans="1:19" ht="12.5">
      <c r="A2598" s="8">
        <v>43344.743483796294</v>
      </c>
      <c r="B2598" s="11" t="str">
        <f>HYPERLINK("https://twitter.com/s_sahami","@s_sahami")</f>
        <v>@s_sahami</v>
      </c>
      <c r="C2598" s="6" t="s">
        <v>10228</v>
      </c>
      <c r="D2598" s="5" t="s">
        <v>10227</v>
      </c>
      <c r="E2598" s="9" t="str">
        <f>HYPERLINK("https://twitter.com/s_sahami/status/1035880103589425152","1035880103589425152")</f>
        <v>1035880103589425152</v>
      </c>
      <c r="F2598" s="4"/>
      <c r="G2598" s="4"/>
      <c r="H2598" s="4"/>
      <c r="I2598" s="10" t="str">
        <f>HYPERLINK("http://twitter.com/download/android","Twitter for Android")</f>
        <v>Twitter for Android</v>
      </c>
      <c r="J2598" s="2">
        <v>125</v>
      </c>
      <c r="K2598" s="2">
        <v>90</v>
      </c>
      <c r="L2598" s="2">
        <v>1</v>
      </c>
      <c r="M2598" s="2"/>
      <c r="N2598" s="8">
        <v>43225.593668981484</v>
      </c>
      <c r="O2598" s="4" t="s">
        <v>17</v>
      </c>
      <c r="P2598" s="3" t="s">
        <v>10226</v>
      </c>
      <c r="Q2598" s="4"/>
      <c r="R2598" s="4"/>
      <c r="S2598" s="9" t="str">
        <f>HYPERLINK("https://pbs.twimg.com/profile_images/992704042425044993/Q78DXpGr.jpg","View")</f>
        <v>View</v>
      </c>
    </row>
    <row r="2599" spans="1:19" ht="40">
      <c r="A2599" s="8">
        <v>43344.74119212963</v>
      </c>
      <c r="B2599" s="11" t="str">
        <f>HYPERLINK("https://twitter.com/Tasnimnews_Fa","@Tasnimnews_Fa")</f>
        <v>@Tasnimnews_Fa</v>
      </c>
      <c r="C2599" s="6" t="s">
        <v>603</v>
      </c>
      <c r="D2599" s="5" t="s">
        <v>10225</v>
      </c>
      <c r="E2599" s="9" t="str">
        <f>HYPERLINK("https://twitter.com/Tasnimnews_Fa/status/1035879274056757249","1035879274056757249")</f>
        <v>1035879274056757249</v>
      </c>
      <c r="F2599" s="10" t="s">
        <v>10224</v>
      </c>
      <c r="G2599" s="10" t="s">
        <v>10223</v>
      </c>
      <c r="H2599" s="4"/>
      <c r="I2599" s="10" t="str">
        <f>HYPERLINK("http://twitter.com","Twitter Web Client")</f>
        <v>Twitter Web Client</v>
      </c>
      <c r="J2599" s="2">
        <v>109566</v>
      </c>
      <c r="K2599" s="2">
        <v>20</v>
      </c>
      <c r="L2599" s="2">
        <v>377</v>
      </c>
      <c r="M2599" s="2" t="s">
        <v>80</v>
      </c>
      <c r="N2599" s="8">
        <v>41868.671585648146</v>
      </c>
      <c r="O2599" s="4" t="s">
        <v>133</v>
      </c>
      <c r="P2599" s="3" t="s">
        <v>599</v>
      </c>
      <c r="Q2599" s="10" t="s">
        <v>598</v>
      </c>
      <c r="R2599" s="4"/>
      <c r="S2599" s="9" t="str">
        <f>HYPERLINK("https://pbs.twimg.com/profile_images/942003149430239232/hvLw_1_E.jpg","View")</f>
        <v>View</v>
      </c>
    </row>
    <row r="2600" spans="1:19" ht="40">
      <c r="A2600" s="8">
        <v>43344.739062499997</v>
      </c>
      <c r="B2600" s="11" t="str">
        <f>HYPERLINK("https://twitter.com/shahabsmam","@shahabsmam")</f>
        <v>@shahabsmam</v>
      </c>
      <c r="C2600" s="6" t="s">
        <v>1939</v>
      </c>
      <c r="D2600" s="5" t="s">
        <v>10222</v>
      </c>
      <c r="E2600" s="9" t="str">
        <f>HYPERLINK("https://twitter.com/shahabsmam/status/1035878503558787073","1035878503558787073")</f>
        <v>1035878503558787073</v>
      </c>
      <c r="F2600" s="4"/>
      <c r="G2600" s="10" t="s">
        <v>10221</v>
      </c>
      <c r="H2600" s="4"/>
      <c r="I2600" s="10" t="str">
        <f>HYPERLINK("http://twitter.com/download/android","Twitter for Android")</f>
        <v>Twitter for Android</v>
      </c>
      <c r="J2600" s="2">
        <v>900</v>
      </c>
      <c r="K2600" s="2">
        <v>676</v>
      </c>
      <c r="L2600" s="2">
        <v>3</v>
      </c>
      <c r="M2600" s="2"/>
      <c r="N2600" s="8">
        <v>42736.421018518522</v>
      </c>
      <c r="O2600" s="4" t="s">
        <v>1937</v>
      </c>
      <c r="P2600" s="3" t="s">
        <v>1936</v>
      </c>
      <c r="Q2600" s="4"/>
      <c r="R2600" s="4"/>
      <c r="S2600" s="9" t="str">
        <f>HYPERLINK("https://pbs.twimg.com/profile_images/906273560779513861/eGhkT1Z8.jpg","View")</f>
        <v>View</v>
      </c>
    </row>
    <row r="2601" spans="1:19" ht="30">
      <c r="A2601" s="8">
        <v>43344.73841435185</v>
      </c>
      <c r="B2601" s="11" t="str">
        <f>HYPERLINK("https://twitter.com/arefamiri14","@arefamiri14")</f>
        <v>@arefamiri14</v>
      </c>
      <c r="C2601" s="6" t="s">
        <v>2105</v>
      </c>
      <c r="D2601" s="5" t="s">
        <v>10220</v>
      </c>
      <c r="E2601" s="9" t="str">
        <f>HYPERLINK("https://twitter.com/arefamiri14/status/1035878267696238593","1035878267696238593")</f>
        <v>1035878267696238593</v>
      </c>
      <c r="F2601" s="4"/>
      <c r="G2601" s="4"/>
      <c r="H2601" s="4"/>
      <c r="I2601" s="10" t="str">
        <f>HYPERLINK("http://twitter.com","Twitter Web Client")</f>
        <v>Twitter Web Client</v>
      </c>
      <c r="J2601" s="2">
        <v>106</v>
      </c>
      <c r="K2601" s="2">
        <v>100</v>
      </c>
      <c r="L2601" s="2">
        <v>0</v>
      </c>
      <c r="M2601" s="2"/>
      <c r="N2601" s="8">
        <v>43331.773715277777</v>
      </c>
      <c r="O2601" s="4" t="s">
        <v>2103</v>
      </c>
      <c r="P2601" s="3" t="s">
        <v>10219</v>
      </c>
      <c r="Q2601" s="4"/>
      <c r="R2601" s="4"/>
      <c r="S2601" s="9" t="str">
        <f>HYPERLINK("https://pbs.twimg.com/profile_images/1031181221043298309/wrVbEJOO.jpg","View")</f>
        <v>View</v>
      </c>
    </row>
    <row r="2602" spans="1:19" ht="50">
      <c r="A2602" s="8">
        <v>43344.736990740741</v>
      </c>
      <c r="B2602" s="11" t="str">
        <f>HYPERLINK("https://twitter.com/_arashkamangir","@_arashkamangir")</f>
        <v>@_arashkamangir</v>
      </c>
      <c r="C2602" s="6" t="s">
        <v>10218</v>
      </c>
      <c r="D2602" s="5" t="s">
        <v>10217</v>
      </c>
      <c r="E2602" s="9" t="str">
        <f>HYPERLINK("https://twitter.com/_arashkamangir/status/1035877754007420929","1035877754007420929")</f>
        <v>1035877754007420929</v>
      </c>
      <c r="F2602" s="4"/>
      <c r="G2602" s="4"/>
      <c r="H2602" s="4"/>
      <c r="I2602" s="10" t="str">
        <f>HYPERLINK("http://twitter.com","Twitter Web Client")</f>
        <v>Twitter Web Client</v>
      </c>
      <c r="J2602" s="2">
        <v>246</v>
      </c>
      <c r="K2602" s="2">
        <v>680</v>
      </c>
      <c r="L2602" s="2">
        <v>44</v>
      </c>
      <c r="M2602" s="2"/>
      <c r="N2602" s="8">
        <v>40977.600405092591</v>
      </c>
      <c r="O2602" s="4" t="s">
        <v>7467</v>
      </c>
      <c r="P2602" s="3" t="s">
        <v>10216</v>
      </c>
      <c r="Q2602" s="4"/>
      <c r="R2602" s="4"/>
      <c r="S2602" s="9" t="str">
        <f>HYPERLINK("https://pbs.twimg.com/profile_images/684084892309794816/giTJedis.jpg","View")</f>
        <v>View</v>
      </c>
    </row>
    <row r="2603" spans="1:19" ht="40">
      <c r="A2603" s="8">
        <v>43344.734548611115</v>
      </c>
      <c r="B2603" s="11" t="str">
        <f>HYPERLINK("https://twitter.com/RafatiSiavash","@RafatiSiavash")</f>
        <v>@RafatiSiavash</v>
      </c>
      <c r="C2603" s="6" t="s">
        <v>3226</v>
      </c>
      <c r="D2603" s="5" t="s">
        <v>10215</v>
      </c>
      <c r="E2603" s="9" t="str">
        <f>HYPERLINK("https://twitter.com/RafatiSiavash/status/1035876867771912192","1035876867771912192")</f>
        <v>1035876867771912192</v>
      </c>
      <c r="F2603" s="10" t="s">
        <v>10214</v>
      </c>
      <c r="G2603" s="4"/>
      <c r="H2603" s="4"/>
      <c r="I2603" s="10" t="str">
        <f>HYPERLINK("http://twitter.com","Twitter Web Client")</f>
        <v>Twitter Web Client</v>
      </c>
      <c r="J2603" s="2">
        <v>288</v>
      </c>
      <c r="K2603" s="2">
        <v>230</v>
      </c>
      <c r="L2603" s="2">
        <v>87</v>
      </c>
      <c r="M2603" s="2"/>
      <c r="N2603" s="8">
        <v>41050.769884259258</v>
      </c>
      <c r="O2603" s="4"/>
      <c r="P2603" s="3" t="s">
        <v>3223</v>
      </c>
      <c r="Q2603" s="10" t="s">
        <v>3222</v>
      </c>
      <c r="R2603" s="4"/>
      <c r="S2603" s="9" t="str">
        <f>HYPERLINK("https://pbs.twimg.com/profile_images/821385868690751488/Qqe0I1Bk.jpg","View")</f>
        <v>View</v>
      </c>
    </row>
    <row r="2604" spans="1:19" ht="20">
      <c r="A2604" s="8">
        <v>43344.72923611111</v>
      </c>
      <c r="B2604" s="11" t="str">
        <f>HYPERLINK("https://twitter.com/adelkhanim","@adelkhanim")</f>
        <v>@adelkhanim</v>
      </c>
      <c r="C2604" s="6" t="s">
        <v>10213</v>
      </c>
      <c r="D2604" s="5" t="s">
        <v>10212</v>
      </c>
      <c r="E2604" s="9" t="str">
        <f>HYPERLINK("https://twitter.com/adelkhanim/status/1035874941781114880","1035874941781114880")</f>
        <v>1035874941781114880</v>
      </c>
      <c r="F2604" s="4"/>
      <c r="G2604" s="4"/>
      <c r="H2604" s="4"/>
      <c r="I2604" s="10" t="str">
        <f>HYPERLINK("http://twitter.com/download/android","Twitter for Android")</f>
        <v>Twitter for Android</v>
      </c>
      <c r="J2604" s="2">
        <v>201</v>
      </c>
      <c r="K2604" s="2">
        <v>897</v>
      </c>
      <c r="L2604" s="2">
        <v>0</v>
      </c>
      <c r="M2604" s="2"/>
      <c r="N2604" s="8">
        <v>40832.520451388889</v>
      </c>
      <c r="O2604" s="4" t="s">
        <v>133</v>
      </c>
      <c r="P2604" s="3" t="s">
        <v>10211</v>
      </c>
      <c r="Q2604" s="10" t="s">
        <v>10210</v>
      </c>
      <c r="R2604" s="4"/>
      <c r="S2604" s="9" t="str">
        <f>HYPERLINK("https://pbs.twimg.com/profile_images/969211952940683264/jmwF5jtf.jpg","View")</f>
        <v>View</v>
      </c>
    </row>
    <row r="2605" spans="1:19" ht="40">
      <c r="A2605" s="8">
        <v>43344.729097222225</v>
      </c>
      <c r="B2605" s="11" t="str">
        <f>HYPERLINK("https://twitter.com/Avay8hahaha","@Avay8hahaha")</f>
        <v>@Avay8hahaha</v>
      </c>
      <c r="C2605" s="6" t="s">
        <v>10209</v>
      </c>
      <c r="D2605" s="5" t="s">
        <v>10208</v>
      </c>
      <c r="E2605" s="9" t="str">
        <f>HYPERLINK("https://twitter.com/Avay8hahaha/status/1035874893139783680","1035874893139783680")</f>
        <v>1035874893139783680</v>
      </c>
      <c r="F2605" s="4"/>
      <c r="G2605" s="4"/>
      <c r="H2605" s="4"/>
      <c r="I2605" s="10" t="str">
        <f>HYPERLINK("http://twitter.com/download/android","Twitter for Android")</f>
        <v>Twitter for Android</v>
      </c>
      <c r="J2605" s="2">
        <v>427</v>
      </c>
      <c r="K2605" s="2">
        <v>421</v>
      </c>
      <c r="L2605" s="2">
        <v>0</v>
      </c>
      <c r="M2605" s="2"/>
      <c r="N2605" s="8">
        <v>43284.089155092588</v>
      </c>
      <c r="O2605" s="4" t="s">
        <v>10207</v>
      </c>
      <c r="P2605" s="3" t="s">
        <v>10206</v>
      </c>
      <c r="Q2605" s="4"/>
      <c r="R2605" s="4"/>
      <c r="S2605" s="9" t="str">
        <f>HYPERLINK("https://pbs.twimg.com/profile_images/1034530779592839168/95p66Ppv.jpg","View")</f>
        <v>View</v>
      </c>
    </row>
    <row r="2606" spans="1:19" ht="30">
      <c r="A2606" s="8">
        <v>43344.720486111109</v>
      </c>
      <c r="B2606" s="11" t="str">
        <f>HYPERLINK("https://twitter.com/azizi80alire","@azizi80alire")</f>
        <v>@azizi80alire</v>
      </c>
      <c r="C2606" s="6" t="s">
        <v>9986</v>
      </c>
      <c r="D2606" s="5" t="s">
        <v>10205</v>
      </c>
      <c r="E2606" s="9" t="str">
        <f>HYPERLINK("https://twitter.com/azizi80alire/status/1035871771965235200","1035871771965235200")</f>
        <v>1035871771965235200</v>
      </c>
      <c r="F2606" s="10" t="s">
        <v>10204</v>
      </c>
      <c r="G2606" s="10" t="s">
        <v>10203</v>
      </c>
      <c r="H2606" s="4"/>
      <c r="I2606" s="10" t="str">
        <f>HYPERLINK("http://twitter.com/download/android","Twitter for Android")</f>
        <v>Twitter for Android</v>
      </c>
      <c r="J2606" s="2">
        <v>373</v>
      </c>
      <c r="K2606" s="2">
        <v>501</v>
      </c>
      <c r="L2606" s="2">
        <v>0</v>
      </c>
      <c r="M2606" s="2"/>
      <c r="N2606" s="8">
        <v>42096.012106481481</v>
      </c>
      <c r="O2606" s="4" t="s">
        <v>17</v>
      </c>
      <c r="P2606" s="3" t="s">
        <v>9983</v>
      </c>
      <c r="Q2606" s="4"/>
      <c r="R2606" s="4"/>
      <c r="S2606" s="9" t="str">
        <f>HYPERLINK("https://pbs.twimg.com/profile_images/1034047284818964480/yKG5kM-t.jpg","View")</f>
        <v>View</v>
      </c>
    </row>
    <row r="2607" spans="1:19" ht="30">
      <c r="A2607" s="8">
        <v>43344.720069444447</v>
      </c>
      <c r="B2607" s="11" t="str">
        <f>HYPERLINK("https://twitter.com/mo_che_","@mo_che_")</f>
        <v>@mo_che_</v>
      </c>
      <c r="C2607" s="6" t="s">
        <v>10202</v>
      </c>
      <c r="D2607" s="5" t="s">
        <v>10201</v>
      </c>
      <c r="E2607" s="9" t="str">
        <f>HYPERLINK("https://twitter.com/mo_che_/status/1035871619619667968","1035871619619667968")</f>
        <v>1035871619619667968</v>
      </c>
      <c r="F2607" s="4"/>
      <c r="G2607" s="4"/>
      <c r="H2607" s="4"/>
      <c r="I2607" s="10" t="str">
        <f>HYPERLINK("http://twitter.com/download/iphone","Twitter for iPhone")</f>
        <v>Twitter for iPhone</v>
      </c>
      <c r="J2607" s="2">
        <v>615</v>
      </c>
      <c r="K2607" s="2">
        <v>286</v>
      </c>
      <c r="L2607" s="2">
        <v>4</v>
      </c>
      <c r="M2607" s="2"/>
      <c r="N2607" s="8">
        <v>40502.112800925926</v>
      </c>
      <c r="O2607" s="4" t="s">
        <v>10200</v>
      </c>
      <c r="P2607" s="3" t="s">
        <v>10199</v>
      </c>
      <c r="Q2607" s="10" t="s">
        <v>10198</v>
      </c>
      <c r="R2607" s="4"/>
      <c r="S2607" s="9" t="str">
        <f>HYPERLINK("https://pbs.twimg.com/profile_images/1032045864578105346/rFYZM-mC.jpg","View")</f>
        <v>View</v>
      </c>
    </row>
    <row r="2608" spans="1:19" ht="30">
      <c r="A2608" s="8">
        <v>43344.716331018513</v>
      </c>
      <c r="B2608" s="11" t="str">
        <f>HYPERLINK("https://twitter.com/sia_d1997","@sia_d1997")</f>
        <v>@sia_d1997</v>
      </c>
      <c r="C2608" s="6" t="s">
        <v>10178</v>
      </c>
      <c r="D2608" s="5" t="s">
        <v>10197</v>
      </c>
      <c r="E2608" s="9" t="str">
        <f>HYPERLINK("https://twitter.com/sia_d1997/status/1035870264490422272","1035870264490422272")</f>
        <v>1035870264490422272</v>
      </c>
      <c r="F2608" s="4"/>
      <c r="G2608" s="4"/>
      <c r="H2608" s="4"/>
      <c r="I2608" s="10" t="str">
        <f>HYPERLINK("http://twitter.com/download/android","Twitter for Android")</f>
        <v>Twitter for Android</v>
      </c>
      <c r="J2608" s="2">
        <v>15</v>
      </c>
      <c r="K2608" s="2">
        <v>79</v>
      </c>
      <c r="L2608" s="2">
        <v>0</v>
      </c>
      <c r="M2608" s="2"/>
      <c r="N2608" s="8">
        <v>43308.192164351851</v>
      </c>
      <c r="O2608" s="4" t="s">
        <v>25</v>
      </c>
      <c r="P2608" s="3" t="s">
        <v>10176</v>
      </c>
      <c r="Q2608" s="4"/>
      <c r="R2608" s="4"/>
      <c r="S2608" s="9" t="str">
        <f>HYPERLINK("https://pbs.twimg.com/profile_images/1035670592777793538/Nbgvq_Ic.jpg","View")</f>
        <v>View</v>
      </c>
    </row>
    <row r="2609" spans="1:19" ht="40">
      <c r="A2609" s="8">
        <v>43344.709780092591</v>
      </c>
      <c r="B2609" s="11" t="str">
        <f>HYPERLINK("https://twitter.com/Alirezazedi7","@Alirezazedi7")</f>
        <v>@Alirezazedi7</v>
      </c>
      <c r="C2609" s="6" t="s">
        <v>9952</v>
      </c>
      <c r="D2609" s="5" t="s">
        <v>10196</v>
      </c>
      <c r="E2609" s="9" t="str">
        <f>HYPERLINK("https://twitter.com/Alirezazedi7/status/1035867892951261184","1035867892951261184")</f>
        <v>1035867892951261184</v>
      </c>
      <c r="F2609" s="4"/>
      <c r="G2609" s="10" t="s">
        <v>10195</v>
      </c>
      <c r="H2609" s="4"/>
      <c r="I2609" s="10" t="str">
        <f>HYPERLINK("http://twitter.com/download/iphone","Twitter for iPhone")</f>
        <v>Twitter for iPhone</v>
      </c>
      <c r="J2609" s="2">
        <v>4</v>
      </c>
      <c r="K2609" s="2">
        <v>15</v>
      </c>
      <c r="L2609" s="2">
        <v>0</v>
      </c>
      <c r="M2609" s="2"/>
      <c r="N2609" s="8">
        <v>42815.006585648152</v>
      </c>
      <c r="O2609" s="4" t="s">
        <v>34</v>
      </c>
      <c r="P2609" s="3" t="s">
        <v>9950</v>
      </c>
      <c r="Q2609" s="4"/>
      <c r="R2609" s="4"/>
      <c r="S2609" s="9" t="str">
        <f>HYPERLINK("https://pbs.twimg.com/profile_images/1035869569863311360/SVsK2vMD.jpg","View")</f>
        <v>View</v>
      </c>
    </row>
    <row r="2610" spans="1:19" ht="30">
      <c r="A2610" s="8">
        <v>43344.709456018521</v>
      </c>
      <c r="B2610" s="11" t="str">
        <f>HYPERLINK("https://twitter.com/fresh_sadegh","@fresh_sadegh")</f>
        <v>@fresh_sadegh</v>
      </c>
      <c r="C2610" s="6" t="s">
        <v>10194</v>
      </c>
      <c r="D2610" s="5" t="s">
        <v>10193</v>
      </c>
      <c r="E2610" s="9" t="str">
        <f>HYPERLINK("https://twitter.com/fresh_sadegh/status/1035867774072045568","1035867774072045568")</f>
        <v>1035867774072045568</v>
      </c>
      <c r="F2610" s="4"/>
      <c r="G2610" s="4"/>
      <c r="H2610" s="4"/>
      <c r="I2610" s="10" t="str">
        <f>HYPERLINK("http://twitter.com","Twitter Web Client")</f>
        <v>Twitter Web Client</v>
      </c>
      <c r="J2610" s="2">
        <v>2906</v>
      </c>
      <c r="K2610" s="2">
        <v>1669</v>
      </c>
      <c r="L2610" s="2">
        <v>98</v>
      </c>
      <c r="M2610" s="2"/>
      <c r="N2610" s="8">
        <v>39914.736203703702</v>
      </c>
      <c r="O2610" s="4" t="s">
        <v>10192</v>
      </c>
      <c r="P2610" s="3" t="s">
        <v>10191</v>
      </c>
      <c r="Q2610" s="4"/>
      <c r="R2610" s="4"/>
      <c r="S2610" s="9" t="str">
        <f>HYPERLINK("https://pbs.twimg.com/profile_images/1013154559676608513/kngl2EPG.jpg","View")</f>
        <v>View</v>
      </c>
    </row>
    <row r="2611" spans="1:19" ht="40">
      <c r="A2611" s="8">
        <v>43344.709155092598</v>
      </c>
      <c r="B2611" s="11" t="str">
        <f>HYPERLINK("https://twitter.com/RafatiSiavash","@RafatiSiavash")</f>
        <v>@RafatiSiavash</v>
      </c>
      <c r="C2611" s="6" t="s">
        <v>3226</v>
      </c>
      <c r="D2611" s="5" t="s">
        <v>10190</v>
      </c>
      <c r="E2611" s="9" t="str">
        <f>HYPERLINK("https://twitter.com/RafatiSiavash/status/1035867665687044096","1035867665687044096")</f>
        <v>1035867665687044096</v>
      </c>
      <c r="F2611" s="4"/>
      <c r="G2611" s="4"/>
      <c r="H2611" s="4"/>
      <c r="I2611" s="10" t="str">
        <f>HYPERLINK("http://twitter.com","Twitter Web Client")</f>
        <v>Twitter Web Client</v>
      </c>
      <c r="J2611" s="2">
        <v>288</v>
      </c>
      <c r="K2611" s="2">
        <v>230</v>
      </c>
      <c r="L2611" s="2">
        <v>87</v>
      </c>
      <c r="M2611" s="2"/>
      <c r="N2611" s="8">
        <v>41050.769884259258</v>
      </c>
      <c r="O2611" s="4"/>
      <c r="P2611" s="3" t="s">
        <v>3223</v>
      </c>
      <c r="Q2611" s="10" t="s">
        <v>3222</v>
      </c>
      <c r="R2611" s="4"/>
      <c r="S2611" s="9" t="str">
        <f>HYPERLINK("https://pbs.twimg.com/profile_images/821385868690751488/Qqe0I1Bk.jpg","View")</f>
        <v>View</v>
      </c>
    </row>
    <row r="2612" spans="1:19" ht="30">
      <c r="A2612" s="8">
        <v>43344.708506944444</v>
      </c>
      <c r="B2612" s="11" t="str">
        <f>HYPERLINK("https://twitter.com/MhMirzahasan","@MhMirzahasan")</f>
        <v>@MhMirzahasan</v>
      </c>
      <c r="C2612" s="6" t="s">
        <v>10189</v>
      </c>
      <c r="D2612" s="5" t="s">
        <v>10188</v>
      </c>
      <c r="E2612" s="9" t="str">
        <f>HYPERLINK("https://twitter.com/MhMirzahasan/status/1035867428947931141","1035867428947931141")</f>
        <v>1035867428947931141</v>
      </c>
      <c r="F2612" s="4"/>
      <c r="G2612" s="10" t="s">
        <v>10187</v>
      </c>
      <c r="H2612" s="4"/>
      <c r="I2612" s="10" t="str">
        <f>HYPERLINK("http://twitter.com/download/android","Twitter for Android")</f>
        <v>Twitter for Android</v>
      </c>
      <c r="J2612" s="2">
        <v>3278</v>
      </c>
      <c r="K2612" s="2">
        <v>3393</v>
      </c>
      <c r="L2612" s="2">
        <v>1</v>
      </c>
      <c r="M2612" s="2"/>
      <c r="N2612" s="8">
        <v>43240.666620370372</v>
      </c>
      <c r="O2612" s="4" t="s">
        <v>34</v>
      </c>
      <c r="P2612" s="3" t="s">
        <v>10186</v>
      </c>
      <c r="Q2612" s="4"/>
      <c r="R2612" s="4"/>
      <c r="S2612" s="9" t="str">
        <f>HYPERLINK("https://pbs.twimg.com/profile_images/1000343440654290944/PxsRsLeU.jpg","View")</f>
        <v>View</v>
      </c>
    </row>
    <row r="2613" spans="1:19" ht="20">
      <c r="A2613" s="8">
        <v>43344.706238425926</v>
      </c>
      <c r="B2613" s="11" t="str">
        <f>HYPERLINK("https://twitter.com/meysamsadat","@meysamsadat")</f>
        <v>@meysamsadat</v>
      </c>
      <c r="C2613" s="6" t="s">
        <v>10185</v>
      </c>
      <c r="D2613" s="5" t="s">
        <v>10184</v>
      </c>
      <c r="E2613" s="9" t="str">
        <f>HYPERLINK("https://twitter.com/meysamsadat/status/1035866607644549120","1035866607644549120")</f>
        <v>1035866607644549120</v>
      </c>
      <c r="F2613" s="4"/>
      <c r="G2613" s="4"/>
      <c r="H2613" s="4"/>
      <c r="I2613" s="10" t="str">
        <f>HYPERLINK("http://twitter.com/download/android","Twitter for Android")</f>
        <v>Twitter for Android</v>
      </c>
      <c r="J2613" s="2">
        <v>5946</v>
      </c>
      <c r="K2613" s="2">
        <v>1102</v>
      </c>
      <c r="L2613" s="2">
        <v>21</v>
      </c>
      <c r="M2613" s="2"/>
      <c r="N2613" s="8">
        <v>42565.4762037037</v>
      </c>
      <c r="O2613" s="4" t="s">
        <v>104</v>
      </c>
      <c r="P2613" s="3" t="s">
        <v>10183</v>
      </c>
      <c r="Q2613" s="4"/>
      <c r="R2613" s="4"/>
      <c r="S2613" s="9" t="str">
        <f>HYPERLINK("https://pbs.twimg.com/profile_images/869171765074956289/oYJhj-qk.jpg","View")</f>
        <v>View</v>
      </c>
    </row>
    <row r="2614" spans="1:19" ht="40">
      <c r="A2614" s="8">
        <v>43344.705567129626</v>
      </c>
      <c r="B2614" s="11" t="str">
        <f>HYPERLINK("https://twitter.com/nasim_tavakol","@nasim_tavakol")</f>
        <v>@nasim_tavakol</v>
      </c>
      <c r="C2614" s="6" t="s">
        <v>4728</v>
      </c>
      <c r="D2614" s="5" t="s">
        <v>10182</v>
      </c>
      <c r="E2614" s="9" t="str">
        <f>HYPERLINK("https://twitter.com/nasim_tavakol/status/1035866364966260736","1035866364966260736")</f>
        <v>1035866364966260736</v>
      </c>
      <c r="F2614" s="4"/>
      <c r="G2614" s="4"/>
      <c r="H2614" s="4"/>
      <c r="I2614" s="10" t="str">
        <f>HYPERLINK("http://twitter.com/download/iphone","Twitter for iPhone")</f>
        <v>Twitter for iPhone</v>
      </c>
      <c r="J2614" s="2">
        <v>460</v>
      </c>
      <c r="K2614" s="2">
        <v>782</v>
      </c>
      <c r="L2614" s="2">
        <v>1</v>
      </c>
      <c r="M2614" s="2"/>
      <c r="N2614" s="8">
        <v>42981.026620370365</v>
      </c>
      <c r="O2614" s="4" t="s">
        <v>34</v>
      </c>
      <c r="P2614" s="3" t="s">
        <v>4726</v>
      </c>
      <c r="Q2614" s="10" t="s">
        <v>4725</v>
      </c>
      <c r="R2614" s="4"/>
      <c r="S2614" s="9" t="str">
        <f>HYPERLINK("https://pbs.twimg.com/profile_images/904076882911645697/nMvHxPQ7.jpg","View")</f>
        <v>View</v>
      </c>
    </row>
    <row r="2615" spans="1:19" ht="40">
      <c r="A2615" s="8">
        <v>43344.700567129628</v>
      </c>
      <c r="B2615" s="11" t="str">
        <f>HYPERLINK("https://twitter.com/poyarezvani","@poyarezvani")</f>
        <v>@poyarezvani</v>
      </c>
      <c r="C2615" s="6" t="s">
        <v>10181</v>
      </c>
      <c r="D2615" s="5" t="s">
        <v>10180</v>
      </c>
      <c r="E2615" s="9" t="str">
        <f>HYPERLINK("https://twitter.com/poyarezvani/status/1035864551378567168","1035864551378567168")</f>
        <v>1035864551378567168</v>
      </c>
      <c r="F2615" s="4"/>
      <c r="G2615" s="10" t="s">
        <v>10179</v>
      </c>
      <c r="H2615" s="4"/>
      <c r="I2615" s="10" t="str">
        <f>HYPERLINK("http://twitter.com","Twitter Web Client")</f>
        <v>Twitter Web Client</v>
      </c>
      <c r="J2615" s="2">
        <v>19</v>
      </c>
      <c r="K2615" s="2">
        <v>118</v>
      </c>
      <c r="L2615" s="2">
        <v>0</v>
      </c>
      <c r="M2615" s="2"/>
      <c r="N2615" s="8">
        <v>41872.05537037037</v>
      </c>
      <c r="O2615" s="4"/>
      <c r="P2615" s="3"/>
      <c r="Q2615" s="4"/>
      <c r="R2615" s="4"/>
      <c r="S2615" s="9" t="str">
        <f>HYPERLINK("https://pbs.twimg.com/profile_images/1001371116298997760/1p8XWyss.jpg","View")</f>
        <v>View</v>
      </c>
    </row>
    <row r="2616" spans="1:19" ht="40">
      <c r="A2616" s="8">
        <v>43344.700162037036</v>
      </c>
      <c r="B2616" s="11" t="str">
        <f>HYPERLINK("https://twitter.com/sia_d1997","@sia_d1997")</f>
        <v>@sia_d1997</v>
      </c>
      <c r="C2616" s="6" t="s">
        <v>10178</v>
      </c>
      <c r="D2616" s="5" t="s">
        <v>10177</v>
      </c>
      <c r="E2616" s="9" t="str">
        <f>HYPERLINK("https://twitter.com/sia_d1997/status/1035864408117989376","1035864408117989376")</f>
        <v>1035864408117989376</v>
      </c>
      <c r="F2616" s="4"/>
      <c r="G2616" s="4"/>
      <c r="H2616" s="4"/>
      <c r="I2616" s="10" t="str">
        <f>HYPERLINK("http://twitter.com/download/android","Twitter for Android")</f>
        <v>Twitter for Android</v>
      </c>
      <c r="J2616" s="2">
        <v>15</v>
      </c>
      <c r="K2616" s="2">
        <v>79</v>
      </c>
      <c r="L2616" s="2">
        <v>0</v>
      </c>
      <c r="M2616" s="2"/>
      <c r="N2616" s="8">
        <v>43308.192164351851</v>
      </c>
      <c r="O2616" s="4" t="s">
        <v>25</v>
      </c>
      <c r="P2616" s="3" t="s">
        <v>10176</v>
      </c>
      <c r="Q2616" s="4"/>
      <c r="R2616" s="4"/>
      <c r="S2616" s="9" t="str">
        <f>HYPERLINK("https://pbs.twimg.com/profile_images/1035670592777793538/Nbgvq_Ic.jpg","View")</f>
        <v>View</v>
      </c>
    </row>
    <row r="2617" spans="1:19" ht="40">
      <c r="A2617" s="8">
        <v>43344.69940972222</v>
      </c>
      <c r="B2617" s="11" t="str">
        <f>HYPERLINK("https://twitter.com/RafatiSiavash","@RafatiSiavash")</f>
        <v>@RafatiSiavash</v>
      </c>
      <c r="C2617" s="6" t="s">
        <v>3226</v>
      </c>
      <c r="D2617" s="5" t="s">
        <v>10175</v>
      </c>
      <c r="E2617" s="9" t="str">
        <f>HYPERLINK("https://twitter.com/RafatiSiavash/status/1035864135110553601","1035864135110553601")</f>
        <v>1035864135110553601</v>
      </c>
      <c r="F2617" s="10" t="s">
        <v>10174</v>
      </c>
      <c r="G2617" s="4"/>
      <c r="H2617" s="4"/>
      <c r="I2617" s="10" t="str">
        <f>HYPERLINK("http://twitter.com","Twitter Web Client")</f>
        <v>Twitter Web Client</v>
      </c>
      <c r="J2617" s="2">
        <v>288</v>
      </c>
      <c r="K2617" s="2">
        <v>230</v>
      </c>
      <c r="L2617" s="2">
        <v>87</v>
      </c>
      <c r="M2617" s="2"/>
      <c r="N2617" s="8">
        <v>41050.769884259258</v>
      </c>
      <c r="O2617" s="4"/>
      <c r="P2617" s="3" t="s">
        <v>3223</v>
      </c>
      <c r="Q2617" s="10" t="s">
        <v>3222</v>
      </c>
      <c r="R2617" s="4"/>
      <c r="S2617" s="9" t="str">
        <f>HYPERLINK("https://pbs.twimg.com/profile_images/821385868690751488/Qqe0I1Bk.jpg","View")</f>
        <v>View</v>
      </c>
    </row>
    <row r="2618" spans="1:19" ht="20">
      <c r="A2618" s="8">
        <v>43344.698391203703</v>
      </c>
      <c r="B2618" s="11" t="str">
        <f>HYPERLINK("https://twitter.com/eye_front_eye","@eye_front_eye")</f>
        <v>@eye_front_eye</v>
      </c>
      <c r="C2618" s="6" t="s">
        <v>10173</v>
      </c>
      <c r="D2618" s="5" t="s">
        <v>10172</v>
      </c>
      <c r="E2618" s="9" t="str">
        <f>HYPERLINK("https://twitter.com/eye_front_eye/status/1035863766435553280","1035863766435553280")</f>
        <v>1035863766435553280</v>
      </c>
      <c r="F2618" s="4"/>
      <c r="G2618" s="4"/>
      <c r="H2618" s="4"/>
      <c r="I2618" s="10" t="str">
        <f>HYPERLINK("http://twitter.com/download/iphone","Twitter for iPhone")</f>
        <v>Twitter for iPhone</v>
      </c>
      <c r="J2618" s="2">
        <v>130</v>
      </c>
      <c r="K2618" s="2">
        <v>221</v>
      </c>
      <c r="L2618" s="2">
        <v>0</v>
      </c>
      <c r="M2618" s="2"/>
      <c r="N2618" s="8">
        <v>42756.637395833328</v>
      </c>
      <c r="O2618" s="4" t="s">
        <v>324</v>
      </c>
      <c r="P2618" s="3" t="s">
        <v>10171</v>
      </c>
      <c r="Q2618" s="4"/>
      <c r="R2618" s="4"/>
      <c r="S2618" s="9" t="str">
        <f>HYPERLINK("https://pbs.twimg.com/profile_images/1032475166641725440/1vBQ-_rO.jpg","View")</f>
        <v>View</v>
      </c>
    </row>
    <row r="2619" spans="1:19" ht="20">
      <c r="A2619" s="8">
        <v>43344.695810185185</v>
      </c>
      <c r="B2619" s="11" t="str">
        <f>HYPERLINK("https://twitter.com/Mohsen_Soo","@Mohsen_Soo")</f>
        <v>@Mohsen_Soo</v>
      </c>
      <c r="C2619" s="6" t="s">
        <v>10170</v>
      </c>
      <c r="D2619" s="5" t="s">
        <v>10169</v>
      </c>
      <c r="E2619" s="9" t="str">
        <f>HYPERLINK("https://twitter.com/Mohsen_Soo/status/1035862831038513152","1035862831038513152")</f>
        <v>1035862831038513152</v>
      </c>
      <c r="F2619" s="4"/>
      <c r="G2619" s="4"/>
      <c r="H2619" s="4"/>
      <c r="I2619" s="10" t="str">
        <f>HYPERLINK("http://twitter.com","Twitter Web Client")</f>
        <v>Twitter Web Client</v>
      </c>
      <c r="J2619" s="2">
        <v>76</v>
      </c>
      <c r="K2619" s="2">
        <v>419</v>
      </c>
      <c r="L2619" s="2">
        <v>0</v>
      </c>
      <c r="M2619" s="2"/>
      <c r="N2619" s="8">
        <v>42874.694756944446</v>
      </c>
      <c r="O2619" s="4" t="s">
        <v>10168</v>
      </c>
      <c r="P2619" s="3"/>
      <c r="Q2619" s="4"/>
      <c r="R2619" s="4"/>
      <c r="S2619" s="9" t="str">
        <f>HYPERLINK("https://pbs.twimg.com/profile_images/902746324084412416/ygrUIlaH.jpg","View")</f>
        <v>View</v>
      </c>
    </row>
    <row r="2620" spans="1:19" ht="40">
      <c r="A2620" s="8">
        <v>43344.692847222221</v>
      </c>
      <c r="B2620" s="11" t="str">
        <f>HYPERLINK("https://twitter.com/ESMAEELZAMANI1","@ESMAEELZAMANI1")</f>
        <v>@ESMAEELZAMANI1</v>
      </c>
      <c r="C2620" s="6" t="s">
        <v>8068</v>
      </c>
      <c r="D2620" s="5" t="s">
        <v>10167</v>
      </c>
      <c r="E2620" s="9" t="str">
        <f>HYPERLINK("https://twitter.com/ESMAEELZAMANI1/status/1035861753501048832","1035861753501048832")</f>
        <v>1035861753501048832</v>
      </c>
      <c r="F2620" s="4"/>
      <c r="G2620" s="4"/>
      <c r="H2620" s="4"/>
      <c r="I2620" s="10" t="str">
        <f>HYPERLINK("http://twitter.com","Twitter Web Client")</f>
        <v>Twitter Web Client</v>
      </c>
      <c r="J2620" s="2">
        <v>0</v>
      </c>
      <c r="K2620" s="2">
        <v>2</v>
      </c>
      <c r="L2620" s="2">
        <v>0</v>
      </c>
      <c r="M2620" s="2"/>
      <c r="N2620" s="8">
        <v>43327.992314814815</v>
      </c>
      <c r="O2620" s="4"/>
      <c r="P2620" s="3"/>
      <c r="Q2620" s="4"/>
      <c r="R2620" s="4"/>
      <c r="S2620" s="9" t="str">
        <f>HYPERLINK("https://pbs.twimg.com/profile_images/1031256571446054912/pOHI-dEc.jpg","View")</f>
        <v>View</v>
      </c>
    </row>
    <row r="2621" spans="1:19" ht="40">
      <c r="A2621" s="8">
        <v>43344.692719907413</v>
      </c>
      <c r="B2621" s="11" t="str">
        <f>HYPERLINK("https://twitter.com/MahdiKh17920042","@MahdiKh17920042")</f>
        <v>@MahdiKh17920042</v>
      </c>
      <c r="C2621" s="6" t="s">
        <v>10166</v>
      </c>
      <c r="D2621" s="5" t="s">
        <v>10165</v>
      </c>
      <c r="E2621" s="9" t="str">
        <f>HYPERLINK("https://twitter.com/MahdiKh17920042/status/1035861707405570048","1035861707405570048")</f>
        <v>1035861707405570048</v>
      </c>
      <c r="F2621" s="4"/>
      <c r="G2621" s="4"/>
      <c r="H2621" s="4"/>
      <c r="I2621" s="10" t="str">
        <f>HYPERLINK("http://twitter.com/download/android","Twitter for Android")</f>
        <v>Twitter for Android</v>
      </c>
      <c r="J2621" s="2">
        <v>644</v>
      </c>
      <c r="K2621" s="2">
        <v>4733</v>
      </c>
      <c r="L2621" s="2">
        <v>1</v>
      </c>
      <c r="M2621" s="2"/>
      <c r="N2621" s="8">
        <v>42508.807928240742</v>
      </c>
      <c r="O2621" s="4" t="s">
        <v>133</v>
      </c>
      <c r="P2621" s="3" t="s">
        <v>10164</v>
      </c>
      <c r="Q2621" s="4"/>
      <c r="R2621" s="4"/>
      <c r="S2621" s="9" t="str">
        <f>HYPERLINK("https://pbs.twimg.com/profile_images/1003776730589466624/OO8XDLS2.jpg","View")</f>
        <v>View</v>
      </c>
    </row>
    <row r="2622" spans="1:19" ht="40">
      <c r="A2622" s="8">
        <v>43344.691550925927</v>
      </c>
      <c r="B2622" s="11" t="str">
        <f>HYPERLINK("https://twitter.com/hamedrezaazizi1","@hamedrezaazizi1")</f>
        <v>@hamedrezaazizi1</v>
      </c>
      <c r="C2622" s="6" t="s">
        <v>10163</v>
      </c>
      <c r="D2622" s="5" t="s">
        <v>10162</v>
      </c>
      <c r="E2622" s="9" t="str">
        <f>HYPERLINK("https://twitter.com/hamedrezaazizi1/status/1035861286381223937","1035861286381223937")</f>
        <v>1035861286381223937</v>
      </c>
      <c r="F2622" s="4"/>
      <c r="G2622" s="4"/>
      <c r="H2622" s="4"/>
      <c r="I2622" s="10" t="str">
        <f>HYPERLINK("http://twitter.com/download/android","Twitter for Android")</f>
        <v>Twitter for Android</v>
      </c>
      <c r="J2622" s="2">
        <v>41</v>
      </c>
      <c r="K2622" s="2">
        <v>21</v>
      </c>
      <c r="L2622" s="2">
        <v>0</v>
      </c>
      <c r="M2622" s="2"/>
      <c r="N2622" s="8">
        <v>42582.778645833328</v>
      </c>
      <c r="O2622" s="4" t="s">
        <v>10161</v>
      </c>
      <c r="P2622" s="3" t="s">
        <v>10160</v>
      </c>
      <c r="Q2622" s="4"/>
      <c r="R2622" s="4"/>
      <c r="S2622" s="9" t="str">
        <f>HYPERLINK("https://pbs.twimg.com/profile_images/1017796094846230528/4Oqlm84C.jpg","View")</f>
        <v>View</v>
      </c>
    </row>
    <row r="2623" spans="1:19" ht="40">
      <c r="A2623" s="8">
        <v>43344.691435185188</v>
      </c>
      <c r="B2623" s="11" t="str">
        <f>HYPERLINK("https://twitter.com/mahdimo05984496","@mahdimo05984496")</f>
        <v>@mahdimo05984496</v>
      </c>
      <c r="C2623" s="6" t="s">
        <v>3780</v>
      </c>
      <c r="D2623" s="5" t="s">
        <v>10159</v>
      </c>
      <c r="E2623" s="9" t="str">
        <f>HYPERLINK("https://twitter.com/mahdimo05984496/status/1035861242160861184","1035861242160861184")</f>
        <v>1035861242160861184</v>
      </c>
      <c r="F2623" s="4"/>
      <c r="G2623" s="4"/>
      <c r="H2623" s="4"/>
      <c r="I2623" s="10" t="str">
        <f>HYPERLINK("http://twitter.com/download/android","Twitter for Android")</f>
        <v>Twitter for Android</v>
      </c>
      <c r="J2623" s="2">
        <v>26</v>
      </c>
      <c r="K2623" s="2">
        <v>27</v>
      </c>
      <c r="L2623" s="2">
        <v>0</v>
      </c>
      <c r="M2623" s="2"/>
      <c r="N2623" s="8">
        <v>43313.959340277783</v>
      </c>
      <c r="O2623" s="4"/>
      <c r="P2623" s="3" t="s">
        <v>3778</v>
      </c>
      <c r="Q2623" s="4"/>
      <c r="R2623" s="4"/>
      <c r="S2623" s="9" t="str">
        <f>HYPERLINK("https://pbs.twimg.com/profile_images/1024755643176153093/mD7vzPhk.jpg","View")</f>
        <v>View</v>
      </c>
    </row>
    <row r="2624" spans="1:19" ht="30">
      <c r="A2624" s="8">
        <v>43344.691250000003</v>
      </c>
      <c r="B2624" s="11" t="str">
        <f>HYPERLINK("https://twitter.com/mrbaghal","@mrbaghal")</f>
        <v>@mrbaghal</v>
      </c>
      <c r="C2624" s="6" t="s">
        <v>8763</v>
      </c>
      <c r="D2624" s="5" t="s">
        <v>10158</v>
      </c>
      <c r="E2624" s="9" t="str">
        <f>HYPERLINK("https://twitter.com/mrbaghal/status/1035861174397616128","1035861174397616128")</f>
        <v>1035861174397616128</v>
      </c>
      <c r="F2624" s="4"/>
      <c r="G2624" s="4"/>
      <c r="H2624" s="4"/>
      <c r="I2624" s="10" t="str">
        <f>HYPERLINK("http://twitter.com/download/android","Twitter for Android")</f>
        <v>Twitter for Android</v>
      </c>
      <c r="J2624" s="2">
        <v>16</v>
      </c>
      <c r="K2624" s="2">
        <v>47</v>
      </c>
      <c r="L2624" s="2">
        <v>0</v>
      </c>
      <c r="M2624" s="2"/>
      <c r="N2624" s="8">
        <v>43215.012604166666</v>
      </c>
      <c r="O2624" s="4" t="s">
        <v>5283</v>
      </c>
      <c r="P2624" s="3" t="s">
        <v>8761</v>
      </c>
      <c r="Q2624" s="4"/>
      <c r="R2624" s="4"/>
      <c r="S2624" s="9" t="str">
        <f>HYPERLINK("https://pbs.twimg.com/profile_images/1011009361592967170/UA1Cb_rP.jpg","View")</f>
        <v>View</v>
      </c>
    </row>
    <row r="2625" spans="1:19" ht="60">
      <c r="A2625" s="8">
        <v>43344.684259259258</v>
      </c>
      <c r="B2625" s="11" t="str">
        <f>HYPERLINK("https://twitter.com/behroozriazi","@behroozriazi")</f>
        <v>@behroozriazi</v>
      </c>
      <c r="C2625" s="6" t="s">
        <v>10133</v>
      </c>
      <c r="D2625" s="5" t="s">
        <v>10157</v>
      </c>
      <c r="E2625" s="9" t="str">
        <f>HYPERLINK("https://twitter.com/behroozriazi/status/1035858643898572800","1035858643898572800")</f>
        <v>1035858643898572800</v>
      </c>
      <c r="F2625" s="10" t="s">
        <v>10156</v>
      </c>
      <c r="G2625" s="10" t="s">
        <v>10155</v>
      </c>
      <c r="H2625" s="4"/>
      <c r="I2625" s="10" t="str">
        <f>HYPERLINK("http://twitter.com/download/android","Twitter for Android")</f>
        <v>Twitter for Android</v>
      </c>
      <c r="J2625" s="2">
        <v>979</v>
      </c>
      <c r="K2625" s="2">
        <v>3451</v>
      </c>
      <c r="L2625" s="2">
        <v>76</v>
      </c>
      <c r="M2625" s="2"/>
      <c r="N2625" s="8">
        <v>41039.413819444446</v>
      </c>
      <c r="O2625" s="4" t="s">
        <v>34</v>
      </c>
      <c r="P2625" s="3" t="s">
        <v>10130</v>
      </c>
      <c r="Q2625" s="4"/>
      <c r="R2625" s="4"/>
      <c r="S2625" s="9" t="str">
        <f>HYPERLINK("https://pbs.twimg.com/profile_images/1028555690737106944/2bQuJWE-.jpg","View")</f>
        <v>View</v>
      </c>
    </row>
    <row r="2626" spans="1:19" ht="40">
      <c r="A2626" s="8">
        <v>43344.684097222227</v>
      </c>
      <c r="B2626" s="11" t="str">
        <f>HYPERLINK("https://twitter.com/Roozbeh1963","@Roozbeh1963")</f>
        <v>@Roozbeh1963</v>
      </c>
      <c r="C2626" s="6" t="s">
        <v>9962</v>
      </c>
      <c r="D2626" s="5" t="s">
        <v>10154</v>
      </c>
      <c r="E2626" s="9" t="str">
        <f>HYPERLINK("https://twitter.com/Roozbeh1963/status/1035858586281369600","1035858586281369600")</f>
        <v>1035858586281369600</v>
      </c>
      <c r="F2626" s="4"/>
      <c r="G2626" s="4"/>
      <c r="H2626" s="4"/>
      <c r="I2626" s="10" t="str">
        <f>HYPERLINK("http://twitter.com/download/android","Twitter for Android")</f>
        <v>Twitter for Android</v>
      </c>
      <c r="J2626" s="2">
        <v>6206</v>
      </c>
      <c r="K2626" s="2">
        <v>1329</v>
      </c>
      <c r="L2626" s="2">
        <v>42</v>
      </c>
      <c r="M2626" s="2"/>
      <c r="N2626" s="8">
        <v>42474.751875000002</v>
      </c>
      <c r="O2626" s="4" t="s">
        <v>9960</v>
      </c>
      <c r="P2626" s="3" t="s">
        <v>9959</v>
      </c>
      <c r="Q2626" s="4"/>
      <c r="R2626" s="4"/>
      <c r="S2626" s="9" t="str">
        <f>HYPERLINK("https://pbs.twimg.com/profile_images/943173545332494338/UxFbngss.jpg","View")</f>
        <v>View</v>
      </c>
    </row>
    <row r="2627" spans="1:19" ht="40">
      <c r="A2627" s="8">
        <v>43344.680844907409</v>
      </c>
      <c r="B2627" s="11" t="str">
        <f>HYPERLINK("https://twitter.com/Tasnimnews_Fa","@Tasnimnews_Fa")</f>
        <v>@Tasnimnews_Fa</v>
      </c>
      <c r="C2627" s="6" t="s">
        <v>603</v>
      </c>
      <c r="D2627" s="5" t="s">
        <v>10153</v>
      </c>
      <c r="E2627" s="9" t="str">
        <f>HYPERLINK("https://twitter.com/Tasnimnews_Fa/status/1035857407673618432","1035857407673618432")</f>
        <v>1035857407673618432</v>
      </c>
      <c r="F2627" s="10" t="s">
        <v>10152</v>
      </c>
      <c r="G2627" s="10" t="s">
        <v>10151</v>
      </c>
      <c r="H2627" s="4"/>
      <c r="I2627" s="10" t="str">
        <f>HYPERLINK("http://twitter.com","Twitter Web Client")</f>
        <v>Twitter Web Client</v>
      </c>
      <c r="J2627" s="2">
        <v>109561</v>
      </c>
      <c r="K2627" s="2">
        <v>20</v>
      </c>
      <c r="L2627" s="2">
        <v>376</v>
      </c>
      <c r="M2627" s="2" t="s">
        <v>80</v>
      </c>
      <c r="N2627" s="8">
        <v>41868.671585648146</v>
      </c>
      <c r="O2627" s="4" t="s">
        <v>133</v>
      </c>
      <c r="P2627" s="3" t="s">
        <v>599</v>
      </c>
      <c r="Q2627" s="10" t="s">
        <v>598</v>
      </c>
      <c r="R2627" s="4"/>
      <c r="S2627" s="9" t="str">
        <f>HYPERLINK("https://pbs.twimg.com/profile_images/942003149430239232/hvLw_1_E.jpg","View")</f>
        <v>View</v>
      </c>
    </row>
    <row r="2628" spans="1:19" ht="20">
      <c r="A2628" s="8">
        <v>43344.679212962961</v>
      </c>
      <c r="B2628" s="11" t="str">
        <f>HYPERLINK("https://twitter.com/ghorbani9930","@ghorbani9930")</f>
        <v>@ghorbani9930</v>
      </c>
      <c r="C2628" s="6" t="s">
        <v>9033</v>
      </c>
      <c r="D2628" s="5" t="s">
        <v>10150</v>
      </c>
      <c r="E2628" s="9" t="str">
        <f>HYPERLINK("https://twitter.com/ghorbani9930/status/1035856814938697728","1035856814938697728")</f>
        <v>1035856814938697728</v>
      </c>
      <c r="F2628" s="4"/>
      <c r="G2628" s="4"/>
      <c r="H2628" s="4"/>
      <c r="I2628" s="10" t="str">
        <f>HYPERLINK("http://twitter.com/download/android","Twitter for Android")</f>
        <v>Twitter for Android</v>
      </c>
      <c r="J2628" s="2">
        <v>1022</v>
      </c>
      <c r="K2628" s="2">
        <v>1653</v>
      </c>
      <c r="L2628" s="2">
        <v>0</v>
      </c>
      <c r="M2628" s="2"/>
      <c r="N2628" s="8">
        <v>43286.562951388885</v>
      </c>
      <c r="O2628" s="4" t="s">
        <v>17</v>
      </c>
      <c r="P2628" s="3" t="s">
        <v>9030</v>
      </c>
      <c r="Q2628" s="4"/>
      <c r="R2628" s="4"/>
      <c r="S2628" s="9" t="str">
        <f>HYPERLINK("https://pbs.twimg.com/profile_images/1015198317553291265/38V1siXO.jpg","View")</f>
        <v>View</v>
      </c>
    </row>
    <row r="2629" spans="1:19" ht="20">
      <c r="A2629" s="8">
        <v>43344.677152777775</v>
      </c>
      <c r="B2629" s="11" t="str">
        <f>HYPERLINK("https://twitter.com/etehadonline","@etehadonline")</f>
        <v>@etehadonline</v>
      </c>
      <c r="C2629" s="6" t="s">
        <v>9739</v>
      </c>
      <c r="D2629" s="5" t="s">
        <v>10149</v>
      </c>
      <c r="E2629" s="9" t="str">
        <f>HYPERLINK("https://twitter.com/etehadonline/status/1035856068423901187","1035856068423901187")</f>
        <v>1035856068423901187</v>
      </c>
      <c r="F2629" s="10" t="s">
        <v>10148</v>
      </c>
      <c r="G2629" s="4"/>
      <c r="H2629" s="4"/>
      <c r="I2629" s="10" t="str">
        <f>HYPERLINK("http://etehadonline.com","etehadonline")</f>
        <v>etehadonline</v>
      </c>
      <c r="J2629" s="2">
        <v>1116</v>
      </c>
      <c r="K2629" s="2">
        <v>5001</v>
      </c>
      <c r="L2629" s="2">
        <v>1</v>
      </c>
      <c r="M2629" s="2"/>
      <c r="N2629" s="8">
        <v>43249.676145833335</v>
      </c>
      <c r="O2629" s="4" t="s">
        <v>133</v>
      </c>
      <c r="P2629" s="3" t="s">
        <v>9736</v>
      </c>
      <c r="Q2629" s="10" t="s">
        <v>9735</v>
      </c>
      <c r="R2629" s="4"/>
      <c r="S2629" s="9" t="str">
        <f>HYPERLINK("https://pbs.twimg.com/profile_images/1001431729532481537/9qjw3c3F.jpg","View")</f>
        <v>View</v>
      </c>
    </row>
    <row r="2630" spans="1:19" ht="30">
      <c r="A2630" s="8">
        <v>43344.676157407404</v>
      </c>
      <c r="B2630" s="11" t="str">
        <f>HYPERLINK("https://twitter.com/tG9wnjVdQ6GVQ8L","@tG9wnjVdQ6GVQ8L")</f>
        <v>@tG9wnjVdQ6GVQ8L</v>
      </c>
      <c r="C2630" s="6" t="s">
        <v>3607</v>
      </c>
      <c r="D2630" s="5" t="s">
        <v>10147</v>
      </c>
      <c r="E2630" s="9" t="str">
        <f>HYPERLINK("https://twitter.com/tG9wnjVdQ6GVQ8L/status/1035855705364996096","1035855705364996096")</f>
        <v>1035855705364996096</v>
      </c>
      <c r="F2630" s="10" t="s">
        <v>10146</v>
      </c>
      <c r="G2630" s="10" t="s">
        <v>10145</v>
      </c>
      <c r="H2630" s="4"/>
      <c r="I2630" s="10" t="str">
        <f>HYPERLINK("http://twitter.com/download/android","Twitter for Android")</f>
        <v>Twitter for Android</v>
      </c>
      <c r="J2630" s="2">
        <v>2228</v>
      </c>
      <c r="K2630" s="2">
        <v>4045</v>
      </c>
      <c r="L2630" s="2">
        <v>0</v>
      </c>
      <c r="M2630" s="2"/>
      <c r="N2630" s="8">
        <v>43261.000208333338</v>
      </c>
      <c r="O2630" s="4"/>
      <c r="P2630" s="3" t="s">
        <v>3665</v>
      </c>
      <c r="Q2630" s="4"/>
      <c r="R2630" s="4"/>
      <c r="S2630" s="9" t="str">
        <f>HYPERLINK("https://pbs.twimg.com/profile_images/1007545992835686400/ROiyS3R2.jpg","View")</f>
        <v>View</v>
      </c>
    </row>
    <row r="2631" spans="1:19" ht="30">
      <c r="A2631" s="8">
        <v>43344.675162037034</v>
      </c>
      <c r="B2631" s="11" t="str">
        <f>HYPERLINK("https://twitter.com/zoha_rezvani","@zoha_rezvani")</f>
        <v>@zoha_rezvani</v>
      </c>
      <c r="C2631" s="6" t="s">
        <v>10144</v>
      </c>
      <c r="D2631" s="5" t="s">
        <v>10143</v>
      </c>
      <c r="E2631" s="9" t="str">
        <f>HYPERLINK("https://twitter.com/zoha_rezvani/status/1035855344885325824","1035855344885325824")</f>
        <v>1035855344885325824</v>
      </c>
      <c r="F2631" s="4"/>
      <c r="G2631" s="4"/>
      <c r="H2631" s="4"/>
      <c r="I2631" s="10" t="str">
        <f>HYPERLINK("http://twitter.com","Twitter Web Client")</f>
        <v>Twitter Web Client</v>
      </c>
      <c r="J2631" s="2">
        <v>5</v>
      </c>
      <c r="K2631" s="2">
        <v>5</v>
      </c>
      <c r="L2631" s="2">
        <v>0</v>
      </c>
      <c r="M2631" s="2"/>
      <c r="N2631" s="8">
        <v>43329.049907407403</v>
      </c>
      <c r="O2631" s="4"/>
      <c r="P2631" s="3"/>
      <c r="Q2631" s="4"/>
      <c r="R2631" s="4"/>
      <c r="S2631" s="9" t="str">
        <f>HYPERLINK("https://pbs.twimg.com/profile_images/1034399206515953664/dawQuMub.jpg","View")</f>
        <v>View</v>
      </c>
    </row>
    <row r="2632" spans="1:19" ht="40">
      <c r="A2632" s="8">
        <v>43344.674907407403</v>
      </c>
      <c r="B2632" s="11" t="str">
        <f>HYPERLINK("https://twitter.com/Er5ac7MDiUiLMPQ","@Er5ac7MDiUiLMPQ")</f>
        <v>@Er5ac7MDiUiLMPQ</v>
      </c>
      <c r="C2632" s="6" t="s">
        <v>8361</v>
      </c>
      <c r="D2632" s="5" t="s">
        <v>10142</v>
      </c>
      <c r="E2632" s="9" t="str">
        <f>HYPERLINK("https://twitter.com/Er5ac7MDiUiLMPQ/status/1035855256066908160","1035855256066908160")</f>
        <v>1035855256066908160</v>
      </c>
      <c r="F2632" s="4"/>
      <c r="G2632" s="4"/>
      <c r="H2632" s="4"/>
      <c r="I2632" s="10" t="str">
        <f>HYPERLINK("https://mobile.twitter.com","Twitter Lite")</f>
        <v>Twitter Lite</v>
      </c>
      <c r="J2632" s="2">
        <v>0</v>
      </c>
      <c r="K2632" s="2">
        <v>2</v>
      </c>
      <c r="L2632" s="2">
        <v>0</v>
      </c>
      <c r="M2632" s="2"/>
      <c r="N2632" s="8">
        <v>43306.505844907406</v>
      </c>
      <c r="O2632" s="4"/>
      <c r="P2632" s="3"/>
      <c r="Q2632" s="4"/>
      <c r="R2632" s="4"/>
      <c r="S2632" s="2" t="s">
        <v>155</v>
      </c>
    </row>
    <row r="2633" spans="1:19" ht="40">
      <c r="A2633" s="8">
        <v>43344.67292824074</v>
      </c>
      <c r="B2633" s="11" t="str">
        <f>HYPERLINK("https://twitter.com/restart_0ho0","@restart_0ho0")</f>
        <v>@restart_0ho0</v>
      </c>
      <c r="C2633" s="6" t="s">
        <v>1889</v>
      </c>
      <c r="D2633" s="5" t="s">
        <v>10141</v>
      </c>
      <c r="E2633" s="9" t="str">
        <f>HYPERLINK("https://twitter.com/restart_0ho0/status/1035854538140409856","1035854538140409856")</f>
        <v>1035854538140409856</v>
      </c>
      <c r="F2633" s="4"/>
      <c r="G2633" s="10" t="s">
        <v>10140</v>
      </c>
      <c r="H2633" s="4"/>
      <c r="I2633" s="10" t="str">
        <f>HYPERLINK("http://twitter.com/download/android","Twitter for Android")</f>
        <v>Twitter for Android</v>
      </c>
      <c r="J2633" s="2">
        <v>366</v>
      </c>
      <c r="K2633" s="2">
        <v>117</v>
      </c>
      <c r="L2633" s="2">
        <v>0</v>
      </c>
      <c r="M2633" s="2"/>
      <c r="N2633" s="8">
        <v>43135.789837962962</v>
      </c>
      <c r="O2633" s="4"/>
      <c r="P2633" s="3" t="s">
        <v>1887</v>
      </c>
      <c r="Q2633" s="10" t="s">
        <v>1886</v>
      </c>
      <c r="R2633" s="4"/>
      <c r="S2633" s="9" t="str">
        <f>HYPERLINK("https://pbs.twimg.com/profile_images/1018264481938460672/Z4-ZxVhg.jpg","View")</f>
        <v>View</v>
      </c>
    </row>
    <row r="2634" spans="1:19" ht="40">
      <c r="A2634" s="8">
        <v>43344.672210648147</v>
      </c>
      <c r="B2634" s="11" t="str">
        <f>HYPERLINK("https://twitter.com/_mhnabi_","@_mhnabi_")</f>
        <v>@_mhnabi_</v>
      </c>
      <c r="C2634" s="6" t="s">
        <v>10139</v>
      </c>
      <c r="D2634" s="5" t="s">
        <v>10138</v>
      </c>
      <c r="E2634" s="9" t="str">
        <f>HYPERLINK("https://twitter.com/_mhnabi_/status/1035854274876633088","1035854274876633088")</f>
        <v>1035854274876633088</v>
      </c>
      <c r="F2634" s="4"/>
      <c r="G2634" s="4"/>
      <c r="H2634" s="4"/>
      <c r="I2634" s="10" t="str">
        <f>HYPERLINK("http://twitter.com/download/iphone","Twitter for iPhone")</f>
        <v>Twitter for iPhone</v>
      </c>
      <c r="J2634" s="2">
        <v>94</v>
      </c>
      <c r="K2634" s="2">
        <v>81</v>
      </c>
      <c r="L2634" s="2">
        <v>0</v>
      </c>
      <c r="M2634" s="2"/>
      <c r="N2634" s="8">
        <v>41663.055868055555</v>
      </c>
      <c r="O2634" s="4"/>
      <c r="P2634" s="3" t="s">
        <v>10137</v>
      </c>
      <c r="Q2634" s="4"/>
      <c r="R2634" s="4"/>
      <c r="S2634" s="9" t="str">
        <f>HYPERLINK("https://pbs.twimg.com/profile_images/465494547322380288/zUD5PSuQ.jpeg","View")</f>
        <v>View</v>
      </c>
    </row>
    <row r="2635" spans="1:19" ht="30">
      <c r="A2635" s="8">
        <v>43344.667280092588</v>
      </c>
      <c r="B2635" s="11" t="str">
        <f>HYPERLINK("https://twitter.com/SarmashghnewsC","@SarmashghnewsC")</f>
        <v>@SarmashghnewsC</v>
      </c>
      <c r="C2635" s="11" t="s">
        <v>5761</v>
      </c>
      <c r="D2635" s="5" t="s">
        <v>10136</v>
      </c>
      <c r="E2635" s="9" t="str">
        <f>HYPERLINK("https://twitter.com/SarmashghnewsC/status/1035852488749076480","1035852488749076480")</f>
        <v>1035852488749076480</v>
      </c>
      <c r="F2635" s="4"/>
      <c r="G2635" s="10" t="s">
        <v>10135</v>
      </c>
      <c r="H2635" s="4"/>
      <c r="I2635" s="10" t="str">
        <f>HYPERLINK("http://twitter.com/download/android","Twitter for Android")</f>
        <v>Twitter for Android</v>
      </c>
      <c r="J2635" s="2">
        <v>526</v>
      </c>
      <c r="K2635" s="2">
        <v>99</v>
      </c>
      <c r="L2635" s="2">
        <v>9</v>
      </c>
      <c r="M2635" s="2"/>
      <c r="N2635" s="8">
        <v>43254.445173611108</v>
      </c>
      <c r="O2635" s="4" t="s">
        <v>34</v>
      </c>
      <c r="P2635" s="3" t="s">
        <v>5759</v>
      </c>
      <c r="Q2635" s="4"/>
      <c r="R2635" s="4"/>
      <c r="S2635" s="9" t="str">
        <f>HYPERLINK("https://pbs.twimg.com/profile_images/1003160757314482178/iWzZHh0l.jpg","View")</f>
        <v>View</v>
      </c>
    </row>
    <row r="2636" spans="1:19" ht="30">
      <c r="A2636" s="8">
        <v>43344.667164351849</v>
      </c>
      <c r="B2636" s="11" t="str">
        <f>HYPERLINK("https://twitter.com/hussein_Moradi","@hussein_Moradi")</f>
        <v>@hussein_Moradi</v>
      </c>
      <c r="C2636" s="6" t="s">
        <v>361</v>
      </c>
      <c r="D2636" s="5" t="s">
        <v>10134</v>
      </c>
      <c r="E2636" s="9" t="str">
        <f>HYPERLINK("https://twitter.com/hussein_Moradi/status/1035852449083531264","1035852449083531264")</f>
        <v>1035852449083531264</v>
      </c>
      <c r="F2636" s="4"/>
      <c r="G2636" s="4"/>
      <c r="H2636" s="4"/>
      <c r="I2636" s="10" t="str">
        <f>HYPERLINK("http://twitter.com/download/iphone","Twitter for iPhone")</f>
        <v>Twitter for iPhone</v>
      </c>
      <c r="J2636" s="2">
        <v>430</v>
      </c>
      <c r="K2636" s="2">
        <v>413</v>
      </c>
      <c r="L2636" s="2">
        <v>0</v>
      </c>
      <c r="M2636" s="2"/>
      <c r="N2636" s="8">
        <v>43131.863796296297</v>
      </c>
      <c r="O2636" s="4" t="s">
        <v>34</v>
      </c>
      <c r="P2636" s="3" t="s">
        <v>359</v>
      </c>
      <c r="Q2636" s="4"/>
      <c r="R2636" s="4"/>
      <c r="S2636" s="9" t="str">
        <f>HYPERLINK("https://pbs.twimg.com/profile_images/1032227000902184961/6sakncVx.jpg","View")</f>
        <v>View</v>
      </c>
    </row>
    <row r="2637" spans="1:19" ht="70">
      <c r="A2637" s="8">
        <v>43344.663981481484</v>
      </c>
      <c r="B2637" s="11" t="str">
        <f>HYPERLINK("https://twitter.com/behroozriazi","@behroozriazi")</f>
        <v>@behroozriazi</v>
      </c>
      <c r="C2637" s="6" t="s">
        <v>10133</v>
      </c>
      <c r="D2637" s="5" t="s">
        <v>10132</v>
      </c>
      <c r="E2637" s="9" t="str">
        <f>HYPERLINK("https://twitter.com/behroozriazi/status/1035851294181916672","1035851294181916672")</f>
        <v>1035851294181916672</v>
      </c>
      <c r="F2637" s="10" t="s">
        <v>10131</v>
      </c>
      <c r="G2637" s="4"/>
      <c r="H2637" s="4"/>
      <c r="I2637" s="10" t="str">
        <f>HYPERLINK("http://twitter.com/download/android","Twitter for Android")</f>
        <v>Twitter for Android</v>
      </c>
      <c r="J2637" s="2">
        <v>979</v>
      </c>
      <c r="K2637" s="2">
        <v>3451</v>
      </c>
      <c r="L2637" s="2">
        <v>76</v>
      </c>
      <c r="M2637" s="2"/>
      <c r="N2637" s="8">
        <v>41039.413819444446</v>
      </c>
      <c r="O2637" s="4" t="s">
        <v>34</v>
      </c>
      <c r="P2637" s="3" t="s">
        <v>10130</v>
      </c>
      <c r="Q2637" s="4"/>
      <c r="R2637" s="4"/>
      <c r="S2637" s="9" t="str">
        <f>HYPERLINK("https://pbs.twimg.com/profile_images/1028555690737106944/2bQuJWE-.jpg","View")</f>
        <v>View</v>
      </c>
    </row>
    <row r="2638" spans="1:19" ht="20">
      <c r="A2638" s="8">
        <v>43344.661736111113</v>
      </c>
      <c r="B2638" s="11" t="str">
        <f>HYPERLINK("https://twitter.com/kami280","@kami280")</f>
        <v>@kami280</v>
      </c>
      <c r="C2638" s="6" t="s">
        <v>10129</v>
      </c>
      <c r="D2638" s="5" t="s">
        <v>10128</v>
      </c>
      <c r="E2638" s="9" t="str">
        <f>HYPERLINK("https://twitter.com/kami280/status/1035850483087409152","1035850483087409152")</f>
        <v>1035850483087409152</v>
      </c>
      <c r="F2638" s="4"/>
      <c r="G2638" s="4"/>
      <c r="H2638" s="4"/>
      <c r="I2638" s="10" t="str">
        <f>HYPERLINK("http://twitter.com/download/android","Twitter for Android")</f>
        <v>Twitter for Android</v>
      </c>
      <c r="J2638" s="2">
        <v>918</v>
      </c>
      <c r="K2638" s="2">
        <v>1085</v>
      </c>
      <c r="L2638" s="2">
        <v>0</v>
      </c>
      <c r="M2638" s="2"/>
      <c r="N2638" s="8">
        <v>43325.993310185186</v>
      </c>
      <c r="O2638" s="4" t="s">
        <v>10127</v>
      </c>
      <c r="P2638" s="3" t="s">
        <v>10126</v>
      </c>
      <c r="Q2638" s="4"/>
      <c r="R2638" s="4"/>
      <c r="S2638" s="9" t="str">
        <f>HYPERLINK("https://pbs.twimg.com/profile_images/1035667016630378496/EUalzzLs.jpg","View")</f>
        <v>View</v>
      </c>
    </row>
    <row r="2639" spans="1:19" ht="30">
      <c r="A2639" s="8">
        <v>43344.658888888887</v>
      </c>
      <c r="B2639" s="11" t="str">
        <f>HYPERLINK("https://twitter.com/abooreihan_d","@abooreihan_d")</f>
        <v>@abooreihan_d</v>
      </c>
      <c r="C2639" s="6" t="s">
        <v>10125</v>
      </c>
      <c r="D2639" s="5" t="s">
        <v>10124</v>
      </c>
      <c r="E2639" s="9" t="str">
        <f>HYPERLINK("https://twitter.com/abooreihan_d/status/1035849450948833280","1035849450948833280")</f>
        <v>1035849450948833280</v>
      </c>
      <c r="F2639" s="4"/>
      <c r="G2639" s="4"/>
      <c r="H2639" s="4"/>
      <c r="I2639" s="10" t="str">
        <f>HYPERLINK("http://t.me/RetweetBot","HsinBot")</f>
        <v>HsinBot</v>
      </c>
      <c r="J2639" s="2">
        <v>293</v>
      </c>
      <c r="K2639" s="2">
        <v>66</v>
      </c>
      <c r="L2639" s="2">
        <v>1</v>
      </c>
      <c r="M2639" s="2"/>
      <c r="N2639" s="8">
        <v>42947.090462962966</v>
      </c>
      <c r="O2639" s="4" t="s">
        <v>10123</v>
      </c>
      <c r="P2639" s="3" t="s">
        <v>10122</v>
      </c>
      <c r="Q2639" s="4"/>
      <c r="R2639" s="4"/>
      <c r="S2639" s="9" t="str">
        <f>HYPERLINK("https://pbs.twimg.com/profile_images/1028347734179422211/Gk0esYYT.jpg","View")</f>
        <v>View</v>
      </c>
    </row>
    <row r="2640" spans="1:19" ht="30">
      <c r="A2640" s="8">
        <v>43344.656145833331</v>
      </c>
      <c r="B2640" s="11" t="str">
        <f>HYPERLINK("https://twitter.com/Ebrahimhadi8","@Ebrahimhadi8")</f>
        <v>@Ebrahimhadi8</v>
      </c>
      <c r="C2640" s="6" t="s">
        <v>10121</v>
      </c>
      <c r="D2640" s="5" t="s">
        <v>10120</v>
      </c>
      <c r="E2640" s="9" t="str">
        <f>HYPERLINK("https://twitter.com/Ebrahimhadi8/status/1035848455158149121","1035848455158149121")</f>
        <v>1035848455158149121</v>
      </c>
      <c r="F2640" s="4"/>
      <c r="G2640" s="10" t="s">
        <v>10119</v>
      </c>
      <c r="H2640" s="4"/>
      <c r="I2640" s="10" t="str">
        <f>HYPERLINK("http://twitter.com/download/android","Twitter for Android")</f>
        <v>Twitter for Android</v>
      </c>
      <c r="J2640" s="2">
        <v>44</v>
      </c>
      <c r="K2640" s="2">
        <v>14</v>
      </c>
      <c r="L2640" s="2">
        <v>0</v>
      </c>
      <c r="M2640" s="2"/>
      <c r="N2640" s="8">
        <v>43316.265879629631</v>
      </c>
      <c r="O2640" s="4"/>
      <c r="P2640" s="3" t="s">
        <v>10118</v>
      </c>
      <c r="Q2640" s="4"/>
      <c r="R2640" s="4"/>
      <c r="S2640" s="9" t="str">
        <f>HYPERLINK("https://pbs.twimg.com/profile_images/1035850402670043136/s7gfDzAH.jpg","View")</f>
        <v>View</v>
      </c>
    </row>
    <row r="2641" spans="1:19" ht="20">
      <c r="A2641" s="8">
        <v>43344.654953703706</v>
      </c>
      <c r="B2641" s="11" t="str">
        <f>HYPERLINK("https://twitter.com/mostafa_ghafari","@mostafa_ghafari")</f>
        <v>@mostafa_ghafari</v>
      </c>
      <c r="C2641" s="6" t="s">
        <v>10117</v>
      </c>
      <c r="D2641" s="5" t="s">
        <v>10116</v>
      </c>
      <c r="E2641" s="9" t="str">
        <f>HYPERLINK("https://twitter.com/mostafa_ghafari/status/1035848024881328129","1035848024881328129")</f>
        <v>1035848024881328129</v>
      </c>
      <c r="F2641" s="4"/>
      <c r="G2641" s="10" t="s">
        <v>10115</v>
      </c>
      <c r="H2641" s="4"/>
      <c r="I2641" s="10" t="str">
        <f>HYPERLINK("http://twitter.com/download/android","Twitter for Android")</f>
        <v>Twitter for Android</v>
      </c>
      <c r="J2641" s="2">
        <v>29</v>
      </c>
      <c r="K2641" s="2">
        <v>19</v>
      </c>
      <c r="L2641" s="2">
        <v>0</v>
      </c>
      <c r="M2641" s="2"/>
      <c r="N2641" s="8">
        <v>42733.711168981477</v>
      </c>
      <c r="O2641" s="4" t="s">
        <v>2777</v>
      </c>
      <c r="P2641" s="3" t="s">
        <v>10114</v>
      </c>
      <c r="Q2641" s="10" t="s">
        <v>10113</v>
      </c>
      <c r="R2641" s="4"/>
      <c r="S2641" s="9" t="str">
        <f>HYPERLINK("https://pbs.twimg.com/profile_images/1006134654519382016/M06WinNU.jpg","View")</f>
        <v>View</v>
      </c>
    </row>
    <row r="2642" spans="1:19" ht="20">
      <c r="A2642" s="8">
        <v>43344.651932870373</v>
      </c>
      <c r="B2642" s="11" t="str">
        <f>HYPERLINK("https://twitter.com/aliBakhtiyari8","@aliBakhtiyari8")</f>
        <v>@aliBakhtiyari8</v>
      </c>
      <c r="C2642" s="6" t="s">
        <v>10112</v>
      </c>
      <c r="D2642" s="5" t="s">
        <v>10111</v>
      </c>
      <c r="E2642" s="9" t="str">
        <f>HYPERLINK("https://twitter.com/aliBakhtiyari8/status/1035846926908964867","1035846926908964867")</f>
        <v>1035846926908964867</v>
      </c>
      <c r="F2642" s="4"/>
      <c r="G2642" s="4"/>
      <c r="H2642" s="4"/>
      <c r="I2642" s="10" t="str">
        <f>HYPERLINK("http://twitter.com/download/android","Twitter for Android")</f>
        <v>Twitter for Android</v>
      </c>
      <c r="J2642" s="2">
        <v>699</v>
      </c>
      <c r="K2642" s="2">
        <v>948</v>
      </c>
      <c r="L2642" s="2">
        <v>3</v>
      </c>
      <c r="M2642" s="2"/>
      <c r="N2642" s="8">
        <v>42769.942395833335</v>
      </c>
      <c r="O2642" s="4" t="s">
        <v>104</v>
      </c>
      <c r="P2642" s="3" t="s">
        <v>10110</v>
      </c>
      <c r="Q2642" s="4"/>
      <c r="R2642" s="4"/>
      <c r="S2642" s="9" t="str">
        <f>HYPERLINK("https://pbs.twimg.com/profile_images/1035453416355581955/r5bcay25.jpg","View")</f>
        <v>View</v>
      </c>
    </row>
    <row r="2643" spans="1:19" ht="20">
      <c r="A2643" s="8">
        <v>43344.648680555554</v>
      </c>
      <c r="B2643" s="11" t="str">
        <f>HYPERLINK("https://twitter.com/Dibii_Dibii","@Dibii_Dibii")</f>
        <v>@Dibii_Dibii</v>
      </c>
      <c r="C2643" s="6" t="s">
        <v>10109</v>
      </c>
      <c r="D2643" s="5" t="s">
        <v>10108</v>
      </c>
      <c r="E2643" s="9" t="str">
        <f>HYPERLINK("https://twitter.com/Dibii_Dibii/status/1035845750373142528","1035845750373142528")</f>
        <v>1035845750373142528</v>
      </c>
      <c r="F2643" s="4"/>
      <c r="G2643" s="4"/>
      <c r="H2643" s="4"/>
      <c r="I2643" s="10" t="str">
        <f>HYPERLINK("http://twitter.com","Twitter Web Client")</f>
        <v>Twitter Web Client</v>
      </c>
      <c r="J2643" s="2">
        <v>2</v>
      </c>
      <c r="K2643" s="2">
        <v>22</v>
      </c>
      <c r="L2643" s="2">
        <v>0</v>
      </c>
      <c r="M2643" s="2"/>
      <c r="N2643" s="8">
        <v>43344.62054398148</v>
      </c>
      <c r="O2643" s="4" t="s">
        <v>10107</v>
      </c>
      <c r="P2643" s="3" t="s">
        <v>10106</v>
      </c>
      <c r="Q2643" s="4"/>
      <c r="R2643" s="4"/>
      <c r="S2643" s="9" t="str">
        <f>HYPERLINK("https://pbs.twimg.com/profile_images/1035839612739043328/AjIZ59Uc.jpg","View")</f>
        <v>View</v>
      </c>
    </row>
    <row r="2644" spans="1:19" ht="60">
      <c r="A2644" s="8">
        <v>43344.648159722223</v>
      </c>
      <c r="B2644" s="11" t="str">
        <f>HYPERLINK("https://twitter.com/Jkazemi1375","@Jkazemi1375")</f>
        <v>@Jkazemi1375</v>
      </c>
      <c r="C2644" s="6" t="s">
        <v>10105</v>
      </c>
      <c r="D2644" s="5" t="s">
        <v>10104</v>
      </c>
      <c r="E2644" s="9" t="str">
        <f>HYPERLINK("https://twitter.com/Jkazemi1375/status/1035845559112925184","1035845559112925184")</f>
        <v>1035845559112925184</v>
      </c>
      <c r="F2644" s="4" t="s">
        <v>10103</v>
      </c>
      <c r="G2644" s="4"/>
      <c r="H2644" s="4"/>
      <c r="I2644" s="10" t="str">
        <f>HYPERLINK("https://mobile.twitter.com","Twitter Lite")</f>
        <v>Twitter Lite</v>
      </c>
      <c r="J2644" s="2">
        <v>127</v>
      </c>
      <c r="K2644" s="2">
        <v>45</v>
      </c>
      <c r="L2644" s="2">
        <v>0</v>
      </c>
      <c r="M2644" s="2"/>
      <c r="N2644" s="8">
        <v>42855.782002314816</v>
      </c>
      <c r="O2644" s="4" t="s">
        <v>10102</v>
      </c>
      <c r="P2644" s="3" t="s">
        <v>10101</v>
      </c>
      <c r="Q2644" s="4"/>
      <c r="R2644" s="4"/>
      <c r="S2644" s="9" t="str">
        <f>HYPERLINK("https://pbs.twimg.com/profile_images/1013759385577934848/1qiBMvHf.jpg","View")</f>
        <v>View</v>
      </c>
    </row>
    <row r="2645" spans="1:19" ht="20">
      <c r="A2645" s="8">
        <v>43344.647847222222</v>
      </c>
      <c r="B2645" s="11" t="str">
        <f>HYPERLINK("https://twitter.com/ali___tanha","@ali___tanha")</f>
        <v>@ali___tanha</v>
      </c>
      <c r="C2645" s="6" t="s">
        <v>1820</v>
      </c>
      <c r="D2645" s="5" t="s">
        <v>10100</v>
      </c>
      <c r="E2645" s="9" t="str">
        <f>HYPERLINK("https://twitter.com/ali___tanha/status/1035845448223940608","1035845448223940608")</f>
        <v>1035845448223940608</v>
      </c>
      <c r="F2645" s="4"/>
      <c r="G2645" s="10" t="s">
        <v>10099</v>
      </c>
      <c r="H2645" s="4"/>
      <c r="I2645" s="10" t="str">
        <f>HYPERLINK("http://twitter.com/download/android","Twitter for Android")</f>
        <v>Twitter for Android</v>
      </c>
      <c r="J2645" s="2">
        <v>25</v>
      </c>
      <c r="K2645" s="2">
        <v>0</v>
      </c>
      <c r="L2645" s="2">
        <v>1</v>
      </c>
      <c r="M2645" s="2"/>
      <c r="N2645" s="8">
        <v>43125.00072916667</v>
      </c>
      <c r="O2645" s="4" t="s">
        <v>17</v>
      </c>
      <c r="P2645" s="3" t="s">
        <v>1817</v>
      </c>
      <c r="Q2645" s="4"/>
      <c r="R2645" s="4"/>
      <c r="S2645" s="9" t="str">
        <f>HYPERLINK("https://pbs.twimg.com/profile_images/956264294898982912/qu5-Tio0.jpg","View")</f>
        <v>View</v>
      </c>
    </row>
    <row r="2646" spans="1:19" ht="40">
      <c r="A2646" s="8">
        <v>43344.647696759261</v>
      </c>
      <c r="B2646" s="11" t="str">
        <f>HYPERLINK("https://twitter.com/RafatiSiavash","@RafatiSiavash")</f>
        <v>@RafatiSiavash</v>
      </c>
      <c r="C2646" s="6" t="s">
        <v>3226</v>
      </c>
      <c r="D2646" s="5" t="s">
        <v>10098</v>
      </c>
      <c r="E2646" s="9" t="str">
        <f>HYPERLINK("https://twitter.com/RafatiSiavash/status/1035845391999225856","1035845391999225856")</f>
        <v>1035845391999225856</v>
      </c>
      <c r="F2646" s="10" t="s">
        <v>10097</v>
      </c>
      <c r="G2646" s="4"/>
      <c r="H2646" s="4"/>
      <c r="I2646" s="10" t="str">
        <f>HYPERLINK("http://twitter.com","Twitter Web Client")</f>
        <v>Twitter Web Client</v>
      </c>
      <c r="J2646" s="2">
        <v>288</v>
      </c>
      <c r="K2646" s="2">
        <v>230</v>
      </c>
      <c r="L2646" s="2">
        <v>87</v>
      </c>
      <c r="M2646" s="2"/>
      <c r="N2646" s="8">
        <v>41050.769884259258</v>
      </c>
      <c r="O2646" s="4"/>
      <c r="P2646" s="3" t="s">
        <v>3223</v>
      </c>
      <c r="Q2646" s="10" t="s">
        <v>3222</v>
      </c>
      <c r="R2646" s="4"/>
      <c r="S2646" s="9" t="str">
        <f>HYPERLINK("https://pbs.twimg.com/profile_images/821385868690751488/Qqe0I1Bk.jpg","View")</f>
        <v>View</v>
      </c>
    </row>
    <row r="2647" spans="1:19" ht="20">
      <c r="A2647" s="8">
        <v>43344.64234953704</v>
      </c>
      <c r="B2647" s="11" t="str">
        <f>HYPERLINK("https://twitter.com/haj_pourya","@haj_pourya")</f>
        <v>@haj_pourya</v>
      </c>
      <c r="C2647" s="6" t="s">
        <v>1120</v>
      </c>
      <c r="D2647" s="5" t="s">
        <v>10096</v>
      </c>
      <c r="E2647" s="9" t="str">
        <f>HYPERLINK("https://twitter.com/haj_pourya/status/1035843456097312769","1035843456097312769")</f>
        <v>1035843456097312769</v>
      </c>
      <c r="F2647" s="4"/>
      <c r="G2647" s="4"/>
      <c r="H2647" s="4"/>
      <c r="I2647" s="10" t="str">
        <f>HYPERLINK("http://twitter.com/download/android","Twitter for Android")</f>
        <v>Twitter for Android</v>
      </c>
      <c r="J2647" s="2">
        <v>345</v>
      </c>
      <c r="K2647" s="2">
        <v>354</v>
      </c>
      <c r="L2647" s="2">
        <v>0</v>
      </c>
      <c r="M2647" s="2"/>
      <c r="N2647" s="8">
        <v>43311.01262731482</v>
      </c>
      <c r="O2647" s="4" t="s">
        <v>1117</v>
      </c>
      <c r="P2647" s="3" t="s">
        <v>1116</v>
      </c>
      <c r="Q2647" s="4"/>
      <c r="R2647" s="4"/>
      <c r="S2647" s="9" t="str">
        <f>HYPERLINK("https://pbs.twimg.com/profile_images/1024224573112414208/e2fVor1D.jpg","View")</f>
        <v>View</v>
      </c>
    </row>
    <row r="2648" spans="1:19" ht="30">
      <c r="A2648" s="8">
        <v>43344.636030092588</v>
      </c>
      <c r="B2648" s="11" t="str">
        <f>HYPERLINK("https://twitter.com/samsam_khaan","@samsam_khaan")</f>
        <v>@samsam_khaan</v>
      </c>
      <c r="C2648" s="6" t="s">
        <v>3243</v>
      </c>
      <c r="D2648" s="5" t="s">
        <v>10095</v>
      </c>
      <c r="E2648" s="9" t="str">
        <f>HYPERLINK("https://twitter.com/samsam_khaan/status/1035841163805302784","1035841163805302784")</f>
        <v>1035841163805302784</v>
      </c>
      <c r="F2648" s="4"/>
      <c r="G2648" s="4"/>
      <c r="H2648" s="4"/>
      <c r="I2648" s="10" t="str">
        <f>HYPERLINK("http://twitter.com/download/android","Twitter for Android")</f>
        <v>Twitter for Android</v>
      </c>
      <c r="J2648" s="2">
        <v>44</v>
      </c>
      <c r="K2648" s="2">
        <v>53</v>
      </c>
      <c r="L2648" s="2">
        <v>0</v>
      </c>
      <c r="M2648" s="2"/>
      <c r="N2648" s="8">
        <v>43339.842627314814</v>
      </c>
      <c r="O2648" s="4"/>
      <c r="P2648" s="3" t="s">
        <v>3241</v>
      </c>
      <c r="Q2648" s="4"/>
      <c r="R2648" s="4"/>
      <c r="S2648" s="9" t="str">
        <f>HYPERLINK("https://pbs.twimg.com/profile_images/1034106716407910406/8ilD0JGu.jpg","View")</f>
        <v>View</v>
      </c>
    </row>
    <row r="2649" spans="1:19" ht="20">
      <c r="A2649" s="8">
        <v>43344.635694444441</v>
      </c>
      <c r="B2649" s="11" t="str">
        <f>HYPERLINK("https://twitter.com/Mohsenkeyani","@Mohsenkeyani")</f>
        <v>@Mohsenkeyani</v>
      </c>
      <c r="C2649" s="6" t="s">
        <v>4276</v>
      </c>
      <c r="D2649" s="5" t="s">
        <v>10094</v>
      </c>
      <c r="E2649" s="9" t="str">
        <f>HYPERLINK("https://twitter.com/Mohsenkeyani/status/1035841045823549441","1035841045823549441")</f>
        <v>1035841045823549441</v>
      </c>
      <c r="F2649" s="4"/>
      <c r="G2649" s="4"/>
      <c r="H2649" s="4"/>
      <c r="I2649" s="10" t="str">
        <f>HYPERLINK("http://twitter.com/download/android","Twitter for Android")</f>
        <v>Twitter for Android</v>
      </c>
      <c r="J2649" s="2">
        <v>380</v>
      </c>
      <c r="K2649" s="2">
        <v>299</v>
      </c>
      <c r="L2649" s="2">
        <v>2</v>
      </c>
      <c r="M2649" s="2"/>
      <c r="N2649" s="8">
        <v>41635.627789351856</v>
      </c>
      <c r="O2649" s="4" t="s">
        <v>324</v>
      </c>
      <c r="P2649" s="3" t="s">
        <v>4274</v>
      </c>
      <c r="Q2649" s="4"/>
      <c r="R2649" s="4"/>
      <c r="S2649" s="9" t="str">
        <f>HYPERLINK("https://pbs.twimg.com/profile_images/934097774718734336/1eHwt7zg.jpg","View")</f>
        <v>View</v>
      </c>
    </row>
    <row r="2650" spans="1:19" ht="20">
      <c r="A2650" s="8">
        <v>43344.63559027778</v>
      </c>
      <c r="B2650" s="11" t="str">
        <f>HYPERLINK("https://twitter.com/Divii_Divii","@Divii_Divii")</f>
        <v>@Divii_Divii</v>
      </c>
      <c r="C2650" s="6" t="s">
        <v>10093</v>
      </c>
      <c r="D2650" s="5" t="s">
        <v>10092</v>
      </c>
      <c r="E2650" s="9" t="str">
        <f>HYPERLINK("https://twitter.com/Divii_Divii/status/1035841007408111618","1035841007408111618")</f>
        <v>1035841007408111618</v>
      </c>
      <c r="F2650" s="4"/>
      <c r="G2650" s="4"/>
      <c r="H2650" s="4"/>
      <c r="I2650" s="10" t="str">
        <f>HYPERLINK("http://twitter.com","Twitter Web Client")</f>
        <v>Twitter Web Client</v>
      </c>
      <c r="J2650" s="2">
        <v>0</v>
      </c>
      <c r="K2650" s="2">
        <v>0</v>
      </c>
      <c r="L2650" s="2">
        <v>0</v>
      </c>
      <c r="M2650" s="2"/>
      <c r="N2650" s="8">
        <v>43344.62054398148</v>
      </c>
      <c r="O2650" s="4" t="s">
        <v>10091</v>
      </c>
      <c r="P2650" s="3" t="s">
        <v>10090</v>
      </c>
      <c r="Q2650" s="4"/>
      <c r="R2650" s="4"/>
      <c r="S2650" s="9" t="str">
        <f>HYPERLINK("https://pbs.twimg.com/profile_images/1035839612739043328/AjIZ59Uc.jpg","View")</f>
        <v>View</v>
      </c>
    </row>
    <row r="2651" spans="1:19" ht="40">
      <c r="A2651" s="8">
        <v>43344.634375000001</v>
      </c>
      <c r="B2651" s="11" t="str">
        <f>HYPERLINK("https://twitter.com/DavoodiShahin","@DavoodiShahin")</f>
        <v>@DavoodiShahin</v>
      </c>
      <c r="C2651" s="6" t="s">
        <v>4074</v>
      </c>
      <c r="D2651" s="5" t="s">
        <v>10089</v>
      </c>
      <c r="E2651" s="9" t="str">
        <f>HYPERLINK("https://twitter.com/DavoodiShahin/status/1035840565781450752","1035840565781450752")</f>
        <v>1035840565781450752</v>
      </c>
      <c r="F2651" s="4"/>
      <c r="G2651" s="4"/>
      <c r="H2651" s="4"/>
      <c r="I2651" s="10" t="str">
        <f>HYPERLINK("http://twitter.com/download/android","Twitter for Android")</f>
        <v>Twitter for Android</v>
      </c>
      <c r="J2651" s="2">
        <v>808</v>
      </c>
      <c r="K2651" s="2">
        <v>523</v>
      </c>
      <c r="L2651" s="2">
        <v>4</v>
      </c>
      <c r="M2651" s="2"/>
      <c r="N2651" s="8">
        <v>43077.357268518521</v>
      </c>
      <c r="O2651" s="4" t="s">
        <v>4072</v>
      </c>
      <c r="P2651" s="3" t="s">
        <v>4071</v>
      </c>
      <c r="Q2651" s="10" t="s">
        <v>4070</v>
      </c>
      <c r="R2651" s="4"/>
      <c r="S2651" s="9" t="str">
        <f>HYPERLINK("https://pbs.twimg.com/profile_images/947365309396250624/aQGphinI.jpg","View")</f>
        <v>View</v>
      </c>
    </row>
    <row r="2652" spans="1:19" ht="30">
      <c r="A2652" s="8">
        <v>43344.633194444439</v>
      </c>
      <c r="B2652" s="11" t="str">
        <f>HYPERLINK("https://twitter.com/Abdolzahra69","@Abdolzahra69")</f>
        <v>@Abdolzahra69</v>
      </c>
      <c r="C2652" s="6" t="s">
        <v>10088</v>
      </c>
      <c r="D2652" s="5" t="s">
        <v>10087</v>
      </c>
      <c r="E2652" s="9" t="str">
        <f>HYPERLINK("https://twitter.com/Abdolzahra69/status/1035840137769435136","1035840137769435136")</f>
        <v>1035840137769435136</v>
      </c>
      <c r="F2652" s="4"/>
      <c r="G2652" s="10" t="s">
        <v>10086</v>
      </c>
      <c r="H2652" s="4"/>
      <c r="I2652" s="10" t="str">
        <f>HYPERLINK("http://twitter.com/download/android","Twitter for Android")</f>
        <v>Twitter for Android</v>
      </c>
      <c r="J2652" s="2">
        <v>0</v>
      </c>
      <c r="K2652" s="2">
        <v>1</v>
      </c>
      <c r="L2652" s="2">
        <v>0</v>
      </c>
      <c r="M2652" s="2"/>
      <c r="N2652" s="8">
        <v>43181.47861111111</v>
      </c>
      <c r="O2652" s="4" t="s">
        <v>10085</v>
      </c>
      <c r="P2652" s="3" t="s">
        <v>10084</v>
      </c>
      <c r="Q2652" s="4"/>
      <c r="R2652" s="4"/>
      <c r="S2652" s="9" t="str">
        <f>HYPERLINK("https://pbs.twimg.com/profile_images/1024358464791998464/TF7shegP.jpg","View")</f>
        <v>View</v>
      </c>
    </row>
    <row r="2653" spans="1:19" ht="40">
      <c r="A2653" s="8">
        <v>43344.631469907406</v>
      </c>
      <c r="B2653" s="11" t="str">
        <f>HYPERLINK("https://twitter.com/RafatiSiavash","@RafatiSiavash")</f>
        <v>@RafatiSiavash</v>
      </c>
      <c r="C2653" s="6" t="s">
        <v>3226</v>
      </c>
      <c r="D2653" s="5" t="s">
        <v>10083</v>
      </c>
      <c r="E2653" s="9" t="str">
        <f>HYPERLINK("https://twitter.com/RafatiSiavash/status/1035839514227429376","1035839514227429376")</f>
        <v>1035839514227429376</v>
      </c>
      <c r="F2653" s="4"/>
      <c r="G2653" s="4"/>
      <c r="H2653" s="4"/>
      <c r="I2653" s="10" t="str">
        <f>HYPERLINK("http://twitter.com","Twitter Web Client")</f>
        <v>Twitter Web Client</v>
      </c>
      <c r="J2653" s="2">
        <v>288</v>
      </c>
      <c r="K2653" s="2">
        <v>230</v>
      </c>
      <c r="L2653" s="2">
        <v>87</v>
      </c>
      <c r="M2653" s="2"/>
      <c r="N2653" s="8">
        <v>41050.769884259258</v>
      </c>
      <c r="O2653" s="4"/>
      <c r="P2653" s="3" t="s">
        <v>3223</v>
      </c>
      <c r="Q2653" s="10" t="s">
        <v>3222</v>
      </c>
      <c r="R2653" s="4"/>
      <c r="S2653" s="9" t="str">
        <f>HYPERLINK("https://pbs.twimg.com/profile_images/821385868690751488/Qqe0I1Bk.jpg","View")</f>
        <v>View</v>
      </c>
    </row>
    <row r="2654" spans="1:19" ht="40">
      <c r="A2654" s="8">
        <v>43344.628240740742</v>
      </c>
      <c r="B2654" s="11" t="str">
        <f>HYPERLINK("https://twitter.com/Komail68520975","@Komail68520975")</f>
        <v>@Komail68520975</v>
      </c>
      <c r="C2654" s="6" t="s">
        <v>10074</v>
      </c>
      <c r="D2654" s="5" t="s">
        <v>10082</v>
      </c>
      <c r="E2654" s="9" t="str">
        <f>HYPERLINK("https://twitter.com/Komail68520975/status/1035838343794360320","1035838343794360320")</f>
        <v>1035838343794360320</v>
      </c>
      <c r="F2654" s="4"/>
      <c r="G2654" s="4"/>
      <c r="H2654" s="4"/>
      <c r="I2654" s="10" t="str">
        <f>HYPERLINK("http://twitter.com","Twitter Web Client")</f>
        <v>Twitter Web Client</v>
      </c>
      <c r="J2654" s="2">
        <v>233</v>
      </c>
      <c r="K2654" s="2">
        <v>57</v>
      </c>
      <c r="L2654" s="2">
        <v>0</v>
      </c>
      <c r="M2654" s="2"/>
      <c r="N2654" s="8">
        <v>42914.543356481481</v>
      </c>
      <c r="O2654" s="4" t="s">
        <v>133</v>
      </c>
      <c r="P2654" s="3" t="s">
        <v>10072</v>
      </c>
      <c r="Q2654" s="4"/>
      <c r="R2654" s="4"/>
      <c r="S2654" s="9" t="str">
        <f>HYPERLINK("https://pbs.twimg.com/profile_images/1011929420649648128/pdI_xVU7.jpg","View")</f>
        <v>View</v>
      </c>
    </row>
    <row r="2655" spans="1:19" ht="40">
      <c r="A2655" s="8">
        <v>43344.62777777778</v>
      </c>
      <c r="B2655" s="11" t="str">
        <f>HYPERLINK("https://twitter.com/keshmati2","@keshmati2")</f>
        <v>@keshmati2</v>
      </c>
      <c r="C2655" s="6" t="s">
        <v>10081</v>
      </c>
      <c r="D2655" s="5" t="s">
        <v>10080</v>
      </c>
      <c r="E2655" s="9" t="str">
        <f>HYPERLINK("https://twitter.com/keshmati2/status/1035838174293979138","1035838174293979138")</f>
        <v>1035838174293979138</v>
      </c>
      <c r="F2655" s="4"/>
      <c r="G2655" s="4"/>
      <c r="H2655" s="4"/>
      <c r="I2655" s="10" t="str">
        <f>HYPERLINK("http://twitter.com/download/android","Twitter for Android")</f>
        <v>Twitter for Android</v>
      </c>
      <c r="J2655" s="2">
        <v>266</v>
      </c>
      <c r="K2655" s="2">
        <v>656</v>
      </c>
      <c r="L2655" s="2">
        <v>0</v>
      </c>
      <c r="M2655" s="2"/>
      <c r="N2655" s="8">
        <v>42385.768206018518</v>
      </c>
      <c r="O2655" s="4" t="s">
        <v>10079</v>
      </c>
      <c r="P2655" s="3" t="s">
        <v>10078</v>
      </c>
      <c r="Q2655" s="4"/>
      <c r="R2655" s="4"/>
      <c r="S2655" s="9" t="str">
        <f>HYPERLINK("https://pbs.twimg.com/profile_images/933342441327005696/0Bc9gsJt.jpg","View")</f>
        <v>View</v>
      </c>
    </row>
    <row r="2656" spans="1:19" ht="40">
      <c r="A2656" s="8">
        <v>43344.625821759255</v>
      </c>
      <c r="B2656" s="11" t="str">
        <f>HYPERLINK("https://twitter.com/roshanak_ast","@roshanak_ast")</f>
        <v>@roshanak_ast</v>
      </c>
      <c r="C2656" s="6" t="s">
        <v>10077</v>
      </c>
      <c r="D2656" s="5" t="s">
        <v>10076</v>
      </c>
      <c r="E2656" s="9" t="str">
        <f>HYPERLINK("https://twitter.com/roshanak_ast/status/1035837464315944960","1035837464315944960")</f>
        <v>1035837464315944960</v>
      </c>
      <c r="F2656" s="4"/>
      <c r="G2656" s="4"/>
      <c r="H2656" s="4"/>
      <c r="I2656" s="10" t="str">
        <f>HYPERLINK("http://twitter.com","Twitter Web Client")</f>
        <v>Twitter Web Client</v>
      </c>
      <c r="J2656" s="2">
        <v>1048</v>
      </c>
      <c r="K2656" s="2">
        <v>988</v>
      </c>
      <c r="L2656" s="2">
        <v>7</v>
      </c>
      <c r="M2656" s="2"/>
      <c r="N2656" s="8">
        <v>41144.621724537035</v>
      </c>
      <c r="O2656" s="4"/>
      <c r="P2656" s="3" t="s">
        <v>10075</v>
      </c>
      <c r="Q2656" s="10" t="s">
        <v>2859</v>
      </c>
      <c r="R2656" s="4"/>
      <c r="S2656" s="9" t="str">
        <f>HYPERLINK("https://pbs.twimg.com/profile_images/1009154579496423424/PtrG_11h.jpg","View")</f>
        <v>View</v>
      </c>
    </row>
    <row r="2657" spans="1:19" ht="30">
      <c r="A2657" s="8">
        <v>43344.625428240739</v>
      </c>
      <c r="B2657" s="11" t="str">
        <f>HYPERLINK("https://twitter.com/Komail68520975","@Komail68520975")</f>
        <v>@Komail68520975</v>
      </c>
      <c r="C2657" s="6" t="s">
        <v>10074</v>
      </c>
      <c r="D2657" s="5" t="s">
        <v>10073</v>
      </c>
      <c r="E2657" s="9" t="str">
        <f>HYPERLINK("https://twitter.com/Komail68520975/status/1035837325190807552","1035837325190807552")</f>
        <v>1035837325190807552</v>
      </c>
      <c r="F2657" s="4"/>
      <c r="G2657" s="4"/>
      <c r="H2657" s="4"/>
      <c r="I2657" s="10" t="str">
        <f>HYPERLINK("http://twitter.com","Twitter Web Client")</f>
        <v>Twitter Web Client</v>
      </c>
      <c r="J2657" s="2">
        <v>233</v>
      </c>
      <c r="K2657" s="2">
        <v>57</v>
      </c>
      <c r="L2657" s="2">
        <v>0</v>
      </c>
      <c r="M2657" s="2"/>
      <c r="N2657" s="8">
        <v>42914.543356481481</v>
      </c>
      <c r="O2657" s="4" t="s">
        <v>133</v>
      </c>
      <c r="P2657" s="3" t="s">
        <v>10072</v>
      </c>
      <c r="Q2657" s="4"/>
      <c r="R2657" s="4"/>
      <c r="S2657" s="9" t="str">
        <f>HYPERLINK("https://pbs.twimg.com/profile_images/1011929420649648128/pdI_xVU7.jpg","View")</f>
        <v>View</v>
      </c>
    </row>
    <row r="2658" spans="1:19" ht="20">
      <c r="A2658" s="8">
        <v>43344.624247685184</v>
      </c>
      <c r="B2658" s="11" t="str">
        <f>HYPERLINK("https://twitter.com/RahgozarSina","@RahgozarSina")</f>
        <v>@RahgozarSina</v>
      </c>
      <c r="C2658" s="6" t="s">
        <v>10071</v>
      </c>
      <c r="D2658" s="5" t="s">
        <v>10070</v>
      </c>
      <c r="E2658" s="9" t="str">
        <f>HYPERLINK("https://twitter.com/RahgozarSina/status/1035836896432115712","1035836896432115712")</f>
        <v>1035836896432115712</v>
      </c>
      <c r="F2658" s="4"/>
      <c r="G2658" s="4"/>
      <c r="H2658" s="4"/>
      <c r="I2658" s="10" t="str">
        <f>HYPERLINK("http://twitter.com","Twitter Web Client")</f>
        <v>Twitter Web Client</v>
      </c>
      <c r="J2658" s="2">
        <v>95</v>
      </c>
      <c r="K2658" s="2">
        <v>315</v>
      </c>
      <c r="L2658" s="2">
        <v>0</v>
      </c>
      <c r="M2658" s="2"/>
      <c r="N2658" s="8">
        <v>43305.415451388893</v>
      </c>
      <c r="O2658" s="4" t="s">
        <v>748</v>
      </c>
      <c r="P2658" s="3" t="s">
        <v>10069</v>
      </c>
      <c r="Q2658" s="4"/>
      <c r="R2658" s="4"/>
      <c r="S2658" s="9" t="str">
        <f>HYPERLINK("https://pbs.twimg.com/profile_images/1027466731411755008/JpwPLt3H.jpg","View")</f>
        <v>View</v>
      </c>
    </row>
    <row r="2659" spans="1:19" ht="40">
      <c r="A2659" s="8">
        <v>43344.621354166666</v>
      </c>
      <c r="B2659" s="11" t="str">
        <f>HYPERLINK("https://twitter.com/AliRad000","@AliRad000")</f>
        <v>@AliRad000</v>
      </c>
      <c r="C2659" s="6" t="s">
        <v>9509</v>
      </c>
      <c r="D2659" s="5" t="s">
        <v>10068</v>
      </c>
      <c r="E2659" s="9" t="str">
        <f>HYPERLINK("https://twitter.com/AliRad000/status/1035835845272653825","1035835845272653825")</f>
        <v>1035835845272653825</v>
      </c>
      <c r="F2659" s="4"/>
      <c r="G2659" s="4"/>
      <c r="H2659" s="4"/>
      <c r="I2659" s="10" t="str">
        <f>HYPERLINK("http://twitter.com/download/android","Twitter for Android")</f>
        <v>Twitter for Android</v>
      </c>
      <c r="J2659" s="2">
        <v>13</v>
      </c>
      <c r="K2659" s="2">
        <v>71</v>
      </c>
      <c r="L2659" s="2">
        <v>0</v>
      </c>
      <c r="M2659" s="2"/>
      <c r="N2659" s="8">
        <v>43337.954409722224</v>
      </c>
      <c r="O2659" s="4"/>
      <c r="P2659" s="3"/>
      <c r="Q2659" s="4"/>
      <c r="R2659" s="4"/>
      <c r="S2659" s="9" t="str">
        <f>HYPERLINK("https://pbs.twimg.com/profile_images/1033651328982179841/PorrNMPJ.jpg","View")</f>
        <v>View</v>
      </c>
    </row>
    <row r="2660" spans="1:19" ht="12.5">
      <c r="A2660" s="8">
        <v>43344.619780092587</v>
      </c>
      <c r="B2660" s="11" t="str">
        <f>HYPERLINK("https://twitter.com/ayazifariba","@ayazifariba")</f>
        <v>@ayazifariba</v>
      </c>
      <c r="C2660" s="6" t="s">
        <v>6252</v>
      </c>
      <c r="D2660" s="5" t="s">
        <v>10067</v>
      </c>
      <c r="E2660" s="9" t="str">
        <f>HYPERLINK("https://twitter.com/ayazifariba/status/1035835276197851136","1035835276197851136")</f>
        <v>1035835276197851136</v>
      </c>
      <c r="F2660" s="4"/>
      <c r="G2660" s="10" t="s">
        <v>10066</v>
      </c>
      <c r="H2660" s="4"/>
      <c r="I2660" s="10" t="str">
        <f>HYPERLINK("http://twitter.com/download/android","Twitter for Android")</f>
        <v>Twitter for Android</v>
      </c>
      <c r="J2660" s="2">
        <v>100</v>
      </c>
      <c r="K2660" s="2">
        <v>508</v>
      </c>
      <c r="L2660" s="2">
        <v>0</v>
      </c>
      <c r="M2660" s="2"/>
      <c r="N2660" s="8">
        <v>42973.407708333332</v>
      </c>
      <c r="O2660" s="4"/>
      <c r="P2660" s="3" t="s">
        <v>6250</v>
      </c>
      <c r="Q2660" s="4"/>
      <c r="R2660" s="4"/>
      <c r="S2660" s="9" t="str">
        <f>HYPERLINK("https://pbs.twimg.com/profile_images/934852485575004161/4ZuQQctl.jpg","View")</f>
        <v>View</v>
      </c>
    </row>
    <row r="2661" spans="1:19" ht="40">
      <c r="A2661" s="8">
        <v>43344.619004629625</v>
      </c>
      <c r="B2661" s="11" t="str">
        <f>HYPERLINK("https://twitter.com/ghourobsefid","@ghourobsefid")</f>
        <v>@ghourobsefid</v>
      </c>
      <c r="C2661" s="6" t="s">
        <v>10065</v>
      </c>
      <c r="D2661" s="5" t="s">
        <v>10064</v>
      </c>
      <c r="E2661" s="9" t="str">
        <f>HYPERLINK("https://twitter.com/ghourobsefid/status/1035834994386714624","1035834994386714624")</f>
        <v>1035834994386714624</v>
      </c>
      <c r="F2661" s="4"/>
      <c r="G2661" s="10" t="s">
        <v>10063</v>
      </c>
      <c r="H2661" s="4"/>
      <c r="I2661" s="10" t="str">
        <f>HYPERLINK("http://twitter.com/download/iphone","Twitter for iPhone")</f>
        <v>Twitter for iPhone</v>
      </c>
      <c r="J2661" s="2">
        <v>20</v>
      </c>
      <c r="K2661" s="2">
        <v>41</v>
      </c>
      <c r="L2661" s="2">
        <v>0</v>
      </c>
      <c r="M2661" s="2"/>
      <c r="N2661" s="8">
        <v>43200.732685185183</v>
      </c>
      <c r="O2661" s="4"/>
      <c r="P2661" s="3" t="s">
        <v>10062</v>
      </c>
      <c r="Q2661" s="4"/>
      <c r="R2661" s="4"/>
      <c r="S2661" s="9" t="str">
        <f>HYPERLINK("https://pbs.twimg.com/profile_images/997895887774015488/TyVthehN.jpg","View")</f>
        <v>View</v>
      </c>
    </row>
    <row r="2662" spans="1:19" ht="40">
      <c r="A2662" s="8">
        <v>43344.617719907408</v>
      </c>
      <c r="B2662" s="11" t="str">
        <f>HYPERLINK("https://twitter.com/amire_tanha","@amire_tanha")</f>
        <v>@amire_tanha</v>
      </c>
      <c r="C2662" s="6" t="s">
        <v>9891</v>
      </c>
      <c r="D2662" s="5" t="s">
        <v>10061</v>
      </c>
      <c r="E2662" s="9" t="str">
        <f>HYPERLINK("https://twitter.com/amire_tanha/status/1035834530719035393","1035834530719035393")</f>
        <v>1035834530719035393</v>
      </c>
      <c r="F2662" s="4"/>
      <c r="G2662" s="10" t="s">
        <v>10060</v>
      </c>
      <c r="H2662" s="4"/>
      <c r="I2662" s="10" t="str">
        <f>HYPERLINK("http://twitter.com/download/iphone","Twitter for iPhone")</f>
        <v>Twitter for iPhone</v>
      </c>
      <c r="J2662" s="2">
        <v>7084</v>
      </c>
      <c r="K2662" s="2">
        <v>3666</v>
      </c>
      <c r="L2662" s="2">
        <v>28</v>
      </c>
      <c r="M2662" s="2"/>
      <c r="N2662" s="8">
        <v>41558.983773148146</v>
      </c>
      <c r="O2662" s="4" t="s">
        <v>682</v>
      </c>
      <c r="P2662" s="3" t="s">
        <v>9889</v>
      </c>
      <c r="Q2662" s="10" t="s">
        <v>9888</v>
      </c>
      <c r="R2662" s="4"/>
      <c r="S2662" s="9" t="str">
        <f>HYPERLINK("https://pbs.twimg.com/profile_images/1035273296059793408/gcRu_pmS.jpg","View")</f>
        <v>View</v>
      </c>
    </row>
    <row r="2663" spans="1:19" ht="50">
      <c r="A2663" s="8">
        <v>43344.61681712963</v>
      </c>
      <c r="B2663" s="11" t="str">
        <f>HYPERLINK("https://twitter.com/Lion_Azi","@Lion_Azi")</f>
        <v>@Lion_Azi</v>
      </c>
      <c r="C2663" s="6" t="s">
        <v>10059</v>
      </c>
      <c r="D2663" s="5" t="s">
        <v>10058</v>
      </c>
      <c r="E2663" s="9" t="str">
        <f>HYPERLINK("https://twitter.com/Lion_Azi/status/1035834203726864384","1035834203726864384")</f>
        <v>1035834203726864384</v>
      </c>
      <c r="F2663" s="4"/>
      <c r="G2663" s="10" t="s">
        <v>10057</v>
      </c>
      <c r="H2663" s="4"/>
      <c r="I2663" s="10" t="str">
        <f>HYPERLINK("http://twitter.com","Twitter Web Client")</f>
        <v>Twitter Web Client</v>
      </c>
      <c r="J2663" s="2">
        <v>349</v>
      </c>
      <c r="K2663" s="2">
        <v>503</v>
      </c>
      <c r="L2663" s="2">
        <v>1</v>
      </c>
      <c r="M2663" s="2"/>
      <c r="N2663" s="8">
        <v>43102.762708333335</v>
      </c>
      <c r="O2663" s="4" t="s">
        <v>10056</v>
      </c>
      <c r="P2663" s="3" t="s">
        <v>10055</v>
      </c>
      <c r="Q2663" s="4"/>
      <c r="R2663" s="4"/>
      <c r="S2663" s="9" t="str">
        <f>HYPERLINK("https://pbs.twimg.com/profile_images/1034924580715065344/OpHE7dOc.jpg","View")</f>
        <v>View</v>
      </c>
    </row>
    <row r="2664" spans="1:19" ht="30">
      <c r="A2664" s="8">
        <v>43344.613182870366</v>
      </c>
      <c r="B2664" s="11" t="str">
        <f>HYPERLINK("https://twitter.com/alishakib90","@alishakib90")</f>
        <v>@alishakib90</v>
      </c>
      <c r="C2664" s="6" t="s">
        <v>10054</v>
      </c>
      <c r="D2664" s="5" t="s">
        <v>10053</v>
      </c>
      <c r="E2664" s="9" t="str">
        <f>HYPERLINK("https://twitter.com/alishakib90/status/1035832884756717568","1035832884756717568")</f>
        <v>1035832884756717568</v>
      </c>
      <c r="F2664" s="4"/>
      <c r="G2664" s="4"/>
      <c r="H2664" s="4"/>
      <c r="I2664" s="10" t="str">
        <f>HYPERLINK("http://twitter.com/download/iphone","Twitter for iPhone")</f>
        <v>Twitter for iPhone</v>
      </c>
      <c r="J2664" s="2">
        <v>388</v>
      </c>
      <c r="K2664" s="2">
        <v>466</v>
      </c>
      <c r="L2664" s="2">
        <v>0</v>
      </c>
      <c r="M2664" s="2"/>
      <c r="N2664" s="8">
        <v>41233.45994212963</v>
      </c>
      <c r="O2664" s="4" t="s">
        <v>34</v>
      </c>
      <c r="P2664" s="3" t="s">
        <v>10052</v>
      </c>
      <c r="Q2664" s="10" t="s">
        <v>746</v>
      </c>
      <c r="R2664" s="4"/>
      <c r="S2664" s="9" t="str">
        <f>HYPERLINK("https://pbs.twimg.com/profile_images/1008323493509959681/r0ngG-wF.jpg","View")</f>
        <v>View</v>
      </c>
    </row>
    <row r="2665" spans="1:19" ht="40">
      <c r="A2665" s="8">
        <v>43344.611215277779</v>
      </c>
      <c r="B2665" s="11" t="str">
        <f>HYPERLINK("https://twitter.com/Don_Aminn","@Don_Aminn")</f>
        <v>@Don_Aminn</v>
      </c>
      <c r="C2665" s="6" t="s">
        <v>10051</v>
      </c>
      <c r="D2665" s="5" t="s">
        <v>10050</v>
      </c>
      <c r="E2665" s="9" t="str">
        <f>HYPERLINK("https://twitter.com/Don_Aminn/status/1035832171234254853","1035832171234254853")</f>
        <v>1035832171234254853</v>
      </c>
      <c r="F2665" s="4"/>
      <c r="G2665" s="4"/>
      <c r="H2665" s="4"/>
      <c r="I2665" s="10" t="str">
        <f>HYPERLINK("http://twitter.com/download/iphone","Twitter for iPhone")</f>
        <v>Twitter for iPhone</v>
      </c>
      <c r="J2665" s="2">
        <v>59</v>
      </c>
      <c r="K2665" s="2">
        <v>81</v>
      </c>
      <c r="L2665" s="2">
        <v>0</v>
      </c>
      <c r="M2665" s="2"/>
      <c r="N2665" s="8">
        <v>41715.880289351851</v>
      </c>
      <c r="O2665" s="4" t="s">
        <v>10049</v>
      </c>
      <c r="P2665" s="3" t="s">
        <v>10048</v>
      </c>
      <c r="Q2665" s="4"/>
      <c r="R2665" s="4"/>
      <c r="S2665" s="9" t="str">
        <f>HYPERLINK("https://pbs.twimg.com/profile_images/1027476197998055426/TiQVvX73.jpg","View")</f>
        <v>View</v>
      </c>
    </row>
    <row r="2666" spans="1:19" ht="40">
      <c r="A2666" s="8">
        <v>43344.611122685186</v>
      </c>
      <c r="B2666" s="11" t="str">
        <f>HYPERLINK("https://twitter.com/Kiyanara","@Kiyanara")</f>
        <v>@Kiyanara</v>
      </c>
      <c r="C2666" s="6" t="s">
        <v>2162</v>
      </c>
      <c r="D2666" s="5" t="s">
        <v>10047</v>
      </c>
      <c r="E2666" s="9" t="str">
        <f>HYPERLINK("https://twitter.com/Kiyanara/status/1035832140154302465","1035832140154302465")</f>
        <v>1035832140154302465</v>
      </c>
      <c r="F2666" s="4"/>
      <c r="G2666" s="4"/>
      <c r="H2666" s="4"/>
      <c r="I2666" s="10" t="str">
        <f>HYPERLINK("http://twitter.com","Twitter Web Client")</f>
        <v>Twitter Web Client</v>
      </c>
      <c r="J2666" s="2">
        <v>287</v>
      </c>
      <c r="K2666" s="2">
        <v>228</v>
      </c>
      <c r="L2666" s="2">
        <v>2</v>
      </c>
      <c r="M2666" s="2"/>
      <c r="N2666" s="8">
        <v>41155.709988425922</v>
      </c>
      <c r="O2666" s="4" t="s">
        <v>2159</v>
      </c>
      <c r="P2666" s="3" t="s">
        <v>2158</v>
      </c>
      <c r="Q2666" s="4"/>
      <c r="R2666" s="4"/>
      <c r="S2666" s="9" t="str">
        <f>HYPERLINK("https://pbs.twimg.com/profile_images/1016974331086176256/AIsihCYT.jpg","View")</f>
        <v>View</v>
      </c>
    </row>
    <row r="2667" spans="1:19" ht="30">
      <c r="A2667" s="8">
        <v>43344.610439814816</v>
      </c>
      <c r="B2667" s="11" t="str">
        <f>HYPERLINK("https://twitter.com/Ramin65506053","@Ramin65506053")</f>
        <v>@Ramin65506053</v>
      </c>
      <c r="C2667" s="6" t="s">
        <v>10046</v>
      </c>
      <c r="D2667" s="5" t="s">
        <v>10045</v>
      </c>
      <c r="E2667" s="9" t="str">
        <f>HYPERLINK("https://twitter.com/Ramin65506053/status/1035831891058941953","1035831891058941953")</f>
        <v>1035831891058941953</v>
      </c>
      <c r="F2667" s="4"/>
      <c r="G2667" s="4"/>
      <c r="H2667" s="4"/>
      <c r="I2667" s="10" t="str">
        <f>HYPERLINK("http://twitter.com/download/android","Twitter for Android")</f>
        <v>Twitter for Android</v>
      </c>
      <c r="J2667" s="2">
        <v>1</v>
      </c>
      <c r="K2667" s="2">
        <v>2</v>
      </c>
      <c r="L2667" s="2">
        <v>0</v>
      </c>
      <c r="M2667" s="2"/>
      <c r="N2667" s="8">
        <v>43308.440034722225</v>
      </c>
      <c r="O2667" s="4" t="s">
        <v>17</v>
      </c>
      <c r="P2667" s="3" t="s">
        <v>10044</v>
      </c>
      <c r="Q2667" s="4"/>
      <c r="R2667" s="4"/>
      <c r="S2667" s="9" t="str">
        <f>HYPERLINK("https://pbs.twimg.com/profile_images/1035809832249581569/WU34GKLI.jpg","View")</f>
        <v>View</v>
      </c>
    </row>
    <row r="2668" spans="1:19" ht="40">
      <c r="A2668" s="8">
        <v>43344.610254629632</v>
      </c>
      <c r="B2668" s="11" t="str">
        <f>HYPERLINK("https://twitter.com/mersadnews_ir","@mersadnews_ir")</f>
        <v>@mersadnews_ir</v>
      </c>
      <c r="C2668" s="6" t="s">
        <v>3586</v>
      </c>
      <c r="D2668" s="5" t="s">
        <v>10043</v>
      </c>
      <c r="E2668" s="9" t="str">
        <f>HYPERLINK("https://twitter.com/mersadnews_ir/status/1035831823425839105","1035831823425839105")</f>
        <v>1035831823425839105</v>
      </c>
      <c r="F2668" s="4"/>
      <c r="G2668" s="4"/>
      <c r="H2668" s="4"/>
      <c r="I2668" s="10" t="str">
        <f>HYPERLINK("http://twitter.com/download/android","Twitter for Android")</f>
        <v>Twitter for Android</v>
      </c>
      <c r="J2668" s="2">
        <v>1566</v>
      </c>
      <c r="K2668" s="2">
        <v>833</v>
      </c>
      <c r="L2668" s="2">
        <v>11</v>
      </c>
      <c r="M2668" s="2"/>
      <c r="N2668" s="8">
        <v>42248.572592592594</v>
      </c>
      <c r="O2668" s="4"/>
      <c r="P2668" s="3" t="s">
        <v>3584</v>
      </c>
      <c r="Q2668" s="4"/>
      <c r="R2668" s="4"/>
      <c r="S2668" s="9" t="str">
        <f>HYPERLINK("https://pbs.twimg.com/profile_images/951372057123741696/1KwF8zUA.jpg","View")</f>
        <v>View</v>
      </c>
    </row>
    <row r="2669" spans="1:19" ht="40">
      <c r="A2669" s="8">
        <v>43344.609988425931</v>
      </c>
      <c r="B2669" s="11" t="str">
        <f>HYPERLINK("https://twitter.com/mhassandf","@mhassandf")</f>
        <v>@mhassandf</v>
      </c>
      <c r="C2669" s="6" t="s">
        <v>10042</v>
      </c>
      <c r="D2669" s="5" t="s">
        <v>10041</v>
      </c>
      <c r="E2669" s="9" t="str">
        <f>HYPERLINK("https://twitter.com/mhassandf/status/1035831726902206464","1035831726902206464")</f>
        <v>1035831726902206464</v>
      </c>
      <c r="F2669" s="4"/>
      <c r="G2669" s="4"/>
      <c r="H2669" s="4"/>
      <c r="I2669" s="10" t="str">
        <f>HYPERLINK("http://twitter.com","Twitter Web Client")</f>
        <v>Twitter Web Client</v>
      </c>
      <c r="J2669" s="2">
        <v>1</v>
      </c>
      <c r="K2669" s="2">
        <v>3</v>
      </c>
      <c r="L2669" s="2">
        <v>0</v>
      </c>
      <c r="M2669" s="2"/>
      <c r="N2669" s="8">
        <v>41169.609930555554</v>
      </c>
      <c r="O2669" s="4"/>
      <c r="P2669" s="3"/>
      <c r="Q2669" s="4"/>
      <c r="R2669" s="4"/>
      <c r="S2669" s="9" t="str">
        <f>HYPERLINK("https://pbs.twimg.com/profile_images/1035558396013891584/-ct7OARa.jpg","View")</f>
        <v>View</v>
      </c>
    </row>
    <row r="2670" spans="1:19" ht="30">
      <c r="A2670" s="8">
        <v>43344.60837962963</v>
      </c>
      <c r="B2670" s="11" t="str">
        <f>HYPERLINK("https://twitter.com/_Danial_1","@_Danial_1")</f>
        <v>@_Danial_1</v>
      </c>
      <c r="C2670" s="6" t="s">
        <v>10040</v>
      </c>
      <c r="D2670" s="5" t="s">
        <v>10039</v>
      </c>
      <c r="E2670" s="9" t="str">
        <f>HYPERLINK("https://twitter.com/_Danial_1/status/1035831146985279490","1035831146985279490")</f>
        <v>1035831146985279490</v>
      </c>
      <c r="F2670" s="4"/>
      <c r="G2670" s="10" t="s">
        <v>10038</v>
      </c>
      <c r="H2670" s="4"/>
      <c r="I2670" s="10" t="str">
        <f>HYPERLINK("http://twitter.com/download/android","Twitter for Android")</f>
        <v>Twitter for Android</v>
      </c>
      <c r="J2670" s="2">
        <v>103</v>
      </c>
      <c r="K2670" s="2">
        <v>24</v>
      </c>
      <c r="L2670" s="2">
        <v>0</v>
      </c>
      <c r="M2670" s="2"/>
      <c r="N2670" s="8">
        <v>43277.630983796298</v>
      </c>
      <c r="O2670" s="4"/>
      <c r="P2670" s="3" t="s">
        <v>10037</v>
      </c>
      <c r="Q2670" s="4"/>
      <c r="R2670" s="4"/>
      <c r="S2670" s="9" t="str">
        <f>HYPERLINK("https://pbs.twimg.com/profile_images/1011574224820023298/fb0cIfSl.jpg","View")</f>
        <v>View</v>
      </c>
    </row>
    <row r="2671" spans="1:19" ht="30">
      <c r="A2671" s="8">
        <v>43344.607453703706</v>
      </c>
      <c r="B2671" s="11" t="str">
        <f>HYPERLINK("https://twitter.com/HachalHaft","@HachalHaft")</f>
        <v>@HachalHaft</v>
      </c>
      <c r="C2671" s="6" t="s">
        <v>8742</v>
      </c>
      <c r="D2671" s="5" t="s">
        <v>10036</v>
      </c>
      <c r="E2671" s="9" t="str">
        <f>HYPERLINK("https://twitter.com/HachalHaft/status/1035830808370659330","1035830808370659330")</f>
        <v>1035830808370659330</v>
      </c>
      <c r="F2671" s="10" t="s">
        <v>10035</v>
      </c>
      <c r="G2671" s="4"/>
      <c r="H2671" s="4"/>
      <c r="I2671" s="10" t="str">
        <f>HYPERLINK("http://instagram.com","Instagram")</f>
        <v>Instagram</v>
      </c>
      <c r="J2671" s="2">
        <v>578</v>
      </c>
      <c r="K2671" s="2">
        <v>614</v>
      </c>
      <c r="L2671" s="2">
        <v>0</v>
      </c>
      <c r="M2671" s="2"/>
      <c r="N2671" s="8">
        <v>43245.780914351853</v>
      </c>
      <c r="O2671" s="4" t="s">
        <v>8739</v>
      </c>
      <c r="P2671" s="3" t="s">
        <v>10034</v>
      </c>
      <c r="Q2671" s="10" t="s">
        <v>8737</v>
      </c>
      <c r="R2671" s="4"/>
      <c r="S2671" s="9" t="str">
        <f>HYPERLINK("https://pbs.twimg.com/profile_images/1033789475434967040/IGGjEid5.jpg","View")</f>
        <v>View</v>
      </c>
    </row>
    <row r="2672" spans="1:19" ht="40">
      <c r="A2672" s="8">
        <v>43344.606620370367</v>
      </c>
      <c r="B2672" s="11" t="str">
        <f>HYPERLINK("https://twitter.com/D_modaresian","@D_modaresian")</f>
        <v>@D_modaresian</v>
      </c>
      <c r="C2672" s="6" t="s">
        <v>10033</v>
      </c>
      <c r="D2672" s="5" t="s">
        <v>10032</v>
      </c>
      <c r="E2672" s="9" t="str">
        <f>HYPERLINK("https://twitter.com/D_modaresian/status/1035830508964532224","1035830508964532224")</f>
        <v>1035830508964532224</v>
      </c>
      <c r="F2672" s="4"/>
      <c r="G2672" s="10" t="s">
        <v>10031</v>
      </c>
      <c r="H2672" s="4"/>
      <c r="I2672" s="10" t="str">
        <f>HYPERLINK("http://twitter.com/download/android","Twitter for Android")</f>
        <v>Twitter for Android</v>
      </c>
      <c r="J2672" s="2">
        <v>786</v>
      </c>
      <c r="K2672" s="2">
        <v>1353</v>
      </c>
      <c r="L2672" s="2">
        <v>1</v>
      </c>
      <c r="M2672" s="2"/>
      <c r="N2672" s="8">
        <v>43005.849768518514</v>
      </c>
      <c r="O2672" s="4"/>
      <c r="P2672" s="3" t="s">
        <v>10030</v>
      </c>
      <c r="Q2672" s="4"/>
      <c r="R2672" s="4"/>
      <c r="S2672" s="9" t="str">
        <f>HYPERLINK("https://pbs.twimg.com/profile_images/1018497590097334272/L5E2MJpE.jpg","View")</f>
        <v>View</v>
      </c>
    </row>
    <row r="2673" spans="1:19" ht="40">
      <c r="A2673" s="8">
        <v>43344.605856481481</v>
      </c>
      <c r="B2673" s="11" t="str">
        <f>HYPERLINK("https://twitter.com/hadisaame","@hadisaame")</f>
        <v>@hadisaame</v>
      </c>
      <c r="C2673" s="6" t="s">
        <v>6242</v>
      </c>
      <c r="D2673" s="5" t="s">
        <v>10029</v>
      </c>
      <c r="E2673" s="9" t="str">
        <f>HYPERLINK("https://twitter.com/hadisaame/status/1035830229498056704","1035830229498056704")</f>
        <v>1035830229498056704</v>
      </c>
      <c r="F2673" s="4"/>
      <c r="G2673" s="4"/>
      <c r="H2673" s="4"/>
      <c r="I2673" s="10" t="str">
        <f>HYPERLINK("http://twitter.com","Twitter Web Client")</f>
        <v>Twitter Web Client</v>
      </c>
      <c r="J2673" s="2">
        <v>648</v>
      </c>
      <c r="K2673" s="2">
        <v>365</v>
      </c>
      <c r="L2673" s="2">
        <v>9</v>
      </c>
      <c r="M2673" s="2"/>
      <c r="N2673" s="8">
        <v>42875.730694444443</v>
      </c>
      <c r="O2673" s="4"/>
      <c r="P2673" s="3" t="s">
        <v>6239</v>
      </c>
      <c r="Q2673" s="4"/>
      <c r="R2673" s="4"/>
      <c r="S2673" s="9" t="str">
        <f>HYPERLINK("https://pbs.twimg.com/profile_images/865940033144066049/7XjArPNt.jpg","View")</f>
        <v>View</v>
      </c>
    </row>
    <row r="2674" spans="1:19" ht="20">
      <c r="A2674" s="8">
        <v>43344.603055555555</v>
      </c>
      <c r="B2674" s="11" t="str">
        <f>HYPERLINK("https://twitter.com/JazzminutO","@JazzminutO")</f>
        <v>@JazzminutO</v>
      </c>
      <c r="C2674" s="6" t="s">
        <v>10028</v>
      </c>
      <c r="D2674" s="5" t="s">
        <v>10027</v>
      </c>
      <c r="E2674" s="9" t="str">
        <f>HYPERLINK("https://twitter.com/JazzminutO/status/1035829216623910913","1035829216623910913")</f>
        <v>1035829216623910913</v>
      </c>
      <c r="F2674" s="4"/>
      <c r="G2674" s="4"/>
      <c r="H2674" s="4"/>
      <c r="I2674" s="10" t="str">
        <f>HYPERLINK("http://twitter.com/download/android","Twitter for Android")</f>
        <v>Twitter for Android</v>
      </c>
      <c r="J2674" s="2">
        <v>114</v>
      </c>
      <c r="K2674" s="2">
        <v>96</v>
      </c>
      <c r="L2674" s="2">
        <v>0</v>
      </c>
      <c r="M2674" s="2"/>
      <c r="N2674" s="8">
        <v>42483.535173611112</v>
      </c>
      <c r="O2674" s="4"/>
      <c r="P2674" s="3"/>
      <c r="Q2674" s="4"/>
      <c r="R2674" s="4"/>
      <c r="S2674" s="9" t="str">
        <f>HYPERLINK("https://pbs.twimg.com/profile_images/865619482437328896/AtTVSB9j.jpg","View")</f>
        <v>View</v>
      </c>
    </row>
    <row r="2675" spans="1:19" ht="40">
      <c r="A2675" s="8">
        <v>43344.599942129629</v>
      </c>
      <c r="B2675" s="11" t="str">
        <f>HYPERLINK("https://twitter.com/mohammad1908","@mohammad1908")</f>
        <v>@mohammad1908</v>
      </c>
      <c r="C2675" s="6" t="s">
        <v>2549</v>
      </c>
      <c r="D2675" s="5" t="s">
        <v>10026</v>
      </c>
      <c r="E2675" s="9" t="str">
        <f>HYPERLINK("https://twitter.com/mohammad1908/status/1035828085713645568","1035828085713645568")</f>
        <v>1035828085713645568</v>
      </c>
      <c r="F2675" s="4"/>
      <c r="G2675" s="4"/>
      <c r="H2675" s="4"/>
      <c r="I2675" s="10" t="str">
        <f>HYPERLINK("http://twitter.com/download/iphone","Twitter for iPhone")</f>
        <v>Twitter for iPhone</v>
      </c>
      <c r="J2675" s="2">
        <v>90</v>
      </c>
      <c r="K2675" s="2">
        <v>141</v>
      </c>
      <c r="L2675" s="2">
        <v>2</v>
      </c>
      <c r="M2675" s="2"/>
      <c r="N2675" s="8">
        <v>40998.572083333333</v>
      </c>
      <c r="O2675" s="4" t="s">
        <v>34</v>
      </c>
      <c r="P2675" s="3" t="s">
        <v>2547</v>
      </c>
      <c r="Q2675" s="4"/>
      <c r="R2675" s="4"/>
      <c r="S2675" s="9" t="str">
        <f>HYPERLINK("https://pbs.twimg.com/profile_images/698054305706852353/zsvD1zJV.jpg","View")</f>
        <v>View</v>
      </c>
    </row>
    <row r="2676" spans="1:19" ht="20">
      <c r="A2676" s="8">
        <v>43344.598680555559</v>
      </c>
      <c r="B2676" s="11" t="str">
        <f>HYPERLINK("https://twitter.com/Javadrahimi123","@Javadrahimi123")</f>
        <v>@Javadrahimi123</v>
      </c>
      <c r="C2676" s="6" t="s">
        <v>6813</v>
      </c>
      <c r="D2676" s="5" t="s">
        <v>10025</v>
      </c>
      <c r="E2676" s="9" t="str">
        <f>HYPERLINK("https://twitter.com/Javadrahimi123/status/1035827629755166720","1035827629755166720")</f>
        <v>1035827629755166720</v>
      </c>
      <c r="F2676" s="4"/>
      <c r="G2676" s="4"/>
      <c r="H2676" s="4"/>
      <c r="I2676" s="10" t="str">
        <f>HYPERLINK("https://mobile.twitter.com","Twitter Lite")</f>
        <v>Twitter Lite</v>
      </c>
      <c r="J2676" s="2">
        <v>0</v>
      </c>
      <c r="K2676" s="2">
        <v>6</v>
      </c>
      <c r="L2676" s="2">
        <v>0</v>
      </c>
      <c r="M2676" s="2"/>
      <c r="N2676" s="8">
        <v>43340.648541666669</v>
      </c>
      <c r="O2676" s="4"/>
      <c r="P2676" s="3"/>
      <c r="Q2676" s="4"/>
      <c r="R2676" s="4"/>
      <c r="S2676" s="9" t="str">
        <f>HYPERLINK("https://pbs.twimg.com/profile_images/1034648705603915778/-48-rHy6.jpg","View")</f>
        <v>View</v>
      </c>
    </row>
    <row r="2677" spans="1:19" ht="30">
      <c r="A2677" s="8">
        <v>43344.597719907411</v>
      </c>
      <c r="B2677" s="11" t="str">
        <f>HYPERLINK("https://twitter.com/AliRad000","@AliRad000")</f>
        <v>@AliRad000</v>
      </c>
      <c r="C2677" s="6" t="s">
        <v>9509</v>
      </c>
      <c r="D2677" s="5" t="s">
        <v>10024</v>
      </c>
      <c r="E2677" s="9" t="str">
        <f>HYPERLINK("https://twitter.com/AliRad000/status/1035827280340312064","1035827280340312064")</f>
        <v>1035827280340312064</v>
      </c>
      <c r="F2677" s="4"/>
      <c r="G2677" s="4"/>
      <c r="H2677" s="4"/>
      <c r="I2677" s="10" t="str">
        <f>HYPERLINK("http://twitter.com/download/android","Twitter for Android")</f>
        <v>Twitter for Android</v>
      </c>
      <c r="J2677" s="2">
        <v>13</v>
      </c>
      <c r="K2677" s="2">
        <v>71</v>
      </c>
      <c r="L2677" s="2">
        <v>0</v>
      </c>
      <c r="M2677" s="2"/>
      <c r="N2677" s="8">
        <v>43337.954409722224</v>
      </c>
      <c r="O2677" s="4"/>
      <c r="P2677" s="3"/>
      <c r="Q2677" s="4"/>
      <c r="R2677" s="4"/>
      <c r="S2677" s="9" t="str">
        <f>HYPERLINK("https://pbs.twimg.com/profile_images/1033651328982179841/PorrNMPJ.jpg","View")</f>
        <v>View</v>
      </c>
    </row>
    <row r="2678" spans="1:19" ht="20">
      <c r="A2678" s="8">
        <v>43344.591238425928</v>
      </c>
      <c r="B2678" s="11" t="str">
        <f>HYPERLINK("https://twitter.com/darhambaaf","@darhambaaf")</f>
        <v>@darhambaaf</v>
      </c>
      <c r="C2678" s="6" t="s">
        <v>10023</v>
      </c>
      <c r="D2678" s="5" t="s">
        <v>10022</v>
      </c>
      <c r="E2678" s="9" t="str">
        <f>HYPERLINK("https://twitter.com/darhambaaf/status/1035824934600237056","1035824934600237056")</f>
        <v>1035824934600237056</v>
      </c>
      <c r="F2678" s="4"/>
      <c r="G2678" s="4"/>
      <c r="H2678" s="4"/>
      <c r="I2678" s="10" t="str">
        <f>HYPERLINK("http://twitter.com/download/android","Twitter for Android")</f>
        <v>Twitter for Android</v>
      </c>
      <c r="J2678" s="2">
        <v>871</v>
      </c>
      <c r="K2678" s="2">
        <v>872</v>
      </c>
      <c r="L2678" s="2">
        <v>2</v>
      </c>
      <c r="M2678" s="2"/>
      <c r="N2678" s="8">
        <v>42916.911770833336</v>
      </c>
      <c r="O2678" s="4" t="s">
        <v>34</v>
      </c>
      <c r="P2678" s="3" t="s">
        <v>10021</v>
      </c>
      <c r="Q2678" s="4"/>
      <c r="R2678" s="4"/>
      <c r="S2678" s="9" t="str">
        <f>HYPERLINK("https://pbs.twimg.com/profile_images/1012749882925420544/JjnNXn99.jpg","View")</f>
        <v>View</v>
      </c>
    </row>
    <row r="2679" spans="1:19" ht="30">
      <c r="A2679" s="8">
        <v>43344.58829861111</v>
      </c>
      <c r="B2679" s="11" t="str">
        <f>HYPERLINK("https://twitter.com/Shahrok49919799","@Shahrok49919799")</f>
        <v>@Shahrok49919799</v>
      </c>
      <c r="C2679" s="6" t="s">
        <v>5481</v>
      </c>
      <c r="D2679" s="5" t="s">
        <v>10020</v>
      </c>
      <c r="E2679" s="9" t="str">
        <f>HYPERLINK("https://twitter.com/Shahrok49919799/status/1035823869817507847","1035823869817507847")</f>
        <v>1035823869817507847</v>
      </c>
      <c r="F2679" s="4"/>
      <c r="G2679" s="4"/>
      <c r="H2679" s="4"/>
      <c r="I2679" s="10" t="str">
        <f>HYPERLINK("http://twitter.com/download/iphone","Twitter for iPhone")</f>
        <v>Twitter for iPhone</v>
      </c>
      <c r="J2679" s="2">
        <v>465</v>
      </c>
      <c r="K2679" s="2">
        <v>805</v>
      </c>
      <c r="L2679" s="2">
        <v>0</v>
      </c>
      <c r="M2679" s="2"/>
      <c r="N2679" s="8">
        <v>42744.015150462961</v>
      </c>
      <c r="O2679" s="4" t="s">
        <v>34</v>
      </c>
      <c r="P2679" s="3" t="s">
        <v>5479</v>
      </c>
      <c r="Q2679" s="4"/>
      <c r="R2679" s="4"/>
      <c r="S2679" s="9" t="str">
        <f>HYPERLINK("https://pbs.twimg.com/profile_images/1035377911619117061/Nbf8SKUk.jpg","View")</f>
        <v>View</v>
      </c>
    </row>
    <row r="2680" spans="1:19" ht="20">
      <c r="A2680" s="8">
        <v>43344.585405092592</v>
      </c>
      <c r="B2680" s="11" t="str">
        <f>HYPERLINK("https://twitter.com/simorgh_125","@simorgh_125")</f>
        <v>@simorgh_125</v>
      </c>
      <c r="C2680" s="6" t="s">
        <v>10019</v>
      </c>
      <c r="D2680" s="5" t="s">
        <v>10018</v>
      </c>
      <c r="E2680" s="9" t="str">
        <f>HYPERLINK("https://twitter.com/simorgh_125/status/1035822821212123136","1035822821212123136")</f>
        <v>1035822821212123136</v>
      </c>
      <c r="F2680" s="4"/>
      <c r="G2680" s="4"/>
      <c r="H2680" s="4"/>
      <c r="I2680" s="10" t="str">
        <f>HYPERLINK("http://twitter.com/download/android","Twitter for Android")</f>
        <v>Twitter for Android</v>
      </c>
      <c r="J2680" s="2">
        <v>3</v>
      </c>
      <c r="K2680" s="2">
        <v>11</v>
      </c>
      <c r="L2680" s="2">
        <v>0</v>
      </c>
      <c r="M2680" s="2"/>
      <c r="N2680" s="8">
        <v>43248.368993055556</v>
      </c>
      <c r="O2680" s="4"/>
      <c r="P2680" s="3" t="s">
        <v>10017</v>
      </c>
      <c r="Q2680" s="4"/>
      <c r="R2680" s="4"/>
      <c r="S2680" s="9" t="str">
        <f>HYPERLINK("https://pbs.twimg.com/profile_images/1000961543784280064/kgaxsR-M.jpg","View")</f>
        <v>View</v>
      </c>
    </row>
    <row r="2681" spans="1:19" ht="20">
      <c r="A2681" s="8">
        <v>43344.583506944444</v>
      </c>
      <c r="B2681" s="11" t="str">
        <f>HYPERLINK("https://twitter.com/jaaardotcom","@jaaardotcom")</f>
        <v>@jaaardotcom</v>
      </c>
      <c r="C2681" s="6" t="s">
        <v>6537</v>
      </c>
      <c r="D2681" s="5" t="s">
        <v>10016</v>
      </c>
      <c r="E2681" s="9" t="str">
        <f>HYPERLINK("https://twitter.com/jaaardotcom/status/1035822132880723968","1035822132880723968")</f>
        <v>1035822132880723968</v>
      </c>
      <c r="F2681" s="4"/>
      <c r="G2681" s="10" t="s">
        <v>10015</v>
      </c>
      <c r="H2681" s="4"/>
      <c r="I2681" s="10" t="str">
        <f>HYPERLINK("https://buffer.com","Buffer")</f>
        <v>Buffer</v>
      </c>
      <c r="J2681" s="2">
        <v>22547</v>
      </c>
      <c r="K2681" s="2">
        <v>202</v>
      </c>
      <c r="L2681" s="2">
        <v>86</v>
      </c>
      <c r="M2681" s="2"/>
      <c r="N2681" s="8">
        <v>40893.423807870371</v>
      </c>
      <c r="O2681" s="4" t="s">
        <v>133</v>
      </c>
      <c r="P2681" s="3" t="s">
        <v>6534</v>
      </c>
      <c r="Q2681" s="10" t="s">
        <v>6533</v>
      </c>
      <c r="R2681" s="4"/>
      <c r="S2681" s="9" t="str">
        <f>HYPERLINK("https://pbs.twimg.com/profile_images/1020564746473525250/XzyzGGfn.jpg","View")</f>
        <v>View</v>
      </c>
    </row>
    <row r="2682" spans="1:19" ht="40">
      <c r="A2682" s="8">
        <v>43344.581458333334</v>
      </c>
      <c r="B2682" s="11" t="str">
        <f>HYPERLINK("https://twitter.com/eghtesadonline","@eghtesadonline")</f>
        <v>@eghtesadonline</v>
      </c>
      <c r="C2682" s="6" t="s">
        <v>5935</v>
      </c>
      <c r="D2682" s="5" t="s">
        <v>10014</v>
      </c>
      <c r="E2682" s="9" t="str">
        <f>HYPERLINK("https://twitter.com/eghtesadonline/status/1035821391403212801","1035821391403212801")</f>
        <v>1035821391403212801</v>
      </c>
      <c r="F2682" s="4"/>
      <c r="G2682" s="4"/>
      <c r="H2682" s="4"/>
      <c r="I2682" s="10" t="str">
        <f>HYPERLINK("http://twitter.com","Twitter Web Client")</f>
        <v>Twitter Web Client</v>
      </c>
      <c r="J2682" s="2">
        <v>2091</v>
      </c>
      <c r="K2682" s="2">
        <v>7</v>
      </c>
      <c r="L2682" s="2">
        <v>42</v>
      </c>
      <c r="M2682" s="2"/>
      <c r="N2682" s="8">
        <v>41595.377060185187</v>
      </c>
      <c r="O2682" s="4" t="s">
        <v>17</v>
      </c>
      <c r="P2682" s="3" t="s">
        <v>5933</v>
      </c>
      <c r="Q2682" s="10" t="s">
        <v>5932</v>
      </c>
      <c r="R2682" s="4"/>
      <c r="S2682" s="9" t="str">
        <f>HYPERLINK("https://pbs.twimg.com/profile_images/1034350708475224064/4dNqWRJC.jpg","View")</f>
        <v>View</v>
      </c>
    </row>
    <row r="2683" spans="1:19" ht="40">
      <c r="A2683" s="8">
        <v>43344.581423611111</v>
      </c>
      <c r="B2683" s="11" t="str">
        <f>HYPERLINK("https://twitter.com/FarzanArmiya","@FarzanArmiya")</f>
        <v>@FarzanArmiya</v>
      </c>
      <c r="C2683" s="6" t="s">
        <v>8529</v>
      </c>
      <c r="D2683" s="5" t="s">
        <v>10013</v>
      </c>
      <c r="E2683" s="9" t="str">
        <f>HYPERLINK("https://twitter.com/FarzanArmiya/status/1035821374801989632","1035821374801989632")</f>
        <v>1035821374801989632</v>
      </c>
      <c r="F2683" s="4"/>
      <c r="G2683" s="10" t="s">
        <v>10012</v>
      </c>
      <c r="H2683" s="4"/>
      <c r="I2683" s="10" t="str">
        <f>HYPERLINK("http://twitter.com","Twitter Web Client")</f>
        <v>Twitter Web Client</v>
      </c>
      <c r="J2683" s="2">
        <v>82</v>
      </c>
      <c r="K2683" s="2">
        <v>258</v>
      </c>
      <c r="L2683" s="2">
        <v>0</v>
      </c>
      <c r="M2683" s="2"/>
      <c r="N2683" s="8">
        <v>43078.387731481482</v>
      </c>
      <c r="O2683" s="4"/>
      <c r="P2683" s="3" t="s">
        <v>8527</v>
      </c>
      <c r="Q2683" s="4"/>
      <c r="R2683" s="4"/>
      <c r="S2683" s="9" t="str">
        <f>HYPERLINK("https://pbs.twimg.com/profile_images/996663527405338624/lH6PTAOG.jpg","View")</f>
        <v>View</v>
      </c>
    </row>
    <row r="2684" spans="1:19" ht="20">
      <c r="A2684" s="8">
        <v>43344.580949074079</v>
      </c>
      <c r="B2684" s="11" t="str">
        <f>HYPERLINK("https://twitter.com/ali_yasami","@ali_yasami")</f>
        <v>@ali_yasami</v>
      </c>
      <c r="C2684" s="6" t="s">
        <v>10011</v>
      </c>
      <c r="D2684" s="5" t="s">
        <v>10010</v>
      </c>
      <c r="E2684" s="9" t="str">
        <f>HYPERLINK("https://twitter.com/ali_yasami/status/1035821204899282944","1035821204899282944")</f>
        <v>1035821204899282944</v>
      </c>
      <c r="F2684" s="4"/>
      <c r="G2684" s="4"/>
      <c r="H2684" s="4"/>
      <c r="I2684" s="10" t="str">
        <f>HYPERLINK("http://twitter.com/download/android","Twitter for Android")</f>
        <v>Twitter for Android</v>
      </c>
      <c r="J2684" s="2">
        <v>460</v>
      </c>
      <c r="K2684" s="2">
        <v>679</v>
      </c>
      <c r="L2684" s="2">
        <v>0</v>
      </c>
      <c r="M2684" s="2"/>
      <c r="N2684" s="8">
        <v>42849.13899305556</v>
      </c>
      <c r="O2684" s="4" t="s">
        <v>10009</v>
      </c>
      <c r="P2684" s="3" t="s">
        <v>10008</v>
      </c>
      <c r="Q2684" s="10" t="s">
        <v>10007</v>
      </c>
      <c r="R2684" s="4"/>
      <c r="S2684" s="9" t="str">
        <f>HYPERLINK("https://pbs.twimg.com/profile_images/856341772020191234/IboWwPD8.jpg","View")</f>
        <v>View</v>
      </c>
    </row>
    <row r="2685" spans="1:19" ht="20">
      <c r="A2685" s="8">
        <v>43344.574884259258</v>
      </c>
      <c r="B2685" s="11" t="str">
        <f>HYPERLINK("https://twitter.com/nahiiiiiiiiiid","@nahiiiiiiiiiid")</f>
        <v>@nahiiiiiiiiiid</v>
      </c>
      <c r="C2685" s="6" t="s">
        <v>10006</v>
      </c>
      <c r="D2685" s="5" t="s">
        <v>10005</v>
      </c>
      <c r="E2685" s="9" t="str">
        <f>HYPERLINK("https://twitter.com/nahiiiiiiiiiid/status/1035819007532781569","1035819007532781569")</f>
        <v>1035819007532781569</v>
      </c>
      <c r="F2685" s="4"/>
      <c r="G2685" s="4"/>
      <c r="H2685" s="4"/>
      <c r="I2685" s="10" t="str">
        <f>HYPERLINK("http://twitter.com/download/android","Twitter for Android")</f>
        <v>Twitter for Android</v>
      </c>
      <c r="J2685" s="2">
        <v>1162</v>
      </c>
      <c r="K2685" s="2">
        <v>296</v>
      </c>
      <c r="L2685" s="2">
        <v>13</v>
      </c>
      <c r="M2685" s="2"/>
      <c r="N2685" s="8">
        <v>41601.05505787037</v>
      </c>
      <c r="O2685" s="4"/>
      <c r="P2685" s="3" t="s">
        <v>10004</v>
      </c>
      <c r="Q2685" s="4"/>
      <c r="R2685" s="4"/>
      <c r="S2685" s="9" t="str">
        <f>HYPERLINK("https://pbs.twimg.com/profile_images/1010293245568528384/9yGK3-bL.jpg","View")</f>
        <v>View</v>
      </c>
    </row>
    <row r="2686" spans="1:19" ht="20">
      <c r="A2686" s="8">
        <v>43344.569374999999</v>
      </c>
      <c r="B2686" s="11" t="str">
        <f>HYPERLINK("https://twitter.com/MFamilian","@MFamilian")</f>
        <v>@MFamilian</v>
      </c>
      <c r="C2686" s="6" t="s">
        <v>10003</v>
      </c>
      <c r="D2686" s="5" t="s">
        <v>10002</v>
      </c>
      <c r="E2686" s="9" t="str">
        <f>HYPERLINK("https://twitter.com/MFamilian/status/1035817009769066496","1035817009769066496")</f>
        <v>1035817009769066496</v>
      </c>
      <c r="F2686" s="4"/>
      <c r="G2686" s="10" t="s">
        <v>10001</v>
      </c>
      <c r="H2686" s="4"/>
      <c r="I2686" s="10" t="str">
        <f>HYPERLINK("http://twitter.com/download/android","Twitter for Android")</f>
        <v>Twitter for Android</v>
      </c>
      <c r="J2686" s="2">
        <v>1163</v>
      </c>
      <c r="K2686" s="2">
        <v>281</v>
      </c>
      <c r="L2686" s="2">
        <v>7</v>
      </c>
      <c r="M2686" s="2"/>
      <c r="N2686" s="8">
        <v>41978.47174768518</v>
      </c>
      <c r="O2686" s="4" t="s">
        <v>10000</v>
      </c>
      <c r="P2686" s="3" t="s">
        <v>9999</v>
      </c>
      <c r="Q2686" s="10" t="s">
        <v>9998</v>
      </c>
      <c r="R2686" s="4"/>
      <c r="S2686" s="9" t="str">
        <f>HYPERLINK("https://pbs.twimg.com/profile_images/989244325790920704/4sOeqt_M.jpg","View")</f>
        <v>View</v>
      </c>
    </row>
    <row r="2687" spans="1:19" ht="40">
      <c r="A2687" s="8">
        <v>43344.568865740745</v>
      </c>
      <c r="B2687" s="11" t="str">
        <f>HYPERLINK("https://twitter.com/Far_naz64","@Far_naz64")</f>
        <v>@Far_naz64</v>
      </c>
      <c r="C2687" s="6" t="s">
        <v>1322</v>
      </c>
      <c r="D2687" s="5" t="s">
        <v>9997</v>
      </c>
      <c r="E2687" s="9" t="str">
        <f>HYPERLINK("https://twitter.com/Far_naz64/status/1035816827128082433","1035816827128082433")</f>
        <v>1035816827128082433</v>
      </c>
      <c r="F2687" s="4"/>
      <c r="G2687" s="4"/>
      <c r="H2687" s="4"/>
      <c r="I2687" s="10" t="str">
        <f>HYPERLINK("http://twitter.com/download/iphone","Twitter for iPhone")</f>
        <v>Twitter for iPhone</v>
      </c>
      <c r="J2687" s="2">
        <v>11747</v>
      </c>
      <c r="K2687" s="2">
        <v>8528</v>
      </c>
      <c r="L2687" s="2">
        <v>63</v>
      </c>
      <c r="M2687" s="2"/>
      <c r="N2687" s="8">
        <v>40598.671585648146</v>
      </c>
      <c r="O2687" s="4" t="s">
        <v>1319</v>
      </c>
      <c r="P2687" s="3" t="s">
        <v>1318</v>
      </c>
      <c r="Q2687" s="10" t="s">
        <v>1317</v>
      </c>
      <c r="R2687" s="4"/>
      <c r="S2687" s="9" t="str">
        <f>HYPERLINK("https://pbs.twimg.com/profile_images/1033840036318519298/u-0VPeXa.jpg","View")</f>
        <v>View</v>
      </c>
    </row>
    <row r="2688" spans="1:19" ht="40">
      <c r="A2688" s="8">
        <v>43344.568773148145</v>
      </c>
      <c r="B2688" s="11" t="str">
        <f>HYPERLINK("https://twitter.com/AbbasRezaeiS","@AbbasRezaeiS")</f>
        <v>@AbbasRezaeiS</v>
      </c>
      <c r="C2688" s="6" t="s">
        <v>7530</v>
      </c>
      <c r="D2688" s="5" t="s">
        <v>9996</v>
      </c>
      <c r="E2688" s="9" t="str">
        <f>HYPERLINK("https://twitter.com/AbbasRezaeiS/status/1035816790331412480","1035816790331412480")</f>
        <v>1035816790331412480</v>
      </c>
      <c r="F2688" s="4"/>
      <c r="G2688" s="4"/>
      <c r="H2688" s="4"/>
      <c r="I2688" s="10" t="str">
        <f>HYPERLINK("http://twitter.com","Twitter Web Client")</f>
        <v>Twitter Web Client</v>
      </c>
      <c r="J2688" s="2">
        <v>382</v>
      </c>
      <c r="K2688" s="2">
        <v>382</v>
      </c>
      <c r="L2688" s="2">
        <v>6</v>
      </c>
      <c r="M2688" s="2"/>
      <c r="N2688" s="8">
        <v>39931.762569444443</v>
      </c>
      <c r="O2688" s="4" t="s">
        <v>894</v>
      </c>
      <c r="P2688" s="3" t="s">
        <v>7528</v>
      </c>
      <c r="Q2688" s="10" t="s">
        <v>7527</v>
      </c>
      <c r="R2688" s="4"/>
      <c r="S2688" s="9" t="str">
        <f>HYPERLINK("https://pbs.twimg.com/profile_images/876482411772727296/7WgniTnO.jpg","View")</f>
        <v>View</v>
      </c>
    </row>
    <row r="2689" spans="1:19" ht="20">
      <c r="A2689" s="8">
        <v>43344.560590277775</v>
      </c>
      <c r="B2689" s="11" t="str">
        <f>HYPERLINK("https://twitter.com/edalat313","@edalat313")</f>
        <v>@edalat313</v>
      </c>
      <c r="C2689" s="6" t="s">
        <v>373</v>
      </c>
      <c r="D2689" s="5" t="s">
        <v>9995</v>
      </c>
      <c r="E2689" s="9" t="str">
        <f>HYPERLINK("https://twitter.com/edalat313/status/1035813826640404480","1035813826640404480")</f>
        <v>1035813826640404480</v>
      </c>
      <c r="F2689" s="4"/>
      <c r="G2689" s="10" t="s">
        <v>9994</v>
      </c>
      <c r="H2689" s="4"/>
      <c r="I2689" s="10" t="str">
        <f>HYPERLINK("http://twitter.com/download/android","Twitter for Android")</f>
        <v>Twitter for Android</v>
      </c>
      <c r="J2689" s="2">
        <v>677</v>
      </c>
      <c r="K2689" s="2">
        <v>536</v>
      </c>
      <c r="L2689" s="2">
        <v>4</v>
      </c>
      <c r="M2689" s="2"/>
      <c r="N2689" s="8">
        <v>42902.21837962963</v>
      </c>
      <c r="O2689" s="4" t="s">
        <v>370</v>
      </c>
      <c r="P2689" s="3" t="s">
        <v>369</v>
      </c>
      <c r="Q2689" s="4"/>
      <c r="R2689" s="4"/>
      <c r="S2689" s="9" t="str">
        <f>HYPERLINK("https://pbs.twimg.com/profile_images/876595734983966720/7MSnG3D_.jpg","View")</f>
        <v>View</v>
      </c>
    </row>
    <row r="2690" spans="1:19" ht="20">
      <c r="A2690" s="8">
        <v>43344.557743055557</v>
      </c>
      <c r="B2690" s="11" t="str">
        <f>HYPERLINK("https://twitter.com/Azadmher","@Azadmher")</f>
        <v>@Azadmher</v>
      </c>
      <c r="C2690" s="6" t="s">
        <v>9993</v>
      </c>
      <c r="D2690" s="5" t="s">
        <v>9992</v>
      </c>
      <c r="E2690" s="9" t="str">
        <f>HYPERLINK("https://twitter.com/Azadmher/status/1035812793151369216","1035812793151369216")</f>
        <v>1035812793151369216</v>
      </c>
      <c r="F2690" s="4"/>
      <c r="G2690" s="10" t="s">
        <v>9991</v>
      </c>
      <c r="H2690" s="4"/>
      <c r="I2690" s="10" t="str">
        <f>HYPERLINK("http://twitter.com/download/android","Twitter for Android")</f>
        <v>Twitter for Android</v>
      </c>
      <c r="J2690" s="2">
        <v>72</v>
      </c>
      <c r="K2690" s="2">
        <v>80</v>
      </c>
      <c r="L2690" s="2">
        <v>0</v>
      </c>
      <c r="M2690" s="2"/>
      <c r="N2690" s="8">
        <v>43303.591041666667</v>
      </c>
      <c r="O2690" s="4"/>
      <c r="P2690" s="3"/>
      <c r="Q2690" s="4"/>
      <c r="R2690" s="4"/>
      <c r="S2690" s="9" t="str">
        <f>HYPERLINK("https://pbs.twimg.com/profile_images/1030382750996602881/dztOX7qz.jpg","View")</f>
        <v>View</v>
      </c>
    </row>
    <row r="2691" spans="1:19" ht="40">
      <c r="A2691" s="8">
        <v>43344.557650462964</v>
      </c>
      <c r="B2691" s="11" t="str">
        <f>HYPERLINK("https://twitter.com/mojtaba_bajelan","@mojtaba_bajelan")</f>
        <v>@mojtaba_bajelan</v>
      </c>
      <c r="C2691" s="6" t="s">
        <v>9990</v>
      </c>
      <c r="D2691" s="5" t="s">
        <v>9989</v>
      </c>
      <c r="E2691" s="9" t="str">
        <f>HYPERLINK("https://twitter.com/mojtaba_bajelan/status/1035812760381210624","1035812760381210624")</f>
        <v>1035812760381210624</v>
      </c>
      <c r="F2691" s="4"/>
      <c r="G2691" s="4"/>
      <c r="H2691" s="4"/>
      <c r="I2691" s="10" t="str">
        <f>HYPERLINK("http://twitter.com","Twitter Web Client")</f>
        <v>Twitter Web Client</v>
      </c>
      <c r="J2691" s="2">
        <v>1763</v>
      </c>
      <c r="K2691" s="2">
        <v>2704</v>
      </c>
      <c r="L2691" s="2">
        <v>5</v>
      </c>
      <c r="M2691" s="2"/>
      <c r="N2691" s="8">
        <v>42780.722673611112</v>
      </c>
      <c r="O2691" s="4" t="s">
        <v>34</v>
      </c>
      <c r="P2691" s="3" t="s">
        <v>9988</v>
      </c>
      <c r="Q2691" s="10" t="s">
        <v>9987</v>
      </c>
      <c r="R2691" s="4"/>
      <c r="S2691" s="9" t="str">
        <f>HYPERLINK("https://pbs.twimg.com/profile_images/1000697045857038337/VhKv1zjg.jpg","View")</f>
        <v>View</v>
      </c>
    </row>
    <row r="2692" spans="1:19" ht="20">
      <c r="A2692" s="8">
        <v>43344.555219907408</v>
      </c>
      <c r="B2692" s="11" t="str">
        <f>HYPERLINK("https://twitter.com/azizi80alire","@azizi80alire")</f>
        <v>@azizi80alire</v>
      </c>
      <c r="C2692" s="6" t="s">
        <v>9986</v>
      </c>
      <c r="D2692" s="5" t="s">
        <v>9985</v>
      </c>
      <c r="E2692" s="9" t="str">
        <f>HYPERLINK("https://twitter.com/azizi80alire/status/1035811879128653824","1035811879128653824")</f>
        <v>1035811879128653824</v>
      </c>
      <c r="F2692" s="4"/>
      <c r="G2692" s="10" t="s">
        <v>9984</v>
      </c>
      <c r="H2692" s="4"/>
      <c r="I2692" s="10" t="str">
        <f>HYPERLINK("http://twitter.com/download/android","Twitter for Android")</f>
        <v>Twitter for Android</v>
      </c>
      <c r="J2692" s="2">
        <v>369</v>
      </c>
      <c r="K2692" s="2">
        <v>501</v>
      </c>
      <c r="L2692" s="2">
        <v>0</v>
      </c>
      <c r="M2692" s="2"/>
      <c r="N2692" s="8">
        <v>42096.012106481481</v>
      </c>
      <c r="O2692" s="4" t="s">
        <v>17</v>
      </c>
      <c r="P2692" s="3" t="s">
        <v>9983</v>
      </c>
      <c r="Q2692" s="4"/>
      <c r="R2692" s="4"/>
      <c r="S2692" s="9" t="str">
        <f>HYPERLINK("https://pbs.twimg.com/profile_images/1034047284818964480/yKG5kM-t.jpg","View")</f>
        <v>View</v>
      </c>
    </row>
    <row r="2693" spans="1:19" ht="20">
      <c r="A2693" s="8">
        <v>43344.554293981477</v>
      </c>
      <c r="B2693" s="11" t="str">
        <f>HYPERLINK("https://twitter.com/Miladhsni","@Miladhsni")</f>
        <v>@Miladhsni</v>
      </c>
      <c r="C2693" s="6" t="s">
        <v>8935</v>
      </c>
      <c r="D2693" s="5" t="s">
        <v>9982</v>
      </c>
      <c r="E2693" s="9" t="str">
        <f>HYPERLINK("https://twitter.com/Miladhsni/status/1035811545308192768","1035811545308192768")</f>
        <v>1035811545308192768</v>
      </c>
      <c r="F2693" s="4"/>
      <c r="G2693" s="4"/>
      <c r="H2693" s="4"/>
      <c r="I2693" s="10" t="str">
        <f>HYPERLINK("http://twitter.com/download/android","Twitter for Android")</f>
        <v>Twitter for Android</v>
      </c>
      <c r="J2693" s="2">
        <v>1495</v>
      </c>
      <c r="K2693" s="2">
        <v>1380</v>
      </c>
      <c r="L2693" s="2">
        <v>3</v>
      </c>
      <c r="M2693" s="2"/>
      <c r="N2693" s="8">
        <v>43172.47456018519</v>
      </c>
      <c r="O2693" s="4"/>
      <c r="P2693" s="3" t="s">
        <v>9981</v>
      </c>
      <c r="Q2693" s="4"/>
      <c r="R2693" s="4"/>
      <c r="S2693" s="9" t="str">
        <f>HYPERLINK("https://pbs.twimg.com/profile_images/1034515087808233472/4puDLZnR.jpg","View")</f>
        <v>View</v>
      </c>
    </row>
    <row r="2694" spans="1:19" ht="40">
      <c r="A2694" s="8">
        <v>43344.553923611107</v>
      </c>
      <c r="B2694" s="11" t="str">
        <f>HYPERLINK("https://twitter.com/Tasnimnews_Fa","@Tasnimnews_Fa")</f>
        <v>@Tasnimnews_Fa</v>
      </c>
      <c r="C2694" s="6" t="s">
        <v>603</v>
      </c>
      <c r="D2694" s="5" t="s">
        <v>9980</v>
      </c>
      <c r="E2694" s="9" t="str">
        <f>HYPERLINK("https://twitter.com/Tasnimnews_Fa/status/1035811410536738816","1035811410536738816")</f>
        <v>1035811410536738816</v>
      </c>
      <c r="F2694" s="10" t="s">
        <v>9979</v>
      </c>
      <c r="G2694" s="10" t="s">
        <v>9978</v>
      </c>
      <c r="H2694" s="4"/>
      <c r="I2694" s="10" t="str">
        <f>HYPERLINK("http://twitter.com","Twitter Web Client")</f>
        <v>Twitter Web Client</v>
      </c>
      <c r="J2694" s="2">
        <v>109535</v>
      </c>
      <c r="K2694" s="2">
        <v>20</v>
      </c>
      <c r="L2694" s="2">
        <v>376</v>
      </c>
      <c r="M2694" s="2" t="s">
        <v>80</v>
      </c>
      <c r="N2694" s="8">
        <v>41868.671585648146</v>
      </c>
      <c r="O2694" s="4" t="s">
        <v>133</v>
      </c>
      <c r="P2694" s="3" t="s">
        <v>599</v>
      </c>
      <c r="Q2694" s="10" t="s">
        <v>598</v>
      </c>
      <c r="R2694" s="4"/>
      <c r="S2694" s="9" t="str">
        <f>HYPERLINK("https://pbs.twimg.com/profile_images/942003149430239232/hvLw_1_E.jpg","View")</f>
        <v>View</v>
      </c>
    </row>
    <row r="2695" spans="1:19" ht="30">
      <c r="A2695" s="8">
        <v>43344.553379629629</v>
      </c>
      <c r="B2695" s="11" t="str">
        <f>HYPERLINK("https://twitter.com/abbasimaisam","@abbasimaisam")</f>
        <v>@abbasimaisam</v>
      </c>
      <c r="C2695" s="6" t="s">
        <v>9977</v>
      </c>
      <c r="D2695" s="5" t="s">
        <v>9976</v>
      </c>
      <c r="E2695" s="9" t="str">
        <f>HYPERLINK("https://twitter.com/abbasimaisam/status/1035811214868316160","1035811214868316160")</f>
        <v>1035811214868316160</v>
      </c>
      <c r="F2695" s="4"/>
      <c r="G2695" s="4"/>
      <c r="H2695" s="4"/>
      <c r="I2695" s="10" t="str">
        <f>HYPERLINK("http://twitter.com/download/iphone","Twitter for iPhone")</f>
        <v>Twitter for iPhone</v>
      </c>
      <c r="J2695" s="2">
        <v>46</v>
      </c>
      <c r="K2695" s="2">
        <v>191</v>
      </c>
      <c r="L2695" s="2">
        <v>0</v>
      </c>
      <c r="M2695" s="2"/>
      <c r="N2695" s="8">
        <v>43052.985972222217</v>
      </c>
      <c r="O2695" s="4" t="s">
        <v>34</v>
      </c>
      <c r="P2695" s="3"/>
      <c r="Q2695" s="4"/>
      <c r="R2695" s="4"/>
      <c r="S2695" s="9" t="str">
        <f>HYPERLINK("https://pbs.twimg.com/profile_images/1001906709420478464/aPAluq-J.jpg","View")</f>
        <v>View</v>
      </c>
    </row>
    <row r="2696" spans="1:19" ht="30">
      <c r="A2696" s="8">
        <v>43344.552800925929</v>
      </c>
      <c r="B2696" s="11" t="str">
        <f>HYPERLINK("https://twitter.com/PDNewsfa","@PDNewsfa")</f>
        <v>@PDNewsfa</v>
      </c>
      <c r="C2696" s="6" t="s">
        <v>9975</v>
      </c>
      <c r="D2696" s="5" t="s">
        <v>9974</v>
      </c>
      <c r="E2696" s="9" t="str">
        <f>HYPERLINK("https://twitter.com/PDNewsfa/status/1035811002380693505","1035811002380693505")</f>
        <v>1035811002380693505</v>
      </c>
      <c r="F2696" s="10" t="s">
        <v>9973</v>
      </c>
      <c r="G2696" s="4"/>
      <c r="H2696" s="4"/>
      <c r="I2696" s="10" t="str">
        <f>HYPERLINK("http://twitter.com","Twitter Web Client")</f>
        <v>Twitter Web Client</v>
      </c>
      <c r="J2696" s="2">
        <v>83</v>
      </c>
      <c r="K2696" s="2">
        <v>816</v>
      </c>
      <c r="L2696" s="2">
        <v>0</v>
      </c>
      <c r="M2696" s="2"/>
      <c r="N2696" s="8">
        <v>43278.669618055559</v>
      </c>
      <c r="O2696" s="4" t="s">
        <v>17</v>
      </c>
      <c r="P2696" s="3" t="s">
        <v>9972</v>
      </c>
      <c r="Q2696" s="10" t="s">
        <v>9971</v>
      </c>
      <c r="R2696" s="4"/>
      <c r="S2696" s="9" t="str">
        <f>HYPERLINK("https://pbs.twimg.com/profile_images/1011939676897398784/fkA_7JW4.jpg","View")</f>
        <v>View</v>
      </c>
    </row>
    <row r="2697" spans="1:19" ht="40">
      <c r="A2697" s="8">
        <v>43344.552557870367</v>
      </c>
      <c r="B2697" s="11" t="str">
        <f>HYPERLINK("https://twitter.com/omid_keshtkar","@omid_keshtkar")</f>
        <v>@omid_keshtkar</v>
      </c>
      <c r="C2697" s="6" t="s">
        <v>9970</v>
      </c>
      <c r="D2697" s="5" t="s">
        <v>9969</v>
      </c>
      <c r="E2697" s="9" t="str">
        <f>HYPERLINK("https://twitter.com/omid_keshtkar/status/1035810917395718145","1035810917395718145")</f>
        <v>1035810917395718145</v>
      </c>
      <c r="F2697" s="4"/>
      <c r="G2697" s="4"/>
      <c r="H2697" s="4"/>
      <c r="I2697" s="10" t="str">
        <f>HYPERLINK("http://twitter.com/download/iphone","Twitter for iPhone")</f>
        <v>Twitter for iPhone</v>
      </c>
      <c r="J2697" s="2">
        <v>9178</v>
      </c>
      <c r="K2697" s="2">
        <v>264</v>
      </c>
      <c r="L2697" s="2">
        <v>107</v>
      </c>
      <c r="M2697" s="2"/>
      <c r="N2697" s="8">
        <v>40316.503333333334</v>
      </c>
      <c r="O2697" s="4" t="s">
        <v>2250</v>
      </c>
      <c r="P2697" s="3" t="s">
        <v>9968</v>
      </c>
      <c r="Q2697" s="10" t="s">
        <v>9967</v>
      </c>
      <c r="R2697" s="4"/>
      <c r="S2697" s="9" t="str">
        <f>HYPERLINK("https://pbs.twimg.com/profile_images/962846015324917762/0w2r94hj.jpg","View")</f>
        <v>View</v>
      </c>
    </row>
    <row r="2698" spans="1:19" ht="30">
      <c r="A2698" s="8">
        <v>43344.549618055556</v>
      </c>
      <c r="B2698" s="11" t="str">
        <f>HYPERLINK("https://twitter.com/saeedreoporter","@saeedreoporter")</f>
        <v>@saeedreoporter</v>
      </c>
      <c r="C2698" s="6" t="s">
        <v>9966</v>
      </c>
      <c r="D2698" s="5" t="s">
        <v>9965</v>
      </c>
      <c r="E2698" s="9" t="str">
        <f>HYPERLINK("https://twitter.com/saeedreoporter/status/1035809851992158208","1035809851992158208")</f>
        <v>1035809851992158208</v>
      </c>
      <c r="F2698" s="4"/>
      <c r="G2698" s="10" t="s">
        <v>9964</v>
      </c>
      <c r="H2698" s="4"/>
      <c r="I2698" s="10" t="str">
        <f>HYPERLINK("http://twitter.com","Twitter Web Client")</f>
        <v>Twitter Web Client</v>
      </c>
      <c r="J2698" s="2">
        <v>99</v>
      </c>
      <c r="K2698" s="2">
        <v>340</v>
      </c>
      <c r="L2698" s="2">
        <v>0</v>
      </c>
      <c r="M2698" s="2"/>
      <c r="N2698" s="8">
        <v>43194.358749999999</v>
      </c>
      <c r="O2698" s="4"/>
      <c r="P2698" s="3" t="s">
        <v>9963</v>
      </c>
      <c r="Q2698" s="4"/>
      <c r="R2698" s="4"/>
      <c r="S2698" s="9" t="str">
        <f>HYPERLINK("https://pbs.twimg.com/profile_images/1005374964172840960/F0HxNts6.jpg","View")</f>
        <v>View</v>
      </c>
    </row>
    <row r="2699" spans="1:19" ht="40">
      <c r="A2699" s="8">
        <v>43344.544328703705</v>
      </c>
      <c r="B2699" s="11" t="str">
        <f>HYPERLINK("https://twitter.com/Roozbeh1963","@Roozbeh1963")</f>
        <v>@Roozbeh1963</v>
      </c>
      <c r="C2699" s="6" t="s">
        <v>9962</v>
      </c>
      <c r="D2699" s="5" t="s">
        <v>9961</v>
      </c>
      <c r="E2699" s="9" t="str">
        <f>HYPERLINK("https://twitter.com/Roozbeh1963/status/1035807935157477377","1035807935157477377")</f>
        <v>1035807935157477377</v>
      </c>
      <c r="F2699" s="4"/>
      <c r="G2699" s="4"/>
      <c r="H2699" s="4"/>
      <c r="I2699" s="10" t="str">
        <f>HYPERLINK("http://twitter.com/download/android","Twitter for Android")</f>
        <v>Twitter for Android</v>
      </c>
      <c r="J2699" s="2">
        <v>6203</v>
      </c>
      <c r="K2699" s="2">
        <v>1329</v>
      </c>
      <c r="L2699" s="2">
        <v>42</v>
      </c>
      <c r="M2699" s="2"/>
      <c r="N2699" s="8">
        <v>42474.751875000002</v>
      </c>
      <c r="O2699" s="4" t="s">
        <v>9960</v>
      </c>
      <c r="P2699" s="3" t="s">
        <v>9959</v>
      </c>
      <c r="Q2699" s="4"/>
      <c r="R2699" s="4"/>
      <c r="S2699" s="9" t="str">
        <f>HYPERLINK("https://pbs.twimg.com/profile_images/943173545332494338/UxFbngss.jpg","View")</f>
        <v>View</v>
      </c>
    </row>
    <row r="2700" spans="1:19" ht="30">
      <c r="A2700" s="8">
        <v>43344.543680555551</v>
      </c>
      <c r="B2700" s="11" t="str">
        <f>HYPERLINK("https://twitter.com/IranChamber","@IranChamber")</f>
        <v>@IranChamber</v>
      </c>
      <c r="C2700" s="6" t="s">
        <v>9958</v>
      </c>
      <c r="D2700" s="5" t="s">
        <v>9957</v>
      </c>
      <c r="E2700" s="9" t="str">
        <f>HYPERLINK("https://twitter.com/IranChamber/status/1035807699366174720","1035807699366174720")</f>
        <v>1035807699366174720</v>
      </c>
      <c r="F2700" s="4"/>
      <c r="G2700" s="10" t="s">
        <v>9956</v>
      </c>
      <c r="H2700" s="4"/>
      <c r="I2700" s="10" t="str">
        <f>HYPERLINK("http://twitter.com","Twitter Web Client")</f>
        <v>Twitter Web Client</v>
      </c>
      <c r="J2700" s="2">
        <v>5</v>
      </c>
      <c r="K2700" s="2">
        <v>0</v>
      </c>
      <c r="L2700" s="2">
        <v>0</v>
      </c>
      <c r="M2700" s="2"/>
      <c r="N2700" s="8">
        <v>43327.575925925921</v>
      </c>
      <c r="O2700" s="4" t="s">
        <v>133</v>
      </c>
      <c r="P2700" s="3" t="s">
        <v>9955</v>
      </c>
      <c r="Q2700" s="10" t="s">
        <v>9954</v>
      </c>
      <c r="R2700" s="4"/>
      <c r="S2700" s="9" t="str">
        <f>HYPERLINK("https://pbs.twimg.com/profile_images/1034337095781732352/zo904nPx.jpg","View")</f>
        <v>View</v>
      </c>
    </row>
    <row r="2701" spans="1:19" ht="40">
      <c r="A2701" s="8">
        <v>43344.539965277778</v>
      </c>
      <c r="B2701" s="11" t="str">
        <f>HYPERLINK("https://twitter.com/eghtesadonline","@eghtesadonline")</f>
        <v>@eghtesadonline</v>
      </c>
      <c r="C2701" s="6" t="s">
        <v>5935</v>
      </c>
      <c r="D2701" s="5" t="s">
        <v>9953</v>
      </c>
      <c r="E2701" s="9" t="str">
        <f>HYPERLINK("https://twitter.com/eghtesadonline/status/1035806351820288000","1035806351820288000")</f>
        <v>1035806351820288000</v>
      </c>
      <c r="F2701" s="4"/>
      <c r="G2701" s="4"/>
      <c r="H2701" s="4"/>
      <c r="I2701" s="10" t="str">
        <f>HYPERLINK("http://twitter.com","Twitter Web Client")</f>
        <v>Twitter Web Client</v>
      </c>
      <c r="J2701" s="2">
        <v>2091</v>
      </c>
      <c r="K2701" s="2">
        <v>7</v>
      </c>
      <c r="L2701" s="2">
        <v>41</v>
      </c>
      <c r="M2701" s="2"/>
      <c r="N2701" s="8">
        <v>41595.377060185187</v>
      </c>
      <c r="O2701" s="4" t="s">
        <v>17</v>
      </c>
      <c r="P2701" s="3" t="s">
        <v>5933</v>
      </c>
      <c r="Q2701" s="10" t="s">
        <v>5932</v>
      </c>
      <c r="R2701" s="4"/>
      <c r="S2701" s="9" t="str">
        <f>HYPERLINK("https://pbs.twimg.com/profile_images/1034350708475224064/4dNqWRJC.jpg","View")</f>
        <v>View</v>
      </c>
    </row>
    <row r="2702" spans="1:19" ht="40">
      <c r="A2702" s="8">
        <v>43344.536793981482</v>
      </c>
      <c r="B2702" s="11" t="str">
        <f>HYPERLINK("https://twitter.com/Alirezazedi7","@Alirezazedi7")</f>
        <v>@Alirezazedi7</v>
      </c>
      <c r="C2702" s="6" t="s">
        <v>9952</v>
      </c>
      <c r="D2702" s="5" t="s">
        <v>9951</v>
      </c>
      <c r="E2702" s="9" t="str">
        <f>HYPERLINK("https://twitter.com/Alirezazedi7/status/1035805204426440704","1035805204426440704")</f>
        <v>1035805204426440704</v>
      </c>
      <c r="F2702" s="4"/>
      <c r="G2702" s="4"/>
      <c r="H2702" s="4"/>
      <c r="I2702" s="10" t="str">
        <f>HYPERLINK("http://twitter.com/download/iphone","Twitter for iPhone")</f>
        <v>Twitter for iPhone</v>
      </c>
      <c r="J2702" s="2">
        <v>4</v>
      </c>
      <c r="K2702" s="2">
        <v>14</v>
      </c>
      <c r="L2702" s="2">
        <v>0</v>
      </c>
      <c r="M2702" s="2"/>
      <c r="N2702" s="8">
        <v>42815.006585648152</v>
      </c>
      <c r="O2702" s="4" t="s">
        <v>34</v>
      </c>
      <c r="P2702" s="3" t="s">
        <v>9950</v>
      </c>
      <c r="Q2702" s="4"/>
      <c r="R2702" s="4"/>
      <c r="S2702" s="9" t="str">
        <f>HYPERLINK("https://pbs.twimg.com/profile_images/985933841176104960/x8DRIkay.jpg","View")</f>
        <v>View</v>
      </c>
    </row>
    <row r="2703" spans="1:19" ht="30">
      <c r="A2703" s="8">
        <v>43344.531828703708</v>
      </c>
      <c r="B2703" s="11" t="str">
        <f>HYPERLINK("https://twitter.com/saeidk222","@saeidk222")</f>
        <v>@saeidk222</v>
      </c>
      <c r="C2703" s="6" t="s">
        <v>914</v>
      </c>
      <c r="D2703" s="5" t="s">
        <v>9949</v>
      </c>
      <c r="E2703" s="9" t="str">
        <f>HYPERLINK("https://twitter.com/saeidk222/status/1035803405711810560","1035803405711810560")</f>
        <v>1035803405711810560</v>
      </c>
      <c r="F2703" s="4"/>
      <c r="G2703" s="4"/>
      <c r="H2703" s="4"/>
      <c r="I2703" s="10" t="str">
        <f>HYPERLINK("http://twitter.com/download/android","Twitter for Android")</f>
        <v>Twitter for Android</v>
      </c>
      <c r="J2703" s="2">
        <v>566</v>
      </c>
      <c r="K2703" s="2">
        <v>547</v>
      </c>
      <c r="L2703" s="2">
        <v>0</v>
      </c>
      <c r="M2703" s="2"/>
      <c r="N2703" s="8">
        <v>42821.603009259255</v>
      </c>
      <c r="O2703" s="4" t="s">
        <v>912</v>
      </c>
      <c r="P2703" s="3" t="s">
        <v>911</v>
      </c>
      <c r="Q2703" s="4"/>
      <c r="R2703" s="4"/>
      <c r="S2703" s="9" t="str">
        <f>HYPERLINK("https://pbs.twimg.com/profile_images/1032620243796074496/DjHk4cpf.jpg","View")</f>
        <v>View</v>
      </c>
    </row>
    <row r="2704" spans="1:19" ht="40">
      <c r="A2704" s="8">
        <v>43344.527951388889</v>
      </c>
      <c r="B2704" s="11" t="str">
        <f>HYPERLINK("https://twitter.com/peyamak","@peyamak")</f>
        <v>@peyamak</v>
      </c>
      <c r="C2704" s="6" t="s">
        <v>9948</v>
      </c>
      <c r="D2704" s="5" t="s">
        <v>9947</v>
      </c>
      <c r="E2704" s="9" t="str">
        <f>HYPERLINK("https://twitter.com/peyamak/status/1035802000561238016","1035802000561238016")</f>
        <v>1035802000561238016</v>
      </c>
      <c r="F2704" s="4"/>
      <c r="G2704" s="4"/>
      <c r="H2704" s="4"/>
      <c r="I2704" s="10" t="str">
        <f>HYPERLINK("http://twitter.com/download/android","Twitter for Android")</f>
        <v>Twitter for Android</v>
      </c>
      <c r="J2704" s="2">
        <v>203</v>
      </c>
      <c r="K2704" s="2">
        <v>323</v>
      </c>
      <c r="L2704" s="2">
        <v>1</v>
      </c>
      <c r="M2704" s="2"/>
      <c r="N2704" s="8">
        <v>41376.370555555557</v>
      </c>
      <c r="O2704" s="4"/>
      <c r="P2704" s="3" t="s">
        <v>9946</v>
      </c>
      <c r="Q2704" s="4"/>
      <c r="R2704" s="4"/>
      <c r="S2704" s="9" t="str">
        <f>HYPERLINK("https://pbs.twimg.com/profile_images/897091188716691458/wndj9405.jpg","View")</f>
        <v>View</v>
      </c>
    </row>
    <row r="2705" spans="1:19" ht="40">
      <c r="A2705" s="8">
        <v>43344.527627314819</v>
      </c>
      <c r="B2705" s="11" t="str">
        <f>HYPERLINK("https://twitter.com/Ramdisius","@Ramdisius")</f>
        <v>@Ramdisius</v>
      </c>
      <c r="C2705" s="6" t="s">
        <v>1494</v>
      </c>
      <c r="D2705" s="5" t="s">
        <v>9945</v>
      </c>
      <c r="E2705" s="9" t="str">
        <f>HYPERLINK("https://twitter.com/Ramdisius/status/1035801882600587265","1035801882600587265")</f>
        <v>1035801882600587265</v>
      </c>
      <c r="F2705" s="4"/>
      <c r="G2705" s="4"/>
      <c r="H2705" s="4"/>
      <c r="I2705" s="10" t="str">
        <f>HYPERLINK("http://twitter.com/download/android","Twitter for Android")</f>
        <v>Twitter for Android</v>
      </c>
      <c r="J2705" s="2">
        <v>88</v>
      </c>
      <c r="K2705" s="2">
        <v>102</v>
      </c>
      <c r="L2705" s="2">
        <v>0</v>
      </c>
      <c r="M2705" s="2"/>
      <c r="N2705" s="8">
        <v>42999.626296296294</v>
      </c>
      <c r="O2705" s="4"/>
      <c r="P2705" s="3" t="s">
        <v>1491</v>
      </c>
      <c r="Q2705" s="4"/>
      <c r="R2705" s="4"/>
      <c r="S2705" s="9" t="str">
        <f>HYPERLINK("https://pbs.twimg.com/profile_images/953361613679202306/_YiFOaj_.jpg","View")</f>
        <v>View</v>
      </c>
    </row>
    <row r="2706" spans="1:19" ht="30">
      <c r="A2706" s="8">
        <v>43344.526921296296</v>
      </c>
      <c r="B2706" s="11" t="str">
        <f>HYPERLINK("https://twitter.com/khoshkonline","@khoshkonline")</f>
        <v>@khoshkonline</v>
      </c>
      <c r="C2706" s="6" t="s">
        <v>9944</v>
      </c>
      <c r="D2706" s="5" t="s">
        <v>9943</v>
      </c>
      <c r="E2706" s="9" t="str">
        <f>HYPERLINK("https://twitter.com/khoshkonline/status/1035801627830218752","1035801627830218752")</f>
        <v>1035801627830218752</v>
      </c>
      <c r="F2706" s="4"/>
      <c r="G2706" s="4"/>
      <c r="H2706" s="4"/>
      <c r="I2706" s="10" t="str">
        <f>HYPERLINK("http://twitter.com/download/android","Twitter for Android")</f>
        <v>Twitter for Android</v>
      </c>
      <c r="J2706" s="2">
        <v>503</v>
      </c>
      <c r="K2706" s="2">
        <v>442</v>
      </c>
      <c r="L2706" s="2">
        <v>0</v>
      </c>
      <c r="M2706" s="2"/>
      <c r="N2706" s="8">
        <v>43125.715613425928</v>
      </c>
      <c r="O2706" s="4" t="s">
        <v>9942</v>
      </c>
      <c r="P2706" s="3" t="s">
        <v>9941</v>
      </c>
      <c r="Q2706" s="4"/>
      <c r="R2706" s="4"/>
      <c r="S2706" s="9" t="str">
        <f>HYPERLINK("https://pbs.twimg.com/profile_images/970396659560734721/MdsodKG_.jpg","View")</f>
        <v>View</v>
      </c>
    </row>
    <row r="2707" spans="1:19" ht="30">
      <c r="A2707" s="8">
        <v>43344.524328703701</v>
      </c>
      <c r="B2707" s="11" t="str">
        <f>HYPERLINK("https://twitter.com/atrinnaaa","@atrinnaaa")</f>
        <v>@atrinnaaa</v>
      </c>
      <c r="C2707" s="6" t="s">
        <v>7637</v>
      </c>
      <c r="D2707" s="5" t="s">
        <v>9940</v>
      </c>
      <c r="E2707" s="9" t="str">
        <f>HYPERLINK("https://twitter.com/atrinnaaa/status/1035800687614087168","1035800687614087168")</f>
        <v>1035800687614087168</v>
      </c>
      <c r="F2707" s="4"/>
      <c r="G2707" s="4"/>
      <c r="H2707" s="4"/>
      <c r="I2707" s="10" t="str">
        <f>HYPERLINK("http://twitter.com","Twitter Web Client")</f>
        <v>Twitter Web Client</v>
      </c>
      <c r="J2707" s="2">
        <v>297</v>
      </c>
      <c r="K2707" s="2">
        <v>717</v>
      </c>
      <c r="L2707" s="2">
        <v>0</v>
      </c>
      <c r="M2707" s="2"/>
      <c r="N2707" s="8">
        <v>43339.420127314814</v>
      </c>
      <c r="O2707" s="4"/>
      <c r="P2707" s="3" t="s">
        <v>7635</v>
      </c>
      <c r="Q2707" s="4"/>
      <c r="R2707" s="4"/>
      <c r="S2707" s="9" t="str">
        <f>HYPERLINK("https://pbs.twimg.com/profile_images/1034291521309364225/lcX-Vf62.jpg","View")</f>
        <v>View</v>
      </c>
    </row>
    <row r="2708" spans="1:19" ht="30">
      <c r="A2708" s="8">
        <v>43344.522638888884</v>
      </c>
      <c r="B2708" s="11" t="str">
        <f>HYPERLINK("https://twitter.com/AmirrKalhor","@AmirrKalhor")</f>
        <v>@AmirrKalhor</v>
      </c>
      <c r="C2708" s="6" t="s">
        <v>1436</v>
      </c>
      <c r="D2708" s="5" t="s">
        <v>9939</v>
      </c>
      <c r="E2708" s="9" t="str">
        <f>HYPERLINK("https://twitter.com/AmirrKalhor/status/1035800074700423169","1035800074700423169")</f>
        <v>1035800074700423169</v>
      </c>
      <c r="F2708" s="4"/>
      <c r="G2708" s="4"/>
      <c r="H2708" s="4"/>
      <c r="I2708" s="10" t="str">
        <f>HYPERLINK("http://twitter.com","Twitter Web Client")</f>
        <v>Twitter Web Client</v>
      </c>
      <c r="J2708" s="2">
        <v>2760</v>
      </c>
      <c r="K2708" s="2">
        <v>485</v>
      </c>
      <c r="L2708" s="2">
        <v>25</v>
      </c>
      <c r="M2708" s="2"/>
      <c r="N2708" s="8">
        <v>41151.765324074076</v>
      </c>
      <c r="O2708" s="4" t="s">
        <v>34</v>
      </c>
      <c r="P2708" s="3" t="s">
        <v>1434</v>
      </c>
      <c r="Q2708" s="10" t="s">
        <v>1433</v>
      </c>
      <c r="R2708" s="4"/>
      <c r="S2708" s="9" t="str">
        <f>HYPERLINK("https://pbs.twimg.com/profile_images/1035138705110040577/GX-0sE8y.jpg","View")</f>
        <v>View</v>
      </c>
    </row>
    <row r="2709" spans="1:19" ht="40">
      <c r="A2709" s="8">
        <v>43344.522118055553</v>
      </c>
      <c r="B2709" s="11" t="str">
        <f>HYPERLINK("https://twitter.com/jansakht9","@jansakht9")</f>
        <v>@jansakht9</v>
      </c>
      <c r="C2709" s="6" t="s">
        <v>9251</v>
      </c>
      <c r="D2709" s="5" t="s">
        <v>9938</v>
      </c>
      <c r="E2709" s="9" t="str">
        <f>HYPERLINK("https://twitter.com/jansakht9/status/1035799886812200960","1035799886812200960")</f>
        <v>1035799886812200960</v>
      </c>
      <c r="F2709" s="4"/>
      <c r="G2709" s="4"/>
      <c r="H2709" s="4"/>
      <c r="I2709" s="10" t="str">
        <f>HYPERLINK("https://mobile.twitter.com","Twitter Lite")</f>
        <v>Twitter Lite</v>
      </c>
      <c r="J2709" s="2">
        <v>32</v>
      </c>
      <c r="K2709" s="2">
        <v>152</v>
      </c>
      <c r="L2709" s="2">
        <v>0</v>
      </c>
      <c r="M2709" s="2"/>
      <c r="N2709" s="8">
        <v>43257.262488425928</v>
      </c>
      <c r="O2709" s="4"/>
      <c r="P2709" s="3" t="s">
        <v>9249</v>
      </c>
      <c r="Q2709" s="4"/>
      <c r="R2709" s="4"/>
      <c r="S2709" s="9" t="str">
        <f>HYPERLINK("https://pbs.twimg.com/profile_images/1033645501730549760/kne9Mzqf.jpg","View")</f>
        <v>View</v>
      </c>
    </row>
    <row r="2710" spans="1:19" ht="12.5">
      <c r="A2710" s="8">
        <v>43344.519409722227</v>
      </c>
      <c r="B2710" s="11" t="str">
        <f>HYPERLINK("https://twitter.com/seyyedehtesham","@seyyedehtesham")</f>
        <v>@seyyedehtesham</v>
      </c>
      <c r="C2710" s="6" t="s">
        <v>9937</v>
      </c>
      <c r="D2710" s="5" t="s">
        <v>9936</v>
      </c>
      <c r="E2710" s="9" t="str">
        <f>HYPERLINK("https://twitter.com/seyyedehtesham/status/1035798902501502976","1035798902501502976")</f>
        <v>1035798902501502976</v>
      </c>
      <c r="F2710" s="4"/>
      <c r="G2710" s="4"/>
      <c r="H2710" s="4"/>
      <c r="I2710" s="10" t="str">
        <f>HYPERLINK("http://twitter.com/download/android","Twitter for Android")</f>
        <v>Twitter for Android</v>
      </c>
      <c r="J2710" s="2">
        <v>3069</v>
      </c>
      <c r="K2710" s="2">
        <v>456</v>
      </c>
      <c r="L2710" s="2">
        <v>28</v>
      </c>
      <c r="M2710" s="2"/>
      <c r="N2710" s="8">
        <v>41451.7894212963</v>
      </c>
      <c r="O2710" s="4"/>
      <c r="P2710" s="3" t="s">
        <v>9935</v>
      </c>
      <c r="Q2710" s="4"/>
      <c r="R2710" s="4"/>
      <c r="S2710" s="9" t="str">
        <f>HYPERLINK("https://pbs.twimg.com/profile_images/935798516777193472/GZLzsxol.jpg","View")</f>
        <v>View</v>
      </c>
    </row>
    <row r="2711" spans="1:19" ht="20">
      <c r="A2711" s="8">
        <v>43344.515821759254</v>
      </c>
      <c r="B2711" s="11" t="str">
        <f>HYPERLINK("https://twitter.com/jalali_z76","@jalali_z76")</f>
        <v>@jalali_z76</v>
      </c>
      <c r="C2711" s="6" t="s">
        <v>9911</v>
      </c>
      <c r="D2711" s="5" t="s">
        <v>9934</v>
      </c>
      <c r="E2711" s="9" t="str">
        <f>HYPERLINK("https://twitter.com/jalali_z76/status/1035797602439254019","1035797602439254019")</f>
        <v>1035797602439254019</v>
      </c>
      <c r="F2711" s="4"/>
      <c r="G2711" s="4"/>
      <c r="H2711" s="4"/>
      <c r="I2711" s="10" t="str">
        <f>HYPERLINK("http://twitter.com/download/android","Twitter for Android")</f>
        <v>Twitter for Android</v>
      </c>
      <c r="J2711" s="2">
        <v>5</v>
      </c>
      <c r="K2711" s="2">
        <v>7</v>
      </c>
      <c r="L2711" s="2">
        <v>0</v>
      </c>
      <c r="M2711" s="2"/>
      <c r="N2711" s="8">
        <v>43330.722199074073</v>
      </c>
      <c r="O2711" s="4" t="s">
        <v>1415</v>
      </c>
      <c r="P2711" s="3" t="s">
        <v>9909</v>
      </c>
      <c r="Q2711" s="4"/>
      <c r="R2711" s="4"/>
      <c r="S2711" s="9" t="str">
        <f>HYPERLINK("https://pbs.twimg.com/profile_images/1035584879835193346/J6q65JWz.jpg","View")</f>
        <v>View</v>
      </c>
    </row>
    <row r="2712" spans="1:19" ht="40">
      <c r="A2712" s="8">
        <v>43344.514525462961</v>
      </c>
      <c r="B2712" s="11" t="str">
        <f>HYPERLINK("https://twitter.com/Sam_IR_Freedom","@Sam_IR_Freedom")</f>
        <v>@Sam_IR_Freedom</v>
      </c>
      <c r="C2712" s="6" t="s">
        <v>9933</v>
      </c>
      <c r="D2712" s="5" t="s">
        <v>9932</v>
      </c>
      <c r="E2712" s="9" t="str">
        <f>HYPERLINK("https://twitter.com/Sam_IR_Freedom/status/1035797132140269568","1035797132140269568")</f>
        <v>1035797132140269568</v>
      </c>
      <c r="F2712" s="4"/>
      <c r="G2712" s="10" t="s">
        <v>9931</v>
      </c>
      <c r="H2712" s="4"/>
      <c r="I2712" s="10" t="str">
        <f>HYPERLINK("http://twitter.com/download/iphone","Twitter for iPhone")</f>
        <v>Twitter for iPhone</v>
      </c>
      <c r="J2712" s="2">
        <v>384</v>
      </c>
      <c r="K2712" s="2">
        <v>750</v>
      </c>
      <c r="L2712" s="2">
        <v>0</v>
      </c>
      <c r="M2712" s="2"/>
      <c r="N2712" s="8">
        <v>43229.029398148152</v>
      </c>
      <c r="O2712" s="4" t="s">
        <v>9930</v>
      </c>
      <c r="P2712" s="3"/>
      <c r="Q2712" s="4"/>
      <c r="R2712" s="4"/>
      <c r="S2712" s="9" t="str">
        <f>HYPERLINK("https://pbs.twimg.com/profile_images/1020680716387061762/9LwTKp2x.jpg","View")</f>
        <v>View</v>
      </c>
    </row>
    <row r="2713" spans="1:19" ht="20">
      <c r="A2713" s="8">
        <v>43344.512048611112</v>
      </c>
      <c r="B2713" s="11" t="str">
        <f>HYPERLINK("https://twitter.com/Tasnimnews_Fa","@Tasnimnews_Fa")</f>
        <v>@Tasnimnews_Fa</v>
      </c>
      <c r="C2713" s="6" t="s">
        <v>603</v>
      </c>
      <c r="D2713" s="5" t="s">
        <v>9929</v>
      </c>
      <c r="E2713" s="9" t="str">
        <f>HYPERLINK("https://twitter.com/Tasnimnews_Fa/status/1035796237591699456","1035796237591699456")</f>
        <v>1035796237591699456</v>
      </c>
      <c r="F2713" s="10" t="s">
        <v>9928</v>
      </c>
      <c r="G2713" s="10" t="s">
        <v>9927</v>
      </c>
      <c r="H2713" s="4"/>
      <c r="I2713" s="10" t="str">
        <f>HYPERLINK("http://twitter.com","Twitter Web Client")</f>
        <v>Twitter Web Client</v>
      </c>
      <c r="J2713" s="2">
        <v>109529</v>
      </c>
      <c r="K2713" s="2">
        <v>20</v>
      </c>
      <c r="L2713" s="2">
        <v>376</v>
      </c>
      <c r="M2713" s="2" t="s">
        <v>80</v>
      </c>
      <c r="N2713" s="8">
        <v>41868.671585648146</v>
      </c>
      <c r="O2713" s="4" t="s">
        <v>133</v>
      </c>
      <c r="P2713" s="3" t="s">
        <v>599</v>
      </c>
      <c r="Q2713" s="10" t="s">
        <v>598</v>
      </c>
      <c r="R2713" s="4"/>
      <c r="S2713" s="9" t="str">
        <f>HYPERLINK("https://pbs.twimg.com/profile_images/942003149430239232/hvLw_1_E.jpg","View")</f>
        <v>View</v>
      </c>
    </row>
    <row r="2714" spans="1:19" ht="20">
      <c r="A2714" s="8">
        <v>43344.511689814812</v>
      </c>
      <c r="B2714" s="11" t="str">
        <f>HYPERLINK("https://twitter.com/KeshavarziM","@KeshavarziM")</f>
        <v>@KeshavarziM</v>
      </c>
      <c r="C2714" s="6" t="s">
        <v>9926</v>
      </c>
      <c r="D2714" s="5" t="s">
        <v>9925</v>
      </c>
      <c r="E2714" s="9" t="str">
        <f>HYPERLINK("https://twitter.com/KeshavarziM/status/1035796104321871872","1035796104321871872")</f>
        <v>1035796104321871872</v>
      </c>
      <c r="F2714" s="4"/>
      <c r="G2714" s="10" t="s">
        <v>9924</v>
      </c>
      <c r="H2714" s="4"/>
      <c r="I2714" s="10" t="str">
        <f>HYPERLINK("http://twitter.com/download/iphone","Twitter for iPhone")</f>
        <v>Twitter for iPhone</v>
      </c>
      <c r="J2714" s="2">
        <v>285</v>
      </c>
      <c r="K2714" s="2">
        <v>391</v>
      </c>
      <c r="L2714" s="2">
        <v>0</v>
      </c>
      <c r="M2714" s="2"/>
      <c r="N2714" s="8">
        <v>43282.462013888886</v>
      </c>
      <c r="O2714" s="4" t="s">
        <v>9923</v>
      </c>
      <c r="P2714" s="3" t="s">
        <v>9922</v>
      </c>
      <c r="Q2714" s="4"/>
      <c r="R2714" s="4"/>
      <c r="S2714" s="9" t="str">
        <f>HYPERLINK("https://pbs.twimg.com/profile_images/1013314978995163137/7SMjwe-6.jpg","View")</f>
        <v>View</v>
      </c>
    </row>
    <row r="2715" spans="1:19" ht="20">
      <c r="A2715" s="8">
        <v>43344.511134259257</v>
      </c>
      <c r="B2715" s="11" t="str">
        <f>HYPERLINK("https://twitter.com/kargaraneiran","@kargaraneiran")</f>
        <v>@kargaraneiran</v>
      </c>
      <c r="C2715" s="6" t="s">
        <v>8736</v>
      </c>
      <c r="D2715" s="5" t="s">
        <v>9921</v>
      </c>
      <c r="E2715" s="9" t="str">
        <f>HYPERLINK("https://twitter.com/kargaraneiran/status/1035795905910329344","1035795905910329344")</f>
        <v>1035795905910329344</v>
      </c>
      <c r="F2715" s="4"/>
      <c r="G2715" s="10" t="s">
        <v>9920</v>
      </c>
      <c r="H2715" s="4"/>
      <c r="I2715" s="10" t="str">
        <f>HYPERLINK("http://twitter.com/download/android","Twitter for Android")</f>
        <v>Twitter for Android</v>
      </c>
      <c r="J2715" s="2">
        <v>61</v>
      </c>
      <c r="K2715" s="2">
        <v>123</v>
      </c>
      <c r="L2715" s="2">
        <v>1</v>
      </c>
      <c r="M2715" s="2"/>
      <c r="N2715" s="8">
        <v>43323.441562499997</v>
      </c>
      <c r="O2715" s="4" t="s">
        <v>524</v>
      </c>
      <c r="P2715" s="3" t="s">
        <v>8733</v>
      </c>
      <c r="Q2715" s="4"/>
      <c r="R2715" s="4"/>
      <c r="S2715" s="9" t="str">
        <f>HYPERLINK("https://pbs.twimg.com/profile_images/1029023802217426944/ms_oivix.jpg","View")</f>
        <v>View</v>
      </c>
    </row>
    <row r="2716" spans="1:19" ht="20">
      <c r="A2716" s="8">
        <v>43344.50990740741</v>
      </c>
      <c r="B2716" s="11" t="str">
        <f>HYPERLINK("https://twitter.com/Feri13720","@Feri13720")</f>
        <v>@Feri13720</v>
      </c>
      <c r="C2716" s="6" t="s">
        <v>9919</v>
      </c>
      <c r="D2716" s="5" t="s">
        <v>9918</v>
      </c>
      <c r="E2716" s="9" t="str">
        <f>HYPERLINK("https://twitter.com/Feri13720/status/1035795460181712896","1035795460181712896")</f>
        <v>1035795460181712896</v>
      </c>
      <c r="F2716" s="4"/>
      <c r="G2716" s="4"/>
      <c r="H2716" s="4"/>
      <c r="I2716" s="10" t="str">
        <f>HYPERLINK("http://twitter.com/download/android","Twitter for Android")</f>
        <v>Twitter for Android</v>
      </c>
      <c r="J2716" s="2">
        <v>384</v>
      </c>
      <c r="K2716" s="2">
        <v>991</v>
      </c>
      <c r="L2716" s="2">
        <v>0</v>
      </c>
      <c r="M2716" s="2"/>
      <c r="N2716" s="8">
        <v>43310.489328703705</v>
      </c>
      <c r="O2716" s="4" t="s">
        <v>9917</v>
      </c>
      <c r="P2716" s="3" t="s">
        <v>9916</v>
      </c>
      <c r="Q2716" s="4"/>
      <c r="R2716" s="4"/>
      <c r="S2716" s="9" t="str">
        <f>HYPERLINK("https://pbs.twimg.com/profile_images/1023473723024842752/Ed2qa3k3.jpg","View")</f>
        <v>View</v>
      </c>
    </row>
    <row r="2717" spans="1:19" ht="30">
      <c r="A2717" s="8">
        <v>43344.509201388893</v>
      </c>
      <c r="B2717" s="11" t="str">
        <f>HYPERLINK("https://twitter.com/kerman034","@kerman034")</f>
        <v>@kerman034</v>
      </c>
      <c r="C2717" s="6" t="s">
        <v>9915</v>
      </c>
      <c r="D2717" s="5" t="s">
        <v>9914</v>
      </c>
      <c r="E2717" s="9" t="str">
        <f>HYPERLINK("https://twitter.com/kerman034/status/1035795206250090496","1035795206250090496")</f>
        <v>1035795206250090496</v>
      </c>
      <c r="F2717" s="4"/>
      <c r="G2717" s="10" t="s">
        <v>9913</v>
      </c>
      <c r="H2717" s="4"/>
      <c r="I2717" s="10" t="str">
        <f>HYPERLINK("http://twitter.com/download/android","Twitter for Android")</f>
        <v>Twitter for Android</v>
      </c>
      <c r="J2717" s="2">
        <v>508</v>
      </c>
      <c r="K2717" s="2">
        <v>2440</v>
      </c>
      <c r="L2717" s="2">
        <v>1</v>
      </c>
      <c r="M2717" s="2"/>
      <c r="N2717" s="8">
        <v>43242.53842592593</v>
      </c>
      <c r="O2717" s="4" t="s">
        <v>34</v>
      </c>
      <c r="P2717" s="3" t="s">
        <v>9912</v>
      </c>
      <c r="Q2717" s="4"/>
      <c r="R2717" s="4"/>
      <c r="S2717" s="9" t="str">
        <f>HYPERLINK("https://pbs.twimg.com/profile_images/999541009397661696/D7YzBeV9.jpg","View")</f>
        <v>View</v>
      </c>
    </row>
    <row r="2718" spans="1:19" ht="30">
      <c r="A2718" s="8">
        <v>43344.5080787037</v>
      </c>
      <c r="B2718" s="11" t="str">
        <f>HYPERLINK("https://twitter.com/jalali_z76","@jalali_z76")</f>
        <v>@jalali_z76</v>
      </c>
      <c r="C2718" s="6" t="s">
        <v>9911</v>
      </c>
      <c r="D2718" s="5" t="s">
        <v>9910</v>
      </c>
      <c r="E2718" s="9" t="str">
        <f>HYPERLINK("https://twitter.com/jalali_z76/status/1035794796617420800","1035794796617420800")</f>
        <v>1035794796617420800</v>
      </c>
      <c r="F2718" s="4"/>
      <c r="G2718" s="4"/>
      <c r="H2718" s="4"/>
      <c r="I2718" s="10" t="str">
        <f>HYPERLINK("http://twitter.com/download/android","Twitter for Android")</f>
        <v>Twitter for Android</v>
      </c>
      <c r="J2718" s="2">
        <v>5</v>
      </c>
      <c r="K2718" s="2">
        <v>7</v>
      </c>
      <c r="L2718" s="2">
        <v>0</v>
      </c>
      <c r="M2718" s="2"/>
      <c r="N2718" s="8">
        <v>43330.722199074073</v>
      </c>
      <c r="O2718" s="4" t="s">
        <v>1415</v>
      </c>
      <c r="P2718" s="3" t="s">
        <v>9909</v>
      </c>
      <c r="Q2718" s="4"/>
      <c r="R2718" s="4"/>
      <c r="S2718" s="9" t="str">
        <f>HYPERLINK("https://pbs.twimg.com/profile_images/1035584879835193346/J6q65JWz.jpg","View")</f>
        <v>View</v>
      </c>
    </row>
    <row r="2719" spans="1:19" ht="30">
      <c r="A2719" s="8">
        <v>43344.505173611113</v>
      </c>
      <c r="B2719" s="11" t="str">
        <f>HYPERLINK("https://twitter.com/iamalirostami","@iamalirostami")</f>
        <v>@iamalirostami</v>
      </c>
      <c r="C2719" s="6" t="s">
        <v>7092</v>
      </c>
      <c r="D2719" s="5" t="s">
        <v>9908</v>
      </c>
      <c r="E2719" s="9" t="str">
        <f>HYPERLINK("https://twitter.com/iamalirostami/status/1035793743675367424","1035793743675367424")</f>
        <v>1035793743675367424</v>
      </c>
      <c r="F2719" s="4"/>
      <c r="G2719" s="10" t="s">
        <v>9907</v>
      </c>
      <c r="H2719" s="4"/>
      <c r="I2719" s="10" t="str">
        <f>HYPERLINK("http://twitter.com/download/android","Twitter for Android")</f>
        <v>Twitter for Android</v>
      </c>
      <c r="J2719" s="2">
        <v>747</v>
      </c>
      <c r="K2719" s="2">
        <v>769</v>
      </c>
      <c r="L2719" s="2">
        <v>0</v>
      </c>
      <c r="M2719" s="2"/>
      <c r="N2719" s="8">
        <v>42456.118796296301</v>
      </c>
      <c r="O2719" s="4" t="s">
        <v>34</v>
      </c>
      <c r="P2719" s="3" t="s">
        <v>7089</v>
      </c>
      <c r="Q2719" s="10" t="s">
        <v>7088</v>
      </c>
      <c r="R2719" s="4"/>
      <c r="S2719" s="9" t="str">
        <f>HYPERLINK("https://pbs.twimg.com/profile_images/1023307429235359747/p1gs4xra.jpg","View")</f>
        <v>View</v>
      </c>
    </row>
    <row r="2720" spans="1:19" ht="30">
      <c r="A2720" s="8">
        <v>43344.504525462966</v>
      </c>
      <c r="B2720" s="11" t="str">
        <f>HYPERLINK("https://twitter.com/Resaneim","@Resaneim")</f>
        <v>@Resaneim</v>
      </c>
      <c r="C2720" s="6" t="s">
        <v>9906</v>
      </c>
      <c r="D2720" s="5" t="s">
        <v>9905</v>
      </c>
      <c r="E2720" s="9" t="str">
        <f>HYPERLINK("https://twitter.com/Resaneim/status/1035793511159922689","1035793511159922689")</f>
        <v>1035793511159922689</v>
      </c>
      <c r="F2720" s="4"/>
      <c r="G2720" s="4"/>
      <c r="H2720" s="4"/>
      <c r="I2720" s="10" t="str">
        <f>HYPERLINK("http://twitter.com/download/android","Twitter for Android")</f>
        <v>Twitter for Android</v>
      </c>
      <c r="J2720" s="2">
        <v>1981</v>
      </c>
      <c r="K2720" s="2">
        <v>607</v>
      </c>
      <c r="L2720" s="2">
        <v>9</v>
      </c>
      <c r="M2720" s="2"/>
      <c r="N2720" s="8">
        <v>43049.870011574079</v>
      </c>
      <c r="O2720" s="4" t="s">
        <v>190</v>
      </c>
      <c r="P2720" s="3" t="s">
        <v>9904</v>
      </c>
      <c r="Q2720" s="4"/>
      <c r="R2720" s="4"/>
      <c r="S2720" s="9" t="str">
        <f>HYPERLINK("https://pbs.twimg.com/profile_images/949765770363441152/vG7JVzo0.jpg","View")</f>
        <v>View</v>
      </c>
    </row>
    <row r="2721" spans="1:19" ht="20">
      <c r="A2721" s="8">
        <v>43344.503310185188</v>
      </c>
      <c r="B2721" s="11" t="str">
        <f>HYPERLINK("https://twitter.com/corzangolo","@corzangolo")</f>
        <v>@corzangolo</v>
      </c>
      <c r="C2721" s="6" t="s">
        <v>3385</v>
      </c>
      <c r="D2721" s="5" t="s">
        <v>9903</v>
      </c>
      <c r="E2721" s="9" t="str">
        <f>HYPERLINK("https://twitter.com/corzangolo/status/1035793069319303168","1035793069319303168")</f>
        <v>1035793069319303168</v>
      </c>
      <c r="F2721" s="4"/>
      <c r="G2721" s="10" t="s">
        <v>9902</v>
      </c>
      <c r="H2721" s="4"/>
      <c r="I2721" s="10" t="str">
        <f>HYPERLINK("http://twitter.com/download/android","Twitter for Android")</f>
        <v>Twitter for Android</v>
      </c>
      <c r="J2721" s="2">
        <v>190</v>
      </c>
      <c r="K2721" s="2">
        <v>275</v>
      </c>
      <c r="L2721" s="2">
        <v>0</v>
      </c>
      <c r="M2721" s="2"/>
      <c r="N2721" s="8">
        <v>43196.078275462962</v>
      </c>
      <c r="O2721" s="4"/>
      <c r="P2721" s="3" t="s">
        <v>3382</v>
      </c>
      <c r="Q2721" s="4"/>
      <c r="R2721" s="4"/>
      <c r="S2721" s="9" t="str">
        <f>HYPERLINK("https://pbs.twimg.com/profile_images/984397064393183232/3M9427Z8.jpg","View")</f>
        <v>View</v>
      </c>
    </row>
    <row r="2722" spans="1:19" ht="20">
      <c r="A2722" s="8">
        <v>43344.498912037037</v>
      </c>
      <c r="B2722" s="11" t="str">
        <f>HYPERLINK("https://twitter.com/Tasnimnews_Fa","@Tasnimnews_Fa")</f>
        <v>@Tasnimnews_Fa</v>
      </c>
      <c r="C2722" s="6" t="s">
        <v>603</v>
      </c>
      <c r="D2722" s="5" t="s">
        <v>9901</v>
      </c>
      <c r="E2722" s="9" t="str">
        <f>HYPERLINK("https://twitter.com/Tasnimnews_Fa/status/1035791476167528450","1035791476167528450")</f>
        <v>1035791476167528450</v>
      </c>
      <c r="F2722" s="10" t="s">
        <v>9900</v>
      </c>
      <c r="G2722" s="10" t="s">
        <v>9899</v>
      </c>
      <c r="H2722" s="4"/>
      <c r="I2722" s="10" t="str">
        <f>HYPERLINK("http://twitter.com","Twitter Web Client")</f>
        <v>Twitter Web Client</v>
      </c>
      <c r="J2722" s="2">
        <v>109529</v>
      </c>
      <c r="K2722" s="2">
        <v>20</v>
      </c>
      <c r="L2722" s="2">
        <v>376</v>
      </c>
      <c r="M2722" s="2" t="s">
        <v>80</v>
      </c>
      <c r="N2722" s="8">
        <v>41868.671585648146</v>
      </c>
      <c r="O2722" s="4" t="s">
        <v>133</v>
      </c>
      <c r="P2722" s="3" t="s">
        <v>599</v>
      </c>
      <c r="Q2722" s="10" t="s">
        <v>598</v>
      </c>
      <c r="R2722" s="4"/>
      <c r="S2722" s="9" t="str">
        <f>HYPERLINK("https://pbs.twimg.com/profile_images/942003149430239232/hvLw_1_E.jpg","View")</f>
        <v>View</v>
      </c>
    </row>
    <row r="2723" spans="1:19" ht="20">
      <c r="A2723" s="8">
        <v>43344.497407407413</v>
      </c>
      <c r="B2723" s="11" t="str">
        <f>HYPERLINK("https://twitter.com/fap_ma","@fap_ma")</f>
        <v>@fap_ma</v>
      </c>
      <c r="C2723" s="6" t="s">
        <v>9898</v>
      </c>
      <c r="D2723" s="5" t="s">
        <v>9897</v>
      </c>
      <c r="E2723" s="9" t="str">
        <f>HYPERLINK("https://twitter.com/fap_ma/status/1035790931797176320","1035790931797176320")</f>
        <v>1035790931797176320</v>
      </c>
      <c r="F2723" s="4"/>
      <c r="G2723" s="4"/>
      <c r="H2723" s="4"/>
      <c r="I2723" s="10" t="str">
        <f>HYPERLINK("http://twitter.com/download/android","Twitter for Android")</f>
        <v>Twitter for Android</v>
      </c>
      <c r="J2723" s="2">
        <v>2493</v>
      </c>
      <c r="K2723" s="2">
        <v>814</v>
      </c>
      <c r="L2723" s="2">
        <v>3</v>
      </c>
      <c r="M2723" s="2"/>
      <c r="N2723" s="8">
        <v>42905.141759259262</v>
      </c>
      <c r="O2723" s="4" t="s">
        <v>9896</v>
      </c>
      <c r="P2723" s="3" t="s">
        <v>9895</v>
      </c>
      <c r="Q2723" s="4"/>
      <c r="R2723" s="4"/>
      <c r="S2723" s="9" t="str">
        <f>HYPERLINK("https://pbs.twimg.com/profile_images/1013918220796006402/dRAoC7L_.jpg","View")</f>
        <v>View</v>
      </c>
    </row>
    <row r="2724" spans="1:19" ht="20">
      <c r="A2724" s="8">
        <v>43344.492615740739</v>
      </c>
      <c r="B2724" s="11" t="str">
        <f>HYPERLINK("https://twitter.com/MahdiPour4","@MahdiPour4")</f>
        <v>@MahdiPour4</v>
      </c>
      <c r="C2724" s="6" t="s">
        <v>9894</v>
      </c>
      <c r="D2724" s="5" t="s">
        <v>9893</v>
      </c>
      <c r="E2724" s="9" t="str">
        <f>HYPERLINK("https://twitter.com/MahdiPour4/status/1035789195032387584","1035789195032387584")</f>
        <v>1035789195032387584</v>
      </c>
      <c r="F2724" s="4"/>
      <c r="G2724" s="4"/>
      <c r="H2724" s="4"/>
      <c r="I2724" s="10" t="str">
        <f>HYPERLINK("http://twitter.com/download/android","Twitter for Android")</f>
        <v>Twitter for Android</v>
      </c>
      <c r="J2724" s="2">
        <v>911</v>
      </c>
      <c r="K2724" s="2">
        <v>856</v>
      </c>
      <c r="L2724" s="2">
        <v>1</v>
      </c>
      <c r="M2724" s="2"/>
      <c r="N2724" s="8">
        <v>43110.333125000005</v>
      </c>
      <c r="O2724" s="4"/>
      <c r="P2724" s="3" t="s">
        <v>9892</v>
      </c>
      <c r="Q2724" s="4"/>
      <c r="R2724" s="4"/>
      <c r="S2724" s="9" t="str">
        <f>HYPERLINK("https://pbs.twimg.com/profile_images/1022801682596605953/8swDXzog.jpg","View")</f>
        <v>View</v>
      </c>
    </row>
    <row r="2725" spans="1:19" ht="40">
      <c r="A2725" s="8">
        <v>43344.490752314814</v>
      </c>
      <c r="B2725" s="11" t="str">
        <f>HYPERLINK("https://twitter.com/amire_tanha","@amire_tanha")</f>
        <v>@amire_tanha</v>
      </c>
      <c r="C2725" s="6" t="s">
        <v>9891</v>
      </c>
      <c r="D2725" s="5" t="s">
        <v>9890</v>
      </c>
      <c r="E2725" s="9" t="str">
        <f>HYPERLINK("https://twitter.com/amire_tanha/status/1035788519271227394","1035788519271227394")</f>
        <v>1035788519271227394</v>
      </c>
      <c r="F2725" s="4"/>
      <c r="G2725" s="4"/>
      <c r="H2725" s="4"/>
      <c r="I2725" s="10" t="str">
        <f>HYPERLINK("http://twitter.com/download/iphone","Twitter for iPhone")</f>
        <v>Twitter for iPhone</v>
      </c>
      <c r="J2725" s="2">
        <v>7080</v>
      </c>
      <c r="K2725" s="2">
        <v>3663</v>
      </c>
      <c r="L2725" s="2">
        <v>29</v>
      </c>
      <c r="M2725" s="2"/>
      <c r="N2725" s="8">
        <v>41558.983773148146</v>
      </c>
      <c r="O2725" s="4" t="s">
        <v>682</v>
      </c>
      <c r="P2725" s="3" t="s">
        <v>9889</v>
      </c>
      <c r="Q2725" s="10" t="s">
        <v>9888</v>
      </c>
      <c r="R2725" s="4"/>
      <c r="S2725" s="9" t="str">
        <f>HYPERLINK("https://pbs.twimg.com/profile_images/1035273296059793408/gcRu_pmS.jpg","View")</f>
        <v>View</v>
      </c>
    </row>
    <row r="2726" spans="1:19" ht="40">
      <c r="A2726" s="8">
        <v>43344.489791666667</v>
      </c>
      <c r="B2726" s="11" t="str">
        <f>HYPERLINK("https://twitter.com/SeyedHadiArami","@SeyedHadiArami")</f>
        <v>@SeyedHadiArami</v>
      </c>
      <c r="C2726" s="6" t="s">
        <v>933</v>
      </c>
      <c r="D2726" s="5" t="s">
        <v>9887</v>
      </c>
      <c r="E2726" s="9" t="str">
        <f>HYPERLINK("https://twitter.com/SeyedHadiArami/status/1035788170514890753","1035788170514890753")</f>
        <v>1035788170514890753</v>
      </c>
      <c r="F2726" s="4"/>
      <c r="G2726" s="4"/>
      <c r="H2726" s="4"/>
      <c r="I2726" s="10" t="str">
        <f>HYPERLINK("http://twitter.com/download/android","Twitter for Android")</f>
        <v>Twitter for Android</v>
      </c>
      <c r="J2726" s="2">
        <v>403</v>
      </c>
      <c r="K2726" s="2">
        <v>320</v>
      </c>
      <c r="L2726" s="2">
        <v>1</v>
      </c>
      <c r="M2726" s="2"/>
      <c r="N2726" s="8">
        <v>42439.029074074075</v>
      </c>
      <c r="O2726" s="4"/>
      <c r="P2726" s="3" t="s">
        <v>931</v>
      </c>
      <c r="Q2726" s="10" t="s">
        <v>930</v>
      </c>
      <c r="R2726" s="4"/>
      <c r="S2726" s="9" t="str">
        <f>HYPERLINK("https://pbs.twimg.com/profile_images/951387457957834753/477MoZod.jpg","View")</f>
        <v>View</v>
      </c>
    </row>
    <row r="2727" spans="1:19" ht="30">
      <c r="A2727" s="8">
        <v>43344.487812499996</v>
      </c>
      <c r="B2727" s="11" t="str">
        <f>HYPERLINK("https://twitter.com/AmirAli1344","@AmirAli1344")</f>
        <v>@AmirAli1344</v>
      </c>
      <c r="C2727" s="6" t="s">
        <v>1719</v>
      </c>
      <c r="D2727" s="5" t="s">
        <v>9886</v>
      </c>
      <c r="E2727" s="9" t="str">
        <f>HYPERLINK("https://twitter.com/AmirAli1344/status/1035787451216920576","1035787451216920576")</f>
        <v>1035787451216920576</v>
      </c>
      <c r="F2727" s="4"/>
      <c r="G2727" s="10" t="s">
        <v>9885</v>
      </c>
      <c r="H2727" s="4"/>
      <c r="I2727" s="10" t="str">
        <f>HYPERLINK("http://twitter.com","Twitter Web Client")</f>
        <v>Twitter Web Client</v>
      </c>
      <c r="J2727" s="2">
        <v>3492</v>
      </c>
      <c r="K2727" s="2">
        <v>2568</v>
      </c>
      <c r="L2727" s="2">
        <v>4</v>
      </c>
      <c r="M2727" s="2"/>
      <c r="N2727" s="8">
        <v>42814.762604166666</v>
      </c>
      <c r="O2727" s="4" t="s">
        <v>1716</v>
      </c>
      <c r="P2727" s="3" t="s">
        <v>1715</v>
      </c>
      <c r="Q2727" s="4"/>
      <c r="R2727" s="4"/>
      <c r="S2727" s="9" t="str">
        <f>HYPERLINK("https://pbs.twimg.com/profile_images/986167816570195969/G1B7kO7v.jpg","View")</f>
        <v>View</v>
      </c>
    </row>
    <row r="2728" spans="1:19" ht="30">
      <c r="A2728" s="8">
        <v>43344.486724537041</v>
      </c>
      <c r="B2728" s="11" t="str">
        <f>HYPERLINK("https://twitter.com/thaji13","@thaji13")</f>
        <v>@thaji13</v>
      </c>
      <c r="C2728" s="6" t="s">
        <v>9884</v>
      </c>
      <c r="D2728" s="5" t="s">
        <v>9883</v>
      </c>
      <c r="E2728" s="9" t="str">
        <f>HYPERLINK("https://twitter.com/thaji13/status/1035787058453786626","1035787058453786626")</f>
        <v>1035787058453786626</v>
      </c>
      <c r="F2728" s="4"/>
      <c r="G2728" s="4"/>
      <c r="H2728" s="4"/>
      <c r="I2728" s="10" t="str">
        <f>HYPERLINK("http://twitter.com","Twitter Web Client")</f>
        <v>Twitter Web Client</v>
      </c>
      <c r="J2728" s="2">
        <v>21</v>
      </c>
      <c r="K2728" s="2">
        <v>32</v>
      </c>
      <c r="L2728" s="2">
        <v>0</v>
      </c>
      <c r="M2728" s="2"/>
      <c r="N2728" s="8">
        <v>43303.510185185187</v>
      </c>
      <c r="O2728" s="4"/>
      <c r="P2728" s="3" t="s">
        <v>9882</v>
      </c>
      <c r="Q2728" s="4"/>
      <c r="R2728" s="4"/>
      <c r="S2728" s="2" t="s">
        <v>155</v>
      </c>
    </row>
    <row r="2729" spans="1:19" ht="30">
      <c r="A2729" s="8">
        <v>43344.485416666663</v>
      </c>
      <c r="B2729" s="11" t="str">
        <f>HYPERLINK("https://twitter.com/simasepehri95","@simasepehri95")</f>
        <v>@simasepehri95</v>
      </c>
      <c r="C2729" s="6" t="s">
        <v>9881</v>
      </c>
      <c r="D2729" s="5" t="s">
        <v>9880</v>
      </c>
      <c r="E2729" s="9" t="str">
        <f>HYPERLINK("https://twitter.com/simasepehri95/status/1035786586909298689","1035786586909298689")</f>
        <v>1035786586909298689</v>
      </c>
      <c r="F2729" s="4"/>
      <c r="G2729" s="10" t="s">
        <v>9879</v>
      </c>
      <c r="H2729" s="4"/>
      <c r="I2729" s="10" t="str">
        <f>HYPERLINK("http://twitter.com","Twitter Web Client")</f>
        <v>Twitter Web Client</v>
      </c>
      <c r="J2729" s="2">
        <v>5963</v>
      </c>
      <c r="K2729" s="2">
        <v>2303</v>
      </c>
      <c r="L2729" s="2">
        <v>27</v>
      </c>
      <c r="M2729" s="2"/>
      <c r="N2729" s="8">
        <v>42690.984490740739</v>
      </c>
      <c r="O2729" s="4"/>
      <c r="P2729" s="3" t="s">
        <v>9878</v>
      </c>
      <c r="Q2729" s="4"/>
      <c r="R2729" s="4"/>
      <c r="S2729" s="9" t="str">
        <f>HYPERLINK("https://pbs.twimg.com/profile_images/1026918677923471360/nxx8_6uC.jpg","View")</f>
        <v>View</v>
      </c>
    </row>
    <row r="2730" spans="1:19" ht="70">
      <c r="A2730" s="8">
        <v>43344.484861111108</v>
      </c>
      <c r="B2730" s="11" t="str">
        <f>HYPERLINK("https://twitter.com/rajabi_meisam","@rajabi_meisam")</f>
        <v>@rajabi_meisam</v>
      </c>
      <c r="C2730" s="6" t="s">
        <v>9877</v>
      </c>
      <c r="D2730" s="5" t="s">
        <v>9876</v>
      </c>
      <c r="E2730" s="9" t="str">
        <f>HYPERLINK("https://twitter.com/rajabi_meisam/status/1035786385599483905","1035786385599483905")</f>
        <v>1035786385599483905</v>
      </c>
      <c r="F2730" s="4" t="s">
        <v>9875</v>
      </c>
      <c r="G2730" s="4"/>
      <c r="H2730" s="4"/>
      <c r="I2730" s="10" t="str">
        <f>HYPERLINK("http://twitter.com/download/android","Twitter for Android")</f>
        <v>Twitter for Android</v>
      </c>
      <c r="J2730" s="2">
        <v>155</v>
      </c>
      <c r="K2730" s="2">
        <v>419</v>
      </c>
      <c r="L2730" s="2">
        <v>0</v>
      </c>
      <c r="M2730" s="2"/>
      <c r="N2730" s="8">
        <v>43327.369247685187</v>
      </c>
      <c r="O2730" s="4" t="s">
        <v>9874</v>
      </c>
      <c r="P2730" s="3" t="s">
        <v>9873</v>
      </c>
      <c r="Q2730" s="10" t="s">
        <v>9872</v>
      </c>
      <c r="R2730" s="4"/>
      <c r="S2730" s="9" t="str">
        <f>HYPERLINK("https://pbs.twimg.com/profile_images/1029615308263317504/px0RNwpV.jpg","View")</f>
        <v>View</v>
      </c>
    </row>
    <row r="2731" spans="1:19" ht="40">
      <c r="A2731" s="8">
        <v>43344.481574074074</v>
      </c>
      <c r="B2731" s="11" t="str">
        <f>HYPERLINK("https://twitter.com/mohamadmobin1","@mohamadmobin1")</f>
        <v>@mohamadmobin1</v>
      </c>
      <c r="C2731" s="6" t="s">
        <v>4965</v>
      </c>
      <c r="D2731" s="5" t="s">
        <v>9871</v>
      </c>
      <c r="E2731" s="9" t="str">
        <f>HYPERLINK("https://twitter.com/mohamadmobin1/status/1035785192986890241","1035785192986890241")</f>
        <v>1035785192986890241</v>
      </c>
      <c r="F2731" s="4"/>
      <c r="G2731" s="4"/>
      <c r="H2731" s="4"/>
      <c r="I2731" s="10" t="str">
        <f>HYPERLINK("http://twitter.com/download/android","Twitter for Android")</f>
        <v>Twitter for Android</v>
      </c>
      <c r="J2731" s="2">
        <v>64</v>
      </c>
      <c r="K2731" s="2">
        <v>182</v>
      </c>
      <c r="L2731" s="2">
        <v>1</v>
      </c>
      <c r="M2731" s="2"/>
      <c r="N2731" s="8">
        <v>41554.514861111107</v>
      </c>
      <c r="O2731" s="4"/>
      <c r="P2731" s="3" t="s">
        <v>4963</v>
      </c>
      <c r="Q2731" s="4"/>
      <c r="R2731" s="4"/>
      <c r="S2731" s="9" t="str">
        <f>HYPERLINK("https://pbs.twimg.com/profile_images/995743173879255040/3z8fiUhK.jpg","View")</f>
        <v>View</v>
      </c>
    </row>
    <row r="2732" spans="1:19" ht="30">
      <c r="A2732" s="8">
        <v>43344.479953703703</v>
      </c>
      <c r="B2732" s="11" t="str">
        <f>HYPERLINK("https://twitter.com/ehsaneki","@ehsaneki")</f>
        <v>@ehsaneki</v>
      </c>
      <c r="C2732" s="6" t="s">
        <v>9870</v>
      </c>
      <c r="D2732" s="5" t="s">
        <v>9869</v>
      </c>
      <c r="E2732" s="9" t="str">
        <f>HYPERLINK("https://twitter.com/ehsaneki/status/1035784604928626689","1035784604928626689")</f>
        <v>1035784604928626689</v>
      </c>
      <c r="F2732" s="4"/>
      <c r="G2732" s="4"/>
      <c r="H2732" s="4"/>
      <c r="I2732" s="10" t="str">
        <f>HYPERLINK("http://twitter.com/download/android","Twitter for Android")</f>
        <v>Twitter for Android</v>
      </c>
      <c r="J2732" s="2">
        <v>7</v>
      </c>
      <c r="K2732" s="2">
        <v>61</v>
      </c>
      <c r="L2732" s="2">
        <v>0</v>
      </c>
      <c r="M2732" s="2"/>
      <c r="N2732" s="8">
        <v>43123.189675925925</v>
      </c>
      <c r="O2732" s="4" t="s">
        <v>805</v>
      </c>
      <c r="P2732" s="3"/>
      <c r="Q2732" s="4"/>
      <c r="R2732" s="4"/>
      <c r="S2732" s="9" t="str">
        <f>HYPERLINK("https://pbs.twimg.com/profile_images/1025709989531459584/AJtdhfmA.jpg","View")</f>
        <v>View</v>
      </c>
    </row>
    <row r="2733" spans="1:19" ht="30">
      <c r="A2733" s="8">
        <v>43344.472175925926</v>
      </c>
      <c r="B2733" s="11" t="str">
        <f>HYPERLINK("https://twitter.com/hooman_hosn","@hooman_hosn")</f>
        <v>@hooman_hosn</v>
      </c>
      <c r="C2733" s="6" t="s">
        <v>9575</v>
      </c>
      <c r="D2733" s="5" t="s">
        <v>9868</v>
      </c>
      <c r="E2733" s="9" t="str">
        <f>HYPERLINK("https://twitter.com/hooman_hosn/status/1035781787228794880","1035781787228794880")</f>
        <v>1035781787228794880</v>
      </c>
      <c r="F2733" s="4"/>
      <c r="G2733" s="4"/>
      <c r="H2733" s="4"/>
      <c r="I2733" s="10" t="str">
        <f>HYPERLINK("http://twitter.com/download/iphone","Twitter for iPhone")</f>
        <v>Twitter for iPhone</v>
      </c>
      <c r="J2733" s="2">
        <v>106</v>
      </c>
      <c r="K2733" s="2">
        <v>107</v>
      </c>
      <c r="L2733" s="2">
        <v>0</v>
      </c>
      <c r="M2733" s="2"/>
      <c r="N2733" s="8">
        <v>42888.693113425921</v>
      </c>
      <c r="O2733" s="4" t="s">
        <v>9573</v>
      </c>
      <c r="P2733" s="3" t="s">
        <v>9572</v>
      </c>
      <c r="Q2733" s="4"/>
      <c r="R2733" s="4"/>
      <c r="S2733" s="9" t="str">
        <f>HYPERLINK("https://pbs.twimg.com/profile_images/1013118468395360256/Gm2C7DNg.jpg","View")</f>
        <v>View</v>
      </c>
    </row>
    <row r="2734" spans="1:19" ht="20">
      <c r="A2734" s="8">
        <v>43344.467546296291</v>
      </c>
      <c r="B2734" s="11" t="str">
        <f>HYPERLINK("https://twitter.com/Emtedadnews","@Emtedadnews")</f>
        <v>@Emtedadnews</v>
      </c>
      <c r="C2734" s="6" t="s">
        <v>9867</v>
      </c>
      <c r="D2734" s="5" t="s">
        <v>9866</v>
      </c>
      <c r="E2734" s="9" t="str">
        <f>HYPERLINK("https://twitter.com/Emtedadnews/status/1035780107527442433","1035780107527442433")</f>
        <v>1035780107527442433</v>
      </c>
      <c r="F2734" s="4"/>
      <c r="G2734" s="10" t="s">
        <v>9865</v>
      </c>
      <c r="H2734" s="4"/>
      <c r="I2734" s="10" t="str">
        <f>HYPERLINK("http://twitter.com/download/iphone","Twitter for iPhone")</f>
        <v>Twitter for iPhone</v>
      </c>
      <c r="J2734" s="2">
        <v>2929</v>
      </c>
      <c r="K2734" s="2">
        <v>22</v>
      </c>
      <c r="L2734" s="2">
        <v>22</v>
      </c>
      <c r="M2734" s="2"/>
      <c r="N2734" s="8">
        <v>42836.838078703702</v>
      </c>
      <c r="O2734" s="4" t="s">
        <v>34</v>
      </c>
      <c r="P2734" s="3" t="s">
        <v>9864</v>
      </c>
      <c r="Q2734" s="10" t="s">
        <v>5990</v>
      </c>
      <c r="R2734" s="4"/>
      <c r="S2734" s="9" t="str">
        <f>HYPERLINK("https://pbs.twimg.com/profile_images/856112453649932289/LCZwrtbr.jpg","View")</f>
        <v>View</v>
      </c>
    </row>
    <row r="2735" spans="1:19" ht="30">
      <c r="A2735" s="8">
        <v>43344.467465277776</v>
      </c>
      <c r="B2735" s="11" t="str">
        <f>HYPERLINK("https://twitter.com/Entekhab_News","@Entekhab_News")</f>
        <v>@Entekhab_News</v>
      </c>
      <c r="C2735" s="6" t="s">
        <v>519</v>
      </c>
      <c r="D2735" s="5" t="s">
        <v>9863</v>
      </c>
      <c r="E2735" s="9" t="str">
        <f>HYPERLINK("https://twitter.com/Entekhab_News/status/1035780081560551424","1035780081560551424")</f>
        <v>1035780081560551424</v>
      </c>
      <c r="F2735" s="4"/>
      <c r="G2735" s="10" t="s">
        <v>9862</v>
      </c>
      <c r="H2735" s="4"/>
      <c r="I2735" s="10" t="str">
        <f>HYPERLINK("http://twitter.com/download/android","Twitter for Android")</f>
        <v>Twitter for Android</v>
      </c>
      <c r="J2735" s="2">
        <v>16199</v>
      </c>
      <c r="K2735" s="2">
        <v>0</v>
      </c>
      <c r="L2735" s="2">
        <v>152</v>
      </c>
      <c r="M2735" s="2"/>
      <c r="N2735" s="8">
        <v>41846.90483796296</v>
      </c>
      <c r="O2735" s="4" t="s">
        <v>244</v>
      </c>
      <c r="P2735" s="3" t="s">
        <v>517</v>
      </c>
      <c r="Q2735" s="10" t="s">
        <v>516</v>
      </c>
      <c r="R2735" s="4"/>
      <c r="S2735" s="9" t="str">
        <f>HYPERLINK("https://pbs.twimg.com/profile_images/840302676332146689/objFI1sw.jpg","View")</f>
        <v>View</v>
      </c>
    </row>
    <row r="2736" spans="1:19" ht="40">
      <c r="A2736" s="8">
        <v>43344.467372685191</v>
      </c>
      <c r="B2736" s="11" t="str">
        <f>HYPERLINK("https://twitter.com/drmdehghan","@drmdehghan")</f>
        <v>@drmdehghan</v>
      </c>
      <c r="C2736" s="6" t="s">
        <v>9861</v>
      </c>
      <c r="D2736" s="5" t="s">
        <v>9860</v>
      </c>
      <c r="E2736" s="9" t="str">
        <f>HYPERLINK("https://twitter.com/drmdehghan/status/1035780043996319744","1035780043996319744")</f>
        <v>1035780043996319744</v>
      </c>
      <c r="F2736" s="4"/>
      <c r="G2736" s="4"/>
      <c r="H2736" s="4"/>
      <c r="I2736" s="10" t="str">
        <f>HYPERLINK("http://twitter.com","Twitter Web Client")</f>
        <v>Twitter Web Client</v>
      </c>
      <c r="J2736" s="2">
        <v>3722</v>
      </c>
      <c r="K2736" s="2">
        <v>2</v>
      </c>
      <c r="L2736" s="2">
        <v>48</v>
      </c>
      <c r="M2736" s="2"/>
      <c r="N2736" s="8">
        <v>42850.76226851852</v>
      </c>
      <c r="O2736" s="4" t="s">
        <v>324</v>
      </c>
      <c r="P2736" s="3" t="s">
        <v>9859</v>
      </c>
      <c r="Q2736" s="10" t="s">
        <v>9858</v>
      </c>
      <c r="R2736" s="4"/>
      <c r="S2736" s="9" t="str">
        <f>HYPERLINK("https://pbs.twimg.com/profile_images/932546801391099904/wsda4frD.jpg","View")</f>
        <v>View</v>
      </c>
    </row>
    <row r="2737" spans="1:19" ht="60">
      <c r="A2737" s="8">
        <v>43344.460983796293</v>
      </c>
      <c r="B2737" s="11" t="str">
        <f>HYPERLINK("https://twitter.com/tp4_ir","@tp4_ir")</f>
        <v>@tp4_ir</v>
      </c>
      <c r="C2737" s="6" t="s">
        <v>5689</v>
      </c>
      <c r="D2737" s="5" t="s">
        <v>9857</v>
      </c>
      <c r="E2737" s="9" t="str">
        <f>HYPERLINK("https://twitter.com/tp4_ir/status/1035777729466167296","1035777729466167296")</f>
        <v>1035777729466167296</v>
      </c>
      <c r="F2737" s="4" t="s">
        <v>9856</v>
      </c>
      <c r="G2737" s="4"/>
      <c r="H2737" s="4"/>
      <c r="I2737" s="10" t="str">
        <f>HYPERLINK("http://twitter.com/download/android","Twitter for Android")</f>
        <v>Twitter for Android</v>
      </c>
      <c r="J2737" s="2">
        <v>160</v>
      </c>
      <c r="K2737" s="2">
        <v>1</v>
      </c>
      <c r="L2737" s="2">
        <v>5</v>
      </c>
      <c r="M2737" s="2"/>
      <c r="N2737" s="8">
        <v>43080.615277777775</v>
      </c>
      <c r="O2737" s="4"/>
      <c r="P2737" s="3" t="s">
        <v>5686</v>
      </c>
      <c r="Q2737" s="10" t="s">
        <v>5685</v>
      </c>
      <c r="R2737" s="4"/>
      <c r="S2737" s="9" t="str">
        <f>HYPERLINK("https://pbs.twimg.com/profile_images/972738749233860608/YUa1868T.jpg","View")</f>
        <v>View</v>
      </c>
    </row>
    <row r="2738" spans="1:19" ht="30">
      <c r="A2738" s="8">
        <v>43344.458553240736</v>
      </c>
      <c r="B2738" s="11" t="str">
        <f>HYPERLINK("https://twitter.com/janati100","@janati100")</f>
        <v>@janati100</v>
      </c>
      <c r="C2738" s="6" t="s">
        <v>9855</v>
      </c>
      <c r="D2738" s="5" t="s">
        <v>9854</v>
      </c>
      <c r="E2738" s="9" t="str">
        <f>HYPERLINK("https://twitter.com/janati100/status/1035776848624476161","1035776848624476161")</f>
        <v>1035776848624476161</v>
      </c>
      <c r="F2738" s="4"/>
      <c r="G2738" s="10" t="s">
        <v>9853</v>
      </c>
      <c r="H2738" s="4"/>
      <c r="I2738" s="10" t="str">
        <f>HYPERLINK("http://twitter.com/download/android","Twitter for Android")</f>
        <v>Twitter for Android</v>
      </c>
      <c r="J2738" s="2">
        <v>293</v>
      </c>
      <c r="K2738" s="2">
        <v>307</v>
      </c>
      <c r="L2738" s="2">
        <v>0</v>
      </c>
      <c r="M2738" s="2"/>
      <c r="N2738" s="8">
        <v>43293.771851851852</v>
      </c>
      <c r="O2738" s="4" t="s">
        <v>9852</v>
      </c>
      <c r="P2738" s="3" t="s">
        <v>9851</v>
      </c>
      <c r="Q2738" s="4"/>
      <c r="R2738" s="4"/>
      <c r="S2738" s="9" t="str">
        <f>HYPERLINK("https://pbs.twimg.com/profile_images/1032833230645485568/ay4sZv0v.jpg","View")</f>
        <v>View</v>
      </c>
    </row>
    <row r="2739" spans="1:19" ht="12.5">
      <c r="A2739" s="8">
        <v>43344.458148148144</v>
      </c>
      <c r="B2739" s="11" t="str">
        <f>HYPERLINK("https://twitter.com/z_sadat118","@z_sadat118")</f>
        <v>@z_sadat118</v>
      </c>
      <c r="C2739" s="6" t="s">
        <v>9850</v>
      </c>
      <c r="D2739" s="5" t="s">
        <v>9849</v>
      </c>
      <c r="E2739" s="9" t="str">
        <f>HYPERLINK("https://twitter.com/z_sadat118/status/1035776701882683393","1035776701882683393")</f>
        <v>1035776701882683393</v>
      </c>
      <c r="F2739" s="4"/>
      <c r="G2739" s="10" t="s">
        <v>9848</v>
      </c>
      <c r="H2739" s="4"/>
      <c r="I2739" s="10" t="str">
        <f>HYPERLINK("http://twitter.com","Twitter Web Client")</f>
        <v>Twitter Web Client</v>
      </c>
      <c r="J2739" s="2">
        <v>589</v>
      </c>
      <c r="K2739" s="2">
        <v>465</v>
      </c>
      <c r="L2739" s="2">
        <v>1</v>
      </c>
      <c r="M2739" s="2"/>
      <c r="N2739" s="8">
        <v>43229.945150462961</v>
      </c>
      <c r="O2739" s="4" t="s">
        <v>34</v>
      </c>
      <c r="P2739" s="3" t="s">
        <v>9847</v>
      </c>
      <c r="Q2739" s="4"/>
      <c r="R2739" s="4"/>
      <c r="S2739" s="9" t="str">
        <f>HYPERLINK("https://pbs.twimg.com/profile_images/1031806406717071360/_4N8PgOG.jpg","View")</f>
        <v>View</v>
      </c>
    </row>
    <row r="2740" spans="1:19" ht="40">
      <c r="A2740" s="8">
        <v>43344.454652777778</v>
      </c>
      <c r="B2740" s="11" t="str">
        <f>HYPERLINK("https://twitter.com/R_Taghipour","@R_Taghipour")</f>
        <v>@R_Taghipour</v>
      </c>
      <c r="C2740" s="6" t="s">
        <v>448</v>
      </c>
      <c r="D2740" s="5" t="s">
        <v>9846</v>
      </c>
      <c r="E2740" s="9" t="str">
        <f>HYPERLINK("https://twitter.com/R_Taghipour/status/1035775436708622338","1035775436708622338")</f>
        <v>1035775436708622338</v>
      </c>
      <c r="F2740" s="4"/>
      <c r="G2740" s="10" t="s">
        <v>9845</v>
      </c>
      <c r="H2740" s="4"/>
      <c r="I2740" s="10" t="str">
        <f>HYPERLINK("http://twitter.com","Twitter Web Client")</f>
        <v>Twitter Web Client</v>
      </c>
      <c r="J2740" s="2">
        <v>4040</v>
      </c>
      <c r="K2740" s="2">
        <v>1987</v>
      </c>
      <c r="L2740" s="2">
        <v>10</v>
      </c>
      <c r="M2740" s="2"/>
      <c r="N2740" s="8">
        <v>42234.542638888888</v>
      </c>
      <c r="O2740" s="4" t="s">
        <v>445</v>
      </c>
      <c r="P2740" s="3" t="s">
        <v>444</v>
      </c>
      <c r="Q2740" s="10" t="s">
        <v>443</v>
      </c>
      <c r="R2740" s="4"/>
      <c r="S2740" s="9" t="str">
        <f>HYPERLINK("https://pbs.twimg.com/profile_images/982938324754149378/hnCmxg2t.jpg","View")</f>
        <v>View</v>
      </c>
    </row>
    <row r="2741" spans="1:19" ht="20">
      <c r="A2741" s="8">
        <v>43344.450694444444</v>
      </c>
      <c r="B2741" s="11" t="str">
        <f>HYPERLINK("https://twitter.com/smostafa1992","@smostafa1992")</f>
        <v>@smostafa1992</v>
      </c>
      <c r="C2741" s="6" t="s">
        <v>1076</v>
      </c>
      <c r="D2741" s="5" t="s">
        <v>9844</v>
      </c>
      <c r="E2741" s="9" t="str">
        <f>HYPERLINK("https://twitter.com/smostafa1992/status/1035774003619803136","1035774003619803136")</f>
        <v>1035774003619803136</v>
      </c>
      <c r="F2741" s="4"/>
      <c r="G2741" s="10" t="s">
        <v>9843</v>
      </c>
      <c r="H2741" s="4"/>
      <c r="I2741" s="10" t="str">
        <f>HYPERLINK("http://twitter.com/download/iphone","Twitter for iPhone")</f>
        <v>Twitter for iPhone</v>
      </c>
      <c r="J2741" s="2">
        <v>10</v>
      </c>
      <c r="K2741" s="2">
        <v>33</v>
      </c>
      <c r="L2741" s="2">
        <v>0</v>
      </c>
      <c r="M2741" s="2"/>
      <c r="N2741" s="8">
        <v>43326.545289351852</v>
      </c>
      <c r="O2741" s="4" t="s">
        <v>1074</v>
      </c>
      <c r="P2741" s="3" t="s">
        <v>1073</v>
      </c>
      <c r="Q2741" s="10" t="s">
        <v>1072</v>
      </c>
      <c r="R2741" s="4"/>
      <c r="S2741" s="9" t="str">
        <f>HYPERLINK("https://pbs.twimg.com/profile_images/1029287491138990083/OQSkcKdz.jpg","View")</f>
        <v>View</v>
      </c>
    </row>
    <row r="2742" spans="1:19" ht="20">
      <c r="A2742" s="8">
        <v>43344.444594907407</v>
      </c>
      <c r="B2742" s="11" t="str">
        <f>HYPERLINK("https://twitter.com/HaghighiPrt","@HaghighiPrt")</f>
        <v>@HaghighiPrt</v>
      </c>
      <c r="C2742" s="6" t="s">
        <v>9842</v>
      </c>
      <c r="D2742" s="5" t="s">
        <v>9841</v>
      </c>
      <c r="E2742" s="9" t="str">
        <f>HYPERLINK("https://twitter.com/HaghighiPrt/status/1035771790507687936","1035771790507687936")</f>
        <v>1035771790507687936</v>
      </c>
      <c r="F2742" s="4"/>
      <c r="G2742" s="4"/>
      <c r="H2742" s="4"/>
      <c r="I2742" s="10" t="str">
        <f>HYPERLINK("https://about.twitter.com/products/tweetdeck","TweetDeck")</f>
        <v>TweetDeck</v>
      </c>
      <c r="J2742" s="2">
        <v>267</v>
      </c>
      <c r="K2742" s="2">
        <v>424</v>
      </c>
      <c r="L2742" s="2">
        <v>0</v>
      </c>
      <c r="M2742" s="2"/>
      <c r="N2742" s="8">
        <v>42891.818576388891</v>
      </c>
      <c r="O2742" s="4" t="s">
        <v>34</v>
      </c>
      <c r="P2742" s="3" t="s">
        <v>9840</v>
      </c>
      <c r="Q2742" s="4"/>
      <c r="R2742" s="4"/>
      <c r="S2742" s="9" t="str">
        <f>HYPERLINK("https://pbs.twimg.com/profile_images/1016904440568168448/Hsx6q6gA.jpg","View")</f>
        <v>View</v>
      </c>
    </row>
    <row r="2743" spans="1:19" ht="30">
      <c r="A2743" s="8">
        <v>43344.443611111114</v>
      </c>
      <c r="B2743" s="11" t="str">
        <f>HYPERLINK("https://twitter.com/Tasnimnews_Fa","@Tasnimnews_Fa")</f>
        <v>@Tasnimnews_Fa</v>
      </c>
      <c r="C2743" s="6" t="s">
        <v>603</v>
      </c>
      <c r="D2743" s="5" t="s">
        <v>9839</v>
      </c>
      <c r="E2743" s="9" t="str">
        <f>HYPERLINK("https://twitter.com/Tasnimnews_Fa/status/1035771436445704193","1035771436445704193")</f>
        <v>1035771436445704193</v>
      </c>
      <c r="F2743" s="10" t="s">
        <v>9838</v>
      </c>
      <c r="G2743" s="10" t="s">
        <v>9837</v>
      </c>
      <c r="H2743" s="4"/>
      <c r="I2743" s="10" t="str">
        <f>HYPERLINK("http://twitter.com","Twitter Web Client")</f>
        <v>Twitter Web Client</v>
      </c>
      <c r="J2743" s="2">
        <v>109521</v>
      </c>
      <c r="K2743" s="2">
        <v>20</v>
      </c>
      <c r="L2743" s="2">
        <v>376</v>
      </c>
      <c r="M2743" s="2" t="s">
        <v>80</v>
      </c>
      <c r="N2743" s="8">
        <v>41868.671585648146</v>
      </c>
      <c r="O2743" s="4" t="s">
        <v>133</v>
      </c>
      <c r="P2743" s="3" t="s">
        <v>599</v>
      </c>
      <c r="Q2743" s="10" t="s">
        <v>598</v>
      </c>
      <c r="R2743" s="4"/>
      <c r="S2743" s="9" t="str">
        <f>HYPERLINK("https://pbs.twimg.com/profile_images/942003149430239232/hvLw_1_E.jpg","View")</f>
        <v>View</v>
      </c>
    </row>
    <row r="2744" spans="1:19" ht="40">
      <c r="A2744" s="8">
        <v>43344.443344907406</v>
      </c>
      <c r="B2744" s="11" t="str">
        <f>HYPERLINK("https://twitter.com/BayatiAkbar","@BayatiAkbar")</f>
        <v>@BayatiAkbar</v>
      </c>
      <c r="C2744" s="6" t="s">
        <v>9836</v>
      </c>
      <c r="D2744" s="5" t="s">
        <v>9835</v>
      </c>
      <c r="E2744" s="9" t="str">
        <f>HYPERLINK("https://twitter.com/BayatiAkbar/status/1035771337313275905","1035771337313275905")</f>
        <v>1035771337313275905</v>
      </c>
      <c r="F2744" s="4"/>
      <c r="G2744" s="4"/>
      <c r="H2744" s="4"/>
      <c r="I2744" s="10" t="str">
        <f>HYPERLINK("http://twitter.com/download/android","Twitter for Android")</f>
        <v>Twitter for Android</v>
      </c>
      <c r="J2744" s="2">
        <v>20</v>
      </c>
      <c r="K2744" s="2">
        <v>75</v>
      </c>
      <c r="L2744" s="2">
        <v>0</v>
      </c>
      <c r="M2744" s="2"/>
      <c r="N2744" s="8">
        <v>43338.582407407404</v>
      </c>
      <c r="O2744" s="4" t="s">
        <v>104</v>
      </c>
      <c r="P2744" s="3" t="s">
        <v>9834</v>
      </c>
      <c r="Q2744" s="4"/>
      <c r="R2744" s="4"/>
      <c r="S2744" s="9" t="str">
        <f>HYPERLINK("https://pbs.twimg.com/profile_images/1034442990054465536/fm2zHHmx.jpg","View")</f>
        <v>View</v>
      </c>
    </row>
    <row r="2745" spans="1:19" ht="30">
      <c r="A2745" s="8">
        <v>43344.440034722225</v>
      </c>
      <c r="B2745" s="11" t="str">
        <f>HYPERLINK("https://twitter.com/alef_ir","@alef_ir")</f>
        <v>@alef_ir</v>
      </c>
      <c r="C2745" s="6" t="s">
        <v>9833</v>
      </c>
      <c r="D2745" s="5" t="s">
        <v>9832</v>
      </c>
      <c r="E2745" s="9" t="str">
        <f>HYPERLINK("https://twitter.com/alef_ir/status/1035770138275004417","1035770138275004417")</f>
        <v>1035770138275004417</v>
      </c>
      <c r="F2745" s="10" t="s">
        <v>9831</v>
      </c>
      <c r="G2745" s="4"/>
      <c r="H2745" s="4"/>
      <c r="I2745" s="10" t="str">
        <f>HYPERLINK("http://instagram.com","Instagram")</f>
        <v>Instagram</v>
      </c>
      <c r="J2745" s="2">
        <v>177</v>
      </c>
      <c r="K2745" s="2">
        <v>221</v>
      </c>
      <c r="L2745" s="2">
        <v>5</v>
      </c>
      <c r="M2745" s="2"/>
      <c r="N2745" s="8">
        <v>39705.926550925928</v>
      </c>
      <c r="O2745" s="4" t="s">
        <v>34</v>
      </c>
      <c r="P2745" s="3" t="s">
        <v>9830</v>
      </c>
      <c r="Q2745" s="10" t="s">
        <v>9829</v>
      </c>
      <c r="R2745" s="4"/>
      <c r="S2745" s="9" t="str">
        <f>HYPERLINK("https://pbs.twimg.com/profile_images/881472088938344448/fvosFAnW.jpg","View")</f>
        <v>View</v>
      </c>
    </row>
    <row r="2746" spans="1:19" ht="30">
      <c r="A2746" s="8">
        <v>43344.436828703707</v>
      </c>
      <c r="B2746" s="11" t="str">
        <f>HYPERLINK("https://twitter.com/smostafa1992","@smostafa1992")</f>
        <v>@smostafa1992</v>
      </c>
      <c r="C2746" s="6" t="s">
        <v>1076</v>
      </c>
      <c r="D2746" s="5" t="s">
        <v>9828</v>
      </c>
      <c r="E2746" s="9" t="str">
        <f>HYPERLINK("https://twitter.com/smostafa1992/status/1035768978302545921","1035768978302545921")</f>
        <v>1035768978302545921</v>
      </c>
      <c r="F2746" s="4"/>
      <c r="G2746" s="4"/>
      <c r="H2746" s="4"/>
      <c r="I2746" s="10" t="str">
        <f>HYPERLINK("http://twitter.com/download/iphone","Twitter for iPhone")</f>
        <v>Twitter for iPhone</v>
      </c>
      <c r="J2746" s="2">
        <v>10</v>
      </c>
      <c r="K2746" s="2">
        <v>33</v>
      </c>
      <c r="L2746" s="2">
        <v>0</v>
      </c>
      <c r="M2746" s="2"/>
      <c r="N2746" s="8">
        <v>43326.545289351852</v>
      </c>
      <c r="O2746" s="4" t="s">
        <v>1074</v>
      </c>
      <c r="P2746" s="3" t="s">
        <v>1073</v>
      </c>
      <c r="Q2746" s="10" t="s">
        <v>1072</v>
      </c>
      <c r="R2746" s="4"/>
      <c r="S2746" s="9" t="str">
        <f>HYPERLINK("https://pbs.twimg.com/profile_images/1029287491138990083/OQSkcKdz.jpg","View")</f>
        <v>View</v>
      </c>
    </row>
    <row r="2747" spans="1:19" ht="30">
      <c r="A2747" s="8">
        <v>43344.431250000001</v>
      </c>
      <c r="B2747" s="11" t="str">
        <f>HYPERLINK("https://twitter.com/AkhbarFori","@AkhbarFori")</f>
        <v>@AkhbarFori</v>
      </c>
      <c r="C2747" s="6" t="s">
        <v>703</v>
      </c>
      <c r="D2747" s="5" t="s">
        <v>9827</v>
      </c>
      <c r="E2747" s="9" t="str">
        <f>HYPERLINK("https://twitter.com/AkhbarFori/status/1035766956035661824","1035766956035661824")</f>
        <v>1035766956035661824</v>
      </c>
      <c r="F2747" s="4"/>
      <c r="G2747" s="4"/>
      <c r="H2747" s="4"/>
      <c r="I2747" s="10" t="str">
        <f>HYPERLINK("http://twitter.com/download/android","Twitter for Android")</f>
        <v>Twitter for Android</v>
      </c>
      <c r="J2747" s="2">
        <v>2277</v>
      </c>
      <c r="K2747" s="2">
        <v>56</v>
      </c>
      <c r="L2747" s="2">
        <v>10</v>
      </c>
      <c r="M2747" s="2"/>
      <c r="N2747" s="8">
        <v>42681.433865740742</v>
      </c>
      <c r="O2747" s="4" t="s">
        <v>34</v>
      </c>
      <c r="P2747" s="3" t="s">
        <v>700</v>
      </c>
      <c r="Q2747" s="10" t="s">
        <v>699</v>
      </c>
      <c r="R2747" s="4"/>
      <c r="S2747" s="9" t="str">
        <f>HYPERLINK("https://pbs.twimg.com/profile_images/966310274599964674/M_bW7CfD.jpg","View")</f>
        <v>View</v>
      </c>
    </row>
    <row r="2748" spans="1:19" ht="30">
      <c r="A2748" s="8">
        <v>43344.429594907408</v>
      </c>
      <c r="B2748" s="11" t="str">
        <f>HYPERLINK("https://twitter.com/eliyaomid","@eliyaomid")</f>
        <v>@eliyaomid</v>
      </c>
      <c r="C2748" s="6" t="s">
        <v>5821</v>
      </c>
      <c r="D2748" s="5" t="s">
        <v>9826</v>
      </c>
      <c r="E2748" s="9" t="str">
        <f>HYPERLINK("https://twitter.com/eliyaomid/status/1035766354907987968","1035766354907987968")</f>
        <v>1035766354907987968</v>
      </c>
      <c r="F2748" s="10" t="s">
        <v>9825</v>
      </c>
      <c r="G2748" s="10" t="s">
        <v>9824</v>
      </c>
      <c r="H2748" s="4"/>
      <c r="I2748" s="10" t="str">
        <f>HYPERLINK("http://tickethall.ir","Tickethall")</f>
        <v>Tickethall</v>
      </c>
      <c r="J2748" s="2">
        <v>42</v>
      </c>
      <c r="K2748" s="2">
        <v>39</v>
      </c>
      <c r="L2748" s="2">
        <v>1</v>
      </c>
      <c r="M2748" s="2"/>
      <c r="N2748" s="8">
        <v>41893.800821759258</v>
      </c>
      <c r="O2748" s="4"/>
      <c r="P2748" s="3" t="s">
        <v>5818</v>
      </c>
      <c r="Q2748" s="10" t="s">
        <v>5817</v>
      </c>
      <c r="R2748" s="4"/>
      <c r="S2748" s="2" t="s">
        <v>155</v>
      </c>
    </row>
    <row r="2749" spans="1:19" ht="20">
      <c r="A2749" s="8">
        <v>43344.427337962959</v>
      </c>
      <c r="B2749" s="11" t="str">
        <f>HYPERLINK("https://twitter.com/Montaze42143252","@Montaze42143252")</f>
        <v>@Montaze42143252</v>
      </c>
      <c r="C2749" s="6" t="s">
        <v>9823</v>
      </c>
      <c r="D2749" s="5" t="s">
        <v>9822</v>
      </c>
      <c r="E2749" s="9" t="str">
        <f>HYPERLINK("https://twitter.com/Montaze42143252/status/1035765539661066242","1035765539661066242")</f>
        <v>1035765539661066242</v>
      </c>
      <c r="F2749" s="4"/>
      <c r="G2749" s="4"/>
      <c r="H2749" s="4"/>
      <c r="I2749" s="10" t="str">
        <f>HYPERLINK("http://twitter.com/download/android","Twitter for Android")</f>
        <v>Twitter for Android</v>
      </c>
      <c r="J2749" s="2">
        <v>2</v>
      </c>
      <c r="K2749" s="2">
        <v>14</v>
      </c>
      <c r="L2749" s="2">
        <v>0</v>
      </c>
      <c r="M2749" s="2"/>
      <c r="N2749" s="8">
        <v>43325.740289351852</v>
      </c>
      <c r="O2749" s="4" t="s">
        <v>9821</v>
      </c>
      <c r="P2749" s="3" t="s">
        <v>9820</v>
      </c>
      <c r="Q2749" s="4"/>
      <c r="R2749" s="4"/>
      <c r="S2749" s="9" t="str">
        <f>HYPERLINK("https://pbs.twimg.com/profile_images/1029241061678440448/qY8bg38F.jpg","View")</f>
        <v>View</v>
      </c>
    </row>
    <row r="2750" spans="1:19" ht="20">
      <c r="A2750" s="8">
        <v>43344.424444444448</v>
      </c>
      <c r="B2750" s="11" t="str">
        <f>HYPERLINK("https://twitter.com/tablighchannel","@tablighchannel")</f>
        <v>@tablighchannel</v>
      </c>
      <c r="C2750" s="6" t="s">
        <v>9817</v>
      </c>
      <c r="D2750" s="5" t="s">
        <v>9819</v>
      </c>
      <c r="E2750" s="9" t="str">
        <f>HYPERLINK("https://twitter.com/tablighchannel/status/1035764490506125312","1035764490506125312")</f>
        <v>1035764490506125312</v>
      </c>
      <c r="F2750" s="4"/>
      <c r="G2750" s="4"/>
      <c r="H2750" s="4"/>
      <c r="I2750" s="10" t="str">
        <f>HYPERLINK("http://twitter.com","Twitter Web Client")</f>
        <v>Twitter Web Client</v>
      </c>
      <c r="J2750" s="2">
        <v>1647</v>
      </c>
      <c r="K2750" s="2">
        <v>4898</v>
      </c>
      <c r="L2750" s="2">
        <v>0</v>
      </c>
      <c r="M2750" s="2"/>
      <c r="N2750" s="8">
        <v>43113.40898148148</v>
      </c>
      <c r="O2750" s="4"/>
      <c r="P2750" s="3" t="s">
        <v>9815</v>
      </c>
      <c r="Q2750" s="4"/>
      <c r="R2750" s="4"/>
      <c r="S2750" s="9" t="str">
        <f>HYPERLINK("https://pbs.twimg.com/profile_images/952063872285855744/kjo9apym.jpg","View")</f>
        <v>View</v>
      </c>
    </row>
    <row r="2751" spans="1:19" ht="40">
      <c r="A2751" s="8">
        <v>43344.420254629629</v>
      </c>
      <c r="B2751" s="11" t="str">
        <f>HYPERLINK("https://twitter.com/ata_afs","@ata_afs")</f>
        <v>@ata_afs</v>
      </c>
      <c r="C2751" s="6" t="s">
        <v>1217</v>
      </c>
      <c r="D2751" s="5" t="s">
        <v>9818</v>
      </c>
      <c r="E2751" s="9" t="str">
        <f>HYPERLINK("https://twitter.com/ata_afs/status/1035762971224330245","1035762971224330245")</f>
        <v>1035762971224330245</v>
      </c>
      <c r="F2751" s="4"/>
      <c r="G2751" s="4"/>
      <c r="H2751" s="4"/>
      <c r="I2751" s="10" t="str">
        <f>HYPERLINK("http://twitter.com/download/iphone","Twitter for iPhone")</f>
        <v>Twitter for iPhone</v>
      </c>
      <c r="J2751" s="2">
        <v>365</v>
      </c>
      <c r="K2751" s="2">
        <v>693</v>
      </c>
      <c r="L2751" s="2">
        <v>0</v>
      </c>
      <c r="M2751" s="2"/>
      <c r="N2751" s="8">
        <v>41833.536099537036</v>
      </c>
      <c r="O2751" s="4" t="s">
        <v>34</v>
      </c>
      <c r="P2751" s="3" t="s">
        <v>1213</v>
      </c>
      <c r="Q2751" s="4"/>
      <c r="R2751" s="4"/>
      <c r="S2751" s="9" t="str">
        <f>HYPERLINK("https://pbs.twimg.com/profile_images/958374868008960000/IRXSv5-C.jpg","View")</f>
        <v>View</v>
      </c>
    </row>
    <row r="2752" spans="1:19" ht="20">
      <c r="A2752" s="8">
        <v>43344.417812500003</v>
      </c>
      <c r="B2752" s="11" t="str">
        <f>HYPERLINK("https://twitter.com/tablighchannel","@tablighchannel")</f>
        <v>@tablighchannel</v>
      </c>
      <c r="C2752" s="6" t="s">
        <v>9817</v>
      </c>
      <c r="D2752" s="5" t="s">
        <v>9816</v>
      </c>
      <c r="E2752" s="9" t="str">
        <f>HYPERLINK("https://twitter.com/tablighchannel/status/1035762087601922048","1035762087601922048")</f>
        <v>1035762087601922048</v>
      </c>
      <c r="F2752" s="4"/>
      <c r="G2752" s="4"/>
      <c r="H2752" s="4"/>
      <c r="I2752" s="10" t="str">
        <f>HYPERLINK("http://twitter.com","Twitter Web Client")</f>
        <v>Twitter Web Client</v>
      </c>
      <c r="J2752" s="2">
        <v>1647</v>
      </c>
      <c r="K2752" s="2">
        <v>4898</v>
      </c>
      <c r="L2752" s="2">
        <v>0</v>
      </c>
      <c r="M2752" s="2"/>
      <c r="N2752" s="8">
        <v>43113.40898148148</v>
      </c>
      <c r="O2752" s="4"/>
      <c r="P2752" s="3" t="s">
        <v>9815</v>
      </c>
      <c r="Q2752" s="4"/>
      <c r="R2752" s="4"/>
      <c r="S2752" s="9" t="str">
        <f>HYPERLINK("https://pbs.twimg.com/profile_images/952063872285855744/kjo9apym.jpg","View")</f>
        <v>View</v>
      </c>
    </row>
    <row r="2753" spans="1:19" ht="30">
      <c r="A2753" s="8">
        <v>43344.417523148149</v>
      </c>
      <c r="B2753" s="11" t="str">
        <f>HYPERLINK("https://twitter.com/Entekhab_News","@Entekhab_News")</f>
        <v>@Entekhab_News</v>
      </c>
      <c r="C2753" s="6" t="s">
        <v>519</v>
      </c>
      <c r="D2753" s="5" t="s">
        <v>9814</v>
      </c>
      <c r="E2753" s="9" t="str">
        <f>HYPERLINK("https://twitter.com/Entekhab_News/status/1035761982262140928","1035761982262140928")</f>
        <v>1035761982262140928</v>
      </c>
      <c r="F2753" s="4"/>
      <c r="G2753" s="10" t="s">
        <v>9813</v>
      </c>
      <c r="H2753" s="4"/>
      <c r="I2753" s="10" t="str">
        <f>HYPERLINK("http://twitter.com/download/android","Twitter for Android")</f>
        <v>Twitter for Android</v>
      </c>
      <c r="J2753" s="2">
        <v>16195</v>
      </c>
      <c r="K2753" s="2">
        <v>0</v>
      </c>
      <c r="L2753" s="2">
        <v>151</v>
      </c>
      <c r="M2753" s="2"/>
      <c r="N2753" s="8">
        <v>41846.90483796296</v>
      </c>
      <c r="O2753" s="4" t="s">
        <v>244</v>
      </c>
      <c r="P2753" s="3" t="s">
        <v>517</v>
      </c>
      <c r="Q2753" s="10" t="s">
        <v>516</v>
      </c>
      <c r="R2753" s="4"/>
      <c r="S2753" s="9" t="str">
        <f>HYPERLINK("https://pbs.twimg.com/profile_images/840302676332146689/objFI1sw.jpg","View")</f>
        <v>View</v>
      </c>
    </row>
    <row r="2754" spans="1:19" ht="20">
      <c r="A2754" s="8">
        <v>43344.414780092593</v>
      </c>
      <c r="B2754" s="11" t="str">
        <f>HYPERLINK("https://twitter.com/KmemariIran","@KmemariIran")</f>
        <v>@KmemariIran</v>
      </c>
      <c r="C2754" s="6" t="s">
        <v>1400</v>
      </c>
      <c r="D2754" s="5" t="s">
        <v>9812</v>
      </c>
      <c r="E2754" s="9" t="str">
        <f>HYPERLINK("https://twitter.com/KmemariIran/status/1035760987008159744","1035760987008159744")</f>
        <v>1035760987008159744</v>
      </c>
      <c r="F2754" s="4"/>
      <c r="G2754" s="4"/>
      <c r="H2754" s="4"/>
      <c r="I2754" s="10" t="str">
        <f>HYPERLINK("http://twitter.com/download/iphone","Twitter for iPhone")</f>
        <v>Twitter for iPhone</v>
      </c>
      <c r="J2754" s="2">
        <v>1628</v>
      </c>
      <c r="K2754" s="2">
        <v>4631</v>
      </c>
      <c r="L2754" s="2">
        <v>1</v>
      </c>
      <c r="M2754" s="2"/>
      <c r="N2754" s="8">
        <v>41314.427916666667</v>
      </c>
      <c r="O2754" s="4"/>
      <c r="P2754" s="3"/>
      <c r="Q2754" s="4"/>
      <c r="R2754" s="4"/>
      <c r="S2754" s="9" t="str">
        <f>HYPERLINK("https://pbs.twimg.com/profile_images/898805624657629186/OjMXkXe4.jpg","View")</f>
        <v>View</v>
      </c>
    </row>
    <row r="2755" spans="1:19" ht="30">
      <c r="A2755" s="8">
        <v>43344.414733796293</v>
      </c>
      <c r="B2755" s="11" t="str">
        <f>HYPERLINK("https://twitter.com/nabaapress_ir","@nabaapress_ir")</f>
        <v>@nabaapress_ir</v>
      </c>
      <c r="C2755" s="6" t="s">
        <v>6871</v>
      </c>
      <c r="D2755" s="5" t="s">
        <v>9811</v>
      </c>
      <c r="E2755" s="9" t="str">
        <f>HYPERLINK("https://twitter.com/nabaapress_ir/status/1035760969899814912","1035760969899814912")</f>
        <v>1035760969899814912</v>
      </c>
      <c r="F2755" s="10" t="s">
        <v>9810</v>
      </c>
      <c r="G2755" s="10" t="s">
        <v>9809</v>
      </c>
      <c r="H2755" s="4"/>
      <c r="I2755" s="10" t="str">
        <f>HYPERLINK("http://twitter.com","Twitter Web Client")</f>
        <v>Twitter Web Client</v>
      </c>
      <c r="J2755" s="2">
        <v>93</v>
      </c>
      <c r="K2755" s="2">
        <v>221</v>
      </c>
      <c r="L2755" s="2">
        <v>1</v>
      </c>
      <c r="M2755" s="2"/>
      <c r="N2755" s="8">
        <v>42604.603877314818</v>
      </c>
      <c r="O2755" s="4" t="s">
        <v>17</v>
      </c>
      <c r="P2755" s="3" t="s">
        <v>6867</v>
      </c>
      <c r="Q2755" s="10" t="s">
        <v>6866</v>
      </c>
      <c r="R2755" s="4"/>
      <c r="S2755" s="9" t="str">
        <f>HYPERLINK("https://pbs.twimg.com/profile_images/972717375920390144/XBJdmT2l.jpg","View")</f>
        <v>View</v>
      </c>
    </row>
    <row r="2756" spans="1:19" ht="12.5">
      <c r="A2756" s="8">
        <v>43344.414236111115</v>
      </c>
      <c r="B2756" s="11" t="str">
        <f>HYPERLINK("https://twitter.com/Asreeghtesad","@Asreeghtesad")</f>
        <v>@Asreeghtesad</v>
      </c>
      <c r="C2756" s="6" t="s">
        <v>9806</v>
      </c>
      <c r="D2756" s="5" t="s">
        <v>9808</v>
      </c>
      <c r="E2756" s="9" t="str">
        <f>HYPERLINK("https://twitter.com/Asreeghtesad/status/1035760788357701632","1035760788357701632")</f>
        <v>1035760788357701632</v>
      </c>
      <c r="F2756" s="10" t="s">
        <v>9807</v>
      </c>
      <c r="G2756" s="4"/>
      <c r="H2756" s="4"/>
      <c r="I2756" s="10" t="str">
        <f>HYPERLINK("http://twitter.com","Twitter Web Client")</f>
        <v>Twitter Web Client</v>
      </c>
      <c r="J2756" s="2">
        <v>352</v>
      </c>
      <c r="K2756" s="2">
        <v>794</v>
      </c>
      <c r="L2756" s="2">
        <v>1</v>
      </c>
      <c r="M2756" s="2"/>
      <c r="N2756" s="8">
        <v>43013.443333333329</v>
      </c>
      <c r="O2756" s="4"/>
      <c r="P2756" s="3" t="s">
        <v>9802</v>
      </c>
      <c r="Q2756" s="10" t="s">
        <v>9801</v>
      </c>
      <c r="R2756" s="4"/>
      <c r="S2756" s="9" t="str">
        <f>HYPERLINK("https://pbs.twimg.com/profile_images/933255176978182145/m6QeWu50.jpg","View")</f>
        <v>View</v>
      </c>
    </row>
    <row r="2757" spans="1:19" ht="30">
      <c r="A2757" s="8">
        <v>43344.413553240738</v>
      </c>
      <c r="B2757" s="11" t="str">
        <f>HYPERLINK("https://twitter.com/Asreeghtesad","@Asreeghtesad")</f>
        <v>@Asreeghtesad</v>
      </c>
      <c r="C2757" s="6" t="s">
        <v>9806</v>
      </c>
      <c r="D2757" s="5" t="s">
        <v>9805</v>
      </c>
      <c r="E2757" s="9" t="str">
        <f>HYPERLINK("https://twitter.com/Asreeghtesad/status/1035760543213211649","1035760543213211649")</f>
        <v>1035760543213211649</v>
      </c>
      <c r="F2757" s="10" t="s">
        <v>9804</v>
      </c>
      <c r="G2757" s="10" t="s">
        <v>9803</v>
      </c>
      <c r="H2757" s="4"/>
      <c r="I2757" s="10" t="str">
        <f>HYPERLINK("http://twitter.com","Twitter Web Client")</f>
        <v>Twitter Web Client</v>
      </c>
      <c r="J2757" s="2">
        <v>352</v>
      </c>
      <c r="K2757" s="2">
        <v>794</v>
      </c>
      <c r="L2757" s="2">
        <v>1</v>
      </c>
      <c r="M2757" s="2"/>
      <c r="N2757" s="8">
        <v>43013.443333333329</v>
      </c>
      <c r="O2757" s="4"/>
      <c r="P2757" s="3" t="s">
        <v>9802</v>
      </c>
      <c r="Q2757" s="10" t="s">
        <v>9801</v>
      </c>
      <c r="R2757" s="4"/>
      <c r="S2757" s="9" t="str">
        <f>HYPERLINK("https://pbs.twimg.com/profile_images/933255176978182145/m6QeWu50.jpg","View")</f>
        <v>View</v>
      </c>
    </row>
    <row r="2758" spans="1:19" ht="20">
      <c r="A2758" s="8">
        <v>43344.405682870369</v>
      </c>
      <c r="B2758" s="11" t="str">
        <f>HYPERLINK("https://twitter.com/IranEnergyNews","@IranEnergyNews")</f>
        <v>@IranEnergyNews</v>
      </c>
      <c r="C2758" s="6" t="s">
        <v>9784</v>
      </c>
      <c r="D2758" s="5" t="s">
        <v>9800</v>
      </c>
      <c r="E2758" s="9" t="str">
        <f>HYPERLINK("https://twitter.com/IranEnergyNews/status/1035757691484942336","1035757691484942336")</f>
        <v>1035757691484942336</v>
      </c>
      <c r="F2758" s="10" t="s">
        <v>9799</v>
      </c>
      <c r="G2758" s="4"/>
      <c r="H2758" s="4"/>
      <c r="I2758" s="10" t="str">
        <f>HYPERLINK("http://www.iranenergy.news","IranEnenrgyNews")</f>
        <v>IranEnenrgyNews</v>
      </c>
      <c r="J2758" s="2">
        <v>136</v>
      </c>
      <c r="K2758" s="2">
        <v>299</v>
      </c>
      <c r="L2758" s="2">
        <v>3</v>
      </c>
      <c r="M2758" s="2"/>
      <c r="N2758" s="8">
        <v>42737.47729166667</v>
      </c>
      <c r="O2758" s="4" t="s">
        <v>894</v>
      </c>
      <c r="P2758" s="3" t="s">
        <v>9781</v>
      </c>
      <c r="Q2758" s="10" t="s">
        <v>9780</v>
      </c>
      <c r="R2758" s="4"/>
      <c r="S2758" s="9" t="str">
        <f>HYPERLINK("https://pbs.twimg.com/profile_images/816255096841351168/fOjmxWFa.jpg","View")</f>
        <v>View</v>
      </c>
    </row>
    <row r="2759" spans="1:19" ht="20">
      <c r="A2759" s="8">
        <v>43344.399849537032</v>
      </c>
      <c r="B2759" s="11" t="str">
        <f>HYPERLINK("https://twitter.com/Roghieh22","@Roghieh22")</f>
        <v>@Roghieh22</v>
      </c>
      <c r="C2759" s="6" t="s">
        <v>9798</v>
      </c>
      <c r="D2759" s="5" t="s">
        <v>9797</v>
      </c>
      <c r="E2759" s="9" t="str">
        <f>HYPERLINK("https://twitter.com/Roghieh22/status/1035755578394599425","1035755578394599425")</f>
        <v>1035755578394599425</v>
      </c>
      <c r="F2759" s="4"/>
      <c r="G2759" s="4"/>
      <c r="H2759" s="4"/>
      <c r="I2759" s="10" t="str">
        <f>HYPERLINK("http://twitter.com/download/iphone","Twitter for iPhone")</f>
        <v>Twitter for iPhone</v>
      </c>
      <c r="J2759" s="2">
        <v>27</v>
      </c>
      <c r="K2759" s="2">
        <v>49</v>
      </c>
      <c r="L2759" s="2">
        <v>0</v>
      </c>
      <c r="M2759" s="2"/>
      <c r="N2759" s="8">
        <v>43153.052476851852</v>
      </c>
      <c r="O2759" s="4"/>
      <c r="P2759" s="3"/>
      <c r="Q2759" s="4"/>
      <c r="R2759" s="4"/>
      <c r="S2759" s="9" t="str">
        <f>HYPERLINK("https://pbs.twimg.com/profile_images/967419228046417920/MGlmpr-x.jpg","View")</f>
        <v>View</v>
      </c>
    </row>
    <row r="2760" spans="1:19" ht="12.5">
      <c r="A2760" s="8">
        <v>43344.399178240739</v>
      </c>
      <c r="B2760" s="11" t="str">
        <f>HYPERLINK("https://twitter.com/ilnanews","@ilnanews")</f>
        <v>@ilnanews</v>
      </c>
      <c r="C2760" s="6" t="s">
        <v>6413</v>
      </c>
      <c r="D2760" s="5" t="s">
        <v>9796</v>
      </c>
      <c r="E2760" s="9" t="str">
        <f>HYPERLINK("https://twitter.com/ilnanews/status/1035755334781026304","1035755334781026304")</f>
        <v>1035755334781026304</v>
      </c>
      <c r="F2760" s="10" t="s">
        <v>9795</v>
      </c>
      <c r="G2760" s="10" t="s">
        <v>9794</v>
      </c>
      <c r="H2760" s="4"/>
      <c r="I2760" s="10" t="str">
        <f>HYPERLINK("http://twitter.com/download/android","Twitter for Android")</f>
        <v>Twitter for Android</v>
      </c>
      <c r="J2760" s="2">
        <v>32279</v>
      </c>
      <c r="K2760" s="2">
        <v>67</v>
      </c>
      <c r="L2760" s="2">
        <v>159</v>
      </c>
      <c r="M2760" s="2"/>
      <c r="N2760" s="8">
        <v>42062.024768518517</v>
      </c>
      <c r="O2760" s="4" t="s">
        <v>34</v>
      </c>
      <c r="P2760" s="3" t="s">
        <v>6409</v>
      </c>
      <c r="Q2760" s="10" t="s">
        <v>6408</v>
      </c>
      <c r="R2760" s="4"/>
      <c r="S2760" s="9" t="str">
        <f>HYPERLINK("https://pbs.twimg.com/profile_images/760387216782848000/TS1QyYLo.jpg","View")</f>
        <v>View</v>
      </c>
    </row>
    <row r="2761" spans="1:19" ht="30">
      <c r="A2761" s="8">
        <v>43344.397291666668</v>
      </c>
      <c r="B2761" s="11" t="str">
        <f>HYPERLINK("https://twitter.com/ilnanews","@ilnanews")</f>
        <v>@ilnanews</v>
      </c>
      <c r="C2761" s="6" t="s">
        <v>6413</v>
      </c>
      <c r="D2761" s="5" t="s">
        <v>9793</v>
      </c>
      <c r="E2761" s="9" t="str">
        <f>HYPERLINK("https://twitter.com/ilnanews/status/1035754650815868928","1035754650815868928")</f>
        <v>1035754650815868928</v>
      </c>
      <c r="F2761" s="10" t="s">
        <v>9792</v>
      </c>
      <c r="G2761" s="10" t="s">
        <v>9791</v>
      </c>
      <c r="H2761" s="4"/>
      <c r="I2761" s="10" t="str">
        <f>HYPERLINK("http://twitter.com/download/android","Twitter for Android")</f>
        <v>Twitter for Android</v>
      </c>
      <c r="J2761" s="2">
        <v>32279</v>
      </c>
      <c r="K2761" s="2">
        <v>67</v>
      </c>
      <c r="L2761" s="2">
        <v>159</v>
      </c>
      <c r="M2761" s="2"/>
      <c r="N2761" s="8">
        <v>42062.024768518517</v>
      </c>
      <c r="O2761" s="4" t="s">
        <v>34</v>
      </c>
      <c r="P2761" s="3" t="s">
        <v>6409</v>
      </c>
      <c r="Q2761" s="10" t="s">
        <v>6408</v>
      </c>
      <c r="R2761" s="4"/>
      <c r="S2761" s="9" t="str">
        <f>HYPERLINK("https://pbs.twimg.com/profile_images/760387216782848000/TS1QyYLo.jpg","View")</f>
        <v>View</v>
      </c>
    </row>
    <row r="2762" spans="1:19" ht="20">
      <c r="A2762" s="8">
        <v>43344.392870370371</v>
      </c>
      <c r="B2762" s="11" t="str">
        <f>HYPERLINK("https://twitter.com/IranEnergyNews","@IranEnergyNews")</f>
        <v>@IranEnergyNews</v>
      </c>
      <c r="C2762" s="6" t="s">
        <v>9784</v>
      </c>
      <c r="D2762" s="5" t="s">
        <v>9790</v>
      </c>
      <c r="E2762" s="9" t="str">
        <f>HYPERLINK("https://twitter.com/IranEnergyNews/status/1035753048524640257","1035753048524640257")</f>
        <v>1035753048524640257</v>
      </c>
      <c r="F2762" s="10" t="s">
        <v>9789</v>
      </c>
      <c r="G2762" s="4"/>
      <c r="H2762" s="4"/>
      <c r="I2762" s="10" t="str">
        <f>HYPERLINK("http://www.iranenergy.news","IranEnenrgyNews")</f>
        <v>IranEnenrgyNews</v>
      </c>
      <c r="J2762" s="2">
        <v>136</v>
      </c>
      <c r="K2762" s="2">
        <v>299</v>
      </c>
      <c r="L2762" s="2">
        <v>3</v>
      </c>
      <c r="M2762" s="2"/>
      <c r="N2762" s="8">
        <v>42737.47729166667</v>
      </c>
      <c r="O2762" s="4" t="s">
        <v>894</v>
      </c>
      <c r="P2762" s="3" t="s">
        <v>9781</v>
      </c>
      <c r="Q2762" s="10" t="s">
        <v>9780</v>
      </c>
      <c r="R2762" s="4"/>
      <c r="S2762" s="9" t="str">
        <f>HYPERLINK("https://pbs.twimg.com/profile_images/816255096841351168/fOjmxWFa.jpg","View")</f>
        <v>View</v>
      </c>
    </row>
    <row r="2763" spans="1:19" ht="12.5">
      <c r="A2763" s="8">
        <v>43344.389733796299</v>
      </c>
      <c r="B2763" s="11" t="str">
        <f>HYPERLINK("https://twitter.com/Majid_Khazali","@Majid_Khazali")</f>
        <v>@Majid_Khazali</v>
      </c>
      <c r="C2763" s="6" t="s">
        <v>9788</v>
      </c>
      <c r="D2763" s="5" t="s">
        <v>9787</v>
      </c>
      <c r="E2763" s="9" t="str">
        <f>HYPERLINK("https://twitter.com/Majid_Khazali/status/1035751911847329793","1035751911847329793")</f>
        <v>1035751911847329793</v>
      </c>
      <c r="F2763" s="4"/>
      <c r="G2763" s="4"/>
      <c r="H2763" s="4"/>
      <c r="I2763" s="10" t="str">
        <f>HYPERLINK("http://twitter.com/download/android","Twitter for Android")</f>
        <v>Twitter for Android</v>
      </c>
      <c r="J2763" s="2">
        <v>4133</v>
      </c>
      <c r="K2763" s="2">
        <v>2482</v>
      </c>
      <c r="L2763" s="2">
        <v>5</v>
      </c>
      <c r="M2763" s="2"/>
      <c r="N2763" s="8">
        <v>42950.095972222218</v>
      </c>
      <c r="O2763" s="4" t="s">
        <v>17</v>
      </c>
      <c r="P2763" s="3"/>
      <c r="Q2763" s="4"/>
      <c r="R2763" s="4"/>
      <c r="S2763" s="9" t="str">
        <f>HYPERLINK("https://pbs.twimg.com/profile_images/1022821526985482240/GdOB7Rnx.jpg","View")</f>
        <v>View</v>
      </c>
    </row>
    <row r="2764" spans="1:19" ht="20">
      <c r="A2764" s="8">
        <v>43344.387719907405</v>
      </c>
      <c r="B2764" s="11" t="str">
        <f>HYPERLINK("https://twitter.com/ScriptBab","@ScriptBab")</f>
        <v>@ScriptBab</v>
      </c>
      <c r="C2764" s="6" t="s">
        <v>3044</v>
      </c>
      <c r="D2764" s="5" t="s">
        <v>9786</v>
      </c>
      <c r="E2764" s="9" t="str">
        <f>HYPERLINK("https://twitter.com/ScriptBab/status/1035751182772391936","1035751182772391936")</f>
        <v>1035751182772391936</v>
      </c>
      <c r="F2764" s="4"/>
      <c r="G2764" s="4"/>
      <c r="H2764" s="4"/>
      <c r="I2764" s="10" t="str">
        <f>HYPERLINK("http://twitter.com/download/android","Twitter for Android")</f>
        <v>Twitter for Android</v>
      </c>
      <c r="J2764" s="2">
        <v>3999</v>
      </c>
      <c r="K2764" s="2">
        <v>3677</v>
      </c>
      <c r="L2764" s="2">
        <v>8</v>
      </c>
      <c r="M2764" s="2"/>
      <c r="N2764" s="8">
        <v>40732.73096064815</v>
      </c>
      <c r="O2764" s="4"/>
      <c r="P2764" s="3" t="s">
        <v>3042</v>
      </c>
      <c r="Q2764" s="4"/>
      <c r="R2764" s="4"/>
      <c r="S2764" s="9" t="str">
        <f>HYPERLINK("https://pbs.twimg.com/profile_images/1029594626854985728/VuJgJ670.jpg","View")</f>
        <v>View</v>
      </c>
    </row>
    <row r="2765" spans="1:19" ht="30">
      <c r="A2765" s="8">
        <v>43344.382685185185</v>
      </c>
      <c r="B2765" s="11" t="str">
        <f>HYPERLINK("https://twitter.com/ESMAEELZAMANI1","@ESMAEELZAMANI1")</f>
        <v>@ESMAEELZAMANI1</v>
      </c>
      <c r="C2765" s="6" t="s">
        <v>8068</v>
      </c>
      <c r="D2765" s="5" t="s">
        <v>9785</v>
      </c>
      <c r="E2765" s="9" t="str">
        <f>HYPERLINK("https://twitter.com/ESMAEELZAMANI1/status/1035749356832415744","1035749356832415744")</f>
        <v>1035749356832415744</v>
      </c>
      <c r="F2765" s="4"/>
      <c r="G2765" s="4"/>
      <c r="H2765" s="4"/>
      <c r="I2765" s="10" t="str">
        <f>HYPERLINK("http://twitter.com","Twitter Web Client")</f>
        <v>Twitter Web Client</v>
      </c>
      <c r="J2765" s="2">
        <v>0</v>
      </c>
      <c r="K2765" s="2">
        <v>2</v>
      </c>
      <c r="L2765" s="2">
        <v>0</v>
      </c>
      <c r="M2765" s="2"/>
      <c r="N2765" s="8">
        <v>43327.992314814815</v>
      </c>
      <c r="O2765" s="4"/>
      <c r="P2765" s="3"/>
      <c r="Q2765" s="4"/>
      <c r="R2765" s="4"/>
      <c r="S2765" s="9" t="str">
        <f>HYPERLINK("https://pbs.twimg.com/profile_images/1031256571446054912/pOHI-dEc.jpg","View")</f>
        <v>View</v>
      </c>
    </row>
    <row r="2766" spans="1:19" ht="20">
      <c r="A2766" s="8">
        <v>43344.380520833336</v>
      </c>
      <c r="B2766" s="11" t="str">
        <f>HYPERLINK("https://twitter.com/IranEnergyNews","@IranEnergyNews")</f>
        <v>@IranEnergyNews</v>
      </c>
      <c r="C2766" s="6" t="s">
        <v>9784</v>
      </c>
      <c r="D2766" s="5" t="s">
        <v>9783</v>
      </c>
      <c r="E2766" s="9" t="str">
        <f>HYPERLINK("https://twitter.com/IranEnergyNews/status/1035748571730141184","1035748571730141184")</f>
        <v>1035748571730141184</v>
      </c>
      <c r="F2766" s="10" t="s">
        <v>9782</v>
      </c>
      <c r="G2766" s="4"/>
      <c r="H2766" s="4"/>
      <c r="I2766" s="10" t="str">
        <f>HYPERLINK("http://www.iranenergy.news","IranEnenrgyNews")</f>
        <v>IranEnenrgyNews</v>
      </c>
      <c r="J2766" s="2">
        <v>136</v>
      </c>
      <c r="K2766" s="2">
        <v>299</v>
      </c>
      <c r="L2766" s="2">
        <v>3</v>
      </c>
      <c r="M2766" s="2"/>
      <c r="N2766" s="8">
        <v>42737.47729166667</v>
      </c>
      <c r="O2766" s="4" t="s">
        <v>894</v>
      </c>
      <c r="P2766" s="3" t="s">
        <v>9781</v>
      </c>
      <c r="Q2766" s="10" t="s">
        <v>9780</v>
      </c>
      <c r="R2766" s="4"/>
      <c r="S2766" s="9" t="str">
        <f>HYPERLINK("https://pbs.twimg.com/profile_images/816255096841351168/fOjmxWFa.jpg","View")</f>
        <v>View</v>
      </c>
    </row>
    <row r="2767" spans="1:19" ht="40">
      <c r="A2767" s="8">
        <v>43344.380462962959</v>
      </c>
      <c r="B2767" s="11" t="str">
        <f>HYPERLINK("https://twitter.com/mahdii_58","@mahdii_58")</f>
        <v>@mahdii_58</v>
      </c>
      <c r="C2767" s="6" t="s">
        <v>395</v>
      </c>
      <c r="D2767" s="5" t="s">
        <v>9779</v>
      </c>
      <c r="E2767" s="9" t="str">
        <f>HYPERLINK("https://twitter.com/mahdii_58/status/1035748549810679808","1035748549810679808")</f>
        <v>1035748549810679808</v>
      </c>
      <c r="F2767" s="4"/>
      <c r="G2767" s="4"/>
      <c r="H2767" s="4"/>
      <c r="I2767" s="10" t="str">
        <f>HYPERLINK("http://twitter.com","Twitter Web Client")</f>
        <v>Twitter Web Client</v>
      </c>
      <c r="J2767" s="2">
        <v>342</v>
      </c>
      <c r="K2767" s="2">
        <v>641</v>
      </c>
      <c r="L2767" s="2">
        <v>2</v>
      </c>
      <c r="M2767" s="2"/>
      <c r="N2767" s="8">
        <v>42894.222337962958</v>
      </c>
      <c r="O2767" s="4" t="s">
        <v>34</v>
      </c>
      <c r="P2767" s="3"/>
      <c r="Q2767" s="4"/>
      <c r="R2767" s="4"/>
      <c r="S2767" s="9" t="str">
        <f>HYPERLINK("https://pbs.twimg.com/profile_images/948614670155329537/GlFbvBfd.jpg","View")</f>
        <v>View</v>
      </c>
    </row>
    <row r="2768" spans="1:19" ht="20">
      <c r="A2768" s="8">
        <v>43344.377280092594</v>
      </c>
      <c r="B2768" s="11" t="str">
        <f>HYPERLINK("https://twitter.com/ibenair","@ibenair")</f>
        <v>@ibenair</v>
      </c>
      <c r="C2768" s="11" t="s">
        <v>570</v>
      </c>
      <c r="D2768" s="5" t="s">
        <v>9778</v>
      </c>
      <c r="E2768" s="9" t="str">
        <f>HYPERLINK("https://twitter.com/ibenair/status/1035747399472492544","1035747399472492544")</f>
        <v>1035747399472492544</v>
      </c>
      <c r="F2768" s="10" t="s">
        <v>9777</v>
      </c>
      <c r="G2768" s="4"/>
      <c r="H2768" s="4"/>
      <c r="I2768" s="10" t="str">
        <f>HYPERLINK("http://twitter.com/download/iphone","Twitter for iPhone")</f>
        <v>Twitter for iPhone</v>
      </c>
      <c r="J2768" s="2">
        <v>47</v>
      </c>
      <c r="K2768" s="2">
        <v>7</v>
      </c>
      <c r="L2768" s="2">
        <v>1</v>
      </c>
      <c r="M2768" s="2"/>
      <c r="N2768" s="8">
        <v>43206.519918981481</v>
      </c>
      <c r="O2768" s="4" t="s">
        <v>17</v>
      </c>
      <c r="P2768" s="3" t="s">
        <v>567</v>
      </c>
      <c r="Q2768" s="10" t="s">
        <v>566</v>
      </c>
      <c r="R2768" s="4"/>
      <c r="S2768" s="9" t="str">
        <f>HYPERLINK("https://pbs.twimg.com/profile_images/985793204661506048/Esq8e1Qs.jpg","View")</f>
        <v>View</v>
      </c>
    </row>
    <row r="2769" spans="1:19" ht="40">
      <c r="A2769" s="8">
        <v>43344.370613425926</v>
      </c>
      <c r="B2769" s="11" t="str">
        <f>HYPERLINK("https://twitter.com/chmdch","@chmdch")</f>
        <v>@chmdch</v>
      </c>
      <c r="C2769" s="6" t="s">
        <v>5877</v>
      </c>
      <c r="D2769" s="5" t="s">
        <v>9776</v>
      </c>
      <c r="E2769" s="9" t="str">
        <f>HYPERLINK("https://twitter.com/chmdch/status/1035744981749850112","1035744981749850112")</f>
        <v>1035744981749850112</v>
      </c>
      <c r="F2769" s="4"/>
      <c r="G2769" s="10" t="s">
        <v>9775</v>
      </c>
      <c r="H2769" s="4"/>
      <c r="I2769" s="10" t="str">
        <f>HYPERLINK("http://twitter.com","Twitter Web Client")</f>
        <v>Twitter Web Client</v>
      </c>
      <c r="J2769" s="2">
        <v>76</v>
      </c>
      <c r="K2769" s="2">
        <v>496</v>
      </c>
      <c r="L2769" s="2">
        <v>0</v>
      </c>
      <c r="M2769" s="2"/>
      <c r="N2769" s="8">
        <v>40994.365729166668</v>
      </c>
      <c r="O2769" s="4" t="s">
        <v>104</v>
      </c>
      <c r="P2769" s="14" t="s">
        <v>9774</v>
      </c>
      <c r="Q2769" s="10" t="s">
        <v>9774</v>
      </c>
      <c r="R2769" s="4"/>
      <c r="S2769" s="9" t="str">
        <f>HYPERLINK("https://pbs.twimg.com/profile_images/1009324236228452352/Ky4Me1RE.jpg","View")</f>
        <v>View</v>
      </c>
    </row>
    <row r="2770" spans="1:19" ht="40">
      <c r="A2770" s="8">
        <v>43344.359942129631</v>
      </c>
      <c r="B2770" s="11" t="str">
        <f>HYPERLINK("https://twitter.com/Mahdi25783774","@Mahdi25783774")</f>
        <v>@Mahdi25783774</v>
      </c>
      <c r="C2770" s="6" t="s">
        <v>5469</v>
      </c>
      <c r="D2770" s="5" t="s">
        <v>9773</v>
      </c>
      <c r="E2770" s="9" t="str">
        <f>HYPERLINK("https://twitter.com/Mahdi25783774/status/1035741113641066496","1035741113641066496")</f>
        <v>1035741113641066496</v>
      </c>
      <c r="F2770" s="4"/>
      <c r="G2770" s="10" t="s">
        <v>9772</v>
      </c>
      <c r="H2770" s="4"/>
      <c r="I2770" s="10" t="str">
        <f>HYPERLINK("http://twitter.com/download/android","Twitter for Android")</f>
        <v>Twitter for Android</v>
      </c>
      <c r="J2770" s="2">
        <v>639</v>
      </c>
      <c r="K2770" s="2">
        <v>858</v>
      </c>
      <c r="L2770" s="2">
        <v>1</v>
      </c>
      <c r="M2770" s="2"/>
      <c r="N2770" s="8">
        <v>43233.519814814819</v>
      </c>
      <c r="O2770" s="4" t="s">
        <v>133</v>
      </c>
      <c r="P2770" s="3" t="s">
        <v>5466</v>
      </c>
      <c r="Q2770" s="4"/>
      <c r="R2770" s="4"/>
      <c r="S2770" s="9" t="str">
        <f>HYPERLINK("https://pbs.twimg.com/profile_images/1033642102679318528/4lBWskrd.jpg","View")</f>
        <v>View</v>
      </c>
    </row>
    <row r="2771" spans="1:19" ht="80">
      <c r="A2771" s="8">
        <v>43344.357349537036</v>
      </c>
      <c r="B2771" s="11" t="str">
        <f>HYPERLINK("https://twitter.com/MoHoSAb","@MoHoSAb")</f>
        <v>@MoHoSAb</v>
      </c>
      <c r="C2771" s="6" t="s">
        <v>650</v>
      </c>
      <c r="D2771" s="5" t="s">
        <v>9771</v>
      </c>
      <c r="E2771" s="9" t="str">
        <f>HYPERLINK("https://twitter.com/MoHoSAb/status/1035740174943219712","1035740174943219712")</f>
        <v>1035740174943219712</v>
      </c>
      <c r="F2771" s="10" t="s">
        <v>9770</v>
      </c>
      <c r="G2771" s="4"/>
      <c r="H2771" s="4"/>
      <c r="I2771" s="10" t="str">
        <f>HYPERLINK("https://mobile.twitter.com","Twitter Lite")</f>
        <v>Twitter Lite</v>
      </c>
      <c r="J2771" s="2">
        <v>3150</v>
      </c>
      <c r="K2771" s="2">
        <v>1680</v>
      </c>
      <c r="L2771" s="2">
        <v>13</v>
      </c>
      <c r="M2771" s="2"/>
      <c r="N2771" s="8">
        <v>41818.739942129629</v>
      </c>
      <c r="O2771" s="4" t="s">
        <v>648</v>
      </c>
      <c r="P2771" s="3" t="s">
        <v>9769</v>
      </c>
      <c r="Q2771" s="4"/>
      <c r="R2771" s="4"/>
      <c r="S2771" s="9" t="str">
        <f>HYPERLINK("https://pbs.twimg.com/profile_images/1020106918025719808/CpKYfxX1.jpg","View")</f>
        <v>View</v>
      </c>
    </row>
    <row r="2772" spans="1:19" ht="20">
      <c r="A2772" s="8">
        <v>43344.347708333335</v>
      </c>
      <c r="B2772" s="11" t="str">
        <f>HYPERLINK("https://twitter.com/Tasnimnews_Fa","@Tasnimnews_Fa")</f>
        <v>@Tasnimnews_Fa</v>
      </c>
      <c r="C2772" s="6" t="s">
        <v>603</v>
      </c>
      <c r="D2772" s="5" t="s">
        <v>9768</v>
      </c>
      <c r="E2772" s="9" t="str">
        <f>HYPERLINK("https://twitter.com/Tasnimnews_Fa/status/1035736679074721794","1035736679074721794")</f>
        <v>1035736679074721794</v>
      </c>
      <c r="F2772" s="10" t="s">
        <v>9767</v>
      </c>
      <c r="G2772" s="10" t="s">
        <v>9766</v>
      </c>
      <c r="H2772" s="4"/>
      <c r="I2772" s="10" t="str">
        <f>HYPERLINK("http://twitter.com","Twitter Web Client")</f>
        <v>Twitter Web Client</v>
      </c>
      <c r="J2772" s="2">
        <v>109512</v>
      </c>
      <c r="K2772" s="2">
        <v>20</v>
      </c>
      <c r="L2772" s="2">
        <v>376</v>
      </c>
      <c r="M2772" s="2" t="s">
        <v>80</v>
      </c>
      <c r="N2772" s="8">
        <v>41868.671585648146</v>
      </c>
      <c r="O2772" s="4" t="s">
        <v>133</v>
      </c>
      <c r="P2772" s="3" t="s">
        <v>599</v>
      </c>
      <c r="Q2772" s="10" t="s">
        <v>598</v>
      </c>
      <c r="R2772" s="4"/>
      <c r="S2772" s="9" t="str">
        <f>HYPERLINK("https://pbs.twimg.com/profile_images/942003149430239232/hvLw_1_E.jpg","View")</f>
        <v>View</v>
      </c>
    </row>
    <row r="2773" spans="1:19" ht="50">
      <c r="A2773" s="8">
        <v>43344.345405092594</v>
      </c>
      <c r="B2773" s="11" t="str">
        <f>HYPERLINK("https://twitter.com/diplomat_I_R_I","@diplomat_I_R_I")</f>
        <v>@diplomat_I_R_I</v>
      </c>
      <c r="C2773" s="6" t="s">
        <v>9765</v>
      </c>
      <c r="D2773" s="5" t="s">
        <v>9764</v>
      </c>
      <c r="E2773" s="9" t="str">
        <f>HYPERLINK("https://twitter.com/diplomat_I_R_I/status/1035735846371184640","1035735846371184640")</f>
        <v>1035735846371184640</v>
      </c>
      <c r="F2773" s="10" t="s">
        <v>9763</v>
      </c>
      <c r="G2773" s="10" t="s">
        <v>9754</v>
      </c>
      <c r="H2773" s="4"/>
      <c r="I2773" s="10" t="str">
        <f>HYPERLINK("http://twitter.com/download/android","Twitter for Android")</f>
        <v>Twitter for Android</v>
      </c>
      <c r="J2773" s="2">
        <v>443</v>
      </c>
      <c r="K2773" s="2">
        <v>693</v>
      </c>
      <c r="L2773" s="2">
        <v>2</v>
      </c>
      <c r="M2773" s="2"/>
      <c r="N2773" s="8">
        <v>43122.803425925929</v>
      </c>
      <c r="O2773" s="4" t="s">
        <v>17</v>
      </c>
      <c r="P2773" s="3" t="s">
        <v>9762</v>
      </c>
      <c r="Q2773" s="4"/>
      <c r="R2773" s="4"/>
      <c r="S2773" s="9" t="str">
        <f>HYPERLINK("https://pbs.twimg.com/profile_images/1035342751573975045/f9Re2Sut.jpg","View")</f>
        <v>View</v>
      </c>
    </row>
    <row r="2774" spans="1:19" ht="30">
      <c r="A2774" s="8">
        <v>43344.340092592596</v>
      </c>
      <c r="B2774" s="11" t="str">
        <f>HYPERLINK("https://twitter.com/Rezabardiya","@Rezabardiya")</f>
        <v>@Rezabardiya</v>
      </c>
      <c r="C2774" s="6" t="s">
        <v>9761</v>
      </c>
      <c r="D2774" s="5" t="s">
        <v>9760</v>
      </c>
      <c r="E2774" s="9" t="str">
        <f>HYPERLINK("https://twitter.com/Rezabardiya/status/1035733922204803072","1035733922204803072")</f>
        <v>1035733922204803072</v>
      </c>
      <c r="F2774" s="4"/>
      <c r="G2774" s="10" t="s">
        <v>9759</v>
      </c>
      <c r="H2774" s="4"/>
      <c r="I2774" s="10" t="str">
        <f>HYPERLINK("http://twitter.com","Twitter Web Client")</f>
        <v>Twitter Web Client</v>
      </c>
      <c r="J2774" s="2">
        <v>312</v>
      </c>
      <c r="K2774" s="2">
        <v>146</v>
      </c>
      <c r="L2774" s="2">
        <v>2</v>
      </c>
      <c r="M2774" s="2"/>
      <c r="N2774" s="8">
        <v>42497.683958333335</v>
      </c>
      <c r="O2774" s="4" t="s">
        <v>17</v>
      </c>
      <c r="P2774" s="3" t="s">
        <v>9758</v>
      </c>
      <c r="Q2774" s="10" t="s">
        <v>9757</v>
      </c>
      <c r="R2774" s="4"/>
      <c r="S2774" s="9" t="str">
        <f>HYPERLINK("https://pbs.twimg.com/profile_images/728916560409153538/YmoCH_vw.jpg","View")</f>
        <v>View</v>
      </c>
    </row>
    <row r="2775" spans="1:19" ht="30">
      <c r="A2775" s="8">
        <v>43344.337974537033</v>
      </c>
      <c r="B2775" s="11" t="str">
        <f>HYPERLINK("https://twitter.com/JENE_KHOB","@JENE_KHOB")</f>
        <v>@JENE_KHOB</v>
      </c>
      <c r="C2775" s="6" t="s">
        <v>9756</v>
      </c>
      <c r="D2775" s="5" t="s">
        <v>9755</v>
      </c>
      <c r="E2775" s="9" t="str">
        <f>HYPERLINK("https://twitter.com/JENE_KHOB/status/1035733151799226368","1035733151799226368")</f>
        <v>1035733151799226368</v>
      </c>
      <c r="F2775" s="4"/>
      <c r="G2775" s="10" t="s">
        <v>9754</v>
      </c>
      <c r="H2775" s="4"/>
      <c r="I2775" s="10" t="str">
        <f>HYPERLINK("http://twitter.com/download/android","Twitter for Android")</f>
        <v>Twitter for Android</v>
      </c>
      <c r="J2775" s="2">
        <v>146</v>
      </c>
      <c r="K2775" s="2">
        <v>391</v>
      </c>
      <c r="L2775" s="2">
        <v>0</v>
      </c>
      <c r="M2775" s="2"/>
      <c r="N2775" s="8">
        <v>43340.337905092594</v>
      </c>
      <c r="O2775" s="4" t="s">
        <v>17</v>
      </c>
      <c r="P2775" s="3" t="s">
        <v>9753</v>
      </c>
      <c r="Q2775" s="4"/>
      <c r="R2775" s="4"/>
      <c r="S2775" s="9" t="str">
        <f>HYPERLINK("https://pbs.twimg.com/profile_images/1035301677409214464/gGxYg3HN.jpg","View")</f>
        <v>View</v>
      </c>
    </row>
    <row r="2776" spans="1:19" ht="30">
      <c r="A2776" s="8">
        <v>43344.336828703701</v>
      </c>
      <c r="B2776" s="11" t="str">
        <f>HYPERLINK("https://twitter.com/Mokhlasi","@Mokhlasi")</f>
        <v>@Mokhlasi</v>
      </c>
      <c r="C2776" s="6" t="s">
        <v>9752</v>
      </c>
      <c r="D2776" s="5" t="s">
        <v>9751</v>
      </c>
      <c r="E2776" s="9" t="str">
        <f>HYPERLINK("https://twitter.com/Mokhlasi/status/1035732739822178305","1035732739822178305")</f>
        <v>1035732739822178305</v>
      </c>
      <c r="F2776" s="4"/>
      <c r="G2776" s="10" t="s">
        <v>9750</v>
      </c>
      <c r="H2776" s="4"/>
      <c r="I2776" s="10" t="str">
        <f>HYPERLINK("http://twitter.com","Twitter Web Client")</f>
        <v>Twitter Web Client</v>
      </c>
      <c r="J2776" s="2">
        <v>4348</v>
      </c>
      <c r="K2776" s="2">
        <v>4316</v>
      </c>
      <c r="L2776" s="2">
        <v>6</v>
      </c>
      <c r="M2776" s="2"/>
      <c r="N2776" s="8">
        <v>41843.532118055555</v>
      </c>
      <c r="O2776" s="4" t="s">
        <v>9749</v>
      </c>
      <c r="P2776" s="3" t="s">
        <v>9748</v>
      </c>
      <c r="Q2776" s="4"/>
      <c r="R2776" s="4"/>
      <c r="S2776" s="9" t="str">
        <f>HYPERLINK("https://pbs.twimg.com/profile_images/1035469288575000577/zynoGt-B.jpg","View")</f>
        <v>View</v>
      </c>
    </row>
    <row r="2777" spans="1:19" ht="50">
      <c r="A2777" s="8">
        <v>43344.336388888885</v>
      </c>
      <c r="B2777" s="11" t="str">
        <f>HYPERLINK("https://twitter.com/MMahmoodiyan","@MMahmoodiyan")</f>
        <v>@MMahmoodiyan</v>
      </c>
      <c r="C2777" s="6" t="s">
        <v>9747</v>
      </c>
      <c r="D2777" s="5" t="s">
        <v>9746</v>
      </c>
      <c r="E2777" s="9" t="str">
        <f>HYPERLINK("https://twitter.com/MMahmoodiyan/status/1035732580182577152","1035732580182577152")</f>
        <v>1035732580182577152</v>
      </c>
      <c r="F2777" s="10" t="s">
        <v>9745</v>
      </c>
      <c r="G2777" s="10" t="s">
        <v>9744</v>
      </c>
      <c r="H2777" s="4"/>
      <c r="I2777" s="10" t="str">
        <f>HYPERLINK("http://twitter.com","Twitter Web Client")</f>
        <v>Twitter Web Client</v>
      </c>
      <c r="J2777" s="2">
        <v>3964</v>
      </c>
      <c r="K2777" s="2">
        <v>4479</v>
      </c>
      <c r="L2777" s="2">
        <v>2</v>
      </c>
      <c r="M2777" s="2"/>
      <c r="N2777" s="8">
        <v>41928.970902777779</v>
      </c>
      <c r="O2777" s="4" t="s">
        <v>2193</v>
      </c>
      <c r="P2777" s="3" t="s">
        <v>9743</v>
      </c>
      <c r="Q2777" s="4"/>
      <c r="R2777" s="4"/>
      <c r="S2777" s="9" t="str">
        <f>HYPERLINK("https://pbs.twimg.com/profile_images/891562281263284224/UCXkX_UX.jpg","View")</f>
        <v>View</v>
      </c>
    </row>
    <row r="2778" spans="1:19" ht="40">
      <c r="A2778" s="8">
        <v>43344.336018518516</v>
      </c>
      <c r="B2778" s="11" t="str">
        <f>HYPERLINK("https://twitter.com/ye_yarou","@ye_yarou")</f>
        <v>@ye_yarou</v>
      </c>
      <c r="C2778" s="6" t="s">
        <v>9742</v>
      </c>
      <c r="D2778" s="5" t="s">
        <v>9741</v>
      </c>
      <c r="E2778" s="9" t="str">
        <f>HYPERLINK("https://twitter.com/ye_yarou/status/1035732443129671680","1035732443129671680")</f>
        <v>1035732443129671680</v>
      </c>
      <c r="F2778" s="4"/>
      <c r="G2778" s="4"/>
      <c r="H2778" s="4"/>
      <c r="I2778" s="10" t="str">
        <f>HYPERLINK("https://mobile.twitter.com","Twitter Lite")</f>
        <v>Twitter Lite</v>
      </c>
      <c r="J2778" s="2">
        <v>921</v>
      </c>
      <c r="K2778" s="2">
        <v>927</v>
      </c>
      <c r="L2778" s="2">
        <v>2</v>
      </c>
      <c r="M2778" s="2"/>
      <c r="N2778" s="8">
        <v>43032.568194444444</v>
      </c>
      <c r="O2778" s="4"/>
      <c r="P2778" s="3" t="s">
        <v>9740</v>
      </c>
      <c r="Q2778" s="4"/>
      <c r="R2778" s="4"/>
      <c r="S2778" s="9" t="str">
        <f>HYPERLINK("https://pbs.twimg.com/profile_images/1000000535343304705/smQyT-dX.jpg","View")</f>
        <v>View</v>
      </c>
    </row>
    <row r="2779" spans="1:19" ht="20">
      <c r="A2779" s="8">
        <v>43344.333171296297</v>
      </c>
      <c r="B2779" s="11" t="str">
        <f>HYPERLINK("https://twitter.com/etehadonline","@etehadonline")</f>
        <v>@etehadonline</v>
      </c>
      <c r="C2779" s="6" t="s">
        <v>9739</v>
      </c>
      <c r="D2779" s="5" t="s">
        <v>9738</v>
      </c>
      <c r="E2779" s="9" t="str">
        <f>HYPERLINK("https://twitter.com/etehadonline/status/1035731412291346432","1035731412291346432")</f>
        <v>1035731412291346432</v>
      </c>
      <c r="F2779" s="10" t="s">
        <v>9737</v>
      </c>
      <c r="G2779" s="4"/>
      <c r="H2779" s="4"/>
      <c r="I2779" s="10" t="str">
        <f>HYPERLINK("http://etehadonline.com","etehadonline")</f>
        <v>etehadonline</v>
      </c>
      <c r="J2779" s="2">
        <v>1081</v>
      </c>
      <c r="K2779" s="2">
        <v>5001</v>
      </c>
      <c r="L2779" s="2">
        <v>1</v>
      </c>
      <c r="M2779" s="2"/>
      <c r="N2779" s="8">
        <v>43249.676145833335</v>
      </c>
      <c r="O2779" s="4" t="s">
        <v>133</v>
      </c>
      <c r="P2779" s="3" t="s">
        <v>9736</v>
      </c>
      <c r="Q2779" s="10" t="s">
        <v>9735</v>
      </c>
      <c r="R2779" s="4"/>
      <c r="S2779" s="9" t="str">
        <f>HYPERLINK("https://pbs.twimg.com/profile_images/1001431729532481537/9qjw3c3F.jpg","View")</f>
        <v>View</v>
      </c>
    </row>
    <row r="2780" spans="1:19" ht="30">
      <c r="A2780" s="8">
        <v>43344.32340277778</v>
      </c>
      <c r="B2780" s="11" t="str">
        <f>HYPERLINK("https://twitter.com/yVA4ATUfdofr2xS","@yVA4ATUfdofr2xS")</f>
        <v>@yVA4ATUfdofr2xS</v>
      </c>
      <c r="C2780" s="6" t="s">
        <v>27</v>
      </c>
      <c r="D2780" s="5" t="s">
        <v>9734</v>
      </c>
      <c r="E2780" s="9" t="str">
        <f>HYPERLINK("https://twitter.com/yVA4ATUfdofr2xS/status/1035727874915885056","1035727874915885056")</f>
        <v>1035727874915885056</v>
      </c>
      <c r="F2780" s="10" t="s">
        <v>9733</v>
      </c>
      <c r="G2780" s="10" t="s">
        <v>9732</v>
      </c>
      <c r="H2780" s="4"/>
      <c r="I2780" s="10" t="str">
        <f>HYPERLINK("http://twitter.com","Twitter Web Client")</f>
        <v>Twitter Web Client</v>
      </c>
      <c r="J2780" s="2">
        <v>153</v>
      </c>
      <c r="K2780" s="2">
        <v>249</v>
      </c>
      <c r="L2780" s="2">
        <v>0</v>
      </c>
      <c r="M2780" s="2"/>
      <c r="N2780" s="8">
        <v>43323.438252314816</v>
      </c>
      <c r="O2780" s="4" t="s">
        <v>25</v>
      </c>
      <c r="P2780" s="3" t="s">
        <v>24</v>
      </c>
      <c r="Q2780" s="4"/>
      <c r="R2780" s="4"/>
      <c r="S2780" s="9" t="str">
        <f>HYPERLINK("https://pbs.twimg.com/profile_images/1028178183206498305/b7usXKsw.jpg","View")</f>
        <v>View</v>
      </c>
    </row>
    <row r="2781" spans="1:19" ht="40">
      <c r="A2781" s="8">
        <v>43344.320856481485</v>
      </c>
      <c r="B2781" s="11" t="str">
        <f>HYPERLINK("https://twitter.com/MamadR10","@MamadR10")</f>
        <v>@MamadR10</v>
      </c>
      <c r="C2781" s="6" t="s">
        <v>9731</v>
      </c>
      <c r="D2781" s="5" t="s">
        <v>9730</v>
      </c>
      <c r="E2781" s="9" t="str">
        <f>HYPERLINK("https://twitter.com/MamadR10/status/1035726949908471808","1035726949908471808")</f>
        <v>1035726949908471808</v>
      </c>
      <c r="F2781" s="4"/>
      <c r="G2781" s="4"/>
      <c r="H2781" s="4"/>
      <c r="I2781" s="10" t="str">
        <f>HYPERLINK("http://twitter.com/download/android","Twitter for Android")</f>
        <v>Twitter for Android</v>
      </c>
      <c r="J2781" s="2">
        <v>7</v>
      </c>
      <c r="K2781" s="2">
        <v>54</v>
      </c>
      <c r="L2781" s="2">
        <v>0</v>
      </c>
      <c r="M2781" s="2"/>
      <c r="N2781" s="8">
        <v>43326.035578703704</v>
      </c>
      <c r="O2781" s="4" t="s">
        <v>9729</v>
      </c>
      <c r="P2781" s="3" t="s">
        <v>9728</v>
      </c>
      <c r="Q2781" s="4"/>
      <c r="R2781" s="4"/>
      <c r="S2781" s="9" t="str">
        <f>HYPERLINK("https://pbs.twimg.com/profile_images/1029836301560963072/19V36U_S.jpg","View")</f>
        <v>View</v>
      </c>
    </row>
    <row r="2782" spans="1:19" ht="20">
      <c r="A2782" s="8">
        <v>43344.303194444445</v>
      </c>
      <c r="B2782" s="11" t="str">
        <f>HYPERLINK("https://twitter.com/m_imaninasab","@m_imaninasab")</f>
        <v>@m_imaninasab</v>
      </c>
      <c r="C2782" s="6" t="s">
        <v>9727</v>
      </c>
      <c r="D2782" s="5" t="s">
        <v>9726</v>
      </c>
      <c r="E2782" s="9" t="str">
        <f>HYPERLINK("https://twitter.com/m_imaninasab/status/1035720550348251136","1035720550348251136")</f>
        <v>1035720550348251136</v>
      </c>
      <c r="F2782" s="4"/>
      <c r="G2782" s="10" t="s">
        <v>9725</v>
      </c>
      <c r="H2782" s="4"/>
      <c r="I2782" s="10" t="str">
        <f>HYPERLINK("http://twitter.com/download/android","Twitter for Android")</f>
        <v>Twitter for Android</v>
      </c>
      <c r="J2782" s="2">
        <v>841</v>
      </c>
      <c r="K2782" s="2">
        <v>1656</v>
      </c>
      <c r="L2782" s="2">
        <v>3</v>
      </c>
      <c r="M2782" s="2"/>
      <c r="N2782" s="8">
        <v>42907.854143518518</v>
      </c>
      <c r="O2782" s="4"/>
      <c r="P2782" s="3" t="s">
        <v>9724</v>
      </c>
      <c r="Q2782" s="4"/>
      <c r="R2782" s="4"/>
      <c r="S2782" s="9" t="str">
        <f>HYPERLINK("https://pbs.twimg.com/profile_images/881732527584665600/Mnd3KJiy.jpg","View")</f>
        <v>View</v>
      </c>
    </row>
    <row r="2783" spans="1:19" ht="30">
      <c r="A2783" s="8">
        <v>43344.294409722221</v>
      </c>
      <c r="B2783" s="11" t="str">
        <f>HYPERLINK("https://twitter.com/9Yoa3E4iVfaHKvY","@9Yoa3E4iVfaHKvY")</f>
        <v>@9Yoa3E4iVfaHKvY</v>
      </c>
      <c r="C2783" s="6" t="s">
        <v>9723</v>
      </c>
      <c r="D2783" s="5" t="s">
        <v>9722</v>
      </c>
      <c r="E2783" s="9" t="str">
        <f>HYPERLINK("https://twitter.com/9Yoa3E4iVfaHKvY/status/1035717367073046530","1035717367073046530")</f>
        <v>1035717367073046530</v>
      </c>
      <c r="F2783" s="4"/>
      <c r="G2783" s="4"/>
      <c r="H2783" s="4"/>
      <c r="I2783" s="10" t="str">
        <f>HYPERLINK("http://twitter.com/download/iphone","Twitter for iPhone")</f>
        <v>Twitter for iPhone</v>
      </c>
      <c r="J2783" s="2">
        <v>1</v>
      </c>
      <c r="K2783" s="2">
        <v>25</v>
      </c>
      <c r="L2783" s="2">
        <v>0</v>
      </c>
      <c r="M2783" s="2"/>
      <c r="N2783" s="8">
        <v>43283.151261574079</v>
      </c>
      <c r="O2783" s="4"/>
      <c r="P2783" s="3"/>
      <c r="Q2783" s="4"/>
      <c r="R2783" s="4"/>
      <c r="S2783" s="9" t="str">
        <f>HYPERLINK("https://pbs.twimg.com/profile_images/1013775728045887489/pAP_76J6.jpg","View")</f>
        <v>View</v>
      </c>
    </row>
    <row r="2784" spans="1:19" ht="40">
      <c r="A2784" s="8">
        <v>43344.258692129632</v>
      </c>
      <c r="B2784" s="11" t="str">
        <f>HYPERLINK("https://twitter.com/pouraghai","@pouraghai")</f>
        <v>@pouraghai</v>
      </c>
      <c r="C2784" s="6" t="s">
        <v>9721</v>
      </c>
      <c r="D2784" s="5" t="s">
        <v>9720</v>
      </c>
      <c r="E2784" s="9" t="str">
        <f>HYPERLINK("https://twitter.com/pouraghai/status/1035704424365281282","1035704424365281282")</f>
        <v>1035704424365281282</v>
      </c>
      <c r="F2784" s="10" t="s">
        <v>9719</v>
      </c>
      <c r="G2784" s="4"/>
      <c r="H2784" s="4"/>
      <c r="I2784" s="10" t="str">
        <f>HYPERLINK("http://twitter.com/download/android","Twitter for Android")</f>
        <v>Twitter for Android</v>
      </c>
      <c r="J2784" s="2">
        <v>239</v>
      </c>
      <c r="K2784" s="2">
        <v>103</v>
      </c>
      <c r="L2784" s="2">
        <v>0</v>
      </c>
      <c r="M2784" s="2"/>
      <c r="N2784" s="8">
        <v>43309.982939814814</v>
      </c>
      <c r="O2784" s="4" t="s">
        <v>9718</v>
      </c>
      <c r="P2784" s="3" t="s">
        <v>9717</v>
      </c>
      <c r="Q2784" s="4"/>
      <c r="R2784" s="4"/>
      <c r="S2784" s="9" t="str">
        <f>HYPERLINK("https://pbs.twimg.com/profile_images/1031460806540648448/9PyW4hwx.jpg","View")</f>
        <v>View</v>
      </c>
    </row>
    <row r="2785" spans="1:19" ht="70">
      <c r="A2785" s="8">
        <v>43344.223425925928</v>
      </c>
      <c r="B2785" s="11" t="str">
        <f>HYPERLINK("https://twitter.com/mahdiayat","@mahdiayat")</f>
        <v>@mahdiayat</v>
      </c>
      <c r="C2785" s="6" t="s">
        <v>4907</v>
      </c>
      <c r="D2785" s="5" t="s">
        <v>9716</v>
      </c>
      <c r="E2785" s="9" t="str">
        <f>HYPERLINK("https://twitter.com/mahdiayat/status/1035691642336862208","1035691642336862208")</f>
        <v>1035691642336862208</v>
      </c>
      <c r="F2785" s="10" t="s">
        <v>9715</v>
      </c>
      <c r="G2785" s="10" t="s">
        <v>9714</v>
      </c>
      <c r="H2785" s="4"/>
      <c r="I2785" s="10" t="str">
        <f>HYPERLINK("http://twitter.com/#!/download/ipad","Twitter for iPad")</f>
        <v>Twitter for iPad</v>
      </c>
      <c r="J2785" s="2">
        <v>223</v>
      </c>
      <c r="K2785" s="2">
        <v>954</v>
      </c>
      <c r="L2785" s="2">
        <v>3</v>
      </c>
      <c r="M2785" s="2"/>
      <c r="N2785" s="8">
        <v>39793.538819444446</v>
      </c>
      <c r="O2785" s="4" t="s">
        <v>4905</v>
      </c>
      <c r="P2785" s="3" t="s">
        <v>4904</v>
      </c>
      <c r="Q2785" s="4"/>
      <c r="R2785" s="4"/>
      <c r="S2785" s="9" t="str">
        <f>HYPERLINK("https://pbs.twimg.com/profile_images/997401220024221696/b6kS9tmF.jpg","View")</f>
        <v>View</v>
      </c>
    </row>
    <row r="2786" spans="1:19" ht="40">
      <c r="A2786" s="8">
        <v>43344.171840277777</v>
      </c>
      <c r="B2786" s="11" t="str">
        <f>HYPERLINK("https://twitter.com/MSRoholahi","@MSRoholahi")</f>
        <v>@MSRoholahi</v>
      </c>
      <c r="C2786" s="6" t="s">
        <v>9713</v>
      </c>
      <c r="D2786" s="5" t="s">
        <v>9712</v>
      </c>
      <c r="E2786" s="9" t="str">
        <f>HYPERLINK("https://twitter.com/MSRoholahi/status/1035672949720788993","1035672949720788993")</f>
        <v>1035672949720788993</v>
      </c>
      <c r="F2786" s="4"/>
      <c r="G2786" s="4"/>
      <c r="H2786" s="4"/>
      <c r="I2786" s="10" t="str">
        <f>HYPERLINK("http://twitter.com","Twitter Web Client")</f>
        <v>Twitter Web Client</v>
      </c>
      <c r="J2786" s="2">
        <v>157</v>
      </c>
      <c r="K2786" s="2">
        <v>264</v>
      </c>
      <c r="L2786" s="2">
        <v>2</v>
      </c>
      <c r="M2786" s="2"/>
      <c r="N2786" s="8">
        <v>43266.392245370371</v>
      </c>
      <c r="O2786" s="4" t="s">
        <v>9711</v>
      </c>
      <c r="P2786" s="3" t="s">
        <v>9710</v>
      </c>
      <c r="Q2786" s="10" t="s">
        <v>9709</v>
      </c>
      <c r="R2786" s="4"/>
      <c r="S2786" s="9" t="str">
        <f>HYPERLINK("https://pbs.twimg.com/profile_images/1026247146155270144/fVii7pMd.jpg","View")</f>
        <v>View</v>
      </c>
    </row>
    <row r="2787" spans="1:19" ht="60">
      <c r="A2787" s="8">
        <v>43344.156597222223</v>
      </c>
      <c r="B2787" s="11" t="str">
        <f>HYPERLINK("https://twitter.com/PlanetEarth2013","@PlanetEarth2013")</f>
        <v>@PlanetEarth2013</v>
      </c>
      <c r="C2787" s="6" t="s">
        <v>145</v>
      </c>
      <c r="D2787" s="5" t="s">
        <v>9708</v>
      </c>
      <c r="E2787" s="9" t="str">
        <f>HYPERLINK("https://twitter.com/PlanetEarth2013/status/1035667423175667712","1035667423175667712")</f>
        <v>1035667423175667712</v>
      </c>
      <c r="F2787" s="10" t="s">
        <v>9707</v>
      </c>
      <c r="G2787" s="4"/>
      <c r="H2787" s="4"/>
      <c r="I2787" s="10" t="str">
        <f>HYPERLINK("http://twitter.com/download/iphone","Twitter for iPhone")</f>
        <v>Twitter for iPhone</v>
      </c>
      <c r="J2787" s="2">
        <v>574</v>
      </c>
      <c r="K2787" s="2">
        <v>1183</v>
      </c>
      <c r="L2787" s="2">
        <v>39</v>
      </c>
      <c r="M2787" s="2"/>
      <c r="N2787" s="8">
        <v>39988.447129629625</v>
      </c>
      <c r="O2787" s="4" t="s">
        <v>9706</v>
      </c>
      <c r="P2787" s="3" t="s">
        <v>9705</v>
      </c>
      <c r="Q2787" s="10" t="s">
        <v>9704</v>
      </c>
      <c r="R2787" s="4"/>
      <c r="S2787" s="9" t="str">
        <f>HYPERLINK("https://pbs.twimg.com/profile_images/924076021195747330/yxRFjsJJ.jpg","View")</f>
        <v>View</v>
      </c>
    </row>
    <row r="2788" spans="1:19" ht="40">
      <c r="A2788" s="8">
        <v>43344.154085648144</v>
      </c>
      <c r="B2788" s="11" t="str">
        <f>HYPERLINK("https://twitter.com/taghavifard","@taghavifard")</f>
        <v>@taghavifard</v>
      </c>
      <c r="C2788" s="6" t="s">
        <v>8755</v>
      </c>
      <c r="D2788" s="5" t="s">
        <v>9703</v>
      </c>
      <c r="E2788" s="9" t="str">
        <f>HYPERLINK("https://twitter.com/taghavifard/status/1035666514429575168","1035666514429575168")</f>
        <v>1035666514429575168</v>
      </c>
      <c r="F2788" s="4"/>
      <c r="G2788" s="10" t="s">
        <v>9702</v>
      </c>
      <c r="H2788" s="4"/>
      <c r="I2788" s="10" t="str">
        <f>HYPERLINK("http://twitter.com/download/iphone","Twitter for iPhone")</f>
        <v>Twitter for iPhone</v>
      </c>
      <c r="J2788" s="2">
        <v>175</v>
      </c>
      <c r="K2788" s="2">
        <v>0</v>
      </c>
      <c r="L2788" s="2">
        <v>3</v>
      </c>
      <c r="M2788" s="2"/>
      <c r="N2788" s="8">
        <v>42754.705277777779</v>
      </c>
      <c r="O2788" s="4" t="s">
        <v>133</v>
      </c>
      <c r="P2788" s="3" t="s">
        <v>8753</v>
      </c>
      <c r="Q2788" s="4"/>
      <c r="R2788" s="4"/>
      <c r="S2788" s="9" t="str">
        <f>HYPERLINK("https://pbs.twimg.com/profile_images/963870928005402625/tC5uAnPN.jpg","View")</f>
        <v>View</v>
      </c>
    </row>
    <row r="2789" spans="1:19" ht="20">
      <c r="A2789" s="8">
        <v>43344.145810185189</v>
      </c>
      <c r="B2789" s="11" t="str">
        <f>HYPERLINK("https://twitter.com/Mirreza8","@Mirreza8")</f>
        <v>@Mirreza8</v>
      </c>
      <c r="C2789" s="6" t="s">
        <v>9701</v>
      </c>
      <c r="D2789" s="5" t="s">
        <v>9700</v>
      </c>
      <c r="E2789" s="9" t="str">
        <f>HYPERLINK("https://twitter.com/Mirreza8/status/1035663513937764352","1035663513937764352")</f>
        <v>1035663513937764352</v>
      </c>
      <c r="F2789" s="4"/>
      <c r="G2789" s="10" t="s">
        <v>9699</v>
      </c>
      <c r="H2789" s="4"/>
      <c r="I2789" s="10" t="str">
        <f>HYPERLINK("http://twitter.com/download/android","Twitter for Android")</f>
        <v>Twitter for Android</v>
      </c>
      <c r="J2789" s="2">
        <v>0</v>
      </c>
      <c r="K2789" s="2">
        <v>1</v>
      </c>
      <c r="L2789" s="2">
        <v>0</v>
      </c>
      <c r="M2789" s="2"/>
      <c r="N2789" s="8">
        <v>43343.547638888893</v>
      </c>
      <c r="O2789" s="4"/>
      <c r="P2789" s="3"/>
      <c r="Q2789" s="4"/>
      <c r="R2789" s="4"/>
      <c r="S2789" s="9" t="str">
        <f>HYPERLINK("https://pbs.twimg.com/profile_images/1035450953779044352/1m4oBSjs.jpg","View")</f>
        <v>View</v>
      </c>
    </row>
    <row r="2790" spans="1:19" ht="30">
      <c r="A2790" s="8">
        <v>43344.129421296297</v>
      </c>
      <c r="B2790" s="11" t="str">
        <f>HYPERLINK("https://twitter.com/SalomeSeyednia","@SalomeSeyednia")</f>
        <v>@SalomeSeyednia</v>
      </c>
      <c r="C2790" s="6" t="s">
        <v>9698</v>
      </c>
      <c r="D2790" s="5" t="s">
        <v>9697</v>
      </c>
      <c r="E2790" s="9" t="str">
        <f>HYPERLINK("https://twitter.com/SalomeSeyednia/status/1035657576044744705","1035657576044744705")</f>
        <v>1035657576044744705</v>
      </c>
      <c r="F2790" s="4"/>
      <c r="G2790" s="10" t="s">
        <v>9696</v>
      </c>
      <c r="H2790" s="4"/>
      <c r="I2790" s="10" t="str">
        <f>HYPERLINK("http://twitter.com/download/iphone","Twitter for iPhone")</f>
        <v>Twitter for iPhone</v>
      </c>
      <c r="J2790" s="2">
        <v>26210</v>
      </c>
      <c r="K2790" s="2">
        <v>161</v>
      </c>
      <c r="L2790" s="2">
        <v>80</v>
      </c>
      <c r="M2790" s="2" t="s">
        <v>80</v>
      </c>
      <c r="N2790" s="8">
        <v>40302.161805555559</v>
      </c>
      <c r="O2790" s="4" t="s">
        <v>460</v>
      </c>
      <c r="P2790" s="3" t="s">
        <v>9695</v>
      </c>
      <c r="Q2790" s="4"/>
      <c r="R2790" s="4"/>
      <c r="S2790" s="9" t="str">
        <f>HYPERLINK("https://pbs.twimg.com/profile_images/944267318141562886/P5gzaKRG.jpg","View")</f>
        <v>View</v>
      </c>
    </row>
    <row r="2791" spans="1:19" ht="40">
      <c r="A2791" s="8">
        <v>43344.124930555554</v>
      </c>
      <c r="B2791" s="11" t="str">
        <f>HYPERLINK("https://twitter.com/Mohsen99721161","@Mohsen99721161")</f>
        <v>@Mohsen99721161</v>
      </c>
      <c r="C2791" s="6" t="s">
        <v>1823</v>
      </c>
      <c r="D2791" s="5" t="s">
        <v>9694</v>
      </c>
      <c r="E2791" s="9" t="str">
        <f>HYPERLINK("https://twitter.com/Mohsen99721161/status/1035655947459457024","1035655947459457024")</f>
        <v>1035655947459457024</v>
      </c>
      <c r="F2791" s="4"/>
      <c r="G2791" s="4"/>
      <c r="H2791" s="4"/>
      <c r="I2791" s="10" t="str">
        <f>HYPERLINK("http://twitter.com/download/android","Twitter for Android")</f>
        <v>Twitter for Android</v>
      </c>
      <c r="J2791" s="2">
        <v>2</v>
      </c>
      <c r="K2791" s="2">
        <v>51</v>
      </c>
      <c r="L2791" s="2">
        <v>0</v>
      </c>
      <c r="M2791" s="2"/>
      <c r="N2791" s="8">
        <v>43342.323113425926</v>
      </c>
      <c r="O2791" s="4"/>
      <c r="P2791" s="3"/>
      <c r="Q2791" s="4"/>
      <c r="R2791" s="4"/>
      <c r="S2791" s="9" t="str">
        <f>HYPERLINK("https://pbs.twimg.com/profile_images/1035006837299531777/q0cWUbsG.jpg","View")</f>
        <v>View</v>
      </c>
    </row>
    <row r="2792" spans="1:19" ht="40">
      <c r="A2792" s="8">
        <v>43344.121516203704</v>
      </c>
      <c r="B2792" s="11" t="str">
        <f>HYPERLINK("https://twitter.com/MABdesigner","@MABdesigner")</f>
        <v>@MABdesigner</v>
      </c>
      <c r="C2792" s="6" t="s">
        <v>9693</v>
      </c>
      <c r="D2792" s="5" t="s">
        <v>9692</v>
      </c>
      <c r="E2792" s="9" t="str">
        <f>HYPERLINK("https://twitter.com/MABdesigner/status/1035654711997816834","1035654711997816834")</f>
        <v>1035654711997816834</v>
      </c>
      <c r="F2792" s="4"/>
      <c r="G2792" s="4"/>
      <c r="H2792" s="4"/>
      <c r="I2792" s="10" t="str">
        <f>HYPERLINK("http://twitter.com/download/iphone","Twitter for iPhone")</f>
        <v>Twitter for iPhone</v>
      </c>
      <c r="J2792" s="2">
        <v>16</v>
      </c>
      <c r="K2792" s="2">
        <v>74</v>
      </c>
      <c r="L2792" s="2">
        <v>0</v>
      </c>
      <c r="M2792" s="2"/>
      <c r="N2792" s="8">
        <v>41527.525393518517</v>
      </c>
      <c r="O2792" s="4" t="s">
        <v>9691</v>
      </c>
      <c r="P2792" s="3" t="s">
        <v>9690</v>
      </c>
      <c r="Q2792" s="10" t="s">
        <v>9689</v>
      </c>
      <c r="R2792" s="4"/>
      <c r="S2792" s="9" t="str">
        <f>HYPERLINK("https://pbs.twimg.com/profile_images/1005918217091547136/5zpOtqVM.jpg","View")</f>
        <v>View</v>
      </c>
    </row>
    <row r="2793" spans="1:19" ht="40">
      <c r="A2793" s="8">
        <v>43344.119305555556</v>
      </c>
      <c r="B2793" s="11" t="str">
        <f>HYPERLINK("https://twitter.com/hamid_vazifeh","@hamid_vazifeh")</f>
        <v>@hamid_vazifeh</v>
      </c>
      <c r="C2793" s="6" t="s">
        <v>9681</v>
      </c>
      <c r="D2793" s="5" t="s">
        <v>9688</v>
      </c>
      <c r="E2793" s="9" t="str">
        <f>HYPERLINK("https://twitter.com/hamid_vazifeh/status/1035653909044518913","1035653909044518913")</f>
        <v>1035653909044518913</v>
      </c>
      <c r="F2793" s="4"/>
      <c r="G2793" s="4"/>
      <c r="H2793" s="4"/>
      <c r="I2793" s="10" t="str">
        <f>HYPERLINK("http://twitter.com/download/android","Twitter for Android")</f>
        <v>Twitter for Android</v>
      </c>
      <c r="J2793" s="2">
        <v>1087</v>
      </c>
      <c r="K2793" s="2">
        <v>1348</v>
      </c>
      <c r="L2793" s="2">
        <v>6</v>
      </c>
      <c r="M2793" s="2"/>
      <c r="N2793" s="8">
        <v>42886.719675925924</v>
      </c>
      <c r="O2793" s="4" t="s">
        <v>9679</v>
      </c>
      <c r="P2793" s="3" t="s">
        <v>9678</v>
      </c>
      <c r="Q2793" s="4"/>
      <c r="R2793" s="4"/>
      <c r="S2793" s="9" t="str">
        <f>HYPERLINK("https://pbs.twimg.com/profile_images/1035599739839029255/QK2QLt_0.jpg","View")</f>
        <v>View</v>
      </c>
    </row>
    <row r="2794" spans="1:19" ht="30">
      <c r="A2794" s="8">
        <v>43344.116724537038</v>
      </c>
      <c r="B2794" s="11" t="str">
        <f>HYPERLINK("https://twitter.com/sdkh11519375","@sdkh11519375")</f>
        <v>@sdkh11519375</v>
      </c>
      <c r="C2794" s="6" t="s">
        <v>9687</v>
      </c>
      <c r="D2794" s="5" t="s">
        <v>9686</v>
      </c>
      <c r="E2794" s="9" t="str">
        <f>HYPERLINK("https://twitter.com/sdkh11519375/status/1035652973760720896","1035652973760720896")</f>
        <v>1035652973760720896</v>
      </c>
      <c r="F2794" s="4"/>
      <c r="G2794" s="4"/>
      <c r="H2794" s="4"/>
      <c r="I2794" s="10" t="str">
        <f>HYPERLINK("http://twitter.com","Twitter Web Client")</f>
        <v>Twitter Web Client</v>
      </c>
      <c r="J2794" s="2">
        <v>11</v>
      </c>
      <c r="K2794" s="2">
        <v>24</v>
      </c>
      <c r="L2794" s="2">
        <v>0</v>
      </c>
      <c r="M2794" s="2"/>
      <c r="N2794" s="8">
        <v>43298.629143518519</v>
      </c>
      <c r="O2794" s="4"/>
      <c r="P2794" s="3"/>
      <c r="Q2794" s="4"/>
      <c r="R2794" s="4"/>
      <c r="S2794" s="9" t="str">
        <f>HYPERLINK("https://pbs.twimg.com/profile_images/1020063507813785600/1rPGgPxN.jpg","View")</f>
        <v>View</v>
      </c>
    </row>
    <row r="2795" spans="1:19" ht="30">
      <c r="A2795" s="8">
        <v>43344.110162037032</v>
      </c>
      <c r="B2795" s="11" t="str">
        <f>HYPERLINK("https://twitter.com/muhsenuv","@muhsenuv")</f>
        <v>@muhsenuv</v>
      </c>
      <c r="C2795" s="6" t="s">
        <v>9685</v>
      </c>
      <c r="D2795" s="5" t="s">
        <v>9684</v>
      </c>
      <c r="E2795" s="9" t="str">
        <f>HYPERLINK("https://twitter.com/muhsenuv/status/1035650597083590656","1035650597083590656")</f>
        <v>1035650597083590656</v>
      </c>
      <c r="F2795" s="4"/>
      <c r="G2795" s="4"/>
      <c r="H2795" s="4"/>
      <c r="I2795" s="10" t="str">
        <f>HYPERLINK("http://twitter.com/download/android","Twitter for Android")</f>
        <v>Twitter for Android</v>
      </c>
      <c r="J2795" s="2">
        <v>384</v>
      </c>
      <c r="K2795" s="2">
        <v>726</v>
      </c>
      <c r="L2795" s="2">
        <v>2</v>
      </c>
      <c r="M2795" s="2"/>
      <c r="N2795" s="8">
        <v>43335.923680555556</v>
      </c>
      <c r="O2795" s="4" t="s">
        <v>9683</v>
      </c>
      <c r="P2795" s="3" t="s">
        <v>9682</v>
      </c>
      <c r="Q2795" s="4"/>
      <c r="R2795" s="4"/>
      <c r="S2795" s="9" t="str">
        <f>HYPERLINK("https://pbs.twimg.com/profile_images/1033990963746824192/DGDbdAH8.jpg","View")</f>
        <v>View</v>
      </c>
    </row>
    <row r="2796" spans="1:19" ht="20">
      <c r="A2796" s="8">
        <v>43344.107106481482</v>
      </c>
      <c r="B2796" s="11" t="str">
        <f>HYPERLINK("https://twitter.com/hamid_vazifeh","@hamid_vazifeh")</f>
        <v>@hamid_vazifeh</v>
      </c>
      <c r="C2796" s="6" t="s">
        <v>9681</v>
      </c>
      <c r="D2796" s="5" t="s">
        <v>9680</v>
      </c>
      <c r="E2796" s="9" t="str">
        <f>HYPERLINK("https://twitter.com/hamid_vazifeh/status/1035649491179917314","1035649491179917314")</f>
        <v>1035649491179917314</v>
      </c>
      <c r="F2796" s="4"/>
      <c r="G2796" s="4"/>
      <c r="H2796" s="4"/>
      <c r="I2796" s="10" t="str">
        <f>HYPERLINK("http://twitter.com/download/android","Twitter for Android")</f>
        <v>Twitter for Android</v>
      </c>
      <c r="J2796" s="2">
        <v>1087</v>
      </c>
      <c r="K2796" s="2">
        <v>1348</v>
      </c>
      <c r="L2796" s="2">
        <v>6</v>
      </c>
      <c r="M2796" s="2"/>
      <c r="N2796" s="8">
        <v>42886.719675925924</v>
      </c>
      <c r="O2796" s="4" t="s">
        <v>9679</v>
      </c>
      <c r="P2796" s="3" t="s">
        <v>9678</v>
      </c>
      <c r="Q2796" s="4"/>
      <c r="R2796" s="4"/>
      <c r="S2796" s="9" t="str">
        <f>HYPERLINK("https://pbs.twimg.com/profile_images/1035599739839029255/QK2QLt_0.jpg","View")</f>
        <v>View</v>
      </c>
    </row>
    <row r="2797" spans="1:19" ht="40">
      <c r="A2797" s="8">
        <v>43344.098657407405</v>
      </c>
      <c r="B2797" s="11" t="str">
        <f>HYPERLINK("https://twitter.com/Nightingale_SA","@Nightingale_SA")</f>
        <v>@Nightingale_SA</v>
      </c>
      <c r="C2797" s="6" t="s">
        <v>889</v>
      </c>
      <c r="D2797" s="5" t="s">
        <v>9677</v>
      </c>
      <c r="E2797" s="9" t="str">
        <f>HYPERLINK("https://twitter.com/Nightingale_SA/status/1035646428616556550","1035646428616556550")</f>
        <v>1035646428616556550</v>
      </c>
      <c r="F2797" s="4"/>
      <c r="G2797" s="4"/>
      <c r="H2797" s="4"/>
      <c r="I2797" s="10" t="str">
        <f>HYPERLINK("http://twitter.com","Twitter Web Client")</f>
        <v>Twitter Web Client</v>
      </c>
      <c r="J2797" s="2">
        <v>180</v>
      </c>
      <c r="K2797" s="2">
        <v>687</v>
      </c>
      <c r="L2797" s="2">
        <v>1</v>
      </c>
      <c r="M2797" s="2"/>
      <c r="N2797" s="8">
        <v>43193.657326388886</v>
      </c>
      <c r="O2797" s="4"/>
      <c r="P2797" s="3" t="s">
        <v>886</v>
      </c>
      <c r="Q2797" s="4"/>
      <c r="R2797" s="4"/>
      <c r="S2797" s="9" t="str">
        <f>HYPERLINK("https://pbs.twimg.com/profile_images/981131756601569280/OkTGUrYl.jpg","View")</f>
        <v>View</v>
      </c>
    </row>
    <row r="2798" spans="1:19" ht="30">
      <c r="A2798" s="8">
        <v>43344.095127314809</v>
      </c>
      <c r="B2798" s="11" t="str">
        <f>HYPERLINK("https://twitter.com/President_bakh","@President_bakh")</f>
        <v>@President_bakh</v>
      </c>
      <c r="C2798" s="6" t="s">
        <v>9676</v>
      </c>
      <c r="D2798" s="5" t="s">
        <v>9675</v>
      </c>
      <c r="E2798" s="9" t="str">
        <f>HYPERLINK("https://twitter.com/President_bakh/status/1035645150385586176","1035645150385586176")</f>
        <v>1035645150385586176</v>
      </c>
      <c r="F2798" s="4"/>
      <c r="G2798" s="10" t="s">
        <v>9674</v>
      </c>
      <c r="H2798" s="4"/>
      <c r="I2798" s="10" t="str">
        <f>HYPERLINK("http://twitter.com/download/android","Twitter for Android")</f>
        <v>Twitter for Android</v>
      </c>
      <c r="J2798" s="2">
        <v>5681</v>
      </c>
      <c r="K2798" s="2">
        <v>5954</v>
      </c>
      <c r="L2798" s="2">
        <v>10</v>
      </c>
      <c r="M2798" s="2"/>
      <c r="N2798" s="8">
        <v>42740.447025462963</v>
      </c>
      <c r="O2798" s="4" t="s">
        <v>9673</v>
      </c>
      <c r="P2798" s="3" t="s">
        <v>9672</v>
      </c>
      <c r="Q2798" s="4"/>
      <c r="R2798" s="4"/>
      <c r="S2798" s="9" t="str">
        <f>HYPERLINK("https://pbs.twimg.com/profile_images/1022158380377493504/Q5RnCHuK.jpg","View")</f>
        <v>View</v>
      </c>
    </row>
    <row r="2799" spans="1:19" ht="30">
      <c r="A2799" s="8">
        <v>43344.089548611111</v>
      </c>
      <c r="B2799" s="11" t="str">
        <f>HYPERLINK("https://twitter.com/d_papillonn","@d_papillonn")</f>
        <v>@d_papillonn</v>
      </c>
      <c r="C2799" s="6" t="s">
        <v>390</v>
      </c>
      <c r="D2799" s="5" t="s">
        <v>9671</v>
      </c>
      <c r="E2799" s="9" t="str">
        <f>HYPERLINK("https://twitter.com/d_papillonn/status/1035643126323531777","1035643126323531777")</f>
        <v>1035643126323531777</v>
      </c>
      <c r="F2799" s="4"/>
      <c r="G2799" s="10" t="s">
        <v>9670</v>
      </c>
      <c r="H2799" s="4"/>
      <c r="I2799" s="10" t="str">
        <f>HYPERLINK("http://twitter.com/download/android","Twitter for Android")</f>
        <v>Twitter for Android</v>
      </c>
      <c r="J2799" s="2">
        <v>608</v>
      </c>
      <c r="K2799" s="2">
        <v>476</v>
      </c>
      <c r="L2799" s="2">
        <v>6</v>
      </c>
      <c r="M2799" s="2"/>
      <c r="N2799" s="8">
        <v>40626.263680555552</v>
      </c>
      <c r="O2799" s="4" t="s">
        <v>388</v>
      </c>
      <c r="P2799" s="3" t="s">
        <v>387</v>
      </c>
      <c r="Q2799" s="10" t="s">
        <v>386</v>
      </c>
      <c r="R2799" s="4"/>
      <c r="S2799" s="9" t="str">
        <f>HYPERLINK("https://pbs.twimg.com/profile_images/1027869671020744705/1ratNSjB.jpg","View")</f>
        <v>View</v>
      </c>
    </row>
    <row r="2800" spans="1:19" ht="30">
      <c r="A2800" s="8">
        <v>43344.088692129633</v>
      </c>
      <c r="B2800" s="11" t="str">
        <f>HYPERLINK("https://twitter.com/soheili84","@soheili84")</f>
        <v>@soheili84</v>
      </c>
      <c r="C2800" s="6" t="s">
        <v>9669</v>
      </c>
      <c r="D2800" s="5" t="s">
        <v>9668</v>
      </c>
      <c r="E2800" s="9" t="str">
        <f>HYPERLINK("https://twitter.com/soheili84/status/1035642818910449665","1035642818910449665")</f>
        <v>1035642818910449665</v>
      </c>
      <c r="F2800" s="4"/>
      <c r="G2800" s="4"/>
      <c r="H2800" s="4"/>
      <c r="I2800" s="10" t="str">
        <f>HYPERLINK("http://twitter.com/download/iphone","Twitter for iPhone")</f>
        <v>Twitter for iPhone</v>
      </c>
      <c r="J2800" s="2">
        <v>6706</v>
      </c>
      <c r="K2800" s="2">
        <v>362</v>
      </c>
      <c r="L2800" s="2">
        <v>23</v>
      </c>
      <c r="M2800" s="2"/>
      <c r="N2800" s="8">
        <v>42654.779085648144</v>
      </c>
      <c r="O2800" s="4"/>
      <c r="P2800" s="3" t="s">
        <v>9667</v>
      </c>
      <c r="Q2800" s="10" t="s">
        <v>9666</v>
      </c>
      <c r="R2800" s="4"/>
      <c r="S2800" s="9" t="str">
        <f>HYPERLINK("https://pbs.twimg.com/profile_images/1031731939315728384/CEnd4-L4.jpg","View")</f>
        <v>View</v>
      </c>
    </row>
    <row r="2801" spans="1:19" ht="40">
      <c r="A2801" s="8">
        <v>43344.084085648152</v>
      </c>
      <c r="B2801" s="11" t="str">
        <f>HYPERLINK("https://twitter.com/behrad198","@behrad198")</f>
        <v>@behrad198</v>
      </c>
      <c r="C2801" s="6" t="s">
        <v>9665</v>
      </c>
      <c r="D2801" s="5" t="s">
        <v>9664</v>
      </c>
      <c r="E2801" s="9" t="str">
        <f>HYPERLINK("https://twitter.com/behrad198/status/1035641149065551872","1035641149065551872")</f>
        <v>1035641149065551872</v>
      </c>
      <c r="F2801" s="4"/>
      <c r="G2801" s="4"/>
      <c r="H2801" s="4"/>
      <c r="I2801" s="10" t="str">
        <f>HYPERLINK("http://twitter.com/download/android","Twitter for Android")</f>
        <v>Twitter for Android</v>
      </c>
      <c r="J2801" s="2">
        <v>7</v>
      </c>
      <c r="K2801" s="2">
        <v>210</v>
      </c>
      <c r="L2801" s="2">
        <v>0</v>
      </c>
      <c r="M2801" s="2"/>
      <c r="N2801" s="8">
        <v>43081.131053240737</v>
      </c>
      <c r="O2801" s="4"/>
      <c r="P2801" s="3" t="s">
        <v>9663</v>
      </c>
      <c r="Q2801" s="4"/>
      <c r="R2801" s="4"/>
      <c r="S2801" s="2" t="s">
        <v>155</v>
      </c>
    </row>
    <row r="2802" spans="1:19" ht="40">
      <c r="A2802" s="8">
        <v>43344.07880787037</v>
      </c>
      <c r="B2802" s="11" t="str">
        <f>HYPERLINK("https://twitter.com/mahtabgholizade","@mahtabgholizade")</f>
        <v>@mahtabgholizade</v>
      </c>
      <c r="C2802" s="6" t="s">
        <v>9662</v>
      </c>
      <c r="D2802" s="5" t="s">
        <v>9661</v>
      </c>
      <c r="E2802" s="9" t="str">
        <f>HYPERLINK("https://twitter.com/mahtabgholizade/status/1035639236261765120","1035639236261765120")</f>
        <v>1035639236261765120</v>
      </c>
      <c r="F2802" s="4"/>
      <c r="G2802" s="4"/>
      <c r="H2802" s="4"/>
      <c r="I2802" s="10" t="str">
        <f>HYPERLINK("http://twitter.com/download/iphone","Twitter for iPhone")</f>
        <v>Twitter for iPhone</v>
      </c>
      <c r="J2802" s="2">
        <v>596</v>
      </c>
      <c r="K2802" s="2">
        <v>319</v>
      </c>
      <c r="L2802" s="2">
        <v>7</v>
      </c>
      <c r="M2802" s="2"/>
      <c r="N2802" s="8">
        <v>41249.955034722225</v>
      </c>
      <c r="O2802" s="4" t="s">
        <v>8780</v>
      </c>
      <c r="P2802" s="3" t="s">
        <v>9660</v>
      </c>
      <c r="Q2802" s="10" t="s">
        <v>9659</v>
      </c>
      <c r="R2802" s="4"/>
      <c r="S2802" s="9" t="str">
        <f>HYPERLINK("https://pbs.twimg.com/profile_images/1027887525057191937/xlR0hv5e.jpg","View")</f>
        <v>View</v>
      </c>
    </row>
    <row r="2803" spans="1:19" ht="30">
      <c r="A2803" s="8">
        <v>43344.075254629628</v>
      </c>
      <c r="B2803" s="11" t="str">
        <f>HYPERLINK("https://twitter.com/ShakiHastam","@ShakiHastam")</f>
        <v>@ShakiHastam</v>
      </c>
      <c r="C2803" s="6" t="s">
        <v>9658</v>
      </c>
      <c r="D2803" s="5" t="s">
        <v>9657</v>
      </c>
      <c r="E2803" s="9" t="str">
        <f>HYPERLINK("https://twitter.com/ShakiHastam/status/1035637948694323200","1035637948694323200")</f>
        <v>1035637948694323200</v>
      </c>
      <c r="F2803" s="4"/>
      <c r="G2803" s="4"/>
      <c r="H2803" s="4"/>
      <c r="I2803" s="10" t="str">
        <f>HYPERLINK("http://twitter.com/download/iphone","Twitter for iPhone")</f>
        <v>Twitter for iPhone</v>
      </c>
      <c r="J2803" s="2">
        <v>290</v>
      </c>
      <c r="K2803" s="2">
        <v>580</v>
      </c>
      <c r="L2803" s="2">
        <v>2</v>
      </c>
      <c r="M2803" s="2"/>
      <c r="N2803" s="8">
        <v>43074.975995370369</v>
      </c>
      <c r="O2803" s="4"/>
      <c r="P2803" s="3" t="s">
        <v>9656</v>
      </c>
      <c r="Q2803" s="4"/>
      <c r="R2803" s="4"/>
      <c r="S2803" s="9" t="str">
        <f>HYPERLINK("https://pbs.twimg.com/profile_images/938135901040992258/2UP4y7WD.jpg","View")</f>
        <v>View</v>
      </c>
    </row>
    <row r="2804" spans="1:19" ht="20">
      <c r="A2804" s="8">
        <v>43344.074884259258</v>
      </c>
      <c r="B2804" s="11" t="str">
        <f>HYPERLINK("https://twitter.com/Mohamma54026336","@Mohamma54026336")</f>
        <v>@Mohamma54026336</v>
      </c>
      <c r="C2804" s="6" t="s">
        <v>9655</v>
      </c>
      <c r="D2804" s="5" t="s">
        <v>9654</v>
      </c>
      <c r="E2804" s="9" t="str">
        <f>HYPERLINK("https://twitter.com/Mohamma54026336/status/1035637811381235713","1035637811381235713")</f>
        <v>1035637811381235713</v>
      </c>
      <c r="F2804" s="4"/>
      <c r="G2804" s="10" t="s">
        <v>9653</v>
      </c>
      <c r="H2804" s="4"/>
      <c r="I2804" s="10" t="str">
        <f>HYPERLINK("http://twitter.com/download/android","Twitter for Android")</f>
        <v>Twitter for Android</v>
      </c>
      <c r="J2804" s="2">
        <v>3</v>
      </c>
      <c r="K2804" s="2">
        <v>20</v>
      </c>
      <c r="L2804" s="2">
        <v>0</v>
      </c>
      <c r="M2804" s="2"/>
      <c r="N2804" s="8">
        <v>43343.89571759259</v>
      </c>
      <c r="O2804" s="4"/>
      <c r="P2804" s="3"/>
      <c r="Q2804" s="4"/>
      <c r="R2804" s="4"/>
      <c r="S2804" s="9" t="str">
        <f>HYPERLINK("https://pbs.twimg.com/profile_images/1035573929291796480/zFQttpG2.jpg","View")</f>
        <v>View</v>
      </c>
    </row>
    <row r="2805" spans="1:19" ht="20">
      <c r="A2805" s="8">
        <v>43344.073379629626</v>
      </c>
      <c r="B2805" s="11" t="str">
        <f>HYPERLINK("https://twitter.com/Molaei4","@Molaei4")</f>
        <v>@Molaei4</v>
      </c>
      <c r="C2805" s="6" t="s">
        <v>9652</v>
      </c>
      <c r="D2805" s="5" t="s">
        <v>9651</v>
      </c>
      <c r="E2805" s="9" t="str">
        <f>HYPERLINK("https://twitter.com/Molaei4/status/1035637269812703234","1035637269812703234")</f>
        <v>1035637269812703234</v>
      </c>
      <c r="F2805" s="4"/>
      <c r="G2805" s="10" t="s">
        <v>9650</v>
      </c>
      <c r="H2805" s="4"/>
      <c r="I2805" s="10" t="str">
        <f>HYPERLINK("http://twitter.com/download/android","Twitter for Android")</f>
        <v>Twitter for Android</v>
      </c>
      <c r="J2805" s="2">
        <v>1033</v>
      </c>
      <c r="K2805" s="2">
        <v>1647</v>
      </c>
      <c r="L2805" s="2">
        <v>2</v>
      </c>
      <c r="M2805" s="2"/>
      <c r="N2805" s="8">
        <v>43112.366296296299</v>
      </c>
      <c r="O2805" s="4"/>
      <c r="P2805" s="3" t="s">
        <v>9649</v>
      </c>
      <c r="Q2805" s="4"/>
      <c r="R2805" s="4"/>
      <c r="S2805" s="9" t="str">
        <f>HYPERLINK("https://pbs.twimg.com/profile_images/1020967384465756160/67n3YVRk.jpg","View")</f>
        <v>View</v>
      </c>
    </row>
    <row r="2806" spans="1:19" ht="30">
      <c r="A2806" s="8">
        <v>43344.064814814818</v>
      </c>
      <c r="B2806" s="11" t="str">
        <f>HYPERLINK("https://twitter.com/abbashajhashemy","@abbashajhashemy")</f>
        <v>@abbashajhashemy</v>
      </c>
      <c r="C2806" s="6" t="s">
        <v>9648</v>
      </c>
      <c r="D2806" s="5" t="s">
        <v>9647</v>
      </c>
      <c r="E2806" s="9" t="str">
        <f>HYPERLINK("https://twitter.com/abbashajhashemy/status/1035634162168983553","1035634162168983553")</f>
        <v>1035634162168983553</v>
      </c>
      <c r="F2806" s="4"/>
      <c r="G2806" s="4"/>
      <c r="H2806" s="4"/>
      <c r="I2806" s="10" t="str">
        <f>HYPERLINK("http://twitter.com/download/android","Twitter for Android")</f>
        <v>Twitter for Android</v>
      </c>
      <c r="J2806" s="2">
        <v>265</v>
      </c>
      <c r="K2806" s="2">
        <v>386</v>
      </c>
      <c r="L2806" s="2">
        <v>1</v>
      </c>
      <c r="M2806" s="2"/>
      <c r="N2806" s="8">
        <v>43272.775810185187</v>
      </c>
      <c r="O2806" s="4" t="s">
        <v>2193</v>
      </c>
      <c r="P2806" s="3" t="s">
        <v>9646</v>
      </c>
      <c r="Q2806" s="4"/>
      <c r="R2806" s="4"/>
      <c r="S2806" s="9" t="str">
        <f>HYPERLINK("https://pbs.twimg.com/profile_images/1009801187003158533/ERHGa-Lg.jpg","View")</f>
        <v>View</v>
      </c>
    </row>
    <row r="2807" spans="1:19" ht="30">
      <c r="A2807" s="8">
        <v>43344.064768518518</v>
      </c>
      <c r="B2807" s="11" t="str">
        <f>HYPERLINK("https://twitter.com/AloneCommander","@AloneCommander")</f>
        <v>@AloneCommander</v>
      </c>
      <c r="C2807" s="6" t="s">
        <v>9645</v>
      </c>
      <c r="D2807" s="5" t="s">
        <v>9644</v>
      </c>
      <c r="E2807" s="9" t="str">
        <f>HYPERLINK("https://twitter.com/AloneCommander/status/1035634145706364928","1035634145706364928")</f>
        <v>1035634145706364928</v>
      </c>
      <c r="F2807" s="4"/>
      <c r="G2807" s="4"/>
      <c r="H2807" s="4"/>
      <c r="I2807" s="10" t="str">
        <f>HYPERLINK("http://twitter.com/download/android","Twitter for Android")</f>
        <v>Twitter for Android</v>
      </c>
      <c r="J2807" s="2">
        <v>11</v>
      </c>
      <c r="K2807" s="2">
        <v>55</v>
      </c>
      <c r="L2807" s="2">
        <v>0</v>
      </c>
      <c r="M2807" s="2"/>
      <c r="N2807" s="8">
        <v>43106.576608796298</v>
      </c>
      <c r="O2807" s="4" t="s">
        <v>34</v>
      </c>
      <c r="P2807" s="3" t="s">
        <v>9643</v>
      </c>
      <c r="Q2807" s="4"/>
      <c r="R2807" s="4"/>
      <c r="S2807" s="9" t="str">
        <f>HYPERLINK("https://pbs.twimg.com/profile_images/949594634723893248/eRZWPz2M.jpg","View")</f>
        <v>View</v>
      </c>
    </row>
    <row r="2808" spans="1:19" ht="60">
      <c r="A2808" s="8">
        <v>43344.058020833334</v>
      </c>
      <c r="B2808" s="11" t="str">
        <f>HYPERLINK("https://twitter.com/FereshteNadaf","@FereshteNadaf")</f>
        <v>@FereshteNadaf</v>
      </c>
      <c r="C2808" s="6" t="s">
        <v>9642</v>
      </c>
      <c r="D2808" s="5" t="s">
        <v>9641</v>
      </c>
      <c r="E2808" s="9" t="str">
        <f>HYPERLINK("https://twitter.com/FereshteNadaf/status/1035631703312805889","1035631703312805889")</f>
        <v>1035631703312805889</v>
      </c>
      <c r="F2808" s="10" t="s">
        <v>9640</v>
      </c>
      <c r="G2808" s="4"/>
      <c r="H2808" s="4"/>
      <c r="I2808" s="10" t="str">
        <f>HYPERLINK("http://twitter.com","Twitter Web Client")</f>
        <v>Twitter Web Client</v>
      </c>
      <c r="J2808" s="2">
        <v>275</v>
      </c>
      <c r="K2808" s="2">
        <v>468</v>
      </c>
      <c r="L2808" s="2">
        <v>0</v>
      </c>
      <c r="M2808" s="2"/>
      <c r="N2808" s="8">
        <v>43312.049375000002</v>
      </c>
      <c r="O2808" s="4"/>
      <c r="P2808" s="3" t="s">
        <v>9639</v>
      </c>
      <c r="Q2808" s="4"/>
      <c r="R2808" s="4"/>
      <c r="S2808" s="9" t="str">
        <f>HYPERLINK("https://pbs.twimg.com/profile_images/1024043700958179329/5ciuQovE.jpg","View")</f>
        <v>View</v>
      </c>
    </row>
    <row r="2809" spans="1:19" ht="40">
      <c r="A2809" s="8">
        <v>43344.056967592594</v>
      </c>
      <c r="B2809" s="11" t="str">
        <f>HYPERLINK("https://twitter.com/MKesvat","@MKesvat")</f>
        <v>@MKesvat</v>
      </c>
      <c r="C2809" s="6" t="s">
        <v>9638</v>
      </c>
      <c r="D2809" s="5" t="s">
        <v>9637</v>
      </c>
      <c r="E2809" s="9" t="str">
        <f>HYPERLINK("https://twitter.com/MKesvat/status/1035631321660444672","1035631321660444672")</f>
        <v>1035631321660444672</v>
      </c>
      <c r="F2809" s="10" t="s">
        <v>9636</v>
      </c>
      <c r="G2809" s="4"/>
      <c r="H2809" s="4"/>
      <c r="I2809" s="10" t="str">
        <f>HYPERLINK("http://twitter.com/download/android","Twitter for Android")</f>
        <v>Twitter for Android</v>
      </c>
      <c r="J2809" s="2">
        <v>620</v>
      </c>
      <c r="K2809" s="2">
        <v>690</v>
      </c>
      <c r="L2809" s="2">
        <v>0</v>
      </c>
      <c r="M2809" s="2"/>
      <c r="N2809" s="8">
        <v>42269.661203703705</v>
      </c>
      <c r="O2809" s="4"/>
      <c r="P2809" s="3" t="s">
        <v>9635</v>
      </c>
      <c r="Q2809" s="4"/>
      <c r="R2809" s="4"/>
      <c r="S2809" s="9" t="str">
        <f>HYPERLINK("https://pbs.twimg.com/profile_images/802101709438849024/15qwxABZ.jpg","View")</f>
        <v>View</v>
      </c>
    </row>
    <row r="2810" spans="1:19" ht="40">
      <c r="A2810" s="8">
        <v>43344.054837962962</v>
      </c>
      <c r="B2810" s="11" t="str">
        <f>HYPERLINK("https://twitter.com/parcham_bala","@parcham_bala")</f>
        <v>@parcham_bala</v>
      </c>
      <c r="C2810" s="6" t="s">
        <v>9634</v>
      </c>
      <c r="D2810" s="5" t="s">
        <v>9633</v>
      </c>
      <c r="E2810" s="9" t="str">
        <f>HYPERLINK("https://twitter.com/parcham_bala/status/1035630548973236226","1035630548973236226")</f>
        <v>1035630548973236226</v>
      </c>
      <c r="F2810" s="4"/>
      <c r="G2810" s="10" t="s">
        <v>9632</v>
      </c>
      <c r="H2810" s="4"/>
      <c r="I2810" s="10" t="str">
        <f>HYPERLINK("http://twitter.com/download/android","Twitter for Android")</f>
        <v>Twitter for Android</v>
      </c>
      <c r="J2810" s="2">
        <v>56</v>
      </c>
      <c r="K2810" s="2">
        <v>170</v>
      </c>
      <c r="L2810" s="2">
        <v>0</v>
      </c>
      <c r="M2810" s="2"/>
      <c r="N2810" s="8">
        <v>43339.64230324074</v>
      </c>
      <c r="O2810" s="4"/>
      <c r="P2810" s="3" t="s">
        <v>9631</v>
      </c>
      <c r="Q2810" s="4"/>
      <c r="R2810" s="4"/>
      <c r="S2810" s="9" t="str">
        <f>HYPERLINK("https://pbs.twimg.com/profile_images/1034033609278148610/eRhCif79.jpg","View")</f>
        <v>View</v>
      </c>
    </row>
    <row r="2811" spans="1:19" ht="40">
      <c r="A2811" s="8">
        <v>43344.052581018521</v>
      </c>
      <c r="B2811" s="11" t="str">
        <f>HYPERLINK("https://twitter.com/teclamachenko","@teclamachenko")</f>
        <v>@teclamachenko</v>
      </c>
      <c r="C2811" s="6" t="s">
        <v>3984</v>
      </c>
      <c r="D2811" s="5" t="s">
        <v>9630</v>
      </c>
      <c r="E2811" s="9" t="str">
        <f>HYPERLINK("https://twitter.com/teclamachenko/status/1035629731008466944","1035629731008466944")</f>
        <v>1035629731008466944</v>
      </c>
      <c r="F2811" s="4"/>
      <c r="G2811" s="4"/>
      <c r="H2811" s="4"/>
      <c r="I2811" s="10" t="str">
        <f>HYPERLINK("http://twitter.com/download/android","Twitter for Android")</f>
        <v>Twitter for Android</v>
      </c>
      <c r="J2811" s="2">
        <v>3812</v>
      </c>
      <c r="K2811" s="2">
        <v>964</v>
      </c>
      <c r="L2811" s="2">
        <v>16</v>
      </c>
      <c r="M2811" s="2"/>
      <c r="N2811" s="8">
        <v>42912.16878472222</v>
      </c>
      <c r="O2811" s="4" t="s">
        <v>3982</v>
      </c>
      <c r="P2811" s="3" t="s">
        <v>8847</v>
      </c>
      <c r="Q2811" s="4"/>
      <c r="R2811" s="4"/>
      <c r="S2811" s="9" t="str">
        <f>HYPERLINK("https://pbs.twimg.com/profile_images/994479360253063170/6rT51vV9.jpg","View")</f>
        <v>View</v>
      </c>
    </row>
    <row r="2812" spans="1:19" ht="30">
      <c r="A2812" s="8">
        <v>43344.048564814817</v>
      </c>
      <c r="B2812" s="11" t="str">
        <f>HYPERLINK("https://twitter.com/sarahastam75","@sarahastam75")</f>
        <v>@sarahastam75</v>
      </c>
      <c r="C2812" s="6" t="s">
        <v>2939</v>
      </c>
      <c r="D2812" s="5" t="s">
        <v>9629</v>
      </c>
      <c r="E2812" s="9" t="str">
        <f>HYPERLINK("https://twitter.com/sarahastam75/status/1035628274246930432","1035628274246930432")</f>
        <v>1035628274246930432</v>
      </c>
      <c r="F2812" s="4"/>
      <c r="G2812" s="4"/>
      <c r="H2812" s="4"/>
      <c r="I2812" s="10" t="str">
        <f>HYPERLINK("http://twitter.com/download/android","Twitter for Android")</f>
        <v>Twitter for Android</v>
      </c>
      <c r="J2812" s="2">
        <v>2927</v>
      </c>
      <c r="K2812" s="2">
        <v>3694</v>
      </c>
      <c r="L2812" s="2">
        <v>0</v>
      </c>
      <c r="M2812" s="2"/>
      <c r="N2812" s="8">
        <v>43149.075162037036</v>
      </c>
      <c r="O2812" s="4" t="s">
        <v>2937</v>
      </c>
      <c r="P2812" s="3" t="s">
        <v>2936</v>
      </c>
      <c r="Q2812" s="4"/>
      <c r="R2812" s="4"/>
      <c r="S2812" s="9" t="str">
        <f>HYPERLINK("https://pbs.twimg.com/profile_images/987620349868232704/Hyp8z1AB.jpg","View")</f>
        <v>View</v>
      </c>
    </row>
    <row r="2813" spans="1:19" ht="30">
      <c r="A2813" s="8">
        <v>43344.045185185183</v>
      </c>
      <c r="B2813" s="11" t="str">
        <f>HYPERLINK("https://twitter.com/WeNeedThePeace","@WeNeedThePeace")</f>
        <v>@WeNeedThePeace</v>
      </c>
      <c r="C2813" s="6" t="s">
        <v>9628</v>
      </c>
      <c r="D2813" s="5" t="s">
        <v>9627</v>
      </c>
      <c r="E2813" s="9" t="str">
        <f>HYPERLINK("https://twitter.com/WeNeedThePeace/status/1035627051380862977","1035627051380862977")</f>
        <v>1035627051380862977</v>
      </c>
      <c r="F2813" s="4"/>
      <c r="G2813" s="4"/>
      <c r="H2813" s="4"/>
      <c r="I2813" s="10" t="str">
        <f>HYPERLINK("https://mobile.twitter.com","Twitter Lite")</f>
        <v>Twitter Lite</v>
      </c>
      <c r="J2813" s="2">
        <v>132</v>
      </c>
      <c r="K2813" s="2">
        <v>123</v>
      </c>
      <c r="L2813" s="2">
        <v>0</v>
      </c>
      <c r="M2813" s="2"/>
      <c r="N2813" s="8">
        <v>43216.653831018513</v>
      </c>
      <c r="O2813" s="4"/>
      <c r="P2813" s="3" t="s">
        <v>9626</v>
      </c>
      <c r="Q2813" s="4"/>
      <c r="R2813" s="4"/>
      <c r="S2813" s="9" t="str">
        <f>HYPERLINK("https://pbs.twimg.com/profile_images/1033465774600540167/Ve73NRNz.jpg","View")</f>
        <v>View</v>
      </c>
    </row>
    <row r="2814" spans="1:19" ht="20">
      <c r="A2814" s="8">
        <v>43344.043333333335</v>
      </c>
      <c r="B2814" s="11" t="str">
        <f>HYPERLINK("https://twitter.com/bardiya2000","@bardiya2000")</f>
        <v>@bardiya2000</v>
      </c>
      <c r="C2814" s="6" t="s">
        <v>6602</v>
      </c>
      <c r="D2814" s="5" t="s">
        <v>9625</v>
      </c>
      <c r="E2814" s="9" t="str">
        <f>HYPERLINK("https://twitter.com/bardiya2000/status/1035626380594216960","1035626380594216960")</f>
        <v>1035626380594216960</v>
      </c>
      <c r="F2814" s="4"/>
      <c r="G2814" s="10" t="s">
        <v>9624</v>
      </c>
      <c r="H2814" s="4"/>
      <c r="I2814" s="10" t="str">
        <f>HYPERLINK("http://twitter.com/download/android","Twitter for Android")</f>
        <v>Twitter for Android</v>
      </c>
      <c r="J2814" s="2">
        <v>11110</v>
      </c>
      <c r="K2814" s="2">
        <v>12221</v>
      </c>
      <c r="L2814" s="2">
        <v>5</v>
      </c>
      <c r="M2814" s="2"/>
      <c r="N2814" s="8">
        <v>43130.489201388889</v>
      </c>
      <c r="O2814" s="4" t="s">
        <v>104</v>
      </c>
      <c r="P2814" s="3" t="s">
        <v>6600</v>
      </c>
      <c r="Q2814" s="4"/>
      <c r="R2814" s="4"/>
      <c r="S2814" s="9" t="str">
        <f>HYPERLINK("https://pbs.twimg.com/profile_images/959171152081014784/1feOJkR-.jpg","View")</f>
        <v>View</v>
      </c>
    </row>
    <row r="2815" spans="1:19" ht="20">
      <c r="A2815" s="8">
        <v>43344.04</v>
      </c>
      <c r="B2815" s="11" t="str">
        <f>HYPERLINK("https://twitter.com/komeilbaroni","@komeilbaroni")</f>
        <v>@komeilbaroni</v>
      </c>
      <c r="C2815" s="6" t="s">
        <v>9590</v>
      </c>
      <c r="D2815" s="5" t="s">
        <v>9623</v>
      </c>
      <c r="E2815" s="9" t="str">
        <f>HYPERLINK("https://twitter.com/komeilbaroni/status/1035625171611250688","1035625171611250688")</f>
        <v>1035625171611250688</v>
      </c>
      <c r="F2815" s="4"/>
      <c r="G2815" s="4"/>
      <c r="H2815" s="4"/>
      <c r="I2815" s="10" t="str">
        <f>HYPERLINK("http://twitter.com/download/android","Twitter for Android")</f>
        <v>Twitter for Android</v>
      </c>
      <c r="J2815" s="2">
        <v>1159</v>
      </c>
      <c r="K2815" s="2">
        <v>884</v>
      </c>
      <c r="L2815" s="2">
        <v>5</v>
      </c>
      <c r="M2815" s="2"/>
      <c r="N2815" s="8">
        <v>42014.668402777781</v>
      </c>
      <c r="O2815" s="4" t="s">
        <v>9588</v>
      </c>
      <c r="P2815" s="3"/>
      <c r="Q2815" s="4"/>
      <c r="R2815" s="4"/>
      <c r="S2815" s="9" t="str">
        <f>HYPERLINK("https://pbs.twimg.com/profile_images/1034061050965098496/4insxnET.jpg","View")</f>
        <v>View</v>
      </c>
    </row>
    <row r="2816" spans="1:19" ht="20">
      <c r="A2816" s="8">
        <v>43344.037557870368</v>
      </c>
      <c r="B2816" s="11" t="str">
        <f>HYPERLINK("https://twitter.com/SALAR13547448","@SALAR13547448")</f>
        <v>@SALAR13547448</v>
      </c>
      <c r="C2816" s="6" t="s">
        <v>9622</v>
      </c>
      <c r="D2816" s="5" t="s">
        <v>9621</v>
      </c>
      <c r="E2816" s="9" t="str">
        <f>HYPERLINK("https://twitter.com/SALAR13547448/status/1035624284796985349","1035624284796985349")</f>
        <v>1035624284796985349</v>
      </c>
      <c r="F2816" s="4"/>
      <c r="G2816" s="4"/>
      <c r="H2816" s="4"/>
      <c r="I2816" s="10" t="str">
        <f>HYPERLINK("http://twitter.com/download/android","Twitter for Android")</f>
        <v>Twitter for Android</v>
      </c>
      <c r="J2816" s="2">
        <v>15</v>
      </c>
      <c r="K2816" s="2">
        <v>32</v>
      </c>
      <c r="L2816" s="2">
        <v>0</v>
      </c>
      <c r="M2816" s="2"/>
      <c r="N2816" s="8">
        <v>43316.410902777774</v>
      </c>
      <c r="O2816" s="4" t="s">
        <v>34</v>
      </c>
      <c r="P2816" s="3" t="s">
        <v>9620</v>
      </c>
      <c r="Q2816" s="4"/>
      <c r="R2816" s="4"/>
      <c r="S2816" s="9" t="str">
        <f>HYPERLINK("https://pbs.twimg.com/profile_images/1025673052191948800/fXLgE89d.jpg","View")</f>
        <v>View</v>
      </c>
    </row>
    <row r="2817" spans="1:19" ht="40">
      <c r="A2817" s="8">
        <v>43344.036631944444</v>
      </c>
      <c r="B2817" s="11" t="str">
        <f>HYPERLINK("https://twitter.com/hamidtmy","@hamidtmy")</f>
        <v>@hamidtmy</v>
      </c>
      <c r="C2817" s="6" t="s">
        <v>9619</v>
      </c>
      <c r="D2817" s="5" t="s">
        <v>9618</v>
      </c>
      <c r="E2817" s="9" t="str">
        <f>HYPERLINK("https://twitter.com/hamidtmy/status/1035623952176107522","1035623952176107522")</f>
        <v>1035623952176107522</v>
      </c>
      <c r="F2817" s="4"/>
      <c r="G2817" s="4"/>
      <c r="H2817" s="4"/>
      <c r="I2817" s="10" t="str">
        <f>HYPERLINK("http://twitter.com/download/iphone","Twitter for iPhone")</f>
        <v>Twitter for iPhone</v>
      </c>
      <c r="J2817" s="2">
        <v>153</v>
      </c>
      <c r="K2817" s="2">
        <v>263</v>
      </c>
      <c r="L2817" s="2">
        <v>1</v>
      </c>
      <c r="M2817" s="2"/>
      <c r="N2817" s="8">
        <v>41554.737337962964</v>
      </c>
      <c r="O2817" s="4" t="s">
        <v>282</v>
      </c>
      <c r="P2817" s="3"/>
      <c r="Q2817" s="10" t="s">
        <v>9617</v>
      </c>
      <c r="R2817" s="4"/>
      <c r="S2817" s="9" t="str">
        <f>HYPERLINK("https://pbs.twimg.com/profile_images/994503510535426048/IrYP69RT.jpg","View")</f>
        <v>View</v>
      </c>
    </row>
    <row r="2818" spans="1:19" ht="50">
      <c r="A2818" s="8">
        <v>43344.035509259258</v>
      </c>
      <c r="B2818" s="11" t="str">
        <f>HYPERLINK("https://twitter.com/Ramezani_Mohd","@Ramezani_Mohd")</f>
        <v>@Ramezani_Mohd</v>
      </c>
      <c r="C2818" s="6" t="s">
        <v>9616</v>
      </c>
      <c r="D2818" s="5" t="s">
        <v>9615</v>
      </c>
      <c r="E2818" s="9" t="str">
        <f>HYPERLINK("https://twitter.com/Ramezani_Mohd/status/1035623542585483264","1035623542585483264")</f>
        <v>1035623542585483264</v>
      </c>
      <c r="F2818" s="10" t="s">
        <v>9614</v>
      </c>
      <c r="G2818" s="10" t="s">
        <v>9613</v>
      </c>
      <c r="H2818" s="4"/>
      <c r="I2818" s="10" t="str">
        <f>HYPERLINK("https://mobile.twitter.com","Twitter Lite")</f>
        <v>Twitter Lite</v>
      </c>
      <c r="J2818" s="2">
        <v>112</v>
      </c>
      <c r="K2818" s="2">
        <v>431</v>
      </c>
      <c r="L2818" s="2">
        <v>1</v>
      </c>
      <c r="M2818" s="2"/>
      <c r="N2818" s="8">
        <v>41327.8596875</v>
      </c>
      <c r="O2818" s="4"/>
      <c r="P2818" s="3" t="s">
        <v>9612</v>
      </c>
      <c r="Q2818" s="4"/>
      <c r="R2818" s="4"/>
      <c r="S2818" s="9" t="str">
        <f>HYPERLINK("https://pbs.twimg.com/profile_images/3292562479/1de6ac6f543b537c3e0cf3d369fc821d.jpeg","View")</f>
        <v>View</v>
      </c>
    </row>
    <row r="2819" spans="1:19" ht="30">
      <c r="A2819" s="8">
        <v>43344.035312499997</v>
      </c>
      <c r="B2819" s="11" t="str">
        <f>HYPERLINK("https://twitter.com/Hamid9351","@Hamid9351")</f>
        <v>@Hamid9351</v>
      </c>
      <c r="C2819" s="6" t="s">
        <v>9611</v>
      </c>
      <c r="D2819" s="5" t="s">
        <v>9610</v>
      </c>
      <c r="E2819" s="9" t="str">
        <f>HYPERLINK("https://twitter.com/Hamid9351/status/1035623473639555077","1035623473639555077")</f>
        <v>1035623473639555077</v>
      </c>
      <c r="F2819" s="10" t="s">
        <v>9609</v>
      </c>
      <c r="G2819" s="4"/>
      <c r="H2819" s="4"/>
      <c r="I2819" s="10" t="str">
        <f>HYPERLINK("http://twitter.com/download/android","Twitter for Android")</f>
        <v>Twitter for Android</v>
      </c>
      <c r="J2819" s="2">
        <v>0</v>
      </c>
      <c r="K2819" s="2">
        <v>5</v>
      </c>
      <c r="L2819" s="2">
        <v>0</v>
      </c>
      <c r="M2819" s="2"/>
      <c r="N2819" s="8">
        <v>43340.407210648147</v>
      </c>
      <c r="O2819" s="4" t="s">
        <v>9608</v>
      </c>
      <c r="P2819" s="3" t="s">
        <v>9607</v>
      </c>
      <c r="Q2819" s="4"/>
      <c r="R2819" s="4"/>
      <c r="S2819" s="9" t="str">
        <f>HYPERLINK("https://pbs.twimg.com/profile_images/1034351720216911873/upM9UVqR.jpg","View")</f>
        <v>View</v>
      </c>
    </row>
    <row r="2820" spans="1:19" ht="12.5">
      <c r="A2820" s="8">
        <v>43344.035092592589</v>
      </c>
      <c r="B2820" s="11" t="str">
        <f>HYPERLINK("https://twitter.com/monji_313","@monji_313")</f>
        <v>@monji_313</v>
      </c>
      <c r="C2820" s="6" t="s">
        <v>9275</v>
      </c>
      <c r="D2820" s="5" t="s">
        <v>9606</v>
      </c>
      <c r="E2820" s="9" t="str">
        <f>HYPERLINK("https://twitter.com/monji_313/status/1035623393222119426","1035623393222119426")</f>
        <v>1035623393222119426</v>
      </c>
      <c r="F2820" s="4"/>
      <c r="G2820" s="10" t="s">
        <v>9605</v>
      </c>
      <c r="H2820" s="4"/>
      <c r="I2820" s="10" t="str">
        <f>HYPERLINK("http://twitter.com/download/android","Twitter for Android")</f>
        <v>Twitter for Android</v>
      </c>
      <c r="J2820" s="2">
        <v>1204</v>
      </c>
      <c r="K2820" s="2">
        <v>1990</v>
      </c>
      <c r="L2820" s="2">
        <v>1</v>
      </c>
      <c r="M2820" s="2"/>
      <c r="N2820" s="8">
        <v>43248.716990740737</v>
      </c>
      <c r="O2820" s="4" t="s">
        <v>34</v>
      </c>
      <c r="P2820" s="3" t="s">
        <v>9272</v>
      </c>
      <c r="Q2820" s="4"/>
      <c r="R2820" s="4"/>
      <c r="S2820" s="9" t="str">
        <f>HYPERLINK("https://pbs.twimg.com/profile_images/1002470285348671488/JHgQz_SS.jpg","View")</f>
        <v>View</v>
      </c>
    </row>
    <row r="2821" spans="1:19" ht="30">
      <c r="A2821" s="8">
        <v>43344.034930555557</v>
      </c>
      <c r="B2821" s="11" t="str">
        <f>HYPERLINK("https://twitter.com/barmiz3","@barmiz3")</f>
        <v>@barmiz3</v>
      </c>
      <c r="C2821" s="6" t="s">
        <v>9604</v>
      </c>
      <c r="D2821" s="5" t="s">
        <v>9603</v>
      </c>
      <c r="E2821" s="9" t="str">
        <f>HYPERLINK("https://twitter.com/barmiz3/status/1035623333050630144","1035623333050630144")</f>
        <v>1035623333050630144</v>
      </c>
      <c r="F2821" s="4"/>
      <c r="G2821" s="4"/>
      <c r="H2821" s="4"/>
      <c r="I2821" s="10" t="str">
        <f>HYPERLINK("https://mobile.twitter.com","Twitter Lite")</f>
        <v>Twitter Lite</v>
      </c>
      <c r="J2821" s="2">
        <v>337</v>
      </c>
      <c r="K2821" s="2">
        <v>184</v>
      </c>
      <c r="L2821" s="2">
        <v>0</v>
      </c>
      <c r="M2821" s="2"/>
      <c r="N2821" s="8">
        <v>43179.97456018519</v>
      </c>
      <c r="O2821" s="4"/>
      <c r="P2821" s="3"/>
      <c r="Q2821" s="4"/>
      <c r="R2821" s="4"/>
      <c r="S2821" s="2" t="s">
        <v>155</v>
      </c>
    </row>
    <row r="2822" spans="1:19" ht="30">
      <c r="A2822" s="8">
        <v>43344.029328703706</v>
      </c>
      <c r="B2822" s="11" t="str">
        <f>HYPERLINK("https://twitter.com/farhoud_maziyar","@farhoud_maziyar")</f>
        <v>@farhoud_maziyar</v>
      </c>
      <c r="C2822" s="6" t="s">
        <v>9602</v>
      </c>
      <c r="D2822" s="5" t="s">
        <v>9601</v>
      </c>
      <c r="E2822" s="9" t="str">
        <f>HYPERLINK("https://twitter.com/farhoud_maziyar/status/1035621305440075776","1035621305440075776")</f>
        <v>1035621305440075776</v>
      </c>
      <c r="F2822" s="4"/>
      <c r="G2822" s="4"/>
      <c r="H2822" s="4"/>
      <c r="I2822" s="10" t="str">
        <f>HYPERLINK("http://twitter.com","Twitter Web Client")</f>
        <v>Twitter Web Client</v>
      </c>
      <c r="J2822" s="2">
        <v>123</v>
      </c>
      <c r="K2822" s="2">
        <v>303</v>
      </c>
      <c r="L2822" s="2">
        <v>0</v>
      </c>
      <c r="M2822" s="2"/>
      <c r="N2822" s="8">
        <v>43087.138101851851</v>
      </c>
      <c r="O2822" s="4"/>
      <c r="P2822" s="3"/>
      <c r="Q2822" s="4"/>
      <c r="R2822" s="4"/>
      <c r="S2822" s="9" t="str">
        <f>HYPERLINK("https://pbs.twimg.com/profile_images/942547634224488448/gGFkx_cQ.jpg","View")</f>
        <v>View</v>
      </c>
    </row>
    <row r="2823" spans="1:19" ht="30">
      <c r="A2823" s="8">
        <v>43344.025775462964</v>
      </c>
      <c r="B2823" s="11" t="str">
        <f>HYPERLINK("https://twitter.com/ZaminiSib","@ZaminiSib")</f>
        <v>@ZaminiSib</v>
      </c>
      <c r="C2823" s="6" t="s">
        <v>5915</v>
      </c>
      <c r="D2823" s="5" t="s">
        <v>9600</v>
      </c>
      <c r="E2823" s="9" t="str">
        <f>HYPERLINK("https://twitter.com/ZaminiSib/status/1035620017444937729","1035620017444937729")</f>
        <v>1035620017444937729</v>
      </c>
      <c r="F2823" s="4"/>
      <c r="G2823" s="10" t="s">
        <v>9599</v>
      </c>
      <c r="H2823" s="4"/>
      <c r="I2823" s="10" t="str">
        <f>HYPERLINK("http://twitter.com","Twitter Web Client")</f>
        <v>Twitter Web Client</v>
      </c>
      <c r="J2823" s="2">
        <v>305</v>
      </c>
      <c r="K2823" s="2">
        <v>388</v>
      </c>
      <c r="L2823" s="2">
        <v>1</v>
      </c>
      <c r="M2823" s="2"/>
      <c r="N2823" s="8">
        <v>43278.350659722222</v>
      </c>
      <c r="O2823" s="4"/>
      <c r="P2823" s="3" t="s">
        <v>5913</v>
      </c>
      <c r="Q2823" s="4"/>
      <c r="R2823" s="4"/>
      <c r="S2823" s="9" t="str">
        <f>HYPERLINK("https://pbs.twimg.com/profile_images/1014080201410609157/zXkeaAgh.jpg","View")</f>
        <v>View</v>
      </c>
    </row>
    <row r="2824" spans="1:19" ht="30">
      <c r="A2824" s="8">
        <v>43344.025127314817</v>
      </c>
      <c r="B2824" s="11" t="str">
        <f>HYPERLINK("https://twitter.com/vicmsmv","@vicmsmv")</f>
        <v>@vicmsmv</v>
      </c>
      <c r="C2824" s="6" t="s">
        <v>9598</v>
      </c>
      <c r="D2824" s="5" t="s">
        <v>9597</v>
      </c>
      <c r="E2824" s="9" t="str">
        <f>HYPERLINK("https://twitter.com/vicmsmv/status/1035619780315803648","1035619780315803648")</f>
        <v>1035619780315803648</v>
      </c>
      <c r="F2824" s="4"/>
      <c r="G2824" s="4"/>
      <c r="H2824" s="4"/>
      <c r="I2824" s="10" t="str">
        <f>HYPERLINK("http://twitter.com/download/iphone","Twitter for iPhone")</f>
        <v>Twitter for iPhone</v>
      </c>
      <c r="J2824" s="2">
        <v>1134</v>
      </c>
      <c r="K2824" s="2">
        <v>713</v>
      </c>
      <c r="L2824" s="2">
        <v>4</v>
      </c>
      <c r="M2824" s="2"/>
      <c r="N2824" s="8">
        <v>43154.022777777776</v>
      </c>
      <c r="O2824" s="4" t="s">
        <v>1770</v>
      </c>
      <c r="P2824" s="3" t="s">
        <v>9596</v>
      </c>
      <c r="Q2824" s="4"/>
      <c r="R2824" s="4"/>
      <c r="S2824" s="9" t="str">
        <f>HYPERLINK("https://pbs.twimg.com/profile_images/1022778740122812416/xBDZdYhv.jpg","View")</f>
        <v>View</v>
      </c>
    </row>
    <row r="2825" spans="1:19" ht="30">
      <c r="A2825" s="8">
        <v>43344.023287037038</v>
      </c>
      <c r="B2825" s="11" t="str">
        <f>HYPERLINK("https://twitter.com/hra_news","@hra_news")</f>
        <v>@hra_news</v>
      </c>
      <c r="C2825" s="6" t="s">
        <v>4272</v>
      </c>
      <c r="D2825" s="5" t="s">
        <v>9595</v>
      </c>
      <c r="E2825" s="9" t="str">
        <f>HYPERLINK("https://twitter.com/hra_news/status/1035619114612604929","1035619114612604929")</f>
        <v>1035619114612604929</v>
      </c>
      <c r="F2825" s="4"/>
      <c r="G2825" s="10" t="s">
        <v>9594</v>
      </c>
      <c r="H2825" s="4"/>
      <c r="I2825" s="10" t="str">
        <f>HYPERLINK("http://twitter.com/download/android","Twitter for Android")</f>
        <v>Twitter for Android</v>
      </c>
      <c r="J2825" s="2">
        <v>5748</v>
      </c>
      <c r="K2825" s="2">
        <v>24</v>
      </c>
      <c r="L2825" s="2">
        <v>130</v>
      </c>
      <c r="M2825" s="2"/>
      <c r="N2825" s="8">
        <v>40166.766736111109</v>
      </c>
      <c r="O2825" s="4" t="s">
        <v>1415</v>
      </c>
      <c r="P2825" s="3" t="s">
        <v>4268</v>
      </c>
      <c r="Q2825" s="10" t="s">
        <v>4267</v>
      </c>
      <c r="R2825" s="4"/>
      <c r="S2825" s="9" t="str">
        <f>HYPERLINK("https://pbs.twimg.com/profile_images/1020299248456253441/3S_8IvTU.jpg","View")</f>
        <v>View</v>
      </c>
    </row>
    <row r="2826" spans="1:19" ht="30">
      <c r="A2826" s="8">
        <v>43344.023101851853</v>
      </c>
      <c r="B2826" s="11" t="str">
        <f>HYPERLINK("https://twitter.com/ForceIran","@ForceIran")</f>
        <v>@ForceIran</v>
      </c>
      <c r="C2826" s="6" t="s">
        <v>9593</v>
      </c>
      <c r="D2826" s="5" t="s">
        <v>9592</v>
      </c>
      <c r="E2826" s="9" t="str">
        <f>HYPERLINK("https://twitter.com/ForceIran/status/1035619049558953984","1035619049558953984")</f>
        <v>1035619049558953984</v>
      </c>
      <c r="F2826" s="4"/>
      <c r="G2826" s="4"/>
      <c r="H2826" s="4"/>
      <c r="I2826" s="10" t="str">
        <f>HYPERLINK("http://twitter.com/download/android","Twitter for Android")</f>
        <v>Twitter for Android</v>
      </c>
      <c r="J2826" s="2">
        <v>104</v>
      </c>
      <c r="K2826" s="2">
        <v>182</v>
      </c>
      <c r="L2826" s="2">
        <v>0</v>
      </c>
      <c r="M2826" s="2"/>
      <c r="N2826" s="8">
        <v>43316.829594907409</v>
      </c>
      <c r="O2826" s="4"/>
      <c r="P2826" s="3" t="s">
        <v>9591</v>
      </c>
      <c r="Q2826" s="4"/>
      <c r="R2826" s="4"/>
      <c r="S2826" s="9" t="str">
        <f>HYPERLINK("https://pbs.twimg.com/profile_images/1026021205919379456/HbFmLYQ-.jpg","View")</f>
        <v>View</v>
      </c>
    </row>
    <row r="2827" spans="1:19" ht="20">
      <c r="A2827" s="8">
        <v>43344.019641203704</v>
      </c>
      <c r="B2827" s="11" t="str">
        <f>HYPERLINK("https://twitter.com/komeilbaroni","@komeilbaroni")</f>
        <v>@komeilbaroni</v>
      </c>
      <c r="C2827" s="6" t="s">
        <v>9590</v>
      </c>
      <c r="D2827" s="5" t="s">
        <v>9589</v>
      </c>
      <c r="E2827" s="9" t="str">
        <f>HYPERLINK("https://twitter.com/komeilbaroni/status/1035617793323020288","1035617793323020288")</f>
        <v>1035617793323020288</v>
      </c>
      <c r="F2827" s="4"/>
      <c r="G2827" s="4"/>
      <c r="H2827" s="4"/>
      <c r="I2827" s="10" t="str">
        <f>HYPERLINK("http://twitter.com/download/android","Twitter for Android")</f>
        <v>Twitter for Android</v>
      </c>
      <c r="J2827" s="2">
        <v>1159</v>
      </c>
      <c r="K2827" s="2">
        <v>884</v>
      </c>
      <c r="L2827" s="2">
        <v>5</v>
      </c>
      <c r="M2827" s="2"/>
      <c r="N2827" s="8">
        <v>42014.668402777781</v>
      </c>
      <c r="O2827" s="4" t="s">
        <v>9588</v>
      </c>
      <c r="P2827" s="3"/>
      <c r="Q2827" s="4"/>
      <c r="R2827" s="4"/>
      <c r="S2827" s="9" t="str">
        <f>HYPERLINK("https://pbs.twimg.com/profile_images/1034061050965098496/4insxnET.jpg","View")</f>
        <v>View</v>
      </c>
    </row>
    <row r="2828" spans="1:19" ht="40">
      <c r="A2828" s="8">
        <v>43344.018437499995</v>
      </c>
      <c r="B2828" s="11" t="str">
        <f>HYPERLINK("https://twitter.com/Roeintan1","@Roeintan1")</f>
        <v>@Roeintan1</v>
      </c>
      <c r="C2828" s="6" t="s">
        <v>9587</v>
      </c>
      <c r="D2828" s="5" t="s">
        <v>9586</v>
      </c>
      <c r="E2828" s="9" t="str">
        <f>HYPERLINK("https://twitter.com/Roeintan1/status/1035617357866123265","1035617357866123265")</f>
        <v>1035617357866123265</v>
      </c>
      <c r="F2828" s="4"/>
      <c r="G2828" s="4"/>
      <c r="H2828" s="4"/>
      <c r="I2828" s="10" t="str">
        <f>HYPERLINK("http://twitter.com/download/android","Twitter for Android")</f>
        <v>Twitter for Android</v>
      </c>
      <c r="J2828" s="2">
        <v>160</v>
      </c>
      <c r="K2828" s="2">
        <v>218</v>
      </c>
      <c r="L2828" s="2">
        <v>1</v>
      </c>
      <c r="M2828" s="2"/>
      <c r="N2828" s="8">
        <v>43332.715775462959</v>
      </c>
      <c r="O2828" s="4" t="s">
        <v>9585</v>
      </c>
      <c r="P2828" s="3" t="s">
        <v>9584</v>
      </c>
      <c r="Q2828" s="4"/>
      <c r="R2828" s="4"/>
      <c r="S2828" s="9" t="str">
        <f>HYPERLINK("https://pbs.twimg.com/profile_images/1031522610792857601/itDMo6Tp.jpg","View")</f>
        <v>View</v>
      </c>
    </row>
    <row r="2829" spans="1:19" ht="40">
      <c r="A2829" s="8">
        <v>43344.018240740741</v>
      </c>
      <c r="B2829" s="11" t="str">
        <f>HYPERLINK("https://twitter.com/mehdi_abd","@mehdi_abd")</f>
        <v>@mehdi_abd</v>
      </c>
      <c r="C2829" s="6" t="s">
        <v>9583</v>
      </c>
      <c r="D2829" s="5" t="s">
        <v>9582</v>
      </c>
      <c r="E2829" s="9" t="str">
        <f>HYPERLINK("https://twitter.com/mehdi_abd/status/1035617285396934658","1035617285396934658")</f>
        <v>1035617285396934658</v>
      </c>
      <c r="F2829" s="4"/>
      <c r="G2829" s="4"/>
      <c r="H2829" s="4"/>
      <c r="I2829" s="10" t="str">
        <f>HYPERLINK("http://twitter.com","Twitter Web Client")</f>
        <v>Twitter Web Client</v>
      </c>
      <c r="J2829" s="2">
        <v>1196</v>
      </c>
      <c r="K2829" s="2">
        <v>650</v>
      </c>
      <c r="L2829" s="2">
        <v>18</v>
      </c>
      <c r="M2829" s="2"/>
      <c r="N2829" s="8">
        <v>40209.646354166667</v>
      </c>
      <c r="O2829" s="4" t="s">
        <v>9581</v>
      </c>
      <c r="P2829" s="3" t="s">
        <v>9580</v>
      </c>
      <c r="Q2829" s="10" t="s">
        <v>9579</v>
      </c>
      <c r="R2829" s="4"/>
      <c r="S2829" s="9" t="str">
        <f>HYPERLINK("https://pbs.twimg.com/profile_images/982986578539810817/FerCmWGa.jpg","View")</f>
        <v>View</v>
      </c>
    </row>
    <row r="2830" spans="1:19" ht="40">
      <c r="A2830" s="8">
        <v>43344.017511574071</v>
      </c>
      <c r="B2830" s="11" t="str">
        <f>HYPERLINK("https://twitter.com/iran053","@iran053")</f>
        <v>@iran053</v>
      </c>
      <c r="C2830" s="6" t="s">
        <v>5352</v>
      </c>
      <c r="D2830" s="5" t="s">
        <v>9578</v>
      </c>
      <c r="E2830" s="9" t="str">
        <f>HYPERLINK("https://twitter.com/iran053/status/1035617021269082112","1035617021269082112")</f>
        <v>1035617021269082112</v>
      </c>
      <c r="F2830" s="4"/>
      <c r="G2830" s="4"/>
      <c r="H2830" s="4"/>
      <c r="I2830" s="10" t="str">
        <f>HYPERLINK("http://twitter.com/download/android","Twitter for Android")</f>
        <v>Twitter for Android</v>
      </c>
      <c r="J2830" s="2">
        <v>202</v>
      </c>
      <c r="K2830" s="2">
        <v>828</v>
      </c>
      <c r="L2830" s="2">
        <v>1</v>
      </c>
      <c r="M2830" s="2"/>
      <c r="N2830" s="8">
        <v>41529.40457175926</v>
      </c>
      <c r="O2830" s="4"/>
      <c r="P2830" s="3" t="s">
        <v>5350</v>
      </c>
      <c r="Q2830" s="4"/>
      <c r="R2830" s="4"/>
      <c r="S2830" s="9" t="str">
        <f>HYPERLINK("https://pbs.twimg.com/profile_images/920015540948754432/gI5G82bM.jpg","View")</f>
        <v>View</v>
      </c>
    </row>
    <row r="2831" spans="1:19" ht="40">
      <c r="A2831" s="8">
        <v>43344.013819444444</v>
      </c>
      <c r="B2831" s="11" t="str">
        <f>HYPERLINK("https://twitter.com/mahmoodjavan","@mahmoodjavan")</f>
        <v>@mahmoodjavan</v>
      </c>
      <c r="C2831" s="6" t="s">
        <v>2072</v>
      </c>
      <c r="D2831" s="5" t="s">
        <v>9577</v>
      </c>
      <c r="E2831" s="9" t="str">
        <f>HYPERLINK("https://twitter.com/mahmoodjavan/status/1035615685433540608","1035615685433540608")</f>
        <v>1035615685433540608</v>
      </c>
      <c r="F2831" s="4"/>
      <c r="G2831" s="10" t="s">
        <v>9576</v>
      </c>
      <c r="H2831" s="4"/>
      <c r="I2831" s="10" t="str">
        <f>HYPERLINK("http://twitter.com/download/android","Twitter for Android")</f>
        <v>Twitter for Android</v>
      </c>
      <c r="J2831" s="2">
        <v>1648</v>
      </c>
      <c r="K2831" s="2">
        <v>2423</v>
      </c>
      <c r="L2831" s="2">
        <v>6</v>
      </c>
      <c r="M2831" s="2"/>
      <c r="N2831" s="8">
        <v>42466.026932870373</v>
      </c>
      <c r="O2831" s="4" t="s">
        <v>2069</v>
      </c>
      <c r="P2831" s="3"/>
      <c r="Q2831" s="10" t="s">
        <v>2068</v>
      </c>
      <c r="R2831" s="4"/>
      <c r="S2831" s="9" t="str">
        <f>HYPERLINK("https://pbs.twimg.com/profile_images/1015659093443448832/aVRJq0n5.jpg","View")</f>
        <v>View</v>
      </c>
    </row>
    <row r="2832" spans="1:19" ht="20">
      <c r="A2832" s="8">
        <v>43344.012384259258</v>
      </c>
      <c r="B2832" s="11" t="str">
        <f>HYPERLINK("https://twitter.com/hooman_hosn","@hooman_hosn")</f>
        <v>@hooman_hosn</v>
      </c>
      <c r="C2832" s="6" t="s">
        <v>9575</v>
      </c>
      <c r="D2832" s="5" t="s">
        <v>9574</v>
      </c>
      <c r="E2832" s="9" t="str">
        <f>HYPERLINK("https://twitter.com/hooman_hosn/status/1035615163888664576","1035615163888664576")</f>
        <v>1035615163888664576</v>
      </c>
      <c r="F2832" s="4"/>
      <c r="G2832" s="4"/>
      <c r="H2832" s="4"/>
      <c r="I2832" s="10" t="str">
        <f>HYPERLINK("http://twitter.com/download/iphone","Twitter for iPhone")</f>
        <v>Twitter for iPhone</v>
      </c>
      <c r="J2832" s="2">
        <v>103</v>
      </c>
      <c r="K2832" s="2">
        <v>105</v>
      </c>
      <c r="L2832" s="2">
        <v>0</v>
      </c>
      <c r="M2832" s="2"/>
      <c r="N2832" s="8">
        <v>42888.693113425921</v>
      </c>
      <c r="O2832" s="4" t="s">
        <v>9573</v>
      </c>
      <c r="P2832" s="3" t="s">
        <v>9572</v>
      </c>
      <c r="Q2832" s="4"/>
      <c r="R2832" s="4"/>
      <c r="S2832" s="9" t="str">
        <f>HYPERLINK("https://pbs.twimg.com/profile_images/1013118468395360256/Gm2C7DNg.jpg","View")</f>
        <v>View</v>
      </c>
    </row>
    <row r="2833" spans="1:19" ht="40">
      <c r="A2833" s="8">
        <v>43344.010694444441</v>
      </c>
      <c r="B2833" s="11" t="str">
        <f>HYPERLINK("https://twitter.com/ShahriarAsghari","@ShahriarAsghari")</f>
        <v>@ShahriarAsghari</v>
      </c>
      <c r="C2833" s="6" t="s">
        <v>9571</v>
      </c>
      <c r="D2833" s="5" t="s">
        <v>9570</v>
      </c>
      <c r="E2833" s="9" t="str">
        <f>HYPERLINK("https://twitter.com/ShahriarAsghari/status/1035614551939670016","1035614551939670016")</f>
        <v>1035614551939670016</v>
      </c>
      <c r="F2833" s="4"/>
      <c r="G2833" s="4"/>
      <c r="H2833" s="4"/>
      <c r="I2833" s="10" t="str">
        <f>HYPERLINK("http://twitter.com/download/iphone","Twitter for iPhone")</f>
        <v>Twitter for iPhone</v>
      </c>
      <c r="J2833" s="2">
        <v>643</v>
      </c>
      <c r="K2833" s="2">
        <v>732</v>
      </c>
      <c r="L2833" s="2">
        <v>1</v>
      </c>
      <c r="M2833" s="2"/>
      <c r="N2833" s="8">
        <v>40763.800509259258</v>
      </c>
      <c r="O2833" s="4" t="s">
        <v>6163</v>
      </c>
      <c r="P2833" s="3" t="s">
        <v>9569</v>
      </c>
      <c r="Q2833" s="4"/>
      <c r="R2833" s="4"/>
      <c r="S2833" s="9" t="str">
        <f>HYPERLINK("https://pbs.twimg.com/profile_images/1027450296505704448/gQM_6Hj6.jpg","View")</f>
        <v>View</v>
      </c>
    </row>
    <row r="2834" spans="1:19" ht="20">
      <c r="A2834" s="8">
        <v>43344.010289351849</v>
      </c>
      <c r="B2834" s="11" t="str">
        <f>HYPERLINK("https://twitter.com/babaei_moha","@babaei_moha")</f>
        <v>@babaei_moha</v>
      </c>
      <c r="C2834" s="6" t="s">
        <v>7747</v>
      </c>
      <c r="D2834" s="5" t="s">
        <v>9568</v>
      </c>
      <c r="E2834" s="9" t="str">
        <f>HYPERLINK("https://twitter.com/babaei_moha/status/1035614403939524608","1035614403939524608")</f>
        <v>1035614403939524608</v>
      </c>
      <c r="F2834" s="4"/>
      <c r="G2834" s="4"/>
      <c r="H2834" s="4"/>
      <c r="I2834" s="10" t="str">
        <f>HYPERLINK("https://mobile.twitter.com","Twitter Lite")</f>
        <v>Twitter Lite</v>
      </c>
      <c r="J2834" s="2">
        <v>10</v>
      </c>
      <c r="K2834" s="2">
        <v>62</v>
      </c>
      <c r="L2834" s="2">
        <v>0</v>
      </c>
      <c r="M2834" s="2"/>
      <c r="N2834" s="8">
        <v>43334.953946759255</v>
      </c>
      <c r="O2834" s="4" t="s">
        <v>324</v>
      </c>
      <c r="P2834" s="3" t="s">
        <v>7745</v>
      </c>
      <c r="Q2834" s="4"/>
      <c r="R2834" s="4"/>
      <c r="S2834" s="9" t="str">
        <f>HYPERLINK("https://pbs.twimg.com/profile_images/1032366573858840576/eVXRBX1o.jpg","View")</f>
        <v>View</v>
      </c>
    </row>
    <row r="2835" spans="1:19" ht="80">
      <c r="A2835" s="8">
        <v>43344.008483796293</v>
      </c>
      <c r="B2835" s="11" t="str">
        <f>HYPERLINK("https://twitter.com/Karenstillalive","@Karenstillalive")</f>
        <v>@Karenstillalive</v>
      </c>
      <c r="C2835" s="6" t="s">
        <v>9567</v>
      </c>
      <c r="D2835" s="5" t="s">
        <v>9566</v>
      </c>
      <c r="E2835" s="9" t="str">
        <f>HYPERLINK("https://twitter.com/Karenstillalive/status/1035613751783972864","1035613751783972864")</f>
        <v>1035613751783972864</v>
      </c>
      <c r="F2835" s="4" t="s">
        <v>9565</v>
      </c>
      <c r="G2835" s="4"/>
      <c r="H2835" s="4"/>
      <c r="I2835" s="10" t="str">
        <f>HYPERLINK("http://twitter.com/download/android","Twitter for Android")</f>
        <v>Twitter for Android</v>
      </c>
      <c r="J2835" s="2">
        <v>289</v>
      </c>
      <c r="K2835" s="2">
        <v>192</v>
      </c>
      <c r="L2835" s="2">
        <v>0</v>
      </c>
      <c r="M2835" s="2"/>
      <c r="N2835" s="8">
        <v>40934.962754629625</v>
      </c>
      <c r="O2835" s="4"/>
      <c r="P2835" s="3" t="s">
        <v>9564</v>
      </c>
      <c r="Q2835" s="4"/>
      <c r="R2835" s="4"/>
      <c r="S2835" s="9" t="str">
        <f>HYPERLINK("https://pbs.twimg.com/profile_images/1030012287405441024/icwZ4SGs.jpg","View")</f>
        <v>View</v>
      </c>
    </row>
    <row r="2836" spans="1:19" ht="70">
      <c r="A2836" s="8">
        <v>43344.001956018517</v>
      </c>
      <c r="B2836" s="11" t="str">
        <f>HYPERLINK("https://twitter.com/Ali_daneshmand_","@Ali_daneshmand_")</f>
        <v>@Ali_daneshmand_</v>
      </c>
      <c r="C2836" s="6" t="s">
        <v>6778</v>
      </c>
      <c r="D2836" s="5" t="s">
        <v>9563</v>
      </c>
      <c r="E2836" s="9" t="str">
        <f>HYPERLINK("https://twitter.com/Ali_daneshmand_/status/1035611385462489088","1035611385462489088")</f>
        <v>1035611385462489088</v>
      </c>
      <c r="F2836" s="10" t="s">
        <v>9562</v>
      </c>
      <c r="G2836" s="4"/>
      <c r="H2836" s="4"/>
      <c r="I2836" s="10" t="str">
        <f>HYPERLINK("http://twitter.com/download/android","Twitter for Android")</f>
        <v>Twitter for Android</v>
      </c>
      <c r="J2836" s="2">
        <v>609</v>
      </c>
      <c r="K2836" s="2">
        <v>1122</v>
      </c>
      <c r="L2836" s="2">
        <v>1</v>
      </c>
      <c r="M2836" s="2"/>
      <c r="N2836" s="8">
        <v>42909.884108796294</v>
      </c>
      <c r="O2836" s="4"/>
      <c r="P2836" s="3" t="s">
        <v>6776</v>
      </c>
      <c r="Q2836" s="4"/>
      <c r="R2836" s="4"/>
      <c r="S2836" s="9" t="str">
        <f>HYPERLINK("https://pbs.twimg.com/profile_images/997443055539052544/l_rkUXxL.jpg","View")</f>
        <v>View</v>
      </c>
    </row>
    <row r="2837" spans="1:19" ht="30">
      <c r="A2837" s="8">
        <v>43343.989687499998</v>
      </c>
      <c r="B2837" s="11" t="str">
        <f>HYPERLINK("https://twitter.com/ebnolzeinab","@ebnolzeinab")</f>
        <v>@ebnolzeinab</v>
      </c>
      <c r="C2837" s="6" t="s">
        <v>9336</v>
      </c>
      <c r="D2837" s="5" t="s">
        <v>9561</v>
      </c>
      <c r="E2837" s="9" t="str">
        <f>HYPERLINK("https://twitter.com/ebnolzeinab/status/1035606937499521024","1035606937499521024")</f>
        <v>1035606937499521024</v>
      </c>
      <c r="F2837" s="4"/>
      <c r="G2837" s="4"/>
      <c r="H2837" s="4"/>
      <c r="I2837" s="10" t="str">
        <f>HYPERLINK("http://twitter.com/download/iphone","Twitter for iPhone")</f>
        <v>Twitter for iPhone</v>
      </c>
      <c r="J2837" s="2">
        <v>1330</v>
      </c>
      <c r="K2837" s="2">
        <v>864</v>
      </c>
      <c r="L2837" s="2">
        <v>2</v>
      </c>
      <c r="M2837" s="2"/>
      <c r="N2837" s="8">
        <v>42846.566284722227</v>
      </c>
      <c r="O2837" s="4" t="s">
        <v>34</v>
      </c>
      <c r="P2837" s="3" t="s">
        <v>9334</v>
      </c>
      <c r="Q2837" s="4"/>
      <c r="R2837" s="4"/>
      <c r="S2837" s="9" t="str">
        <f>HYPERLINK("https://pbs.twimg.com/profile_images/1014613651066585088/VTUjMY83.jpg","View")</f>
        <v>View</v>
      </c>
    </row>
    <row r="2838" spans="1:19" ht="30">
      <c r="A2838" s="8">
        <v>43343.989247685182</v>
      </c>
      <c r="B2838" s="11" t="str">
        <f>HYPERLINK("https://twitter.com/mirza_borjerdi","@mirza_borjerdi")</f>
        <v>@mirza_borjerdi</v>
      </c>
      <c r="C2838" s="6" t="s">
        <v>9560</v>
      </c>
      <c r="D2838" s="5" t="s">
        <v>9559</v>
      </c>
      <c r="E2838" s="9" t="str">
        <f>HYPERLINK("https://twitter.com/mirza_borjerdi/status/1035606777340092416","1035606777340092416")</f>
        <v>1035606777340092416</v>
      </c>
      <c r="F2838" s="4"/>
      <c r="G2838" s="4"/>
      <c r="H2838" s="4"/>
      <c r="I2838" s="10" t="str">
        <f>HYPERLINK("http://twitter.com/download/android","Twitter for Android")</f>
        <v>Twitter for Android</v>
      </c>
      <c r="J2838" s="2">
        <v>473</v>
      </c>
      <c r="K2838" s="2">
        <v>734</v>
      </c>
      <c r="L2838" s="2">
        <v>1</v>
      </c>
      <c r="M2838" s="2"/>
      <c r="N2838" s="8">
        <v>43235.710023148145</v>
      </c>
      <c r="O2838" s="4"/>
      <c r="P2838" s="3" t="s">
        <v>9558</v>
      </c>
      <c r="Q2838" s="4"/>
      <c r="R2838" s="4"/>
      <c r="S2838" s="9" t="str">
        <f>HYPERLINK("https://pbs.twimg.com/profile_images/1034539644019507201/zudHXYEh.jpg","View")</f>
        <v>View</v>
      </c>
    </row>
    <row r="2839" spans="1:19" ht="40">
      <c r="A2839" s="8">
        <v>43343.988182870366</v>
      </c>
      <c r="B2839" s="11" t="str">
        <f>HYPERLINK("https://twitter.com/thetwowords","@thetwowords")</f>
        <v>@thetwowords</v>
      </c>
      <c r="C2839" s="6" t="s">
        <v>7677</v>
      </c>
      <c r="D2839" s="5" t="s">
        <v>9557</v>
      </c>
      <c r="E2839" s="9" t="str">
        <f>HYPERLINK("https://twitter.com/thetwowords/status/1035606393057882114","1035606393057882114")</f>
        <v>1035606393057882114</v>
      </c>
      <c r="F2839" s="4"/>
      <c r="G2839" s="4"/>
      <c r="H2839" s="4"/>
      <c r="I2839" s="10" t="str">
        <f>HYPERLINK("http://twitter.com/download/android","Twitter for Android")</f>
        <v>Twitter for Android</v>
      </c>
      <c r="J2839" s="2">
        <v>74</v>
      </c>
      <c r="K2839" s="2">
        <v>113</v>
      </c>
      <c r="L2839" s="2">
        <v>0</v>
      </c>
      <c r="M2839" s="2"/>
      <c r="N2839" s="8">
        <v>43325.431712962964</v>
      </c>
      <c r="O2839" s="4" t="s">
        <v>34</v>
      </c>
      <c r="P2839" s="3" t="s">
        <v>7675</v>
      </c>
      <c r="Q2839" s="4"/>
      <c r="R2839" s="4"/>
      <c r="S2839" s="9" t="str">
        <f>HYPERLINK("https://pbs.twimg.com/profile_images/1028910300169478144/ziyoQPYt.jpg","View")</f>
        <v>View</v>
      </c>
    </row>
    <row r="2840" spans="1:19" ht="60">
      <c r="A2840" s="8">
        <v>43343.987013888887</v>
      </c>
      <c r="B2840" s="11" t="str">
        <f>HYPERLINK("https://twitter.com/elahi_fard","@elahi_fard")</f>
        <v>@elahi_fard</v>
      </c>
      <c r="C2840" s="6" t="s">
        <v>9556</v>
      </c>
      <c r="D2840" s="5" t="s">
        <v>9555</v>
      </c>
      <c r="E2840" s="9" t="str">
        <f>HYPERLINK("https://twitter.com/elahi_fard/status/1035605969567408130","1035605969567408130")</f>
        <v>1035605969567408130</v>
      </c>
      <c r="F2840" s="10" t="s">
        <v>9554</v>
      </c>
      <c r="G2840" s="10" t="s">
        <v>9553</v>
      </c>
      <c r="H2840" s="4"/>
      <c r="I2840" s="10" t="str">
        <f>HYPERLINK("http://twitter.com/download/android","Twitter for Android")</f>
        <v>Twitter for Android</v>
      </c>
      <c r="J2840" s="2">
        <v>115</v>
      </c>
      <c r="K2840" s="2">
        <v>57</v>
      </c>
      <c r="L2840" s="2">
        <v>0</v>
      </c>
      <c r="M2840" s="2"/>
      <c r="N2840" s="8">
        <v>43301.376076388886</v>
      </c>
      <c r="O2840" s="4" t="s">
        <v>9552</v>
      </c>
      <c r="P2840" s="3" t="s">
        <v>9551</v>
      </c>
      <c r="Q2840" s="4"/>
      <c r="R2840" s="4"/>
      <c r="S2840" s="9" t="str">
        <f>HYPERLINK("https://pbs.twimg.com/profile_images/1022049908101197825/vN51CGrl.jpg","View")</f>
        <v>View</v>
      </c>
    </row>
    <row r="2841" spans="1:19" ht="20">
      <c r="A2841" s="8">
        <v>43343.986967592587</v>
      </c>
      <c r="B2841" s="11" t="str">
        <f>HYPERLINK("https://twitter.com/ThisIsGannicus","@ThisIsGannicus")</f>
        <v>@ThisIsGannicus</v>
      </c>
      <c r="C2841" s="6" t="s">
        <v>9550</v>
      </c>
      <c r="D2841" s="5" t="s">
        <v>9549</v>
      </c>
      <c r="E2841" s="9" t="str">
        <f>HYPERLINK("https://twitter.com/ThisIsGannicus/status/1035605951989121024","1035605951989121024")</f>
        <v>1035605951989121024</v>
      </c>
      <c r="F2841" s="4"/>
      <c r="G2841" s="10" t="s">
        <v>9548</v>
      </c>
      <c r="H2841" s="4"/>
      <c r="I2841" s="10" t="str">
        <f>HYPERLINK("http://twitter.com/download/android","Twitter for Android")</f>
        <v>Twitter for Android</v>
      </c>
      <c r="J2841" s="2">
        <v>2966</v>
      </c>
      <c r="K2841" s="2">
        <v>879</v>
      </c>
      <c r="L2841" s="2">
        <v>5</v>
      </c>
      <c r="M2841" s="2"/>
      <c r="N2841" s="8">
        <v>43095.070254629631</v>
      </c>
      <c r="O2841" s="4" t="s">
        <v>9547</v>
      </c>
      <c r="P2841" s="3" t="s">
        <v>9546</v>
      </c>
      <c r="Q2841" s="4"/>
      <c r="R2841" s="4"/>
      <c r="S2841" s="9" t="str">
        <f>HYPERLINK("https://pbs.twimg.com/profile_images/978757383877943296/hSv0aRlK.jpg","View")</f>
        <v>View</v>
      </c>
    </row>
    <row r="2842" spans="1:19" ht="30">
      <c r="A2842" s="8">
        <v>43343.986782407403</v>
      </c>
      <c r="B2842" s="11" t="str">
        <f>HYPERLINK("https://twitter.com/sazandegii","@sazandegii")</f>
        <v>@sazandegii</v>
      </c>
      <c r="C2842" s="6" t="s">
        <v>4156</v>
      </c>
      <c r="D2842" s="5" t="s">
        <v>9545</v>
      </c>
      <c r="E2842" s="9" t="str">
        <f>HYPERLINK("https://twitter.com/sazandegii/status/1035605885333200896","1035605885333200896")</f>
        <v>1035605885333200896</v>
      </c>
      <c r="F2842" s="4"/>
      <c r="G2842" s="10" t="s">
        <v>9544</v>
      </c>
      <c r="H2842" s="4"/>
      <c r="I2842" s="10" t="str">
        <f>HYPERLINK("http://twitter.com/download/iphone","Twitter for iPhone")</f>
        <v>Twitter for iPhone</v>
      </c>
      <c r="J2842" s="2">
        <v>769</v>
      </c>
      <c r="K2842" s="2">
        <v>75</v>
      </c>
      <c r="L2842" s="2">
        <v>14</v>
      </c>
      <c r="M2842" s="2"/>
      <c r="N2842" s="8">
        <v>43144.881296296298</v>
      </c>
      <c r="O2842" s="4" t="s">
        <v>104</v>
      </c>
      <c r="P2842" s="3" t="s">
        <v>4153</v>
      </c>
      <c r="Q2842" s="4"/>
      <c r="R2842" s="4"/>
      <c r="S2842" s="9" t="str">
        <f>HYPERLINK("https://pbs.twimg.com/profile_images/970996181366202368/iBGYCP3F.jpg","View")</f>
        <v>View</v>
      </c>
    </row>
    <row r="2843" spans="1:19" ht="40">
      <c r="A2843" s="8">
        <v>43343.983900462961</v>
      </c>
      <c r="B2843" s="11" t="str">
        <f>HYPERLINK("https://twitter.com/alifatehi_now","@alifatehi_now")</f>
        <v>@alifatehi_now</v>
      </c>
      <c r="C2843" s="6" t="s">
        <v>9543</v>
      </c>
      <c r="D2843" s="5" t="s">
        <v>9542</v>
      </c>
      <c r="E2843" s="9" t="str">
        <f>HYPERLINK("https://twitter.com/alifatehi_now/status/1035604842029477888","1035604842029477888")</f>
        <v>1035604842029477888</v>
      </c>
      <c r="F2843" s="4"/>
      <c r="G2843" s="10" t="s">
        <v>9541</v>
      </c>
      <c r="H2843" s="4"/>
      <c r="I2843" s="10" t="str">
        <f>HYPERLINK("http://twitter.com/download/iphone","Twitter for iPhone")</f>
        <v>Twitter for iPhone</v>
      </c>
      <c r="J2843" s="2">
        <v>391</v>
      </c>
      <c r="K2843" s="2">
        <v>588</v>
      </c>
      <c r="L2843" s="2">
        <v>4</v>
      </c>
      <c r="M2843" s="2"/>
      <c r="N2843" s="8">
        <v>40113.698125000003</v>
      </c>
      <c r="O2843" s="4" t="s">
        <v>9540</v>
      </c>
      <c r="P2843" s="3" t="s">
        <v>9539</v>
      </c>
      <c r="Q2843" s="10" t="s">
        <v>9538</v>
      </c>
      <c r="R2843" s="4"/>
      <c r="S2843" s="9" t="str">
        <f>HYPERLINK("https://pbs.twimg.com/profile_images/1014162974867673093/_-ETFXUy.jpg","View")</f>
        <v>View</v>
      </c>
    </row>
    <row r="2844" spans="1:19" ht="40">
      <c r="A2844" s="8">
        <v>43343.982511574075</v>
      </c>
      <c r="B2844" s="11" t="str">
        <f>HYPERLINK("https://twitter.com/Peyman4835","@Peyman4835")</f>
        <v>@Peyman4835</v>
      </c>
      <c r="C2844" s="6" t="s">
        <v>9537</v>
      </c>
      <c r="D2844" s="5" t="s">
        <v>9536</v>
      </c>
      <c r="E2844" s="9" t="str">
        <f>HYPERLINK("https://twitter.com/Peyman4835/status/1035604338377416704","1035604338377416704")</f>
        <v>1035604338377416704</v>
      </c>
      <c r="F2844" s="4"/>
      <c r="G2844" s="4"/>
      <c r="H2844" s="4"/>
      <c r="I2844" s="10" t="str">
        <f>HYPERLINK("http://twitter.com/download/android","Twitter for Android")</f>
        <v>Twitter for Android</v>
      </c>
      <c r="J2844" s="2">
        <v>1003</v>
      </c>
      <c r="K2844" s="2">
        <v>1030</v>
      </c>
      <c r="L2844" s="2">
        <v>1</v>
      </c>
      <c r="M2844" s="2"/>
      <c r="N2844" s="8">
        <v>43104.043472222227</v>
      </c>
      <c r="O2844" s="4" t="s">
        <v>9535</v>
      </c>
      <c r="P2844" s="3" t="s">
        <v>9534</v>
      </c>
      <c r="Q2844" s="4"/>
      <c r="R2844" s="4"/>
      <c r="S2844" s="9" t="str">
        <f>HYPERLINK("https://pbs.twimg.com/profile_images/1007404905408139272/CxFLze6T.jpg","View")</f>
        <v>View</v>
      </c>
    </row>
    <row r="2845" spans="1:19" ht="20">
      <c r="A2845" s="8">
        <v>43343.981122685189</v>
      </c>
      <c r="B2845" s="11" t="str">
        <f>HYPERLINK("https://twitter.com/Mohamma75370061","@Mohamma75370061")</f>
        <v>@Mohamma75370061</v>
      </c>
      <c r="C2845" s="6" t="s">
        <v>1998</v>
      </c>
      <c r="D2845" s="5" t="s">
        <v>9533</v>
      </c>
      <c r="E2845" s="9" t="str">
        <f>HYPERLINK("https://twitter.com/Mohamma75370061/status/1035603835207733249","1035603835207733249")</f>
        <v>1035603835207733249</v>
      </c>
      <c r="F2845" s="4"/>
      <c r="G2845" s="4"/>
      <c r="H2845" s="4"/>
      <c r="I2845" s="10" t="str">
        <f>HYPERLINK("http://twitter.com/download/android","Twitter for Android")</f>
        <v>Twitter for Android</v>
      </c>
      <c r="J2845" s="2">
        <v>2166</v>
      </c>
      <c r="K2845" s="2">
        <v>2847</v>
      </c>
      <c r="L2845" s="2">
        <v>1</v>
      </c>
      <c r="M2845" s="2"/>
      <c r="N2845" s="8">
        <v>43270.233599537038</v>
      </c>
      <c r="O2845" s="4" t="s">
        <v>9269</v>
      </c>
      <c r="P2845" s="3" t="s">
        <v>9532</v>
      </c>
      <c r="Q2845" s="4"/>
      <c r="R2845" s="4"/>
      <c r="S2845" s="9" t="str">
        <f>HYPERLINK("https://pbs.twimg.com/profile_images/1027742418827993089/rEAc7tMh.jpg","View")</f>
        <v>View</v>
      </c>
    </row>
    <row r="2846" spans="1:19" ht="20">
      <c r="A2846" s="8">
        <v>43343.978217592594</v>
      </c>
      <c r="B2846" s="11" t="str">
        <f>HYPERLINK("https://twitter.com/caboypir","@caboypir")</f>
        <v>@caboypir</v>
      </c>
      <c r="C2846" s="6" t="s">
        <v>9531</v>
      </c>
      <c r="D2846" s="5" t="s">
        <v>9530</v>
      </c>
      <c r="E2846" s="9" t="str">
        <f>HYPERLINK("https://twitter.com/caboypir/status/1035602782001278976","1035602782001278976")</f>
        <v>1035602782001278976</v>
      </c>
      <c r="F2846" s="4"/>
      <c r="G2846" s="4"/>
      <c r="H2846" s="4"/>
      <c r="I2846" s="10" t="str">
        <f>HYPERLINK("http://twitter.com/download/android","Twitter for Android")</f>
        <v>Twitter for Android</v>
      </c>
      <c r="J2846" s="2">
        <v>2072</v>
      </c>
      <c r="K2846" s="2">
        <v>1396</v>
      </c>
      <c r="L2846" s="2">
        <v>1</v>
      </c>
      <c r="M2846" s="2"/>
      <c r="N2846" s="8">
        <v>43152.799004629633</v>
      </c>
      <c r="O2846" s="4"/>
      <c r="P2846" s="3" t="s">
        <v>9529</v>
      </c>
      <c r="Q2846" s="4"/>
      <c r="R2846" s="4"/>
      <c r="S2846" s="9" t="str">
        <f>HYPERLINK("https://pbs.twimg.com/profile_images/1027850224667115520/V69zNgIF.jpg","View")</f>
        <v>View</v>
      </c>
    </row>
    <row r="2847" spans="1:19" ht="30">
      <c r="A2847" s="8">
        <v>43343.978206018517</v>
      </c>
      <c r="B2847" s="11" t="str">
        <f>HYPERLINK("https://twitter.com/alishoki3","@alishoki3")</f>
        <v>@alishoki3</v>
      </c>
      <c r="C2847" s="6" t="s">
        <v>2883</v>
      </c>
      <c r="D2847" s="5" t="s">
        <v>9528</v>
      </c>
      <c r="E2847" s="9" t="str">
        <f>HYPERLINK("https://twitter.com/alishoki3/status/1035602776355627008","1035602776355627008")</f>
        <v>1035602776355627008</v>
      </c>
      <c r="F2847" s="4"/>
      <c r="G2847" s="10" t="s">
        <v>9527</v>
      </c>
      <c r="H2847" s="4"/>
      <c r="I2847" s="10" t="str">
        <f>HYPERLINK("http://twitter.com/download/android","Twitter for Android")</f>
        <v>Twitter for Android</v>
      </c>
      <c r="J2847" s="2">
        <v>76</v>
      </c>
      <c r="K2847" s="2">
        <v>80</v>
      </c>
      <c r="L2847" s="2">
        <v>0</v>
      </c>
      <c r="M2847" s="2"/>
      <c r="N2847" s="8">
        <v>42823.529340277775</v>
      </c>
      <c r="O2847" s="4" t="s">
        <v>34</v>
      </c>
      <c r="P2847" s="3" t="s">
        <v>9526</v>
      </c>
      <c r="Q2847" s="4"/>
      <c r="R2847" s="4"/>
      <c r="S2847" s="9" t="str">
        <f>HYPERLINK("https://pbs.twimg.com/profile_images/1031226671330934786/b-FW7tFg.jpg","View")</f>
        <v>View</v>
      </c>
    </row>
    <row r="2848" spans="1:19" ht="30">
      <c r="A2848" s="8">
        <v>43343.966689814813</v>
      </c>
      <c r="B2848" s="11" t="str">
        <f>HYPERLINK("https://twitter.com/MajlisNameh","@MajlisNameh")</f>
        <v>@MajlisNameh</v>
      </c>
      <c r="C2848" s="6" t="s">
        <v>9525</v>
      </c>
      <c r="D2848" s="5" t="s">
        <v>9524</v>
      </c>
      <c r="E2848" s="9" t="str">
        <f>HYPERLINK("https://twitter.com/MajlisNameh/status/1035598605615124480","1035598605615124480")</f>
        <v>1035598605615124480</v>
      </c>
      <c r="F2848" s="10" t="s">
        <v>9521</v>
      </c>
      <c r="G2848" s="10" t="s">
        <v>9523</v>
      </c>
      <c r="H2848" s="4"/>
      <c r="I2848" s="10" t="str">
        <f>HYPERLINK("https://about.twitter.com/products/tweetdeck","TweetDeck")</f>
        <v>TweetDeck</v>
      </c>
      <c r="J2848" s="2">
        <v>3</v>
      </c>
      <c r="K2848" s="2">
        <v>0</v>
      </c>
      <c r="L2848" s="2">
        <v>0</v>
      </c>
      <c r="M2848" s="2"/>
      <c r="N2848" s="8">
        <v>42964.017546296294</v>
      </c>
      <c r="O2848" s="4"/>
      <c r="P2848" s="3" t="s">
        <v>9522</v>
      </c>
      <c r="Q2848" s="10" t="s">
        <v>9521</v>
      </c>
      <c r="R2848" s="4"/>
      <c r="S2848" s="9" t="str">
        <f>HYPERLINK("https://pbs.twimg.com/profile_images/1024401471968825345/jox7YdJQ.jpg","View")</f>
        <v>View</v>
      </c>
    </row>
    <row r="2849" spans="1:19" ht="50">
      <c r="A2849" s="8">
        <v>43343.966400462959</v>
      </c>
      <c r="B2849" s="11" t="str">
        <f>HYPERLINK("https://twitter.com/mohamadmirazadi","@mohamadmirazadi")</f>
        <v>@mohamadmirazadi</v>
      </c>
      <c r="C2849" s="6" t="s">
        <v>8408</v>
      </c>
      <c r="D2849" s="5" t="s">
        <v>9520</v>
      </c>
      <c r="E2849" s="9" t="str">
        <f>HYPERLINK("https://twitter.com/mohamadmirazadi/status/1035598501483372544","1035598501483372544")</f>
        <v>1035598501483372544</v>
      </c>
      <c r="F2849" s="4"/>
      <c r="G2849" s="4"/>
      <c r="H2849" s="4"/>
      <c r="I2849" s="10" t="str">
        <f>HYPERLINK("http://twitter.com/download/android","Twitter for Android")</f>
        <v>Twitter for Android</v>
      </c>
      <c r="J2849" s="2">
        <v>11</v>
      </c>
      <c r="K2849" s="2">
        <v>63</v>
      </c>
      <c r="L2849" s="2">
        <v>0</v>
      </c>
      <c r="M2849" s="2"/>
      <c r="N2849" s="8">
        <v>42794.355740740742</v>
      </c>
      <c r="O2849" s="4" t="s">
        <v>682</v>
      </c>
      <c r="P2849" s="3"/>
      <c r="Q2849" s="4"/>
      <c r="R2849" s="4"/>
      <c r="S2849" s="9" t="str">
        <f>HYPERLINK("https://pbs.twimg.com/profile_images/1029027070372925440/obqLNpMD.jpg","View")</f>
        <v>View</v>
      </c>
    </row>
    <row r="2850" spans="1:19" ht="40">
      <c r="A2850" s="8">
        <v>43343.966226851851</v>
      </c>
      <c r="B2850" s="11" t="str">
        <f>HYPERLINK("https://twitter.com/VakavicAI","@VakavicAI")</f>
        <v>@VakavicAI</v>
      </c>
      <c r="C2850" s="6" t="s">
        <v>9519</v>
      </c>
      <c r="D2850" s="5" t="s">
        <v>9518</v>
      </c>
      <c r="E2850" s="9" t="str">
        <f>HYPERLINK("https://twitter.com/VakavicAI/status/1035598437373370368","1035598437373370368")</f>
        <v>1035598437373370368</v>
      </c>
      <c r="F2850" s="10" t="s">
        <v>9517</v>
      </c>
      <c r="G2850" s="10" t="s">
        <v>9516</v>
      </c>
      <c r="H2850" s="4"/>
      <c r="I2850" s="10" t="str">
        <f>HYPERLINK("http://twitter.com/download/android","Twitter for Android")</f>
        <v>Twitter for Android</v>
      </c>
      <c r="J2850" s="2">
        <v>55</v>
      </c>
      <c r="K2850" s="2">
        <v>4</v>
      </c>
      <c r="L2850" s="2">
        <v>2</v>
      </c>
      <c r="M2850" s="2"/>
      <c r="N2850" s="8">
        <v>42563.837881944448</v>
      </c>
      <c r="O2850" s="4" t="s">
        <v>34</v>
      </c>
      <c r="P2850" s="3" t="s">
        <v>9515</v>
      </c>
      <c r="Q2850" s="10" t="s">
        <v>9514</v>
      </c>
      <c r="R2850" s="4"/>
      <c r="S2850" s="9" t="str">
        <f>HYPERLINK("https://pbs.twimg.com/profile_images/1017410984288251911/5ctqyC4e.jpg","View")</f>
        <v>View</v>
      </c>
    </row>
    <row r="2851" spans="1:19" ht="40">
      <c r="A2851" s="8">
        <v>43343.960891203707</v>
      </c>
      <c r="B2851" s="11" t="str">
        <f>HYPERLINK("https://twitter.com/Sasar_S","@Sasar_S")</f>
        <v>@Sasar_S</v>
      </c>
      <c r="C2851" s="6" t="s">
        <v>9513</v>
      </c>
      <c r="D2851" s="5" t="s">
        <v>9512</v>
      </c>
      <c r="E2851" s="9" t="str">
        <f>HYPERLINK("https://twitter.com/Sasar_S/status/1035596502939430912","1035596502939430912")</f>
        <v>1035596502939430912</v>
      </c>
      <c r="F2851" s="4"/>
      <c r="G2851" s="4"/>
      <c r="H2851" s="4"/>
      <c r="I2851" s="10" t="str">
        <f>HYPERLINK("http://twitter.com/download/android","Twitter for Android")</f>
        <v>Twitter for Android</v>
      </c>
      <c r="J2851" s="2">
        <v>377</v>
      </c>
      <c r="K2851" s="2">
        <v>366</v>
      </c>
      <c r="L2851" s="2">
        <v>0</v>
      </c>
      <c r="M2851" s="2"/>
      <c r="N2851" s="8">
        <v>42868.206354166672</v>
      </c>
      <c r="O2851" s="4" t="s">
        <v>9511</v>
      </c>
      <c r="P2851" s="3" t="s">
        <v>9510</v>
      </c>
      <c r="Q2851" s="4"/>
      <c r="R2851" s="4"/>
      <c r="S2851" s="9" t="str">
        <f>HYPERLINK("https://pbs.twimg.com/profile_images/1031390518205399040/_OJwcTJw.jpg","View")</f>
        <v>View</v>
      </c>
    </row>
    <row r="2852" spans="1:19" ht="40">
      <c r="A2852" s="8">
        <v>43343.953622685185</v>
      </c>
      <c r="B2852" s="11" t="str">
        <f>HYPERLINK("https://twitter.com/AliRad000","@AliRad000")</f>
        <v>@AliRad000</v>
      </c>
      <c r="C2852" s="6" t="s">
        <v>9509</v>
      </c>
      <c r="D2852" s="5" t="s">
        <v>9508</v>
      </c>
      <c r="E2852" s="9" t="str">
        <f>HYPERLINK("https://twitter.com/AliRad000/status/1035593868748759040","1035593868748759040")</f>
        <v>1035593868748759040</v>
      </c>
      <c r="F2852" s="4"/>
      <c r="G2852" s="4"/>
      <c r="H2852" s="4"/>
      <c r="I2852" s="10" t="str">
        <f>HYPERLINK("http://twitter.com/download/android","Twitter for Android")</f>
        <v>Twitter for Android</v>
      </c>
      <c r="J2852" s="2">
        <v>9</v>
      </c>
      <c r="K2852" s="2">
        <v>1</v>
      </c>
      <c r="L2852" s="2">
        <v>0</v>
      </c>
      <c r="M2852" s="2"/>
      <c r="N2852" s="8">
        <v>43337.954409722224</v>
      </c>
      <c r="O2852" s="4"/>
      <c r="P2852" s="3"/>
      <c r="Q2852" s="4"/>
      <c r="R2852" s="4"/>
      <c r="S2852" s="9" t="str">
        <f>HYPERLINK("https://pbs.twimg.com/profile_images/1033651328982179841/PorrNMPJ.jpg","View")</f>
        <v>View</v>
      </c>
    </row>
    <row r="2853" spans="1:19" ht="30">
      <c r="A2853" s="8">
        <v>43343.952106481476</v>
      </c>
      <c r="B2853" s="11" t="str">
        <f>HYPERLINK("https://twitter.com/marjanmahloo","@marjanmahloo")</f>
        <v>@marjanmahloo</v>
      </c>
      <c r="C2853" s="6" t="s">
        <v>9507</v>
      </c>
      <c r="D2853" s="5" t="s">
        <v>9506</v>
      </c>
      <c r="E2853" s="9" t="str">
        <f>HYPERLINK("https://twitter.com/marjanmahloo/status/1035593319227654144","1035593319227654144")</f>
        <v>1035593319227654144</v>
      </c>
      <c r="F2853" s="4"/>
      <c r="G2853" s="4"/>
      <c r="H2853" s="4"/>
      <c r="I2853" s="10" t="str">
        <f>HYPERLINK("http://twitter.com/download/iphone","Twitter for iPhone")</f>
        <v>Twitter for iPhone</v>
      </c>
      <c r="J2853" s="2">
        <v>16</v>
      </c>
      <c r="K2853" s="2">
        <v>25</v>
      </c>
      <c r="L2853" s="2">
        <v>0</v>
      </c>
      <c r="M2853" s="2"/>
      <c r="N2853" s="8">
        <v>42175.178923611107</v>
      </c>
      <c r="O2853" s="4"/>
      <c r="P2853" s="3"/>
      <c r="Q2853" s="4"/>
      <c r="R2853" s="4"/>
      <c r="S2853" s="9" t="str">
        <f>HYPERLINK("https://pbs.twimg.com/profile_images/808236429985935360/CkeywHW6.jpg","View")</f>
        <v>View</v>
      </c>
    </row>
    <row r="2854" spans="1:19" ht="12.5">
      <c r="A2854" s="8">
        <v>43343.949988425928</v>
      </c>
      <c r="B2854" s="11" t="str">
        <f>HYPERLINK("https://twitter.com/mvdonatello","@mvdonatello")</f>
        <v>@mvdonatello</v>
      </c>
      <c r="C2854" s="6" t="s">
        <v>9505</v>
      </c>
      <c r="D2854" s="5" t="s">
        <v>9504</v>
      </c>
      <c r="E2854" s="9" t="str">
        <f>HYPERLINK("https://twitter.com/mvdonatello/status/1035592553763168267","1035592553763168267")</f>
        <v>1035592553763168267</v>
      </c>
      <c r="F2854" s="4"/>
      <c r="G2854" s="4"/>
      <c r="H2854" s="4"/>
      <c r="I2854" s="10" t="str">
        <f>HYPERLINK("http://twitter.com/download/android","Twitter for Android")</f>
        <v>Twitter for Android</v>
      </c>
      <c r="J2854" s="2">
        <v>109</v>
      </c>
      <c r="K2854" s="2">
        <v>71</v>
      </c>
      <c r="L2854" s="2">
        <v>6</v>
      </c>
      <c r="M2854" s="2"/>
      <c r="N2854" s="8">
        <v>40485.790439814817</v>
      </c>
      <c r="O2854" s="4"/>
      <c r="P2854" s="3" t="s">
        <v>9503</v>
      </c>
      <c r="Q2854" s="4"/>
      <c r="R2854" s="4"/>
      <c r="S2854" s="9" t="str">
        <f>HYPERLINK("https://pbs.twimg.com/profile_images/1034094350370779137/A6rW4mQS.jpg","View")</f>
        <v>View</v>
      </c>
    </row>
    <row r="2855" spans="1:19" ht="30">
      <c r="A2855" s="8">
        <v>43343.949942129635</v>
      </c>
      <c r="B2855" s="11" t="str">
        <f>HYPERLINK("https://twitter.com/baroonian","@baroonian")</f>
        <v>@baroonian</v>
      </c>
      <c r="C2855" s="6" t="s">
        <v>9502</v>
      </c>
      <c r="D2855" s="5" t="s">
        <v>9501</v>
      </c>
      <c r="E2855" s="9" t="str">
        <f>HYPERLINK("https://twitter.com/baroonian/status/1035592535840841730","1035592535840841730")</f>
        <v>1035592535840841730</v>
      </c>
      <c r="F2855" s="4"/>
      <c r="G2855" s="4"/>
      <c r="H2855" s="4"/>
      <c r="I2855" s="10" t="str">
        <f>HYPERLINK("http://twitter.com","Twitter Web Client")</f>
        <v>Twitter Web Client</v>
      </c>
      <c r="J2855" s="2">
        <v>46</v>
      </c>
      <c r="K2855" s="2">
        <v>105</v>
      </c>
      <c r="L2855" s="2">
        <v>2</v>
      </c>
      <c r="M2855" s="2"/>
      <c r="N2855" s="8">
        <v>42613.523888888885</v>
      </c>
      <c r="O2855" s="4" t="s">
        <v>34</v>
      </c>
      <c r="P2855" s="3" t="s">
        <v>9500</v>
      </c>
      <c r="Q2855" s="4"/>
      <c r="R2855" s="4"/>
      <c r="S2855" s="9" t="str">
        <f>HYPERLINK("https://pbs.twimg.com/profile_images/773219860608389121/uDINDubL.jpg","View")</f>
        <v>View</v>
      </c>
    </row>
    <row r="2856" spans="1:19" ht="20">
      <c r="A2856" s="8">
        <v>43343.947268518517</v>
      </c>
      <c r="B2856" s="11" t="str">
        <f>HYPERLINK("https://twitter.com/sydarthaa","@sydarthaa")</f>
        <v>@sydarthaa</v>
      </c>
      <c r="C2856" s="6" t="s">
        <v>9499</v>
      </c>
      <c r="D2856" s="5" t="s">
        <v>9498</v>
      </c>
      <c r="E2856" s="9" t="str">
        <f>HYPERLINK("https://twitter.com/sydarthaa/status/1035591567573172231","1035591567573172231")</f>
        <v>1035591567573172231</v>
      </c>
      <c r="F2856" s="4"/>
      <c r="G2856" s="4"/>
      <c r="H2856" s="4"/>
      <c r="I2856" s="10" t="str">
        <f>HYPERLINK("http://twitter.com/download/android","Twitter for Android")</f>
        <v>Twitter for Android</v>
      </c>
      <c r="J2856" s="2">
        <v>283</v>
      </c>
      <c r="K2856" s="2">
        <v>700</v>
      </c>
      <c r="L2856" s="2">
        <v>5</v>
      </c>
      <c r="M2856" s="2"/>
      <c r="N2856" s="8">
        <v>42180.686851851853</v>
      </c>
      <c r="O2856" s="4" t="s">
        <v>9497</v>
      </c>
      <c r="P2856" s="3" t="s">
        <v>9496</v>
      </c>
      <c r="Q2856" s="4"/>
      <c r="R2856" s="4"/>
      <c r="S2856" s="9" t="str">
        <f>HYPERLINK("https://pbs.twimg.com/profile_images/1017181983259222019/Bl7L9DJt.jpg","View")</f>
        <v>View</v>
      </c>
    </row>
    <row r="2857" spans="1:19" ht="30">
      <c r="A2857" s="8">
        <v>43343.945567129631</v>
      </c>
      <c r="B2857" s="11" t="str">
        <f>HYPERLINK("https://twitter.com/Mohsenkeyani","@Mohsenkeyani")</f>
        <v>@Mohsenkeyani</v>
      </c>
      <c r="C2857" s="6" t="s">
        <v>4276</v>
      </c>
      <c r="D2857" s="5" t="s">
        <v>9495</v>
      </c>
      <c r="E2857" s="9" t="str">
        <f>HYPERLINK("https://twitter.com/Mohsenkeyani/status/1035590949953581057","1035590949953581057")</f>
        <v>1035590949953581057</v>
      </c>
      <c r="F2857" s="4"/>
      <c r="G2857" s="4"/>
      <c r="H2857" s="4"/>
      <c r="I2857" s="10" t="str">
        <f>HYPERLINK("http://twitter.com/download/android","Twitter for Android")</f>
        <v>Twitter for Android</v>
      </c>
      <c r="J2857" s="2">
        <v>381</v>
      </c>
      <c r="K2857" s="2">
        <v>298</v>
      </c>
      <c r="L2857" s="2">
        <v>2</v>
      </c>
      <c r="M2857" s="2"/>
      <c r="N2857" s="8">
        <v>41635.627789351856</v>
      </c>
      <c r="O2857" s="4" t="s">
        <v>324</v>
      </c>
      <c r="P2857" s="3" t="s">
        <v>4274</v>
      </c>
      <c r="Q2857" s="4"/>
      <c r="R2857" s="4"/>
      <c r="S2857" s="9" t="str">
        <f>HYPERLINK("https://pbs.twimg.com/profile_images/934097774718734336/1eHwt7zg.jpg","View")</f>
        <v>View</v>
      </c>
    </row>
    <row r="2858" spans="1:19" ht="20">
      <c r="A2858" s="8">
        <v>43343.942569444444</v>
      </c>
      <c r="B2858" s="11" t="str">
        <f>HYPERLINK("https://twitter.com/radmehr_mehrad","@radmehr_mehrad")</f>
        <v>@radmehr_mehrad</v>
      </c>
      <c r="C2858" s="6" t="s">
        <v>8245</v>
      </c>
      <c r="D2858" s="5" t="s">
        <v>9494</v>
      </c>
      <c r="E2858" s="9" t="str">
        <f>HYPERLINK("https://twitter.com/radmehr_mehrad/status/1035589862232076289","1035589862232076289")</f>
        <v>1035589862232076289</v>
      </c>
      <c r="F2858" s="4"/>
      <c r="G2858" s="4"/>
      <c r="H2858" s="4"/>
      <c r="I2858" s="10" t="str">
        <f>HYPERLINK("http://twitter.com/download/android","Twitter for Android")</f>
        <v>Twitter for Android</v>
      </c>
      <c r="J2858" s="2">
        <v>517</v>
      </c>
      <c r="K2858" s="2">
        <v>435</v>
      </c>
      <c r="L2858" s="2">
        <v>0</v>
      </c>
      <c r="M2858" s="2"/>
      <c r="N2858" s="8">
        <v>43088.008125</v>
      </c>
      <c r="O2858" s="4" t="s">
        <v>8243</v>
      </c>
      <c r="P2858" s="3" t="s">
        <v>8242</v>
      </c>
      <c r="Q2858" s="4"/>
      <c r="R2858" s="4"/>
      <c r="S2858" s="9" t="str">
        <f>HYPERLINK("https://pbs.twimg.com/profile_images/986668271079309312/qx8Or3X-.jpg","View")</f>
        <v>View</v>
      </c>
    </row>
    <row r="2859" spans="1:19" ht="30">
      <c r="A2859" s="8">
        <v>43343.940787037034</v>
      </c>
      <c r="B2859" s="11" t="str">
        <f>HYPERLINK("https://twitter.com/sadeq_hosseini","@sadeq_hosseini")</f>
        <v>@sadeq_hosseini</v>
      </c>
      <c r="C2859" s="6" t="s">
        <v>3205</v>
      </c>
      <c r="D2859" s="5" t="s">
        <v>9493</v>
      </c>
      <c r="E2859" s="9" t="str">
        <f>HYPERLINK("https://twitter.com/sadeq_hosseini/status/1035589218930704384","1035589218930704384")</f>
        <v>1035589218930704384</v>
      </c>
      <c r="F2859" s="4"/>
      <c r="G2859" s="4"/>
      <c r="H2859" s="4"/>
      <c r="I2859" s="10" t="str">
        <f>HYPERLINK("http://twitter.com/download/iphone","Twitter for iPhone")</f>
        <v>Twitter for iPhone</v>
      </c>
      <c r="J2859" s="2">
        <v>4188</v>
      </c>
      <c r="K2859" s="2">
        <v>262</v>
      </c>
      <c r="L2859" s="2">
        <v>47</v>
      </c>
      <c r="M2859" s="2"/>
      <c r="N2859" s="8">
        <v>41468.055902777778</v>
      </c>
      <c r="O2859" s="4" t="s">
        <v>3203</v>
      </c>
      <c r="P2859" s="3" t="s">
        <v>3202</v>
      </c>
      <c r="Q2859" s="10" t="s">
        <v>3201</v>
      </c>
      <c r="R2859" s="4"/>
      <c r="S2859" s="9" t="str">
        <f>HYPERLINK("https://pbs.twimg.com/profile_images/1026731719158890496/Me7R_PX_.jpg","View")</f>
        <v>View</v>
      </c>
    </row>
    <row r="2860" spans="1:19" ht="40">
      <c r="A2860" s="8">
        <v>43343.933715277773</v>
      </c>
      <c r="B2860" s="11" t="str">
        <f>HYPERLINK("https://twitter.com/Mnabi_Habibi","@Mnabi_Habibi")</f>
        <v>@Mnabi_Habibi</v>
      </c>
      <c r="C2860" s="6" t="s">
        <v>3844</v>
      </c>
      <c r="D2860" s="5" t="s">
        <v>9492</v>
      </c>
      <c r="E2860" s="9" t="str">
        <f>HYPERLINK("https://twitter.com/Mnabi_Habibi/status/1035586653836980224","1035586653836980224")</f>
        <v>1035586653836980224</v>
      </c>
      <c r="F2860" s="4"/>
      <c r="G2860" s="4"/>
      <c r="H2860" s="4"/>
      <c r="I2860" s="10" t="str">
        <f>HYPERLINK("http://twitter.com/download/android","Twitter for Android")</f>
        <v>Twitter for Android</v>
      </c>
      <c r="J2860" s="2">
        <v>84</v>
      </c>
      <c r="K2860" s="2">
        <v>8</v>
      </c>
      <c r="L2860" s="2">
        <v>2</v>
      </c>
      <c r="M2860" s="2"/>
      <c r="N2860" s="8">
        <v>43283.6637037037</v>
      </c>
      <c r="O2860" s="4"/>
      <c r="P2860" s="3" t="s">
        <v>3842</v>
      </c>
      <c r="Q2860" s="4"/>
      <c r="R2860" s="4"/>
      <c r="S2860" s="9" t="str">
        <f>HYPERLINK("https://pbs.twimg.com/profile_images/1013747517408739328/B4It4wTc.jpg","View")</f>
        <v>View</v>
      </c>
    </row>
    <row r="2861" spans="1:19" ht="20">
      <c r="A2861" s="8">
        <v>43343.930925925924</v>
      </c>
      <c r="B2861" s="11" t="str">
        <f>HYPERLINK("https://twitter.com/iamomidvar","@iamomidvar")</f>
        <v>@iamomidvar</v>
      </c>
      <c r="C2861" s="6" t="s">
        <v>2486</v>
      </c>
      <c r="D2861" s="5" t="s">
        <v>9491</v>
      </c>
      <c r="E2861" s="9" t="str">
        <f>HYPERLINK("https://twitter.com/iamomidvar/status/1035585642368065536","1035585642368065536")</f>
        <v>1035585642368065536</v>
      </c>
      <c r="F2861" s="4"/>
      <c r="G2861" s="4"/>
      <c r="H2861" s="4"/>
      <c r="I2861" s="10" t="str">
        <f>HYPERLINK("http://twitter.com/download/android","Twitter for Android")</f>
        <v>Twitter for Android</v>
      </c>
      <c r="J2861" s="2">
        <v>321</v>
      </c>
      <c r="K2861" s="2">
        <v>401</v>
      </c>
      <c r="L2861" s="2">
        <v>1</v>
      </c>
      <c r="M2861" s="2"/>
      <c r="N2861" s="8">
        <v>42034.912314814814</v>
      </c>
      <c r="O2861" s="4" t="s">
        <v>17</v>
      </c>
      <c r="P2861" s="3" t="s">
        <v>2484</v>
      </c>
      <c r="Q2861" s="4"/>
      <c r="R2861" s="4"/>
      <c r="S2861" s="9" t="str">
        <f>HYPERLINK("https://pbs.twimg.com/profile_images/956156145965682688/Uti_s9xq.jpg","View")</f>
        <v>View</v>
      </c>
    </row>
    <row r="2862" spans="1:19" ht="40">
      <c r="A2862" s="8">
        <v>43343.929768518516</v>
      </c>
      <c r="B2862" s="11" t="str">
        <f>HYPERLINK("https://twitter.com/Frdyzn","@Frdyzn")</f>
        <v>@Frdyzn</v>
      </c>
      <c r="C2862" s="6" t="s">
        <v>3187</v>
      </c>
      <c r="D2862" s="5" t="s">
        <v>9490</v>
      </c>
      <c r="E2862" s="9" t="str">
        <f>HYPERLINK("https://twitter.com/Frdyzn/status/1035585224967708672","1035585224967708672")</f>
        <v>1035585224967708672</v>
      </c>
      <c r="F2862" s="4"/>
      <c r="G2862" s="4"/>
      <c r="H2862" s="4"/>
      <c r="I2862" s="10" t="str">
        <f>HYPERLINK("http://twitter.com/download/android","Twitter for Android")</f>
        <v>Twitter for Android</v>
      </c>
      <c r="J2862" s="2">
        <v>108</v>
      </c>
      <c r="K2862" s="2">
        <v>322</v>
      </c>
      <c r="L2862" s="2">
        <v>0</v>
      </c>
      <c r="M2862" s="2"/>
      <c r="N2862" s="8">
        <v>43197.50105324074</v>
      </c>
      <c r="O2862" s="4" t="s">
        <v>3490</v>
      </c>
      <c r="P2862" s="3" t="s">
        <v>3185</v>
      </c>
      <c r="Q2862" s="4"/>
      <c r="R2862" s="4"/>
      <c r="S2862" s="9" t="str">
        <f>HYPERLINK("https://pbs.twimg.com/profile_images/1029582517597233152/BrHNNM3Y.jpg","View")</f>
        <v>View</v>
      </c>
    </row>
    <row r="2863" spans="1:19" ht="20">
      <c r="A2863" s="8">
        <v>43343.929548611108</v>
      </c>
      <c r="B2863" s="11" t="str">
        <f>HYPERLINK("https://twitter.com/radmehr_mehrad","@radmehr_mehrad")</f>
        <v>@radmehr_mehrad</v>
      </c>
      <c r="C2863" s="6" t="s">
        <v>8245</v>
      </c>
      <c r="D2863" s="5" t="s">
        <v>9489</v>
      </c>
      <c r="E2863" s="9" t="str">
        <f>HYPERLINK("https://twitter.com/radmehr_mehrad/status/1035585143220645888","1035585143220645888")</f>
        <v>1035585143220645888</v>
      </c>
      <c r="F2863" s="4"/>
      <c r="G2863" s="4"/>
      <c r="H2863" s="4"/>
      <c r="I2863" s="10" t="str">
        <f>HYPERLINK("http://twitter.com/download/android","Twitter for Android")</f>
        <v>Twitter for Android</v>
      </c>
      <c r="J2863" s="2">
        <v>523</v>
      </c>
      <c r="K2863" s="2">
        <v>435</v>
      </c>
      <c r="L2863" s="2">
        <v>0</v>
      </c>
      <c r="M2863" s="2"/>
      <c r="N2863" s="8">
        <v>43088.008125</v>
      </c>
      <c r="O2863" s="4" t="s">
        <v>8243</v>
      </c>
      <c r="P2863" s="3" t="s">
        <v>8242</v>
      </c>
      <c r="Q2863" s="4"/>
      <c r="R2863" s="4"/>
      <c r="S2863" s="9" t="str">
        <f>HYPERLINK("https://pbs.twimg.com/profile_images/986668271079309312/qx8Or3X-.jpg","View")</f>
        <v>View</v>
      </c>
    </row>
    <row r="2864" spans="1:19" ht="40">
      <c r="A2864" s="8">
        <v>43343.929085648153</v>
      </c>
      <c r="B2864" s="11" t="str">
        <f>HYPERLINK("https://twitter.com/simayazaditv","@simayazaditv")</f>
        <v>@simayazaditv</v>
      </c>
      <c r="C2864" s="6" t="s">
        <v>1758</v>
      </c>
      <c r="D2864" s="5" t="s">
        <v>9488</v>
      </c>
      <c r="E2864" s="9" t="str">
        <f>HYPERLINK("https://twitter.com/simayazaditv/status/1035584979214974978","1035584979214974978")</f>
        <v>1035584979214974978</v>
      </c>
      <c r="F2864" s="4"/>
      <c r="G2864" s="10" t="s">
        <v>9487</v>
      </c>
      <c r="H2864" s="4"/>
      <c r="I2864" s="10" t="str">
        <f>HYPERLINK("http://twitter.com","Twitter Web Client")</f>
        <v>Twitter Web Client</v>
      </c>
      <c r="J2864" s="2">
        <v>6044</v>
      </c>
      <c r="K2864" s="2">
        <v>1</v>
      </c>
      <c r="L2864" s="2">
        <v>100</v>
      </c>
      <c r="M2864" s="2"/>
      <c r="N2864" s="8">
        <v>42209.662442129629</v>
      </c>
      <c r="O2864" s="4" t="s">
        <v>252</v>
      </c>
      <c r="P2864" s="3"/>
      <c r="Q2864" s="10" t="s">
        <v>1755</v>
      </c>
      <c r="R2864" s="4"/>
      <c r="S2864" s="9" t="str">
        <f>HYPERLINK("https://pbs.twimg.com/profile_images/624546008937144321/5aqccHix.png","View")</f>
        <v>View</v>
      </c>
    </row>
    <row r="2865" spans="1:19" ht="20">
      <c r="A2865" s="8">
        <v>43343.927465277782</v>
      </c>
      <c r="B2865" s="11" t="str">
        <f>HYPERLINK("https://twitter.com/baraabari_","@baraabari_")</f>
        <v>@baraabari_</v>
      </c>
      <c r="C2865" s="6" t="s">
        <v>9486</v>
      </c>
      <c r="D2865" s="5" t="s">
        <v>9485</v>
      </c>
      <c r="E2865" s="9" t="str">
        <f>HYPERLINK("https://twitter.com/baraabari_/status/1035584391702081537","1035584391702081537")</f>
        <v>1035584391702081537</v>
      </c>
      <c r="F2865" s="4"/>
      <c r="G2865" s="10" t="s">
        <v>9484</v>
      </c>
      <c r="H2865" s="4"/>
      <c r="I2865" s="10" t="str">
        <f>HYPERLINK("http://twitter.com/download/iphone","Twitter for iPhone")</f>
        <v>Twitter for iPhone</v>
      </c>
      <c r="J2865" s="2">
        <v>44</v>
      </c>
      <c r="K2865" s="2">
        <v>27</v>
      </c>
      <c r="L2865" s="2">
        <v>0</v>
      </c>
      <c r="M2865" s="2"/>
      <c r="N2865" s="8">
        <v>43222.710023148145</v>
      </c>
      <c r="O2865" s="4"/>
      <c r="P2865" s="3" t="s">
        <v>9483</v>
      </c>
      <c r="Q2865" s="10" t="s">
        <v>9482</v>
      </c>
      <c r="R2865" s="4"/>
      <c r="S2865" s="9" t="str">
        <f>HYPERLINK("https://pbs.twimg.com/profile_images/1020364774268338177/C-GSMxtZ.jpg","View")</f>
        <v>View</v>
      </c>
    </row>
    <row r="2866" spans="1:19" ht="40">
      <c r="A2866" s="8">
        <v>43343.927106481482</v>
      </c>
      <c r="B2866" s="11" t="str">
        <f>HYPERLINK("https://twitter.com/28d838180a404b1","@28d838180a404b1")</f>
        <v>@28d838180a404b1</v>
      </c>
      <c r="C2866" s="6" t="s">
        <v>9481</v>
      </c>
      <c r="D2866" s="5" t="s">
        <v>9480</v>
      </c>
      <c r="E2866" s="9" t="str">
        <f>HYPERLINK("https://twitter.com/28d838180a404b1/status/1035584259812155396","1035584259812155396")</f>
        <v>1035584259812155396</v>
      </c>
      <c r="F2866" s="4"/>
      <c r="G2866" s="4"/>
      <c r="H2866" s="4"/>
      <c r="I2866" s="10" t="str">
        <f>HYPERLINK("http://twitter.com/download/android","Twitter for Android")</f>
        <v>Twitter for Android</v>
      </c>
      <c r="J2866" s="2">
        <v>43</v>
      </c>
      <c r="K2866" s="2">
        <v>283</v>
      </c>
      <c r="L2866" s="2">
        <v>0</v>
      </c>
      <c r="M2866" s="2"/>
      <c r="N2866" s="8">
        <v>42199.896689814814</v>
      </c>
      <c r="O2866" s="4" t="s">
        <v>310</v>
      </c>
      <c r="P2866" s="3" t="s">
        <v>9479</v>
      </c>
      <c r="Q2866" s="4"/>
      <c r="R2866" s="4"/>
      <c r="S2866" s="9" t="str">
        <f>HYPERLINK("https://pbs.twimg.com/profile_images/1026563149401649157/0ZjF5GTt.jpg","View")</f>
        <v>View</v>
      </c>
    </row>
    <row r="2867" spans="1:19" ht="30">
      <c r="A2867" s="8">
        <v>43343.926458333328</v>
      </c>
      <c r="B2867" s="11" t="str">
        <f>HYPERLINK("https://twitter.com/14september71","@14september71")</f>
        <v>@14september71</v>
      </c>
      <c r="C2867" s="6" t="s">
        <v>5077</v>
      </c>
      <c r="D2867" s="5" t="s">
        <v>9478</v>
      </c>
      <c r="E2867" s="9" t="str">
        <f>HYPERLINK("https://twitter.com/14september71/status/1035584024054571015","1035584024054571015")</f>
        <v>1035584024054571015</v>
      </c>
      <c r="F2867" s="4"/>
      <c r="G2867" s="4"/>
      <c r="H2867" s="4"/>
      <c r="I2867" s="10" t="str">
        <f>HYPERLINK("http://twitter.com/download/iphone","Twitter for iPhone")</f>
        <v>Twitter for iPhone</v>
      </c>
      <c r="J2867" s="2">
        <v>1662</v>
      </c>
      <c r="K2867" s="2">
        <v>1946</v>
      </c>
      <c r="L2867" s="2">
        <v>3</v>
      </c>
      <c r="M2867" s="2"/>
      <c r="N2867" s="8">
        <v>42852.559594907405</v>
      </c>
      <c r="O2867" s="4"/>
      <c r="P2867" s="3" t="s">
        <v>5074</v>
      </c>
      <c r="Q2867" s="4"/>
      <c r="R2867" s="4"/>
      <c r="S2867" s="9" t="str">
        <f>HYPERLINK("https://pbs.twimg.com/profile_images/975338716108673024/d--goR47.jpg","View")</f>
        <v>View</v>
      </c>
    </row>
    <row r="2868" spans="1:19" ht="20">
      <c r="A2868" s="8">
        <v>43343.926319444443</v>
      </c>
      <c r="B2868" s="11" t="str">
        <f>HYPERLINK("https://twitter.com/bicyclist153","@bicyclist153")</f>
        <v>@bicyclist153</v>
      </c>
      <c r="C2868" s="6" t="s">
        <v>9477</v>
      </c>
      <c r="D2868" s="5" t="s">
        <v>9476</v>
      </c>
      <c r="E2868" s="9" t="str">
        <f>HYPERLINK("https://twitter.com/bicyclist153/status/1035583975446798341","1035583975446798341")</f>
        <v>1035583975446798341</v>
      </c>
      <c r="F2868" s="4"/>
      <c r="G2868" s="4"/>
      <c r="H2868" s="4"/>
      <c r="I2868" s="10" t="str">
        <f>HYPERLINK("http://twitter.com/download/iphone","Twitter for iPhone")</f>
        <v>Twitter for iPhone</v>
      </c>
      <c r="J2868" s="2">
        <v>1226</v>
      </c>
      <c r="K2868" s="2">
        <v>517</v>
      </c>
      <c r="L2868" s="2">
        <v>10</v>
      </c>
      <c r="M2868" s="2"/>
      <c r="N2868" s="8">
        <v>42769.895162037035</v>
      </c>
      <c r="O2868" s="4" t="s">
        <v>34</v>
      </c>
      <c r="P2868" s="3" t="s">
        <v>9475</v>
      </c>
      <c r="Q2868" s="4"/>
      <c r="R2868" s="4"/>
      <c r="S2868" s="9" t="str">
        <f>HYPERLINK("https://pbs.twimg.com/profile_images/977942426286477313/EH03ebDg.jpg","View")</f>
        <v>View</v>
      </c>
    </row>
    <row r="2869" spans="1:19" ht="40">
      <c r="A2869" s="8">
        <v>43343.925219907411</v>
      </c>
      <c r="B2869" s="11" t="str">
        <f>HYPERLINK("https://twitter.com/Mj_ebrahimi65","@Mj_ebrahimi65")</f>
        <v>@Mj_ebrahimi65</v>
      </c>
      <c r="C2869" s="6" t="s">
        <v>514</v>
      </c>
      <c r="D2869" s="5" t="s">
        <v>9474</v>
      </c>
      <c r="E2869" s="9" t="str">
        <f>HYPERLINK("https://twitter.com/Mj_ebrahimi65/status/1035583576685903872","1035583576685903872")</f>
        <v>1035583576685903872</v>
      </c>
      <c r="F2869" s="4"/>
      <c r="G2869" s="4"/>
      <c r="H2869" s="4"/>
      <c r="I2869" s="10" t="str">
        <f>HYPERLINK("http://twitter.com/download/android","Twitter for Android")</f>
        <v>Twitter for Android</v>
      </c>
      <c r="J2869" s="2">
        <v>92</v>
      </c>
      <c r="K2869" s="2">
        <v>210</v>
      </c>
      <c r="L2869" s="2">
        <v>0</v>
      </c>
      <c r="M2869" s="2"/>
      <c r="N2869" s="8">
        <v>42893.80195601852</v>
      </c>
      <c r="O2869" s="4" t="s">
        <v>34</v>
      </c>
      <c r="P2869" s="3" t="s">
        <v>512</v>
      </c>
      <c r="Q2869" s="4"/>
      <c r="R2869" s="4"/>
      <c r="S2869" s="9" t="str">
        <f>HYPERLINK("https://pbs.twimg.com/profile_images/1035262820739436545/A4EFzvOw.jpg","View")</f>
        <v>View</v>
      </c>
    </row>
    <row r="2870" spans="1:19" ht="40">
      <c r="A2870" s="8">
        <v>43343.924537037034</v>
      </c>
      <c r="B2870" s="11" t="str">
        <f>HYPERLINK("https://twitter.com/arashmkb","@arashmkb")</f>
        <v>@arashmkb</v>
      </c>
      <c r="C2870" s="6" t="s">
        <v>9473</v>
      </c>
      <c r="D2870" s="5" t="s">
        <v>9472</v>
      </c>
      <c r="E2870" s="9" t="str">
        <f>HYPERLINK("https://twitter.com/arashmkb/status/1035583330006327296","1035583330006327296")</f>
        <v>1035583330006327296</v>
      </c>
      <c r="F2870" s="4"/>
      <c r="G2870" s="4"/>
      <c r="H2870" s="4"/>
      <c r="I2870" s="10" t="str">
        <f>HYPERLINK("http://twitter.com/download/android","Twitter for Android")</f>
        <v>Twitter for Android</v>
      </c>
      <c r="J2870" s="2">
        <v>180</v>
      </c>
      <c r="K2870" s="2">
        <v>95</v>
      </c>
      <c r="L2870" s="2">
        <v>0</v>
      </c>
      <c r="M2870" s="2"/>
      <c r="N2870" s="8">
        <v>42755.778425925921</v>
      </c>
      <c r="O2870" s="4"/>
      <c r="P2870" s="3"/>
      <c r="Q2870" s="4"/>
      <c r="R2870" s="4"/>
      <c r="S2870" s="9" t="str">
        <f>HYPERLINK("https://pbs.twimg.com/profile_images/823252407194820608/WZk2HIvg.jpg","View")</f>
        <v>View</v>
      </c>
    </row>
    <row r="2871" spans="1:19" ht="20">
      <c r="A2871" s="8">
        <v>43343.914953703701</v>
      </c>
      <c r="B2871" s="11" t="str">
        <f>HYPERLINK("https://twitter.com/parishan15","@parishan15")</f>
        <v>@parishan15</v>
      </c>
      <c r="C2871" s="6" t="s">
        <v>9471</v>
      </c>
      <c r="D2871" s="5" t="s">
        <v>9470</v>
      </c>
      <c r="E2871" s="9" t="str">
        <f>HYPERLINK("https://twitter.com/parishan15/status/1035579855432122368","1035579855432122368")</f>
        <v>1035579855432122368</v>
      </c>
      <c r="F2871" s="4"/>
      <c r="G2871" s="4"/>
      <c r="H2871" s="4"/>
      <c r="I2871" s="10" t="str">
        <f>HYPERLINK("http://twitter.com/download/iphone","Twitter for iPhone")</f>
        <v>Twitter for iPhone</v>
      </c>
      <c r="J2871" s="2">
        <v>14</v>
      </c>
      <c r="K2871" s="2">
        <v>26</v>
      </c>
      <c r="L2871" s="2">
        <v>0</v>
      </c>
      <c r="M2871" s="2"/>
      <c r="N2871" s="8">
        <v>43152.709849537037</v>
      </c>
      <c r="O2871" s="4"/>
      <c r="P2871" s="3" t="s">
        <v>9469</v>
      </c>
      <c r="Q2871" s="4"/>
      <c r="R2871" s="4"/>
      <c r="S2871" s="9" t="str">
        <f>HYPERLINK("https://pbs.twimg.com/profile_images/992604894744928257/ibcK0s4V.jpg","View")</f>
        <v>View</v>
      </c>
    </row>
    <row r="2872" spans="1:19" ht="20">
      <c r="A2872" s="8">
        <v>43343.913252314815</v>
      </c>
      <c r="B2872" s="11" t="str">
        <f>HYPERLINK("https://twitter.com/Ramdisius","@Ramdisius")</f>
        <v>@Ramdisius</v>
      </c>
      <c r="C2872" s="6" t="s">
        <v>1494</v>
      </c>
      <c r="D2872" s="5" t="s">
        <v>9468</v>
      </c>
      <c r="E2872" s="9" t="str">
        <f>HYPERLINK("https://twitter.com/Ramdisius/status/1035579237674246144","1035579237674246144")</f>
        <v>1035579237674246144</v>
      </c>
      <c r="F2872" s="4"/>
      <c r="G2872" s="10" t="s">
        <v>9467</v>
      </c>
      <c r="H2872" s="4"/>
      <c r="I2872" s="10" t="str">
        <f>HYPERLINK("http://twitter.com/download/android","Twitter for Android")</f>
        <v>Twitter for Android</v>
      </c>
      <c r="J2872" s="2">
        <v>89</v>
      </c>
      <c r="K2872" s="2">
        <v>102</v>
      </c>
      <c r="L2872" s="2">
        <v>0</v>
      </c>
      <c r="M2872" s="2"/>
      <c r="N2872" s="8">
        <v>42999.626296296294</v>
      </c>
      <c r="O2872" s="4"/>
      <c r="P2872" s="3" t="s">
        <v>1491</v>
      </c>
      <c r="Q2872" s="4"/>
      <c r="R2872" s="4"/>
      <c r="S2872" s="9" t="str">
        <f>HYPERLINK("https://pbs.twimg.com/profile_images/953361613679202306/_YiFOaj_.jpg","View")</f>
        <v>View</v>
      </c>
    </row>
    <row r="2873" spans="1:19" ht="20">
      <c r="A2873" s="8">
        <v>43343.91196759259</v>
      </c>
      <c r="B2873" s="11" t="str">
        <f>HYPERLINK("https://twitter.com/azadi_shiva","@azadi_shiva")</f>
        <v>@azadi_shiva</v>
      </c>
      <c r="C2873" s="6" t="s">
        <v>9466</v>
      </c>
      <c r="D2873" s="5" t="s">
        <v>9465</v>
      </c>
      <c r="E2873" s="9" t="str">
        <f>HYPERLINK("https://twitter.com/azadi_shiva/status/1035578774937653254","1035578774937653254")</f>
        <v>1035578774937653254</v>
      </c>
      <c r="F2873" s="4"/>
      <c r="G2873" s="4"/>
      <c r="H2873" s="4"/>
      <c r="I2873" s="10" t="str">
        <f>HYPERLINK("http://twitter.com/download/android","Twitter for Android")</f>
        <v>Twitter for Android</v>
      </c>
      <c r="J2873" s="2">
        <v>1123</v>
      </c>
      <c r="K2873" s="2">
        <v>1116</v>
      </c>
      <c r="L2873" s="2">
        <v>0</v>
      </c>
      <c r="M2873" s="2"/>
      <c r="N2873" s="8">
        <v>42961.648055555561</v>
      </c>
      <c r="O2873" s="4" t="s">
        <v>9464</v>
      </c>
      <c r="P2873" s="3" t="s">
        <v>9463</v>
      </c>
      <c r="Q2873" s="4"/>
      <c r="R2873" s="4"/>
      <c r="S2873" s="9" t="str">
        <f>HYPERLINK("https://pbs.twimg.com/profile_images/1015697896946225152/Q2FlTPe1.jpg","View")</f>
        <v>View</v>
      </c>
    </row>
    <row r="2874" spans="1:19" ht="40">
      <c r="A2874" s="8">
        <v>43343.91034722222</v>
      </c>
      <c r="B2874" s="11" t="str">
        <f>HYPERLINK("https://twitter.com/afagh1400","@afagh1400")</f>
        <v>@afagh1400</v>
      </c>
      <c r="C2874" s="6" t="s">
        <v>9462</v>
      </c>
      <c r="D2874" s="5" t="s">
        <v>9461</v>
      </c>
      <c r="E2874" s="9" t="str">
        <f>HYPERLINK("https://twitter.com/afagh1400/status/1035578186552225792","1035578186552225792")</f>
        <v>1035578186552225792</v>
      </c>
      <c r="F2874" s="4"/>
      <c r="G2874" s="4"/>
      <c r="H2874" s="4"/>
      <c r="I2874" s="10" t="str">
        <f>HYPERLINK("http://twitter.com/download/android","Twitter for Android")</f>
        <v>Twitter for Android</v>
      </c>
      <c r="J2874" s="2">
        <v>3016</v>
      </c>
      <c r="K2874" s="2">
        <v>2679</v>
      </c>
      <c r="L2874" s="2">
        <v>6</v>
      </c>
      <c r="M2874" s="2"/>
      <c r="N2874" s="8">
        <v>42910.461828703701</v>
      </c>
      <c r="O2874" s="4" t="s">
        <v>17</v>
      </c>
      <c r="P2874" s="3" t="s">
        <v>9460</v>
      </c>
      <c r="Q2874" s="4"/>
      <c r="R2874" s="4"/>
      <c r="S2874" s="9" t="str">
        <f>HYPERLINK("https://pbs.twimg.com/profile_images/970946662360285184/PpjrCHZk.jpg","View")</f>
        <v>View</v>
      </c>
    </row>
    <row r="2875" spans="1:19" ht="20">
      <c r="A2875" s="8">
        <v>43343.90896990741</v>
      </c>
      <c r="B2875" s="11" t="str">
        <f>HYPERLINK("https://twitter.com/Hasanjuventin0","@Hasanjuventin0")</f>
        <v>@Hasanjuventin0</v>
      </c>
      <c r="C2875" s="6" t="s">
        <v>5522</v>
      </c>
      <c r="D2875" s="5" t="s">
        <v>9459</v>
      </c>
      <c r="E2875" s="9" t="str">
        <f>HYPERLINK("https://twitter.com/Hasanjuventin0/status/1035577688587677696","1035577688587677696")</f>
        <v>1035577688587677696</v>
      </c>
      <c r="F2875" s="4"/>
      <c r="G2875" s="4"/>
      <c r="H2875" s="4"/>
      <c r="I2875" s="10" t="str">
        <f>HYPERLINK("http://twitter.com/download/iphone","Twitter for iPhone")</f>
        <v>Twitter for iPhone</v>
      </c>
      <c r="J2875" s="2">
        <v>914</v>
      </c>
      <c r="K2875" s="2">
        <v>345</v>
      </c>
      <c r="L2875" s="2">
        <v>7</v>
      </c>
      <c r="M2875" s="2"/>
      <c r="N2875" s="8">
        <v>40548.643587962964</v>
      </c>
      <c r="O2875" s="4" t="s">
        <v>5519</v>
      </c>
      <c r="P2875" s="3" t="s">
        <v>5518</v>
      </c>
      <c r="Q2875" s="10" t="s">
        <v>9458</v>
      </c>
      <c r="R2875" s="4"/>
      <c r="S2875" s="9" t="str">
        <f>HYPERLINK("https://pbs.twimg.com/profile_images/1031613510378237953/lLuhi0CJ.jpg","View")</f>
        <v>View</v>
      </c>
    </row>
    <row r="2876" spans="1:19" ht="30">
      <c r="A2876" s="8">
        <v>43343.906111111108</v>
      </c>
      <c r="B2876" s="11" t="str">
        <f>HYPERLINK("https://twitter.com/R888Z","@R888Z")</f>
        <v>@R888Z</v>
      </c>
      <c r="C2876" s="6" t="s">
        <v>9457</v>
      </c>
      <c r="D2876" s="5" t="s">
        <v>9456</v>
      </c>
      <c r="E2876" s="9" t="str">
        <f>HYPERLINK("https://twitter.com/R888Z/status/1035576652808577026","1035576652808577026")</f>
        <v>1035576652808577026</v>
      </c>
      <c r="F2876" s="4"/>
      <c r="G2876" s="10" t="s">
        <v>9455</v>
      </c>
      <c r="H2876" s="4"/>
      <c r="I2876" s="10" t="str">
        <f>HYPERLINK("http://twitter.com/download/android","Twitter for Android")</f>
        <v>Twitter for Android</v>
      </c>
      <c r="J2876" s="2">
        <v>102</v>
      </c>
      <c r="K2876" s="2">
        <v>18</v>
      </c>
      <c r="L2876" s="2">
        <v>0</v>
      </c>
      <c r="M2876" s="2"/>
      <c r="N2876" s="8">
        <v>40924.221944444442</v>
      </c>
      <c r="O2876" s="4" t="s">
        <v>8006</v>
      </c>
      <c r="P2876" s="3" t="s">
        <v>9454</v>
      </c>
      <c r="Q2876" s="4"/>
      <c r="R2876" s="4"/>
      <c r="S2876" s="9" t="str">
        <f>HYPERLINK("https://pbs.twimg.com/profile_images/1022278545253584898/zzTyp0he.jpg","View")</f>
        <v>View</v>
      </c>
    </row>
    <row r="2877" spans="1:19" ht="50">
      <c r="A2877" s="8">
        <v>43343.905844907407</v>
      </c>
      <c r="B2877" s="11" t="str">
        <f>HYPERLINK("https://twitter.com/3rendpt","@3rendpt")</f>
        <v>@3rendpt</v>
      </c>
      <c r="C2877" s="6" t="s">
        <v>9453</v>
      </c>
      <c r="D2877" s="5" t="s">
        <v>9452</v>
      </c>
      <c r="E2877" s="9" t="str">
        <f>HYPERLINK("https://twitter.com/3rendpt/status/1035576556696023041","1035576556696023041")</f>
        <v>1035576556696023041</v>
      </c>
      <c r="F2877" s="10" t="s">
        <v>9451</v>
      </c>
      <c r="G2877" s="10" t="s">
        <v>9450</v>
      </c>
      <c r="H2877" s="4"/>
      <c r="I2877" s="10" t="str">
        <f>HYPERLINK("http://twitter.com/download/iphone","Twitter for iPhone")</f>
        <v>Twitter for iPhone</v>
      </c>
      <c r="J2877" s="2">
        <v>5150</v>
      </c>
      <c r="K2877" s="2">
        <v>468</v>
      </c>
      <c r="L2877" s="2">
        <v>36</v>
      </c>
      <c r="M2877" s="2"/>
      <c r="N2877" s="8">
        <v>41127.608715277776</v>
      </c>
      <c r="O2877" s="4" t="s">
        <v>9449</v>
      </c>
      <c r="P2877" s="3" t="s">
        <v>9448</v>
      </c>
      <c r="Q2877" s="10" t="s">
        <v>9447</v>
      </c>
      <c r="R2877" s="4"/>
      <c r="S2877" s="9" t="str">
        <f>HYPERLINK("https://pbs.twimg.com/profile_images/1035151852395003904/wTnJaJXr.jpg","View")</f>
        <v>View</v>
      </c>
    </row>
    <row r="2878" spans="1:19" ht="80">
      <c r="A2878" s="8">
        <v>43343.897511574076</v>
      </c>
      <c r="B2878" s="11" t="str">
        <f>HYPERLINK("https://twitter.com/WEl4snrBc1qxKRc","@WEl4snrBc1qxKRc")</f>
        <v>@WEl4snrBc1qxKRc</v>
      </c>
      <c r="C2878" s="6" t="s">
        <v>7604</v>
      </c>
      <c r="D2878" s="5" t="s">
        <v>9446</v>
      </c>
      <c r="E2878" s="9" t="str">
        <f>HYPERLINK("https://twitter.com/WEl4snrBc1qxKRc/status/1035573536113520643","1035573536113520643")</f>
        <v>1035573536113520643</v>
      </c>
      <c r="F2878" s="4" t="s">
        <v>9445</v>
      </c>
      <c r="G2878" s="10" t="s">
        <v>9444</v>
      </c>
      <c r="H2878" s="4"/>
      <c r="I2878" s="10" t="str">
        <f>HYPERLINK("http://twitter.com/download/android","Twitter for Android")</f>
        <v>Twitter for Android</v>
      </c>
      <c r="J2878" s="2">
        <v>9</v>
      </c>
      <c r="K2878" s="2">
        <v>20</v>
      </c>
      <c r="L2878" s="2">
        <v>0</v>
      </c>
      <c r="M2878" s="2"/>
      <c r="N2878" s="8">
        <v>43317.035995370374</v>
      </c>
      <c r="O2878" s="4"/>
      <c r="P2878" s="3"/>
      <c r="Q2878" s="4"/>
      <c r="R2878" s="4"/>
      <c r="S2878" s="2" t="s">
        <v>155</v>
      </c>
    </row>
    <row r="2879" spans="1:19" ht="50">
      <c r="A2879" s="8">
        <v>43343.891909722224</v>
      </c>
      <c r="B2879" s="11" t="str">
        <f>HYPERLINK("https://twitter.com/jerkyduck","@jerkyduck")</f>
        <v>@jerkyduck</v>
      </c>
      <c r="C2879" s="6" t="s">
        <v>9443</v>
      </c>
      <c r="D2879" s="5" t="s">
        <v>9442</v>
      </c>
      <c r="E2879" s="9" t="str">
        <f>HYPERLINK("https://twitter.com/jerkyduck/status/1035571507198615552","1035571507198615552")</f>
        <v>1035571507198615552</v>
      </c>
      <c r="F2879" s="4"/>
      <c r="G2879" s="4"/>
      <c r="H2879" s="4"/>
      <c r="I2879" s="10" t="str">
        <f>HYPERLINK("http://twitter.com/download/iphone","Twitter for iPhone")</f>
        <v>Twitter for iPhone</v>
      </c>
      <c r="J2879" s="2">
        <v>135</v>
      </c>
      <c r="K2879" s="2">
        <v>88</v>
      </c>
      <c r="L2879" s="2">
        <v>0</v>
      </c>
      <c r="M2879" s="2"/>
      <c r="N2879" s="8">
        <v>39987.731817129628</v>
      </c>
      <c r="O2879" s="4" t="s">
        <v>6829</v>
      </c>
      <c r="P2879" s="3" t="s">
        <v>6828</v>
      </c>
      <c r="Q2879" s="10" t="s">
        <v>6827</v>
      </c>
      <c r="R2879" s="4"/>
      <c r="S2879" s="9" t="str">
        <f>HYPERLINK("https://pbs.twimg.com/profile_images/1020544897328254981/0GmssKBN.jpg","View")</f>
        <v>View</v>
      </c>
    </row>
    <row r="2880" spans="1:19" ht="20">
      <c r="A2880" s="8">
        <v>43343.89167824074</v>
      </c>
      <c r="B2880" s="11" t="str">
        <f>HYPERLINK("https://twitter.com/nekofar","@nekofar")</f>
        <v>@nekofar</v>
      </c>
      <c r="C2880" s="6" t="s">
        <v>9441</v>
      </c>
      <c r="D2880" s="5" t="s">
        <v>9440</v>
      </c>
      <c r="E2880" s="9" t="str">
        <f>HYPERLINK("https://twitter.com/nekofar/status/1035571421383143425","1035571421383143425")</f>
        <v>1035571421383143425</v>
      </c>
      <c r="F2880" s="4"/>
      <c r="G2880" s="4"/>
      <c r="H2880" s="4"/>
      <c r="I2880" s="10" t="str">
        <f>HYPERLINK("https://about.twitter.com/products/tweetdeck","TweetDeck")</f>
        <v>TweetDeck</v>
      </c>
      <c r="J2880" s="2">
        <v>11040</v>
      </c>
      <c r="K2880" s="2">
        <v>2702</v>
      </c>
      <c r="L2880" s="2">
        <v>77</v>
      </c>
      <c r="M2880" s="2"/>
      <c r="N2880" s="8">
        <v>39977.532256944447</v>
      </c>
      <c r="O2880" s="4"/>
      <c r="P2880" s="3" t="s">
        <v>9439</v>
      </c>
      <c r="Q2880" s="10" t="s">
        <v>9438</v>
      </c>
      <c r="R2880" s="4"/>
      <c r="S2880" s="9" t="str">
        <f>HYPERLINK("https://pbs.twimg.com/profile_images/985586428808744961/sgBE9p4R.jpg","View")</f>
        <v>View</v>
      </c>
    </row>
    <row r="2881" spans="1:19" ht="30">
      <c r="A2881" s="8">
        <v>43343.891597222224</v>
      </c>
      <c r="B2881" s="11" t="str">
        <f>HYPERLINK("https://twitter.com/dabirimehr","@dabirimehr")</f>
        <v>@dabirimehr</v>
      </c>
      <c r="C2881" s="6" t="s">
        <v>2821</v>
      </c>
      <c r="D2881" s="5" t="s">
        <v>9437</v>
      </c>
      <c r="E2881" s="9" t="str">
        <f>HYPERLINK("https://twitter.com/dabirimehr/status/1035571392249581569","1035571392249581569")</f>
        <v>1035571392249581569</v>
      </c>
      <c r="F2881" s="10" t="s">
        <v>9436</v>
      </c>
      <c r="G2881" s="4"/>
      <c r="H2881" s="10" t="str">
        <f>HYPERLINK("https://ctrlq.org/maps/address/#35.6961,51.4231","Map")</f>
        <v>Map</v>
      </c>
      <c r="I2881" s="10" t="str">
        <f>HYPERLINK("http://instagram.com","Instagram")</f>
        <v>Instagram</v>
      </c>
      <c r="J2881" s="2">
        <v>586</v>
      </c>
      <c r="K2881" s="2">
        <v>754</v>
      </c>
      <c r="L2881" s="2">
        <v>3</v>
      </c>
      <c r="M2881" s="2"/>
      <c r="N2881" s="8">
        <v>41282.723067129627</v>
      </c>
      <c r="O2881" s="4" t="s">
        <v>34</v>
      </c>
      <c r="P2881" s="3" t="s">
        <v>9435</v>
      </c>
      <c r="Q2881" s="10" t="s">
        <v>9434</v>
      </c>
      <c r="R2881" s="4"/>
      <c r="S2881" s="9" t="str">
        <f>HYPERLINK("https://pbs.twimg.com/profile_images/1031533654420246528/EOyl9S3B.jpg","View")</f>
        <v>View</v>
      </c>
    </row>
    <row r="2882" spans="1:19" ht="30">
      <c r="A2882" s="8">
        <v>43343.887349537035</v>
      </c>
      <c r="B2882" s="11" t="str">
        <f>HYPERLINK("https://twitter.com/bardiya2000","@bardiya2000")</f>
        <v>@bardiya2000</v>
      </c>
      <c r="C2882" s="6" t="s">
        <v>6602</v>
      </c>
      <c r="D2882" s="5" t="s">
        <v>9433</v>
      </c>
      <c r="E2882" s="9" t="str">
        <f>HYPERLINK("https://twitter.com/bardiya2000/status/1035569854684778497","1035569854684778497")</f>
        <v>1035569854684778497</v>
      </c>
      <c r="F2882" s="4"/>
      <c r="G2882" s="4"/>
      <c r="H2882" s="4"/>
      <c r="I2882" s="10" t="str">
        <f>HYPERLINK("http://twitter.com/download/android","Twitter for Android")</f>
        <v>Twitter for Android</v>
      </c>
      <c r="J2882" s="2">
        <v>11113</v>
      </c>
      <c r="K2882" s="2">
        <v>12169</v>
      </c>
      <c r="L2882" s="2">
        <v>5</v>
      </c>
      <c r="M2882" s="2"/>
      <c r="N2882" s="8">
        <v>43130.489201388889</v>
      </c>
      <c r="O2882" s="4" t="s">
        <v>104</v>
      </c>
      <c r="P2882" s="3" t="s">
        <v>6600</v>
      </c>
      <c r="Q2882" s="4"/>
      <c r="R2882" s="4"/>
      <c r="S2882" s="9" t="str">
        <f>HYPERLINK("https://pbs.twimg.com/profile_images/959171152081014784/1feOJkR-.jpg","View")</f>
        <v>View</v>
      </c>
    </row>
    <row r="2883" spans="1:19" ht="40">
      <c r="A2883" s="8">
        <v>43343.882314814815</v>
      </c>
      <c r="B2883" s="11" t="str">
        <f>HYPERLINK("https://twitter.com/bardiya2000","@bardiya2000")</f>
        <v>@bardiya2000</v>
      </c>
      <c r="C2883" s="6" t="s">
        <v>6602</v>
      </c>
      <c r="D2883" s="5" t="s">
        <v>9432</v>
      </c>
      <c r="E2883" s="9" t="str">
        <f>HYPERLINK("https://twitter.com/bardiya2000/status/1035568027079716864","1035568027079716864")</f>
        <v>1035568027079716864</v>
      </c>
      <c r="F2883" s="4"/>
      <c r="G2883" s="4"/>
      <c r="H2883" s="4"/>
      <c r="I2883" s="10" t="str">
        <f>HYPERLINK("http://twitter.com/download/android","Twitter for Android")</f>
        <v>Twitter for Android</v>
      </c>
      <c r="J2883" s="2">
        <v>11113</v>
      </c>
      <c r="K2883" s="2">
        <v>12169</v>
      </c>
      <c r="L2883" s="2">
        <v>5</v>
      </c>
      <c r="M2883" s="2"/>
      <c r="N2883" s="8">
        <v>43130.489201388889</v>
      </c>
      <c r="O2883" s="4" t="s">
        <v>104</v>
      </c>
      <c r="P2883" s="3" t="s">
        <v>6600</v>
      </c>
      <c r="Q2883" s="4"/>
      <c r="R2883" s="4"/>
      <c r="S2883" s="9" t="str">
        <f>HYPERLINK("https://pbs.twimg.com/profile_images/959171152081014784/1feOJkR-.jpg","View")</f>
        <v>View</v>
      </c>
    </row>
    <row r="2884" spans="1:19" ht="40">
      <c r="A2884" s="8">
        <v>43343.875138888892</v>
      </c>
      <c r="B2884" s="11" t="str">
        <f>HYPERLINK("https://twitter.com/HadiJahanzadeh","@HadiJahanzadeh")</f>
        <v>@HadiJahanzadeh</v>
      </c>
      <c r="C2884" s="6" t="s">
        <v>9431</v>
      </c>
      <c r="D2884" s="5" t="s">
        <v>9430</v>
      </c>
      <c r="E2884" s="9" t="str">
        <f>HYPERLINK("https://twitter.com/HadiJahanzadeh/status/1035565426170847232","1035565426170847232")</f>
        <v>1035565426170847232</v>
      </c>
      <c r="F2884" s="4"/>
      <c r="G2884" s="4"/>
      <c r="H2884" s="4"/>
      <c r="I2884" s="10" t="str">
        <f>HYPERLINK("http://twitter.com/download/android","Twitter for Android")</f>
        <v>Twitter for Android</v>
      </c>
      <c r="J2884" s="2">
        <v>338</v>
      </c>
      <c r="K2884" s="2">
        <v>868</v>
      </c>
      <c r="L2884" s="2">
        <v>0</v>
      </c>
      <c r="M2884" s="2"/>
      <c r="N2884" s="8">
        <v>42987.93240740741</v>
      </c>
      <c r="O2884" s="4" t="s">
        <v>17</v>
      </c>
      <c r="P2884" s="3" t="s">
        <v>9429</v>
      </c>
      <c r="Q2884" s="4"/>
      <c r="R2884" s="4"/>
      <c r="S2884" s="9" t="str">
        <f>HYPERLINK("https://pbs.twimg.com/profile_images/986681103074422784/ZNNP98Vc.jpg","View")</f>
        <v>View</v>
      </c>
    </row>
    <row r="2885" spans="1:19" ht="30">
      <c r="A2885" s="8">
        <v>43343.875127314815</v>
      </c>
      <c r="B2885" s="11" t="str">
        <f>HYPERLINK("https://twitter.com/MortezaGasemi66","@MortezaGasemi66")</f>
        <v>@MortezaGasemi66</v>
      </c>
      <c r="C2885" s="6" t="s">
        <v>6088</v>
      </c>
      <c r="D2885" s="5" t="s">
        <v>9428</v>
      </c>
      <c r="E2885" s="9" t="str">
        <f>HYPERLINK("https://twitter.com/MortezaGasemi66/status/1035565421867544577","1035565421867544577")</f>
        <v>1035565421867544577</v>
      </c>
      <c r="F2885" s="4"/>
      <c r="G2885" s="4"/>
      <c r="H2885" s="4"/>
      <c r="I2885" s="10" t="str">
        <f>HYPERLINK("http://twitter.com","Twitter Web Client")</f>
        <v>Twitter Web Client</v>
      </c>
      <c r="J2885" s="2">
        <v>308</v>
      </c>
      <c r="K2885" s="2">
        <v>56</v>
      </c>
      <c r="L2885" s="2">
        <v>2</v>
      </c>
      <c r="M2885" s="2"/>
      <c r="N2885" s="8">
        <v>43171.879444444443</v>
      </c>
      <c r="O2885" s="4"/>
      <c r="P2885" s="3" t="s">
        <v>6086</v>
      </c>
      <c r="Q2885" s="4"/>
      <c r="R2885" s="4"/>
      <c r="S2885" s="9" t="str">
        <f>HYPERLINK("https://pbs.twimg.com/profile_images/973258282994487296/py6bItR_.jpg","View")</f>
        <v>View</v>
      </c>
    </row>
    <row r="2886" spans="1:19" ht="30">
      <c r="A2886" s="8">
        <v>43343.86891203704</v>
      </c>
      <c r="B2886" s="11" t="str">
        <f>HYPERLINK("https://twitter.com/MOHAMADewski","@MOHAMADewski")</f>
        <v>@MOHAMADewski</v>
      </c>
      <c r="C2886" s="6" t="s">
        <v>3002</v>
      </c>
      <c r="D2886" s="5" t="s">
        <v>9427</v>
      </c>
      <c r="E2886" s="9" t="str">
        <f>HYPERLINK("https://twitter.com/MOHAMADewski/status/1035563169433964545","1035563169433964545")</f>
        <v>1035563169433964545</v>
      </c>
      <c r="F2886" s="4"/>
      <c r="G2886" s="4"/>
      <c r="H2886" s="4"/>
      <c r="I2886" s="10" t="str">
        <f>HYPERLINK("https://mobile.twitter.com","Twitter Lite")</f>
        <v>Twitter Lite</v>
      </c>
      <c r="J2886" s="2">
        <v>1729</v>
      </c>
      <c r="K2886" s="2">
        <v>932</v>
      </c>
      <c r="L2886" s="2">
        <v>10</v>
      </c>
      <c r="M2886" s="2"/>
      <c r="N2886" s="8">
        <v>42876.649108796293</v>
      </c>
      <c r="O2886" s="4" t="s">
        <v>104</v>
      </c>
      <c r="P2886" s="3" t="s">
        <v>3000</v>
      </c>
      <c r="Q2886" s="4"/>
      <c r="R2886" s="4"/>
      <c r="S2886" s="9" t="str">
        <f>HYPERLINK("https://pbs.twimg.com/profile_images/994182479958470657/MfODFROI.jpg","View")</f>
        <v>View</v>
      </c>
    </row>
    <row r="2887" spans="1:19" ht="30">
      <c r="A2887" s="8">
        <v>43343.867951388893</v>
      </c>
      <c r="B2887" s="11" t="str">
        <f>HYPERLINK("https://twitter.com/reza3712","@reza3712")</f>
        <v>@reza3712</v>
      </c>
      <c r="C2887" s="6" t="s">
        <v>4049</v>
      </c>
      <c r="D2887" s="5" t="s">
        <v>9426</v>
      </c>
      <c r="E2887" s="9" t="str">
        <f>HYPERLINK("https://twitter.com/reza3712/status/1035562821155790848","1035562821155790848")</f>
        <v>1035562821155790848</v>
      </c>
      <c r="F2887" s="10" t="s">
        <v>9425</v>
      </c>
      <c r="G2887" s="10" t="s">
        <v>9424</v>
      </c>
      <c r="H2887" s="4"/>
      <c r="I2887" s="10" t="str">
        <f>HYPERLINK("http://twitter.com/download/android","Twitter for Android")</f>
        <v>Twitter for Android</v>
      </c>
      <c r="J2887" s="2">
        <v>742</v>
      </c>
      <c r="K2887" s="2">
        <v>1044</v>
      </c>
      <c r="L2887" s="2">
        <v>4</v>
      </c>
      <c r="M2887" s="2"/>
      <c r="N2887" s="8">
        <v>41546.455104166671</v>
      </c>
      <c r="O2887" s="4"/>
      <c r="P2887" s="3" t="s">
        <v>4046</v>
      </c>
      <c r="Q2887" s="4"/>
      <c r="R2887" s="4"/>
      <c r="S2887" s="9" t="str">
        <f>HYPERLINK("https://pbs.twimg.com/profile_images/952076795158941696/z1HgjP6H.jpg","View")</f>
        <v>View</v>
      </c>
    </row>
    <row r="2888" spans="1:19" ht="30">
      <c r="A2888" s="8">
        <v>43343.863310185188</v>
      </c>
      <c r="B2888" s="11" t="str">
        <f>HYPERLINK("https://twitter.com/omidtaherii","@omidtaherii")</f>
        <v>@omidtaherii</v>
      </c>
      <c r="C2888" s="6" t="s">
        <v>1624</v>
      </c>
      <c r="D2888" s="5" t="s">
        <v>9423</v>
      </c>
      <c r="E2888" s="9" t="str">
        <f>HYPERLINK("https://twitter.com/omidtaherii/status/1035561140301037569","1035561140301037569")</f>
        <v>1035561140301037569</v>
      </c>
      <c r="F2888" s="4"/>
      <c r="G2888" s="4"/>
      <c r="H2888" s="4"/>
      <c r="I2888" s="10" t="str">
        <f>HYPERLINK("http://twitter.com/download/android","Twitter for Android")</f>
        <v>Twitter for Android</v>
      </c>
      <c r="J2888" s="2">
        <v>107</v>
      </c>
      <c r="K2888" s="2">
        <v>195</v>
      </c>
      <c r="L2888" s="2">
        <v>0</v>
      </c>
      <c r="M2888" s="2"/>
      <c r="N2888" s="8">
        <v>42750.620821759258</v>
      </c>
      <c r="O2888" s="4" t="s">
        <v>682</v>
      </c>
      <c r="P2888" s="3" t="s">
        <v>1622</v>
      </c>
      <c r="Q2888" s="4"/>
      <c r="R2888" s="4"/>
      <c r="S2888" s="9" t="str">
        <f>HYPERLINK("https://pbs.twimg.com/profile_images/1034076631449534466/IjWIQCft.jpg","View")</f>
        <v>View</v>
      </c>
    </row>
    <row r="2889" spans="1:19" ht="30">
      <c r="A2889" s="8">
        <v>43343.858680555553</v>
      </c>
      <c r="B2889" s="11" t="str">
        <f>HYPERLINK("https://twitter.com/radiozamaneh","@radiozamaneh")</f>
        <v>@radiozamaneh</v>
      </c>
      <c r="C2889" s="6" t="s">
        <v>5731</v>
      </c>
      <c r="D2889" s="5" t="s">
        <v>9422</v>
      </c>
      <c r="E2889" s="9" t="str">
        <f>HYPERLINK("https://twitter.com/radiozamaneh/status/1035559462206152706","1035559462206152706")</f>
        <v>1035559462206152706</v>
      </c>
      <c r="F2889" s="10" t="s">
        <v>9421</v>
      </c>
      <c r="G2889" s="10" t="s">
        <v>9420</v>
      </c>
      <c r="H2889" s="4"/>
      <c r="I2889" s="10" t="str">
        <f>HYPERLINK("https://zapier.com/","Zapier.com")</f>
        <v>Zapier.com</v>
      </c>
      <c r="J2889" s="2">
        <v>110371</v>
      </c>
      <c r="K2889" s="2">
        <v>837</v>
      </c>
      <c r="L2889" s="2">
        <v>378</v>
      </c>
      <c r="M2889" s="2" t="s">
        <v>80</v>
      </c>
      <c r="N2889" s="8">
        <v>39573.255729166667</v>
      </c>
      <c r="O2889" s="4" t="s">
        <v>5727</v>
      </c>
      <c r="P2889" s="3" t="s">
        <v>5726</v>
      </c>
      <c r="Q2889" s="10" t="s">
        <v>5725</v>
      </c>
      <c r="R2889" s="4"/>
      <c r="S2889" s="9" t="str">
        <f>HYPERLINK("https://pbs.twimg.com/profile_images/990906227256328192/IYPsq9ai.jpg","View")</f>
        <v>View</v>
      </c>
    </row>
    <row r="2890" spans="1:19" ht="30">
      <c r="A2890" s="8">
        <v>43343.857615740737</v>
      </c>
      <c r="B2890" s="11" t="str">
        <f>HYPERLINK("https://twitter.com/jey_land","@jey_land")</f>
        <v>@jey_land</v>
      </c>
      <c r="C2890" s="6" t="s">
        <v>3567</v>
      </c>
      <c r="D2890" s="5" t="s">
        <v>9419</v>
      </c>
      <c r="E2890" s="9" t="str">
        <f>HYPERLINK("https://twitter.com/jey_land/status/1035559078242725889","1035559078242725889")</f>
        <v>1035559078242725889</v>
      </c>
      <c r="F2890" s="4"/>
      <c r="G2890" s="10" t="s">
        <v>9418</v>
      </c>
      <c r="H2890" s="4"/>
      <c r="I2890" s="10" t="str">
        <f>HYPERLINK("http://twitter.com/download/android","Twitter for Android")</f>
        <v>Twitter for Android</v>
      </c>
      <c r="J2890" s="2">
        <v>246</v>
      </c>
      <c r="K2890" s="2">
        <v>312</v>
      </c>
      <c r="L2890" s="2">
        <v>0</v>
      </c>
      <c r="M2890" s="2"/>
      <c r="N2890" s="8">
        <v>43236.299930555557</v>
      </c>
      <c r="O2890" s="4" t="s">
        <v>133</v>
      </c>
      <c r="P2890" s="3" t="s">
        <v>3565</v>
      </c>
      <c r="Q2890" s="4"/>
      <c r="R2890" s="4"/>
      <c r="S2890" s="9" t="str">
        <f>HYPERLINK("https://pbs.twimg.com/profile_images/1032936238414737408/h_dl45Dd.jpg","View")</f>
        <v>View</v>
      </c>
    </row>
    <row r="2891" spans="1:19" ht="30">
      <c r="A2891" s="8">
        <v>43343.857523148152</v>
      </c>
      <c r="B2891" s="11" t="str">
        <f>HYPERLINK("https://twitter.com/EmperorIrani","@EmperorIrani")</f>
        <v>@EmperorIrani</v>
      </c>
      <c r="C2891" s="6" t="s">
        <v>9417</v>
      </c>
      <c r="D2891" s="5" t="s">
        <v>9416</v>
      </c>
      <c r="E2891" s="9" t="str">
        <f>HYPERLINK("https://twitter.com/EmperorIrani/status/1035559045753647106","1035559045753647106")</f>
        <v>1035559045753647106</v>
      </c>
      <c r="F2891" s="4"/>
      <c r="G2891" s="4"/>
      <c r="H2891" s="4"/>
      <c r="I2891" s="10" t="str">
        <f>HYPERLINK("http://twitter.com","Twitter Web Client")</f>
        <v>Twitter Web Client</v>
      </c>
      <c r="J2891" s="2">
        <v>117</v>
      </c>
      <c r="K2891" s="2">
        <v>122</v>
      </c>
      <c r="L2891" s="2">
        <v>1</v>
      </c>
      <c r="M2891" s="2"/>
      <c r="N2891" s="8">
        <v>41732.004884259259</v>
      </c>
      <c r="O2891" s="4" t="s">
        <v>9415</v>
      </c>
      <c r="P2891" s="3" t="s">
        <v>9414</v>
      </c>
      <c r="Q2891" s="4"/>
      <c r="R2891" s="4"/>
      <c r="S2891" s="9" t="str">
        <f>HYPERLINK("https://pbs.twimg.com/profile_images/1023525284937646081/LkQVQyok.jpg","View")</f>
        <v>View</v>
      </c>
    </row>
    <row r="2892" spans="1:19" ht="40">
      <c r="A2892" s="8">
        <v>43343.854201388887</v>
      </c>
      <c r="B2892" s="11" t="str">
        <f>HYPERLINK("https://twitter.com/trtpersiancom","@trtpersiancom")</f>
        <v>@trtpersiancom</v>
      </c>
      <c r="C2892" s="11" t="s">
        <v>9413</v>
      </c>
      <c r="D2892" s="5" t="s">
        <v>9412</v>
      </c>
      <c r="E2892" s="9" t="str">
        <f>HYPERLINK("https://twitter.com/trtpersiancom/status/1035557840298160129","1035557840298160129")</f>
        <v>1035557840298160129</v>
      </c>
      <c r="F2892" s="10" t="s">
        <v>9411</v>
      </c>
      <c r="G2892" s="4"/>
      <c r="H2892" s="4"/>
      <c r="I2892" s="10" t="str">
        <f>HYPERLINK("https://about.twitter.com/products/tweetdeck","TweetDeck")</f>
        <v>TweetDeck</v>
      </c>
      <c r="J2892" s="2">
        <v>11176</v>
      </c>
      <c r="K2892" s="2">
        <v>23</v>
      </c>
      <c r="L2892" s="2">
        <v>36</v>
      </c>
      <c r="M2892" s="2"/>
      <c r="N2892" s="8">
        <v>40759.756018518521</v>
      </c>
      <c r="O2892" s="4" t="s">
        <v>9410</v>
      </c>
      <c r="P2892" s="3" t="s">
        <v>9409</v>
      </c>
      <c r="Q2892" s="10" t="s">
        <v>9408</v>
      </c>
      <c r="R2892" s="4"/>
      <c r="S2892" s="9" t="str">
        <f>HYPERLINK("https://pbs.twimg.com/profile_images/767693483855478784/KAluA1uF.jpg","View")</f>
        <v>View</v>
      </c>
    </row>
    <row r="2893" spans="1:19" ht="40">
      <c r="A2893" s="8">
        <v>43343.85157407407</v>
      </c>
      <c r="B2893" s="11" t="str">
        <f>HYPERLINK("https://twitter.com/__allireza__","@__allireza__")</f>
        <v>@__allireza__</v>
      </c>
      <c r="C2893" s="6" t="s">
        <v>9407</v>
      </c>
      <c r="D2893" s="5" t="s">
        <v>9406</v>
      </c>
      <c r="E2893" s="9" t="str">
        <f>HYPERLINK("https://twitter.com/__allireza__/status/1035556886551117824","1035556886551117824")</f>
        <v>1035556886551117824</v>
      </c>
      <c r="F2893" s="4"/>
      <c r="G2893" s="4"/>
      <c r="H2893" s="4"/>
      <c r="I2893" s="10" t="str">
        <f>HYPERLINK("http://twitter.com/download/android","Twitter for Android")</f>
        <v>Twitter for Android</v>
      </c>
      <c r="J2893" s="2">
        <v>108</v>
      </c>
      <c r="K2893" s="2">
        <v>72</v>
      </c>
      <c r="L2893" s="2">
        <v>0</v>
      </c>
      <c r="M2893" s="2"/>
      <c r="N2893" s="8">
        <v>43033.535312499997</v>
      </c>
      <c r="O2893" s="4"/>
      <c r="P2893" s="3" t="s">
        <v>9405</v>
      </c>
      <c r="Q2893" s="4"/>
      <c r="R2893" s="4"/>
      <c r="S2893" s="9" t="str">
        <f>HYPERLINK("https://pbs.twimg.com/profile_images/1026246361585537024/HO9VgX0v.jpg","View")</f>
        <v>View</v>
      </c>
    </row>
    <row r="2894" spans="1:19" ht="40">
      <c r="A2894" s="8">
        <v>43343.850231481483</v>
      </c>
      <c r="B2894" s="11" t="str">
        <f>HYPERLINK("https://twitter.com/freedom2018ir","@freedom2018ir")</f>
        <v>@freedom2018ir</v>
      </c>
      <c r="C2894" s="6" t="s">
        <v>9404</v>
      </c>
      <c r="D2894" s="5" t="s">
        <v>9403</v>
      </c>
      <c r="E2894" s="9" t="str">
        <f>HYPERLINK("https://twitter.com/freedom2018ir/status/1035556401723006976","1035556401723006976")</f>
        <v>1035556401723006976</v>
      </c>
      <c r="F2894" s="4"/>
      <c r="G2894" s="10" t="s">
        <v>9402</v>
      </c>
      <c r="H2894" s="4"/>
      <c r="I2894" s="10" t="str">
        <f>HYPERLINK("http://twitter.com/download/iphone","Twitter for iPhone")</f>
        <v>Twitter for iPhone</v>
      </c>
      <c r="J2894" s="2">
        <v>3</v>
      </c>
      <c r="K2894" s="2">
        <v>21</v>
      </c>
      <c r="L2894" s="2">
        <v>0</v>
      </c>
      <c r="M2894" s="2"/>
      <c r="N2894" s="8">
        <v>43339.8044212963</v>
      </c>
      <c r="O2894" s="4"/>
      <c r="P2894" s="3" t="s">
        <v>9401</v>
      </c>
      <c r="Q2894" s="4"/>
      <c r="R2894" s="4"/>
      <c r="S2894" s="9" t="str">
        <f>HYPERLINK("https://pbs.twimg.com/profile_images/1034090594946240512/xReczFAi.jpg","View")</f>
        <v>View</v>
      </c>
    </row>
    <row r="2895" spans="1:19" ht="40">
      <c r="A2895" s="8">
        <v>43343.843969907408</v>
      </c>
      <c r="B2895" s="11" t="str">
        <f>HYPERLINK("https://twitter.com/amir_ali_irani","@amir_ali_irani")</f>
        <v>@amir_ali_irani</v>
      </c>
      <c r="C2895" s="6" t="s">
        <v>9400</v>
      </c>
      <c r="D2895" s="5" t="s">
        <v>9399</v>
      </c>
      <c r="E2895" s="9" t="str">
        <f>HYPERLINK("https://twitter.com/amir_ali_irani/status/1035554132436901897","1035554132436901897")</f>
        <v>1035554132436901897</v>
      </c>
      <c r="F2895" s="4"/>
      <c r="G2895" s="4"/>
      <c r="H2895" s="4"/>
      <c r="I2895" s="10" t="str">
        <f>HYPERLINK("http://twitter.com/download/android","Twitter for Android")</f>
        <v>Twitter for Android</v>
      </c>
      <c r="J2895" s="2">
        <v>4971</v>
      </c>
      <c r="K2895" s="2">
        <v>5415</v>
      </c>
      <c r="L2895" s="2">
        <v>6</v>
      </c>
      <c r="M2895" s="2"/>
      <c r="N2895" s="8">
        <v>43046.431284722217</v>
      </c>
      <c r="O2895" s="4"/>
      <c r="P2895" s="3" t="s">
        <v>9398</v>
      </c>
      <c r="Q2895" s="4"/>
      <c r="R2895" s="4"/>
      <c r="S2895" s="9" t="str">
        <f>HYPERLINK("https://pbs.twimg.com/profile_images/1010232688106721280/b-HepdSP.jpg","View")</f>
        <v>View</v>
      </c>
    </row>
    <row r="2896" spans="1:19" ht="30">
      <c r="A2896" s="8">
        <v>43343.838240740741</v>
      </c>
      <c r="B2896" s="11" t="str">
        <f>HYPERLINK("https://twitter.com/Ndehghan1","@Ndehghan1")</f>
        <v>@Ndehghan1</v>
      </c>
      <c r="C2896" s="6" t="s">
        <v>9146</v>
      </c>
      <c r="D2896" s="5" t="s">
        <v>9397</v>
      </c>
      <c r="E2896" s="9" t="str">
        <f>HYPERLINK("https://twitter.com/Ndehghan1/status/1035552056923353088","1035552056923353088")</f>
        <v>1035552056923353088</v>
      </c>
      <c r="F2896" s="4"/>
      <c r="G2896" s="4"/>
      <c r="H2896" s="4"/>
      <c r="I2896" s="10" t="str">
        <f>HYPERLINK("http://twitter.com/download/android","Twitter for Android")</f>
        <v>Twitter for Android</v>
      </c>
      <c r="J2896" s="2">
        <v>203</v>
      </c>
      <c r="K2896" s="2">
        <v>187</v>
      </c>
      <c r="L2896" s="2">
        <v>3</v>
      </c>
      <c r="M2896" s="2"/>
      <c r="N2896" s="8">
        <v>42735.79850694444</v>
      </c>
      <c r="O2896" s="4" t="s">
        <v>133</v>
      </c>
      <c r="P2896" s="3" t="s">
        <v>9144</v>
      </c>
      <c r="Q2896" s="4"/>
      <c r="R2896" s="4"/>
      <c r="S2896" s="9" t="str">
        <f>HYPERLINK("https://pbs.twimg.com/profile_images/857285139176488961/lbSSd0pp.jpg","View")</f>
        <v>View</v>
      </c>
    </row>
    <row r="2897" spans="1:19" ht="20">
      <c r="A2897" s="8">
        <v>43343.83493055556</v>
      </c>
      <c r="B2897" s="11" t="str">
        <f>HYPERLINK("https://twitter.com/nakisa23","@nakisa23")</f>
        <v>@nakisa23</v>
      </c>
      <c r="C2897" s="6" t="s">
        <v>4487</v>
      </c>
      <c r="D2897" s="5" t="s">
        <v>9396</v>
      </c>
      <c r="E2897" s="9" t="str">
        <f>HYPERLINK("https://twitter.com/nakisa23/status/1035550854923911169","1035550854923911169")</f>
        <v>1035550854923911169</v>
      </c>
      <c r="F2897" s="4"/>
      <c r="G2897" s="4"/>
      <c r="H2897" s="4"/>
      <c r="I2897" s="10" t="str">
        <f>HYPERLINK("http://twitter.com/download/iphone","Twitter for iPhone")</f>
        <v>Twitter for iPhone</v>
      </c>
      <c r="J2897" s="2">
        <v>1028</v>
      </c>
      <c r="K2897" s="2">
        <v>902</v>
      </c>
      <c r="L2897" s="2">
        <v>12</v>
      </c>
      <c r="M2897" s="2"/>
      <c r="N2897" s="8">
        <v>41017.827951388885</v>
      </c>
      <c r="O2897" s="4" t="s">
        <v>4484</v>
      </c>
      <c r="P2897" s="3" t="s">
        <v>4483</v>
      </c>
      <c r="Q2897" s="4"/>
      <c r="R2897" s="4"/>
      <c r="S2897" s="9" t="str">
        <f>HYPERLINK("https://pbs.twimg.com/profile_images/1017134956357799936/vGyrsikK.jpg","View")</f>
        <v>View</v>
      </c>
    </row>
    <row r="2898" spans="1:19" ht="30">
      <c r="A2898" s="8">
        <v>43343.834317129629</v>
      </c>
      <c r="B2898" s="11" t="str">
        <f>HYPERLINK("https://twitter.com/a_miresmaeili","@a_miresmaeili")</f>
        <v>@a_miresmaeili</v>
      </c>
      <c r="C2898" s="6" t="s">
        <v>9395</v>
      </c>
      <c r="D2898" s="5" t="s">
        <v>9394</v>
      </c>
      <c r="E2898" s="9" t="str">
        <f>HYPERLINK("https://twitter.com/a_miresmaeili/status/1035550636425846784","1035550636425846784")</f>
        <v>1035550636425846784</v>
      </c>
      <c r="F2898" s="4"/>
      <c r="G2898" s="10" t="s">
        <v>9393</v>
      </c>
      <c r="H2898" s="4"/>
      <c r="I2898" s="10" t="str">
        <f>HYPERLINK("http://twitter.com/download/iphone","Twitter for iPhone")</f>
        <v>Twitter for iPhone</v>
      </c>
      <c r="J2898" s="2">
        <v>189</v>
      </c>
      <c r="K2898" s="2">
        <v>287</v>
      </c>
      <c r="L2898" s="2">
        <v>2</v>
      </c>
      <c r="M2898" s="2"/>
      <c r="N2898" s="8">
        <v>43022.390277777777</v>
      </c>
      <c r="O2898" s="4" t="s">
        <v>682</v>
      </c>
      <c r="P2898" s="3" t="s">
        <v>9392</v>
      </c>
      <c r="Q2898" s="4"/>
      <c r="R2898" s="4"/>
      <c r="S2898" s="9" t="str">
        <f>HYPERLINK("https://pbs.twimg.com/profile_images/919079492533895168/5litvR-k.jpg","View")</f>
        <v>View</v>
      </c>
    </row>
    <row r="2899" spans="1:19" ht="20">
      <c r="A2899" s="8">
        <v>43343.828576388885</v>
      </c>
      <c r="B2899" s="11" t="str">
        <f>HYPERLINK("https://twitter.com/hoosindoman","@hoosindoman")</f>
        <v>@hoosindoman</v>
      </c>
      <c r="C2899" s="6" t="s">
        <v>9391</v>
      </c>
      <c r="D2899" s="5" t="s">
        <v>9390</v>
      </c>
      <c r="E2899" s="9" t="str">
        <f>HYPERLINK("https://twitter.com/hoosindoman/status/1035548553685463043","1035548553685463043")</f>
        <v>1035548553685463043</v>
      </c>
      <c r="F2899" s="4"/>
      <c r="G2899" s="10" t="s">
        <v>9389</v>
      </c>
      <c r="H2899" s="4"/>
      <c r="I2899" s="10" t="str">
        <f>HYPERLINK("http://twitter.com/download/android","Twitter for Android")</f>
        <v>Twitter for Android</v>
      </c>
      <c r="J2899" s="2">
        <v>2325</v>
      </c>
      <c r="K2899" s="2">
        <v>2086</v>
      </c>
      <c r="L2899" s="2">
        <v>4</v>
      </c>
      <c r="M2899" s="2"/>
      <c r="N2899" s="8">
        <v>42999.781354166669</v>
      </c>
      <c r="O2899" s="4" t="s">
        <v>17</v>
      </c>
      <c r="P2899" s="3" t="s">
        <v>9388</v>
      </c>
      <c r="Q2899" s="4"/>
      <c r="R2899" s="4"/>
      <c r="S2899" s="9" t="str">
        <f>HYPERLINK("https://pbs.twimg.com/profile_images/999635746028904449/R-6bI1C2.jpg","View")</f>
        <v>View</v>
      </c>
    </row>
    <row r="2900" spans="1:19" ht="20">
      <c r="A2900" s="8">
        <v>43343.826469907406</v>
      </c>
      <c r="B2900" s="11" t="str">
        <f>HYPERLINK("https://twitter.com/Ndehghan1","@Ndehghan1")</f>
        <v>@Ndehghan1</v>
      </c>
      <c r="C2900" s="6" t="s">
        <v>9146</v>
      </c>
      <c r="D2900" s="5" t="s">
        <v>9387</v>
      </c>
      <c r="E2900" s="9" t="str">
        <f>HYPERLINK("https://twitter.com/Ndehghan1/status/1035547792549322752","1035547792549322752")</f>
        <v>1035547792549322752</v>
      </c>
      <c r="F2900" s="4"/>
      <c r="G2900" s="4"/>
      <c r="H2900" s="4"/>
      <c r="I2900" s="10" t="str">
        <f>HYPERLINK("http://twitter.com/download/android","Twitter for Android")</f>
        <v>Twitter for Android</v>
      </c>
      <c r="J2900" s="2">
        <v>203</v>
      </c>
      <c r="K2900" s="2">
        <v>187</v>
      </c>
      <c r="L2900" s="2">
        <v>3</v>
      </c>
      <c r="M2900" s="2"/>
      <c r="N2900" s="8">
        <v>42735.79850694444</v>
      </c>
      <c r="O2900" s="4" t="s">
        <v>133</v>
      </c>
      <c r="P2900" s="3" t="s">
        <v>9144</v>
      </c>
      <c r="Q2900" s="4"/>
      <c r="R2900" s="4"/>
      <c r="S2900" s="9" t="str">
        <f>HYPERLINK("https://pbs.twimg.com/profile_images/857285139176488961/lbSSd0pp.jpg","View")</f>
        <v>View</v>
      </c>
    </row>
    <row r="2901" spans="1:19" ht="20">
      <c r="A2901" s="8">
        <v>43343.824803240743</v>
      </c>
      <c r="B2901" s="11" t="str">
        <f>HYPERLINK("https://twitter.com/azi3367","@azi3367")</f>
        <v>@azi3367</v>
      </c>
      <c r="C2901" s="6" t="s">
        <v>9386</v>
      </c>
      <c r="D2901" s="5" t="s">
        <v>9385</v>
      </c>
      <c r="E2901" s="9" t="str">
        <f>HYPERLINK("https://twitter.com/azi3367/status/1035547185025298433","1035547185025298433")</f>
        <v>1035547185025298433</v>
      </c>
      <c r="F2901" s="4"/>
      <c r="G2901" s="4"/>
      <c r="H2901" s="4"/>
      <c r="I2901" s="10" t="str">
        <f>HYPERLINK("http://twitter.com/download/android","Twitter for Android")</f>
        <v>Twitter for Android</v>
      </c>
      <c r="J2901" s="2">
        <v>4115</v>
      </c>
      <c r="K2901" s="2">
        <v>2547</v>
      </c>
      <c r="L2901" s="2">
        <v>15</v>
      </c>
      <c r="M2901" s="2"/>
      <c r="N2901" s="8">
        <v>42906.762418981481</v>
      </c>
      <c r="O2901" s="4" t="s">
        <v>9384</v>
      </c>
      <c r="P2901" s="3" t="s">
        <v>9383</v>
      </c>
      <c r="Q2901" s="4"/>
      <c r="R2901" s="4"/>
      <c r="S2901" s="9" t="str">
        <f>HYPERLINK("https://pbs.twimg.com/profile_images/1006617267671531520/JZlWGh0q.jpg","View")</f>
        <v>View</v>
      </c>
    </row>
    <row r="2902" spans="1:19" ht="20">
      <c r="A2902" s="8">
        <v>43343.823321759264</v>
      </c>
      <c r="B2902" s="11" t="str">
        <f>HYPERLINK("https://twitter.com/interpol1987","@interpol1987")</f>
        <v>@interpol1987</v>
      </c>
      <c r="C2902" s="6" t="s">
        <v>9382</v>
      </c>
      <c r="D2902" s="5" t="s">
        <v>9381</v>
      </c>
      <c r="E2902" s="9" t="str">
        <f>HYPERLINK("https://twitter.com/interpol1987/status/1035546649572069377","1035546649572069377")</f>
        <v>1035546649572069377</v>
      </c>
      <c r="F2902" s="4"/>
      <c r="G2902" s="4"/>
      <c r="H2902" s="4"/>
      <c r="I2902" s="10" t="str">
        <f>HYPERLINK("http://twitter.com/download/android","Twitter for Android")</f>
        <v>Twitter for Android</v>
      </c>
      <c r="J2902" s="2">
        <v>2683</v>
      </c>
      <c r="K2902" s="2">
        <v>3181</v>
      </c>
      <c r="L2902" s="2">
        <v>2</v>
      </c>
      <c r="M2902" s="2"/>
      <c r="N2902" s="8">
        <v>42442.068773148145</v>
      </c>
      <c r="O2902" s="4" t="s">
        <v>682</v>
      </c>
      <c r="P2902" s="3" t="s">
        <v>9380</v>
      </c>
      <c r="Q2902" s="4"/>
      <c r="R2902" s="4"/>
      <c r="S2902" s="9" t="str">
        <f>HYPERLINK("https://pbs.twimg.com/profile_images/1029871965723492352/9AsHSkoz.jpg","View")</f>
        <v>View</v>
      </c>
    </row>
    <row r="2903" spans="1:19" ht="40">
      <c r="A2903" s="8">
        <v>43343.820011574076</v>
      </c>
      <c r="B2903" s="11" t="str">
        <f>HYPERLINK("https://twitter.com/aminazad61","@aminazad61")</f>
        <v>@aminazad61</v>
      </c>
      <c r="C2903" s="6" t="s">
        <v>9379</v>
      </c>
      <c r="D2903" s="5" t="s">
        <v>9378</v>
      </c>
      <c r="E2903" s="9" t="str">
        <f>HYPERLINK("https://twitter.com/aminazad61/status/1035545448252153856","1035545448252153856")</f>
        <v>1035545448252153856</v>
      </c>
      <c r="F2903" s="4"/>
      <c r="G2903" s="10" t="s">
        <v>9377</v>
      </c>
      <c r="H2903" s="4"/>
      <c r="I2903" s="10" t="str">
        <f>HYPERLINK("http://twitter.com/download/android","Twitter for Android")</f>
        <v>Twitter for Android</v>
      </c>
      <c r="J2903" s="2">
        <v>251</v>
      </c>
      <c r="K2903" s="2">
        <v>1200</v>
      </c>
      <c r="L2903" s="2">
        <v>0</v>
      </c>
      <c r="M2903" s="2"/>
      <c r="N2903" s="8">
        <v>41833.342870370368</v>
      </c>
      <c r="O2903" s="4"/>
      <c r="P2903" s="3" t="s">
        <v>9376</v>
      </c>
      <c r="Q2903" s="4"/>
      <c r="R2903" s="4"/>
      <c r="S2903" s="9" t="str">
        <f>HYPERLINK("https://pbs.twimg.com/profile_images/1035551620484935680/TeoB6GsW.jpg","View")</f>
        <v>View</v>
      </c>
    </row>
    <row r="2904" spans="1:19" ht="30">
      <c r="A2904" s="8">
        <v>43343.812928240739</v>
      </c>
      <c r="B2904" s="11" t="str">
        <f>HYPERLINK("https://twitter.com/mohandeseiran","@mohandeseiran")</f>
        <v>@mohandeseiran</v>
      </c>
      <c r="C2904" s="6" t="s">
        <v>4052</v>
      </c>
      <c r="D2904" s="5" t="s">
        <v>9375</v>
      </c>
      <c r="E2904" s="9" t="str">
        <f>HYPERLINK("https://twitter.com/mohandeseiran/status/1035542883821076480","1035542883821076480")</f>
        <v>1035542883821076480</v>
      </c>
      <c r="F2904" s="4"/>
      <c r="G2904" s="4"/>
      <c r="H2904" s="4"/>
      <c r="I2904" s="10" t="str">
        <f>HYPERLINK("http://twitter.com/download/android","Twitter for Android")</f>
        <v>Twitter for Android</v>
      </c>
      <c r="J2904" s="2">
        <v>2259</v>
      </c>
      <c r="K2904" s="2">
        <v>2211</v>
      </c>
      <c r="L2904" s="2">
        <v>4</v>
      </c>
      <c r="M2904" s="2"/>
      <c r="N2904" s="8">
        <v>42963.15424768519</v>
      </c>
      <c r="O2904" s="4" t="s">
        <v>34</v>
      </c>
      <c r="P2904" s="3" t="s">
        <v>4050</v>
      </c>
      <c r="Q2904" s="4"/>
      <c r="R2904" s="4"/>
      <c r="S2904" s="9" t="str">
        <f>HYPERLINK("https://pbs.twimg.com/profile_images/1035075420461379585/AhBGiJJr.jpg","View")</f>
        <v>View</v>
      </c>
    </row>
    <row r="2905" spans="1:19" ht="40">
      <c r="A2905" s="8">
        <v>43343.806435185186</v>
      </c>
      <c r="B2905" s="11" t="str">
        <f>HYPERLINK("https://twitter.com/GolestanT","@GolestanT")</f>
        <v>@GolestanT</v>
      </c>
      <c r="C2905" s="6" t="s">
        <v>9374</v>
      </c>
      <c r="D2905" s="5" t="s">
        <v>9373</v>
      </c>
      <c r="E2905" s="9" t="str">
        <f>HYPERLINK("https://twitter.com/GolestanT/status/1035540531840016384","1035540531840016384")</f>
        <v>1035540531840016384</v>
      </c>
      <c r="F2905" s="4"/>
      <c r="G2905" s="10" t="s">
        <v>9372</v>
      </c>
      <c r="H2905" s="4"/>
      <c r="I2905" s="10" t="str">
        <f>HYPERLINK("http://twitter.com/download/android","Twitter for Android")</f>
        <v>Twitter for Android</v>
      </c>
      <c r="J2905" s="2">
        <v>2309</v>
      </c>
      <c r="K2905" s="2">
        <v>1893</v>
      </c>
      <c r="L2905" s="2">
        <v>1</v>
      </c>
      <c r="M2905" s="2"/>
      <c r="N2905" s="8">
        <v>43169.388101851851</v>
      </c>
      <c r="O2905" s="4"/>
      <c r="P2905" s="3"/>
      <c r="Q2905" s="4"/>
      <c r="R2905" s="4"/>
      <c r="S2905" s="9" t="str">
        <f>HYPERLINK("https://pbs.twimg.com/profile_images/972374070456147969/opL5vezG.jpg","View")</f>
        <v>View</v>
      </c>
    </row>
    <row r="2906" spans="1:19" ht="40">
      <c r="A2906" s="8">
        <v>43343.803506944445</v>
      </c>
      <c r="B2906" s="11" t="str">
        <f>HYPERLINK("https://twitter.com/eliassmaleki","@eliassmaleki")</f>
        <v>@eliassmaleki</v>
      </c>
      <c r="C2906" s="6" t="s">
        <v>4509</v>
      </c>
      <c r="D2906" s="5" t="s">
        <v>9371</v>
      </c>
      <c r="E2906" s="9" t="str">
        <f>HYPERLINK("https://twitter.com/eliassmaleki/status/1035539468487254017","1035539468487254017")</f>
        <v>1035539468487254017</v>
      </c>
      <c r="F2906" s="4"/>
      <c r="G2906" s="4"/>
      <c r="H2906" s="4"/>
      <c r="I2906" s="10" t="str">
        <f>HYPERLINK("http://twitter.com/download/android","Twitter for Android")</f>
        <v>Twitter for Android</v>
      </c>
      <c r="J2906" s="2">
        <v>900</v>
      </c>
      <c r="K2906" s="2">
        <v>1208</v>
      </c>
      <c r="L2906" s="2">
        <v>1</v>
      </c>
      <c r="M2906" s="2"/>
      <c r="N2906" s="8">
        <v>42963.989745370374</v>
      </c>
      <c r="O2906" s="4" t="s">
        <v>4506</v>
      </c>
      <c r="P2906" s="3" t="s">
        <v>4505</v>
      </c>
      <c r="Q2906" s="10" t="s">
        <v>4504</v>
      </c>
      <c r="R2906" s="4"/>
      <c r="S2906" s="9" t="str">
        <f>HYPERLINK("https://pbs.twimg.com/profile_images/961204023889092608/CBVu_iWH.jpg","View")</f>
        <v>View</v>
      </c>
    </row>
    <row r="2907" spans="1:19" ht="30">
      <c r="A2907" s="8">
        <v>43343.802233796298</v>
      </c>
      <c r="B2907" s="11" t="str">
        <f>HYPERLINK("https://twitter.com/MehranRomena","@MehranRomena")</f>
        <v>@MehranRomena</v>
      </c>
      <c r="C2907" s="6" t="s">
        <v>8214</v>
      </c>
      <c r="D2907" s="5" t="s">
        <v>9370</v>
      </c>
      <c r="E2907" s="9" t="str">
        <f>HYPERLINK("https://twitter.com/MehranRomena/status/1035539005889302528","1035539005889302528")</f>
        <v>1035539005889302528</v>
      </c>
      <c r="F2907" s="4"/>
      <c r="G2907" s="4"/>
      <c r="H2907" s="4"/>
      <c r="I2907" s="10" t="str">
        <f>HYPERLINK("http://twitter.com/download/android","Twitter for Android")</f>
        <v>Twitter for Android</v>
      </c>
      <c r="J2907" s="2">
        <v>2896</v>
      </c>
      <c r="K2907" s="2">
        <v>2508</v>
      </c>
      <c r="L2907" s="2">
        <v>3</v>
      </c>
      <c r="M2907" s="2"/>
      <c r="N2907" s="8">
        <v>43115.818368055552</v>
      </c>
      <c r="O2907" s="4" t="s">
        <v>17</v>
      </c>
      <c r="P2907" s="3" t="s">
        <v>8212</v>
      </c>
      <c r="Q2907" s="4"/>
      <c r="R2907" s="4"/>
      <c r="S2907" s="9" t="str">
        <f>HYPERLINK("https://pbs.twimg.com/profile_images/1031230985231327235/VlrunTC5.jpg","View")</f>
        <v>View</v>
      </c>
    </row>
    <row r="2908" spans="1:19" ht="12.5">
      <c r="A2908" s="8">
        <v>43343.801701388889</v>
      </c>
      <c r="B2908" s="11" t="str">
        <f>HYPERLINK("https://twitter.com/jf_farshad","@jf_farshad")</f>
        <v>@jf_farshad</v>
      </c>
      <c r="C2908" s="6" t="s">
        <v>9369</v>
      </c>
      <c r="D2908" s="5" t="s">
        <v>9368</v>
      </c>
      <c r="E2908" s="9" t="str">
        <f>HYPERLINK("https://twitter.com/jf_farshad/status/1035538813249089538","1035538813249089538")</f>
        <v>1035538813249089538</v>
      </c>
      <c r="F2908" s="4"/>
      <c r="G2908" s="10" t="s">
        <v>9367</v>
      </c>
      <c r="H2908" s="4"/>
      <c r="I2908" s="10" t="str">
        <f>HYPERLINK("http://twitter.com/download/android","Twitter for Android")</f>
        <v>Twitter for Android</v>
      </c>
      <c r="J2908" s="2">
        <v>44</v>
      </c>
      <c r="K2908" s="2">
        <v>63</v>
      </c>
      <c r="L2908" s="2">
        <v>0</v>
      </c>
      <c r="M2908" s="2"/>
      <c r="N2908" s="8">
        <v>43276.971319444448</v>
      </c>
      <c r="O2908" s="4"/>
      <c r="P2908" s="3" t="s">
        <v>9366</v>
      </c>
      <c r="Q2908" s="4"/>
      <c r="R2908" s="4"/>
      <c r="S2908" s="9" t="str">
        <f>HYPERLINK("https://pbs.twimg.com/profile_images/1014207387526410240/aDCH1HJ7.jpg","View")</f>
        <v>View</v>
      </c>
    </row>
    <row r="2909" spans="1:19" ht="30">
      <c r="A2909" s="8">
        <v>43343.801006944443</v>
      </c>
      <c r="B2909" s="11" t="str">
        <f>HYPERLINK("https://twitter.com/SDonbalan","@SDonbalan")</f>
        <v>@SDonbalan</v>
      </c>
      <c r="C2909" s="6" t="s">
        <v>9365</v>
      </c>
      <c r="D2909" s="5" t="s">
        <v>9364</v>
      </c>
      <c r="E2909" s="9" t="str">
        <f>HYPERLINK("https://twitter.com/SDonbalan/status/1035538563625086976","1035538563625086976")</f>
        <v>1035538563625086976</v>
      </c>
      <c r="F2909" s="4"/>
      <c r="G2909" s="4"/>
      <c r="H2909" s="4"/>
      <c r="I2909" s="10" t="str">
        <f>HYPERLINK("http://twitter.com/download/android","Twitter for Android")</f>
        <v>Twitter for Android</v>
      </c>
      <c r="J2909" s="2">
        <v>42</v>
      </c>
      <c r="K2909" s="2">
        <v>105</v>
      </c>
      <c r="L2909" s="2">
        <v>0</v>
      </c>
      <c r="M2909" s="2"/>
      <c r="N2909" s="8">
        <v>43310.158888888887</v>
      </c>
      <c r="O2909" s="4" t="s">
        <v>2250</v>
      </c>
      <c r="P2909" s="3" t="s">
        <v>9363</v>
      </c>
      <c r="Q2909" s="4"/>
      <c r="R2909" s="4"/>
      <c r="S2909" s="9" t="str">
        <f>HYPERLINK("https://pbs.twimg.com/profile_images/1023349123137904641/js9SgSTO.jpg","View")</f>
        <v>View</v>
      </c>
    </row>
    <row r="2910" spans="1:19" ht="40">
      <c r="A2910" s="8">
        <v>43343.799837962964</v>
      </c>
      <c r="B2910" s="11" t="str">
        <f>HYPERLINK("https://twitter.com/sabaghi_as","@sabaghi_as")</f>
        <v>@sabaghi_as</v>
      </c>
      <c r="C2910" s="6" t="s">
        <v>9221</v>
      </c>
      <c r="D2910" s="5" t="s">
        <v>9362</v>
      </c>
      <c r="E2910" s="9" t="str">
        <f>HYPERLINK("https://twitter.com/sabaghi_as/status/1035538138918252544","1035538138918252544")</f>
        <v>1035538138918252544</v>
      </c>
      <c r="F2910" s="4"/>
      <c r="G2910" s="4"/>
      <c r="H2910" s="4"/>
      <c r="I2910" s="10" t="str">
        <f>HYPERLINK("http://twitter.com","Twitter Web Client")</f>
        <v>Twitter Web Client</v>
      </c>
      <c r="J2910" s="2">
        <v>152</v>
      </c>
      <c r="K2910" s="2">
        <v>1242</v>
      </c>
      <c r="L2910" s="2">
        <v>0</v>
      </c>
      <c r="M2910" s="2"/>
      <c r="N2910" s="8">
        <v>42112.987986111111</v>
      </c>
      <c r="O2910" s="4" t="s">
        <v>34</v>
      </c>
      <c r="P2910" s="3" t="s">
        <v>9219</v>
      </c>
      <c r="Q2910" s="10" t="s">
        <v>9218</v>
      </c>
      <c r="R2910" s="4"/>
      <c r="S2910" s="9" t="str">
        <f>HYPERLINK("https://pbs.twimg.com/profile_images/955729061376155648/BNxcGkLy.jpg","View")</f>
        <v>View</v>
      </c>
    </row>
    <row r="2911" spans="1:19" ht="80">
      <c r="A2911" s="8">
        <v>43343.796076388884</v>
      </c>
      <c r="B2911" s="11" t="str">
        <f>HYPERLINK("https://twitter.com/nima59","@nima59")</f>
        <v>@nima59</v>
      </c>
      <c r="C2911" s="6" t="s">
        <v>8185</v>
      </c>
      <c r="D2911" s="5" t="s">
        <v>9361</v>
      </c>
      <c r="E2911" s="9" t="str">
        <f>HYPERLINK("https://twitter.com/nima59/status/1035536775685525505","1035536775685525505")</f>
        <v>1035536775685525505</v>
      </c>
      <c r="F2911" s="10" t="s">
        <v>9360</v>
      </c>
      <c r="G2911" s="10" t="s">
        <v>9359</v>
      </c>
      <c r="H2911" s="4"/>
      <c r="I2911" s="10" t="str">
        <f>HYPERLINK("http://twitter.com","Twitter Web Client")</f>
        <v>Twitter Web Client</v>
      </c>
      <c r="J2911" s="2">
        <v>394</v>
      </c>
      <c r="K2911" s="2">
        <v>404</v>
      </c>
      <c r="L2911" s="2">
        <v>7</v>
      </c>
      <c r="M2911" s="2"/>
      <c r="N2911" s="8">
        <v>39555.42659722222</v>
      </c>
      <c r="O2911" s="4" t="s">
        <v>133</v>
      </c>
      <c r="P2911" s="3" t="s">
        <v>8182</v>
      </c>
      <c r="Q2911" s="4"/>
      <c r="R2911" s="4"/>
      <c r="S2911" s="9" t="str">
        <f>HYPERLINK("https://pbs.twimg.com/profile_images/874877026708205568/-HSyo0SC.jpg","View")</f>
        <v>View</v>
      </c>
    </row>
    <row r="2912" spans="1:19" ht="40">
      <c r="A2912" s="8">
        <v>43343.794247685189</v>
      </c>
      <c r="B2912" s="11" t="str">
        <f>HYPERLINK("https://twitter.com/golbaff","@golbaff")</f>
        <v>@golbaff</v>
      </c>
      <c r="C2912" s="6" t="s">
        <v>9358</v>
      </c>
      <c r="D2912" s="5" t="s">
        <v>9357</v>
      </c>
      <c r="E2912" s="9" t="str">
        <f>HYPERLINK("https://twitter.com/golbaff/status/1035536114529042432","1035536114529042432")</f>
        <v>1035536114529042432</v>
      </c>
      <c r="F2912" s="4"/>
      <c r="G2912" s="4"/>
      <c r="H2912" s="4"/>
      <c r="I2912" s="10" t="str">
        <f>HYPERLINK("https://about.twitter.com/products/tweetdeck","TweetDeck")</f>
        <v>TweetDeck</v>
      </c>
      <c r="J2912" s="2">
        <v>985</v>
      </c>
      <c r="K2912" s="2">
        <v>149</v>
      </c>
      <c r="L2912" s="2">
        <v>11</v>
      </c>
      <c r="M2912" s="2"/>
      <c r="N2912" s="8">
        <v>40865.6950462963</v>
      </c>
      <c r="O2912" s="4" t="s">
        <v>34</v>
      </c>
      <c r="P2912" s="3" t="s">
        <v>1434</v>
      </c>
      <c r="Q2912" s="4"/>
      <c r="R2912" s="4"/>
      <c r="S2912" s="9" t="str">
        <f>HYPERLINK("https://pbs.twimg.com/profile_images/989882275541274624/ltt7iKSK.jpg","View")</f>
        <v>View</v>
      </c>
    </row>
    <row r="2913" spans="1:19" ht="40">
      <c r="A2913" s="8">
        <v>43343.792997685188</v>
      </c>
      <c r="B2913" s="11" t="str">
        <f>HYPERLINK("https://twitter.com/zalzalak88","@zalzalak88")</f>
        <v>@zalzalak88</v>
      </c>
      <c r="C2913" s="6" t="s">
        <v>9356</v>
      </c>
      <c r="D2913" s="5" t="s">
        <v>9355</v>
      </c>
      <c r="E2913" s="9" t="str">
        <f>HYPERLINK("https://twitter.com/zalzalak88/status/1035535660512407553","1035535660512407553")</f>
        <v>1035535660512407553</v>
      </c>
      <c r="F2913" s="4"/>
      <c r="G2913" s="10" t="s">
        <v>9354</v>
      </c>
      <c r="H2913" s="4"/>
      <c r="I2913" s="10" t="str">
        <f>HYPERLINK("http://twitter.com","Twitter Web Client")</f>
        <v>Twitter Web Client</v>
      </c>
      <c r="J2913" s="2">
        <v>695</v>
      </c>
      <c r="K2913" s="2">
        <v>843</v>
      </c>
      <c r="L2913" s="2">
        <v>3</v>
      </c>
      <c r="M2913" s="2"/>
      <c r="N2913" s="8">
        <v>40349.90892361111</v>
      </c>
      <c r="O2913" s="4"/>
      <c r="P2913" s="3"/>
      <c r="Q2913" s="4"/>
      <c r="R2913" s="4"/>
      <c r="S2913" s="9" t="str">
        <f>HYPERLINK("https://pbs.twimg.com/profile_images/1117132249/Mazeh.jpg","View")</f>
        <v>View</v>
      </c>
    </row>
    <row r="2914" spans="1:19" ht="30">
      <c r="A2914" s="8">
        <v>43343.788831018523</v>
      </c>
      <c r="B2914" s="11" t="str">
        <f>HYPERLINK("https://twitter.com/ponezss","@ponezss")</f>
        <v>@ponezss</v>
      </c>
      <c r="C2914" s="6" t="s">
        <v>1011</v>
      </c>
      <c r="D2914" s="5" t="s">
        <v>9353</v>
      </c>
      <c r="E2914" s="9" t="str">
        <f>HYPERLINK("https://twitter.com/ponezss/status/1035534151443771392","1035534151443771392")</f>
        <v>1035534151443771392</v>
      </c>
      <c r="F2914" s="4"/>
      <c r="G2914" s="10" t="s">
        <v>9352</v>
      </c>
      <c r="H2914" s="4"/>
      <c r="I2914" s="10" t="str">
        <f>HYPERLINK("http://twitter.com/download/android","Twitter for Android")</f>
        <v>Twitter for Android</v>
      </c>
      <c r="J2914" s="2">
        <v>1352</v>
      </c>
      <c r="K2914" s="2">
        <v>692</v>
      </c>
      <c r="L2914" s="2">
        <v>1</v>
      </c>
      <c r="M2914" s="2"/>
      <c r="N2914" s="8">
        <v>42876.615879629629</v>
      </c>
      <c r="O2914" s="4" t="s">
        <v>17</v>
      </c>
      <c r="P2914" s="3" t="s">
        <v>1009</v>
      </c>
      <c r="Q2914" s="4"/>
      <c r="R2914" s="4"/>
      <c r="S2914" s="9" t="str">
        <f>HYPERLINK("https://pbs.twimg.com/profile_images/998335956628357120/wWcDCWln.jpg","View")</f>
        <v>View</v>
      </c>
    </row>
    <row r="2915" spans="1:19" ht="40">
      <c r="A2915" s="8">
        <v>43343.788171296299</v>
      </c>
      <c r="B2915" s="11" t="str">
        <f>HYPERLINK("https://twitter.com/aIc3aRNcT5lyDDT","@aIc3aRNcT5lyDDT")</f>
        <v>@aIc3aRNcT5lyDDT</v>
      </c>
      <c r="C2915" s="6" t="s">
        <v>9351</v>
      </c>
      <c r="D2915" s="5" t="s">
        <v>9350</v>
      </c>
      <c r="E2915" s="9" t="str">
        <f>HYPERLINK("https://twitter.com/aIc3aRNcT5lyDDT/status/1035533912557150208","1035533912557150208")</f>
        <v>1035533912557150208</v>
      </c>
      <c r="F2915" s="4"/>
      <c r="G2915" s="10" t="s">
        <v>9349</v>
      </c>
      <c r="H2915" s="4"/>
      <c r="I2915" s="10" t="str">
        <f>HYPERLINK("http://twitter.com/download/android","Twitter for Android")</f>
        <v>Twitter for Android</v>
      </c>
      <c r="J2915" s="2">
        <v>420</v>
      </c>
      <c r="K2915" s="2">
        <v>593</v>
      </c>
      <c r="L2915" s="2">
        <v>1</v>
      </c>
      <c r="M2915" s="2"/>
      <c r="N2915" s="8">
        <v>43330.911817129629</v>
      </c>
      <c r="O2915" s="4" t="s">
        <v>9348</v>
      </c>
      <c r="P2915" s="3" t="s">
        <v>9347</v>
      </c>
      <c r="Q2915" s="4"/>
      <c r="R2915" s="4"/>
      <c r="S2915" s="9" t="str">
        <f>HYPERLINK("https://pbs.twimg.com/profile_images/1030868685722976256/5fEs4QOf.jpg","View")</f>
        <v>View</v>
      </c>
    </row>
    <row r="2916" spans="1:19" ht="20">
      <c r="A2916" s="8">
        <v>43343.786504629628</v>
      </c>
      <c r="B2916" s="11" t="str">
        <f>HYPERLINK("https://twitter.com/Hamed_i_z","@Hamed_i_z")</f>
        <v>@Hamed_i_z</v>
      </c>
      <c r="C2916" s="6" t="s">
        <v>9343</v>
      </c>
      <c r="D2916" s="5" t="s">
        <v>9346</v>
      </c>
      <c r="E2916" s="9" t="str">
        <f>HYPERLINK("https://twitter.com/Hamed_i_z/status/1035533307667050496","1035533307667050496")</f>
        <v>1035533307667050496</v>
      </c>
      <c r="F2916" s="4"/>
      <c r="G2916" s="10" t="s">
        <v>9345</v>
      </c>
      <c r="H2916" s="4"/>
      <c r="I2916" s="10" t="str">
        <f>HYPERLINK("http://twitter.com/download/android","Twitter for Android")</f>
        <v>Twitter for Android</v>
      </c>
      <c r="J2916" s="2">
        <v>40</v>
      </c>
      <c r="K2916" s="2">
        <v>62</v>
      </c>
      <c r="L2916" s="2">
        <v>0</v>
      </c>
      <c r="M2916" s="2"/>
      <c r="N2916" s="8">
        <v>43265.903958333336</v>
      </c>
      <c r="O2916" s="4"/>
      <c r="P2916" s="3" t="s">
        <v>9340</v>
      </c>
      <c r="Q2916" s="4"/>
      <c r="R2916" s="4"/>
      <c r="S2916" s="9" t="str">
        <f>HYPERLINK("https://pbs.twimg.com/profile_images/1033390196769742848/9YHDkpuo.jpg","View")</f>
        <v>View</v>
      </c>
    </row>
    <row r="2917" spans="1:19" ht="20">
      <c r="A2917" s="8">
        <v>43343.784236111111</v>
      </c>
      <c r="B2917" s="11" t="str">
        <f>HYPERLINK("https://twitter.com/Hamed_i_z","@Hamed_i_z")</f>
        <v>@Hamed_i_z</v>
      </c>
      <c r="C2917" s="6" t="s">
        <v>9343</v>
      </c>
      <c r="D2917" s="5" t="s">
        <v>9342</v>
      </c>
      <c r="E2917" s="9" t="str">
        <f>HYPERLINK("https://twitter.com/Hamed_i_z/status/1035532486694985728","1035532486694985728")</f>
        <v>1035532486694985728</v>
      </c>
      <c r="F2917" s="4"/>
      <c r="G2917" s="10" t="s">
        <v>9344</v>
      </c>
      <c r="H2917" s="4"/>
      <c r="I2917" s="10" t="str">
        <f>HYPERLINK("http://twitter.com/download/android","Twitter for Android")</f>
        <v>Twitter for Android</v>
      </c>
      <c r="J2917" s="2">
        <v>40</v>
      </c>
      <c r="K2917" s="2">
        <v>62</v>
      </c>
      <c r="L2917" s="2">
        <v>0</v>
      </c>
      <c r="M2917" s="2"/>
      <c r="N2917" s="8">
        <v>43265.903958333336</v>
      </c>
      <c r="O2917" s="4"/>
      <c r="P2917" s="3" t="s">
        <v>9340</v>
      </c>
      <c r="Q2917" s="4"/>
      <c r="R2917" s="4"/>
      <c r="S2917" s="9" t="str">
        <f>HYPERLINK("https://pbs.twimg.com/profile_images/1033390196769742848/9YHDkpuo.jpg","View")</f>
        <v>View</v>
      </c>
    </row>
    <row r="2918" spans="1:19" ht="20">
      <c r="A2918" s="8">
        <v>43343.782349537039</v>
      </c>
      <c r="B2918" s="11" t="str">
        <f>HYPERLINK("https://twitter.com/Hamed_i_z","@Hamed_i_z")</f>
        <v>@Hamed_i_z</v>
      </c>
      <c r="C2918" s="6" t="s">
        <v>9343</v>
      </c>
      <c r="D2918" s="5" t="s">
        <v>9342</v>
      </c>
      <c r="E2918" s="9" t="str">
        <f>HYPERLINK("https://twitter.com/Hamed_i_z/status/1035531803296129024","1035531803296129024")</f>
        <v>1035531803296129024</v>
      </c>
      <c r="F2918" s="4"/>
      <c r="G2918" s="10" t="s">
        <v>9341</v>
      </c>
      <c r="H2918" s="4"/>
      <c r="I2918" s="10" t="str">
        <f>HYPERLINK("http://twitter.com/download/android","Twitter for Android")</f>
        <v>Twitter for Android</v>
      </c>
      <c r="J2918" s="2">
        <v>40</v>
      </c>
      <c r="K2918" s="2">
        <v>62</v>
      </c>
      <c r="L2918" s="2">
        <v>0</v>
      </c>
      <c r="M2918" s="2"/>
      <c r="N2918" s="8">
        <v>43265.903958333336</v>
      </c>
      <c r="O2918" s="4"/>
      <c r="P2918" s="3" t="s">
        <v>9340</v>
      </c>
      <c r="Q2918" s="4"/>
      <c r="R2918" s="4"/>
      <c r="S2918" s="9" t="str">
        <f>HYPERLINK("https://pbs.twimg.com/profile_images/1033390196769742848/9YHDkpuo.jpg","View")</f>
        <v>View</v>
      </c>
    </row>
    <row r="2919" spans="1:19" ht="30">
      <c r="A2919" s="8">
        <v>43343.776805555557</v>
      </c>
      <c r="B2919" s="11" t="str">
        <f>HYPERLINK("https://twitter.com/pakeshadiTV","@pakeshadiTV")</f>
        <v>@pakeshadiTV</v>
      </c>
      <c r="C2919" s="6" t="s">
        <v>7964</v>
      </c>
      <c r="D2919" s="5" t="s">
        <v>9339</v>
      </c>
      <c r="E2919" s="9" t="str">
        <f>HYPERLINK("https://twitter.com/pakeshadiTV/status/1035529790944686082","1035529790944686082")</f>
        <v>1035529790944686082</v>
      </c>
      <c r="F2919" s="10" t="s">
        <v>9338</v>
      </c>
      <c r="G2919" s="4"/>
      <c r="H2919" s="4"/>
      <c r="I2919" s="10" t="str">
        <f>HYPERLINK("http://www.facebook.com/twitter","Facebook")</f>
        <v>Facebook</v>
      </c>
      <c r="J2919" s="2">
        <v>2630</v>
      </c>
      <c r="K2919" s="2">
        <v>3</v>
      </c>
      <c r="L2919" s="2">
        <v>42</v>
      </c>
      <c r="M2919" s="2"/>
      <c r="N2919" s="8">
        <v>40543.255659722221</v>
      </c>
      <c r="O2919" s="4"/>
      <c r="P2919" s="3" t="s">
        <v>7961</v>
      </c>
      <c r="Q2919" s="10" t="s">
        <v>7960</v>
      </c>
      <c r="R2919" s="4"/>
      <c r="S2919" s="9" t="str">
        <f>HYPERLINK("https://pbs.twimg.com/profile_images/839142933857173504/a3zXtabk.jpg","View")</f>
        <v>View</v>
      </c>
    </row>
    <row r="2920" spans="1:19" ht="30">
      <c r="A2920" s="8">
        <v>43343.775289351848</v>
      </c>
      <c r="B2920" s="11" t="str">
        <f>HYPERLINK("https://twitter.com/ehsannamazizade","@ehsannamazizade")</f>
        <v>@ehsannamazizade</v>
      </c>
      <c r="C2920" s="6" t="s">
        <v>4194</v>
      </c>
      <c r="D2920" s="5" t="s">
        <v>9337</v>
      </c>
      <c r="E2920" s="9" t="str">
        <f>HYPERLINK("https://twitter.com/ehsannamazizade/status/1035529241931206657","1035529241931206657")</f>
        <v>1035529241931206657</v>
      </c>
      <c r="F2920" s="4"/>
      <c r="G2920" s="4"/>
      <c r="H2920" s="4"/>
      <c r="I2920" s="10" t="str">
        <f>HYPERLINK("http://twitter.com/download/android","Twitter for Android")</f>
        <v>Twitter for Android</v>
      </c>
      <c r="J2920" s="2">
        <v>70</v>
      </c>
      <c r="K2920" s="2">
        <v>105</v>
      </c>
      <c r="L2920" s="2">
        <v>1</v>
      </c>
      <c r="M2920" s="2"/>
      <c r="N2920" s="8">
        <v>43316.393483796295</v>
      </c>
      <c r="O2920" s="4"/>
      <c r="P2920" s="3" t="s">
        <v>4192</v>
      </c>
      <c r="Q2920" s="4"/>
      <c r="R2920" s="4"/>
      <c r="S2920" s="9" t="str">
        <f>HYPERLINK("https://pbs.twimg.com/profile_images/1025608533218394112/9UxVLU9o.jpg","View")</f>
        <v>View</v>
      </c>
    </row>
    <row r="2921" spans="1:19" ht="40">
      <c r="A2921" s="8">
        <v>43343.773900462962</v>
      </c>
      <c r="B2921" s="11" t="str">
        <f>HYPERLINK("https://twitter.com/ebnolzeinab","@ebnolzeinab")</f>
        <v>@ebnolzeinab</v>
      </c>
      <c r="C2921" s="6" t="s">
        <v>9336</v>
      </c>
      <c r="D2921" s="5" t="s">
        <v>9335</v>
      </c>
      <c r="E2921" s="9" t="str">
        <f>HYPERLINK("https://twitter.com/ebnolzeinab/status/1035528741877886976","1035528741877886976")</f>
        <v>1035528741877886976</v>
      </c>
      <c r="F2921" s="4"/>
      <c r="G2921" s="4"/>
      <c r="H2921" s="4"/>
      <c r="I2921" s="10" t="str">
        <f>HYPERLINK("http://twitter.com/download/iphone","Twitter for iPhone")</f>
        <v>Twitter for iPhone</v>
      </c>
      <c r="J2921" s="2">
        <v>1334</v>
      </c>
      <c r="K2921" s="2">
        <v>863</v>
      </c>
      <c r="L2921" s="2">
        <v>2</v>
      </c>
      <c r="M2921" s="2"/>
      <c r="N2921" s="8">
        <v>42846.566284722227</v>
      </c>
      <c r="O2921" s="4" t="s">
        <v>34</v>
      </c>
      <c r="P2921" s="3" t="s">
        <v>9334</v>
      </c>
      <c r="Q2921" s="4"/>
      <c r="R2921" s="4"/>
      <c r="S2921" s="9" t="str">
        <f>HYPERLINK("https://pbs.twimg.com/profile_images/1014613651066585088/VTUjMY83.jpg","View")</f>
        <v>View</v>
      </c>
    </row>
    <row r="2922" spans="1:19" ht="30">
      <c r="A2922" s="8">
        <v>43343.772418981476</v>
      </c>
      <c r="B2922" s="11" t="str">
        <f>HYPERLINK("https://twitter.com/sabaghi_as","@sabaghi_as")</f>
        <v>@sabaghi_as</v>
      </c>
      <c r="C2922" s="6" t="s">
        <v>9221</v>
      </c>
      <c r="D2922" s="5" t="s">
        <v>9333</v>
      </c>
      <c r="E2922" s="9" t="str">
        <f>HYPERLINK("https://twitter.com/sabaghi_as/status/1035528201848737793","1035528201848737793")</f>
        <v>1035528201848737793</v>
      </c>
      <c r="F2922" s="4"/>
      <c r="G2922" s="4"/>
      <c r="H2922" s="4"/>
      <c r="I2922" s="10" t="str">
        <f>HYPERLINK("http://twitter.com","Twitter Web Client")</f>
        <v>Twitter Web Client</v>
      </c>
      <c r="J2922" s="2">
        <v>152</v>
      </c>
      <c r="K2922" s="2">
        <v>1242</v>
      </c>
      <c r="L2922" s="2">
        <v>0</v>
      </c>
      <c r="M2922" s="2"/>
      <c r="N2922" s="8">
        <v>42112.987986111111</v>
      </c>
      <c r="O2922" s="4" t="s">
        <v>34</v>
      </c>
      <c r="P2922" s="3" t="s">
        <v>9219</v>
      </c>
      <c r="Q2922" s="10" t="s">
        <v>9218</v>
      </c>
      <c r="R2922" s="4"/>
      <c r="S2922" s="9" t="str">
        <f>HYPERLINK("https://pbs.twimg.com/profile_images/955729061376155648/BNxcGkLy.jpg","View")</f>
        <v>View</v>
      </c>
    </row>
    <row r="2923" spans="1:19" ht="20">
      <c r="A2923" s="8">
        <v>43343.76961805555</v>
      </c>
      <c r="B2923" s="11" t="str">
        <f>HYPERLINK("https://twitter.com/ali110mirali110","@ali110mirali110")</f>
        <v>@ali110mirali110</v>
      </c>
      <c r="C2923" s="6" t="s">
        <v>9332</v>
      </c>
      <c r="D2923" s="5" t="s">
        <v>9331</v>
      </c>
      <c r="E2923" s="9" t="str">
        <f>HYPERLINK("https://twitter.com/ali110mirali110/status/1035527187523350531","1035527187523350531")</f>
        <v>1035527187523350531</v>
      </c>
      <c r="F2923" s="4"/>
      <c r="G2923" s="4"/>
      <c r="H2923" s="4"/>
      <c r="I2923" s="10" t="str">
        <f>HYPERLINK("http://twitter.com/download/android","Twitter for Android")</f>
        <v>Twitter for Android</v>
      </c>
      <c r="J2923" s="2">
        <v>3</v>
      </c>
      <c r="K2923" s="2">
        <v>4</v>
      </c>
      <c r="L2923" s="2">
        <v>0</v>
      </c>
      <c r="M2923" s="2"/>
      <c r="N2923" s="8">
        <v>43110.882743055554</v>
      </c>
      <c r="O2923" s="4"/>
      <c r="P2923" s="3"/>
      <c r="Q2923" s="4"/>
      <c r="R2923" s="4"/>
      <c r="S2923" s="9" t="str">
        <f>HYPERLINK("https://pbs.twimg.com/profile_images/1035524152814460929/iu8FXP-K.jpg","View")</f>
        <v>View</v>
      </c>
    </row>
    <row r="2924" spans="1:19" ht="30">
      <c r="A2924" s="8">
        <v>43343.768645833334</v>
      </c>
      <c r="B2924" s="11" t="str">
        <f>HYPERLINK("https://twitter.com/bardiya2000","@bardiya2000")</f>
        <v>@bardiya2000</v>
      </c>
      <c r="C2924" s="6" t="s">
        <v>6602</v>
      </c>
      <c r="D2924" s="5" t="s">
        <v>9330</v>
      </c>
      <c r="E2924" s="9" t="str">
        <f>HYPERLINK("https://twitter.com/bardiya2000/status/1035526835659055104","1035526835659055104")</f>
        <v>1035526835659055104</v>
      </c>
      <c r="F2924" s="4"/>
      <c r="G2924" s="4"/>
      <c r="H2924" s="4"/>
      <c r="I2924" s="10" t="str">
        <f>HYPERLINK("http://twitter.com/download/android","Twitter for Android")</f>
        <v>Twitter for Android</v>
      </c>
      <c r="J2924" s="2">
        <v>11098</v>
      </c>
      <c r="K2924" s="2">
        <v>12109</v>
      </c>
      <c r="L2924" s="2">
        <v>5</v>
      </c>
      <c r="M2924" s="2"/>
      <c r="N2924" s="8">
        <v>43130.489201388889</v>
      </c>
      <c r="O2924" s="4" t="s">
        <v>104</v>
      </c>
      <c r="P2924" s="3" t="s">
        <v>6600</v>
      </c>
      <c r="Q2924" s="4"/>
      <c r="R2924" s="4"/>
      <c r="S2924" s="9" t="str">
        <f>HYPERLINK("https://pbs.twimg.com/profile_images/959171152081014784/1feOJkR-.jpg","View")</f>
        <v>View</v>
      </c>
    </row>
    <row r="2925" spans="1:19" ht="40">
      <c r="A2925" s="8">
        <v>43343.763738425929</v>
      </c>
      <c r="B2925" s="11" t="str">
        <f>HYPERLINK("https://twitter.com/daneshjoo_12","@daneshjoo_12")</f>
        <v>@daneshjoo_12</v>
      </c>
      <c r="C2925" s="6" t="s">
        <v>7151</v>
      </c>
      <c r="D2925" s="5" t="s">
        <v>9329</v>
      </c>
      <c r="E2925" s="9" t="str">
        <f>HYPERLINK("https://twitter.com/daneshjoo_12/status/1035525058985381889","1035525058985381889")</f>
        <v>1035525058985381889</v>
      </c>
      <c r="F2925" s="4"/>
      <c r="G2925" s="4"/>
      <c r="H2925" s="4"/>
      <c r="I2925" s="10" t="str">
        <f>HYPERLINK("http://twitter.com/download/android","Twitter for Android")</f>
        <v>Twitter for Android</v>
      </c>
      <c r="J2925" s="2">
        <v>4749</v>
      </c>
      <c r="K2925" s="2">
        <v>5032</v>
      </c>
      <c r="L2925" s="2">
        <v>13</v>
      </c>
      <c r="M2925" s="2"/>
      <c r="N2925" s="8">
        <v>42818.541597222225</v>
      </c>
      <c r="O2925" s="4" t="s">
        <v>25</v>
      </c>
      <c r="P2925" s="3" t="s">
        <v>8947</v>
      </c>
      <c r="Q2925" s="4"/>
      <c r="R2925" s="4"/>
      <c r="S2925" s="9" t="str">
        <f>HYPERLINK("https://pbs.twimg.com/profile_images/983351378889379840/7aRHDbVY.jpg","View")</f>
        <v>View</v>
      </c>
    </row>
    <row r="2926" spans="1:19" ht="20">
      <c r="A2926" s="8">
        <v>43343.761192129634</v>
      </c>
      <c r="B2926" s="11" t="str">
        <f>HYPERLINK("https://twitter.com/tahakermani","@tahakermani")</f>
        <v>@tahakermani</v>
      </c>
      <c r="C2926" s="6" t="s">
        <v>9328</v>
      </c>
      <c r="D2926" s="5" t="s">
        <v>9327</v>
      </c>
      <c r="E2926" s="9" t="str">
        <f>HYPERLINK("https://twitter.com/tahakermani/status/1035524133805850625","1035524133805850625")</f>
        <v>1035524133805850625</v>
      </c>
      <c r="F2926" s="4"/>
      <c r="G2926" s="10" t="s">
        <v>9326</v>
      </c>
      <c r="H2926" s="4"/>
      <c r="I2926" s="10" t="str">
        <f>HYPERLINK("http://twitter.com","Twitter Web Client")</f>
        <v>Twitter Web Client</v>
      </c>
      <c r="J2926" s="2">
        <v>1194</v>
      </c>
      <c r="K2926" s="2">
        <v>1311</v>
      </c>
      <c r="L2926" s="2">
        <v>14</v>
      </c>
      <c r="M2926" s="2"/>
      <c r="N2926" s="8">
        <v>42022.645879629628</v>
      </c>
      <c r="O2926" s="4" t="s">
        <v>4654</v>
      </c>
      <c r="P2926" s="3" t="s">
        <v>9325</v>
      </c>
      <c r="Q2926" s="10" t="s">
        <v>9324</v>
      </c>
      <c r="R2926" s="4"/>
      <c r="S2926" s="9" t="str">
        <f>HYPERLINK("https://pbs.twimg.com/profile_images/934788343090614272/meYWVAAN.jpg","View")</f>
        <v>View</v>
      </c>
    </row>
    <row r="2927" spans="1:19" ht="20">
      <c r="A2927" s="8">
        <v>43343.755150462966</v>
      </c>
      <c r="B2927" s="11" t="str">
        <f>HYPERLINK("https://twitter.com/e_alipoor","@e_alipoor")</f>
        <v>@e_alipoor</v>
      </c>
      <c r="C2927" s="6" t="s">
        <v>9323</v>
      </c>
      <c r="D2927" s="5" t="s">
        <v>9322</v>
      </c>
      <c r="E2927" s="9" t="str">
        <f>HYPERLINK("https://twitter.com/e_alipoor/status/1035521943380914176","1035521943380914176")</f>
        <v>1035521943380914176</v>
      </c>
      <c r="F2927" s="4"/>
      <c r="G2927" s="4"/>
      <c r="H2927" s="4"/>
      <c r="I2927" s="10" t="str">
        <f>HYPERLINK("http://twitter.com","Twitter Web Client")</f>
        <v>Twitter Web Client</v>
      </c>
      <c r="J2927" s="2">
        <v>4294</v>
      </c>
      <c r="K2927" s="2">
        <v>2882</v>
      </c>
      <c r="L2927" s="2">
        <v>1</v>
      </c>
      <c r="M2927" s="2"/>
      <c r="N2927" s="8">
        <v>43023.635162037041</v>
      </c>
      <c r="O2927" s="4" t="s">
        <v>1415</v>
      </c>
      <c r="P2927" s="3" t="s">
        <v>9321</v>
      </c>
      <c r="Q2927" s="4"/>
      <c r="R2927" s="4"/>
      <c r="S2927" s="9" t="str">
        <f>HYPERLINK("https://pbs.twimg.com/profile_images/1031419188580114432/ikhjumt1.jpg","View")</f>
        <v>View</v>
      </c>
    </row>
    <row r="2928" spans="1:19" ht="30">
      <c r="A2928" s="8">
        <v>43343.75509259259</v>
      </c>
      <c r="B2928" s="11" t="str">
        <f>HYPERLINK("https://twitter.com/metuuli","@metuuli")</f>
        <v>@metuuli</v>
      </c>
      <c r="C2928" s="6" t="s">
        <v>9320</v>
      </c>
      <c r="D2928" s="5" t="s">
        <v>9319</v>
      </c>
      <c r="E2928" s="9" t="str">
        <f>HYPERLINK("https://twitter.com/metuuli/status/1035521924158382081","1035521924158382081")</f>
        <v>1035521924158382081</v>
      </c>
      <c r="F2928" s="4"/>
      <c r="G2928" s="10" t="s">
        <v>9318</v>
      </c>
      <c r="H2928" s="4"/>
      <c r="I2928" s="10" t="str">
        <f>HYPERLINK("http://twitter.com","Twitter Web Client")</f>
        <v>Twitter Web Client</v>
      </c>
      <c r="J2928" s="2">
        <v>195</v>
      </c>
      <c r="K2928" s="2">
        <v>221</v>
      </c>
      <c r="L2928" s="2">
        <v>2</v>
      </c>
      <c r="M2928" s="2"/>
      <c r="N2928" s="8">
        <v>41043.940960648149</v>
      </c>
      <c r="O2928" s="4" t="s">
        <v>9317</v>
      </c>
      <c r="P2928" s="3" t="s">
        <v>9316</v>
      </c>
      <c r="Q2928" s="4"/>
      <c r="R2928" s="4"/>
      <c r="S2928" s="9" t="str">
        <f>HYPERLINK("https://pbs.twimg.com/profile_images/1031825805205286912/taAxhH5A.jpg","View")</f>
        <v>View</v>
      </c>
    </row>
    <row r="2929" spans="1:19" ht="30">
      <c r="A2929" s="8">
        <v>43343.752615740741</v>
      </c>
      <c r="B2929" s="11" t="str">
        <f>HYPERLINK("https://twitter.com/jansakht9","@jansakht9")</f>
        <v>@jansakht9</v>
      </c>
      <c r="C2929" s="6" t="s">
        <v>9251</v>
      </c>
      <c r="D2929" s="5" t="s">
        <v>9315</v>
      </c>
      <c r="E2929" s="9" t="str">
        <f>HYPERLINK("https://twitter.com/jansakht9/status/1035521028154224641","1035521028154224641")</f>
        <v>1035521028154224641</v>
      </c>
      <c r="F2929" s="4"/>
      <c r="G2929" s="10" t="s">
        <v>9314</v>
      </c>
      <c r="H2929" s="4"/>
      <c r="I2929" s="10" t="str">
        <f>HYPERLINK("https://mobile.twitter.com","Twitter Lite")</f>
        <v>Twitter Lite</v>
      </c>
      <c r="J2929" s="2">
        <v>31</v>
      </c>
      <c r="K2929" s="2">
        <v>152</v>
      </c>
      <c r="L2929" s="2">
        <v>0</v>
      </c>
      <c r="M2929" s="2"/>
      <c r="N2929" s="8">
        <v>43257.262488425928</v>
      </c>
      <c r="O2929" s="4"/>
      <c r="P2929" s="3" t="s">
        <v>9249</v>
      </c>
      <c r="Q2929" s="4"/>
      <c r="R2929" s="4"/>
      <c r="S2929" s="9" t="str">
        <f>HYPERLINK("https://pbs.twimg.com/profile_images/1033645501730549760/kne9Mzqf.jpg","View")</f>
        <v>View</v>
      </c>
    </row>
    <row r="2930" spans="1:19" ht="20">
      <c r="A2930" s="8">
        <v>43343.75063657407</v>
      </c>
      <c r="B2930" s="11" t="str">
        <f>HYPERLINK("https://twitter.com/Shosseini11","@Shosseini11")</f>
        <v>@Shosseini11</v>
      </c>
      <c r="C2930" s="6" t="s">
        <v>845</v>
      </c>
      <c r="D2930" s="5" t="s">
        <v>9313</v>
      </c>
      <c r="E2930" s="9" t="str">
        <f>HYPERLINK("https://twitter.com/Shosseini11/status/1035520310949359617","1035520310949359617")</f>
        <v>1035520310949359617</v>
      </c>
      <c r="F2930" s="4"/>
      <c r="G2930" s="4"/>
      <c r="H2930" s="4"/>
      <c r="I2930" s="10" t="str">
        <f>HYPERLINK("http://twitter.com/download/android","Twitter for Android")</f>
        <v>Twitter for Android</v>
      </c>
      <c r="J2930" s="2">
        <v>107</v>
      </c>
      <c r="K2930" s="2">
        <v>158</v>
      </c>
      <c r="L2930" s="2">
        <v>0</v>
      </c>
      <c r="M2930" s="2"/>
      <c r="N2930" s="8">
        <v>43329.779340277775</v>
      </c>
      <c r="O2930" s="4"/>
      <c r="P2930" s="3" t="s">
        <v>843</v>
      </c>
      <c r="Q2930" s="4"/>
      <c r="R2930" s="4"/>
      <c r="S2930" s="9" t="str">
        <f>HYPERLINK("https://pbs.twimg.com/profile_images/1030705641088798720/gy7cE26X.jpg","View")</f>
        <v>View</v>
      </c>
    </row>
    <row r="2931" spans="1:19" ht="20">
      <c r="A2931" s="8">
        <v>43343.748194444444</v>
      </c>
      <c r="B2931" s="11" t="str">
        <f>HYPERLINK("https://twitter.com/MortezaAli1198","@MortezaAli1198")</f>
        <v>@MortezaAli1198</v>
      </c>
      <c r="C2931" s="6" t="s">
        <v>9312</v>
      </c>
      <c r="D2931" s="5" t="s">
        <v>9311</v>
      </c>
      <c r="E2931" s="9" t="str">
        <f>HYPERLINK("https://twitter.com/MortezaAli1198/status/1035519426534100992","1035519426534100992")</f>
        <v>1035519426534100992</v>
      </c>
      <c r="F2931" s="4"/>
      <c r="G2931" s="10" t="s">
        <v>9310</v>
      </c>
      <c r="H2931" s="4"/>
      <c r="I2931" s="10" t="str">
        <f>HYPERLINK("http://twitter.com/download/android","Twitter for Android")</f>
        <v>Twitter for Android</v>
      </c>
      <c r="J2931" s="2">
        <v>15</v>
      </c>
      <c r="K2931" s="2">
        <v>26</v>
      </c>
      <c r="L2931" s="2">
        <v>0</v>
      </c>
      <c r="M2931" s="2"/>
      <c r="N2931" s="8">
        <v>43202.520567129628</v>
      </c>
      <c r="O2931" s="4" t="s">
        <v>9309</v>
      </c>
      <c r="P2931" s="3" t="s">
        <v>9308</v>
      </c>
      <c r="Q2931" s="4"/>
      <c r="R2931" s="4"/>
      <c r="S2931" s="9" t="str">
        <f>HYPERLINK("https://pbs.twimg.com/profile_images/984347390743334912/fxLI2J5z.jpg","View")</f>
        <v>View</v>
      </c>
    </row>
    <row r="2932" spans="1:19" ht="40">
      <c r="A2932" s="8">
        <v>43343.742604166662</v>
      </c>
      <c r="B2932" s="11" t="str">
        <f>HYPERLINK("https://twitter.com/mahmoodmirzazad","@mahmoodmirzazad")</f>
        <v>@mahmoodmirzazad</v>
      </c>
      <c r="C2932" s="6" t="s">
        <v>9307</v>
      </c>
      <c r="D2932" s="5" t="s">
        <v>1456</v>
      </c>
      <c r="E2932" s="9" t="str">
        <f>HYPERLINK("https://twitter.com/mahmoodmirzazad/status/1035517400731541504","1035517400731541504")</f>
        <v>1035517400731541504</v>
      </c>
      <c r="F2932" s="4"/>
      <c r="G2932" s="4"/>
      <c r="H2932" s="4"/>
      <c r="I2932" s="10" t="str">
        <f>HYPERLINK("http://twitter.com/download/android","Twitter for Android")</f>
        <v>Twitter for Android</v>
      </c>
      <c r="J2932" s="2">
        <v>14</v>
      </c>
      <c r="K2932" s="2">
        <v>24</v>
      </c>
      <c r="L2932" s="2">
        <v>0</v>
      </c>
      <c r="M2932" s="2"/>
      <c r="N2932" s="8">
        <v>43307.930405092593</v>
      </c>
      <c r="O2932" s="4" t="s">
        <v>17</v>
      </c>
      <c r="P2932" s="3" t="s">
        <v>9306</v>
      </c>
      <c r="Q2932" s="4"/>
      <c r="R2932" s="4"/>
      <c r="S2932" s="9" t="str">
        <f>HYPERLINK("https://pbs.twimg.com/profile_images/1022552908171235329/GdQTU-1P.jpg","View")</f>
        <v>View</v>
      </c>
    </row>
    <row r="2933" spans="1:19" ht="12.5">
      <c r="A2933" s="8">
        <v>43343.742476851854</v>
      </c>
      <c r="B2933" s="11" t="str">
        <f>HYPERLINK("https://twitter.com/maaniiam","@maaniiam")</f>
        <v>@maaniiam</v>
      </c>
      <c r="C2933" s="6" t="s">
        <v>9305</v>
      </c>
      <c r="D2933" s="5" t="s">
        <v>9304</v>
      </c>
      <c r="E2933" s="9" t="str">
        <f>HYPERLINK("https://twitter.com/maaniiam/status/1035517353205878785","1035517353205878785")</f>
        <v>1035517353205878785</v>
      </c>
      <c r="F2933" s="4"/>
      <c r="G2933" s="4"/>
      <c r="H2933" s="4"/>
      <c r="I2933" s="10" t="str">
        <f>HYPERLINK("http://twitter.com/download/android","Twitter for Android")</f>
        <v>Twitter for Android</v>
      </c>
      <c r="J2933" s="2">
        <v>261</v>
      </c>
      <c r="K2933" s="2">
        <v>285</v>
      </c>
      <c r="L2933" s="2">
        <v>0</v>
      </c>
      <c r="M2933" s="2"/>
      <c r="N2933" s="8">
        <v>42871.611597222218</v>
      </c>
      <c r="O2933" s="4"/>
      <c r="P2933" s="3" t="s">
        <v>9303</v>
      </c>
      <c r="Q2933" s="10" t="s">
        <v>9302</v>
      </c>
      <c r="R2933" s="4"/>
      <c r="S2933" s="9" t="str">
        <f>HYPERLINK("https://pbs.twimg.com/profile_images/1023113956259520513/BziNOopH.jpg","View")</f>
        <v>View</v>
      </c>
    </row>
    <row r="2934" spans="1:19" ht="20">
      <c r="A2934" s="8">
        <v>43343.741805555561</v>
      </c>
      <c r="B2934" s="11" t="str">
        <f>HYPERLINK("https://twitter.com/hoseinbasir","@hoseinbasir")</f>
        <v>@hoseinbasir</v>
      </c>
      <c r="C2934" s="6" t="s">
        <v>9301</v>
      </c>
      <c r="D2934" s="5" t="s">
        <v>9300</v>
      </c>
      <c r="E2934" s="9" t="str">
        <f>HYPERLINK("https://twitter.com/hoseinbasir/status/1035517108262723585","1035517108262723585")</f>
        <v>1035517108262723585</v>
      </c>
      <c r="F2934" s="4"/>
      <c r="G2934" s="4"/>
      <c r="H2934" s="4"/>
      <c r="I2934" s="10" t="str">
        <f>HYPERLINK("http://twitter.com/download/android","Twitter for Android")</f>
        <v>Twitter for Android</v>
      </c>
      <c r="J2934" s="2">
        <v>3991</v>
      </c>
      <c r="K2934" s="2">
        <v>3936</v>
      </c>
      <c r="L2934" s="2">
        <v>5</v>
      </c>
      <c r="M2934" s="2"/>
      <c r="N2934" s="8">
        <v>42517.972916666666</v>
      </c>
      <c r="O2934" s="4" t="s">
        <v>104</v>
      </c>
      <c r="P2934" s="3" t="s">
        <v>3379</v>
      </c>
      <c r="Q2934" s="4"/>
      <c r="R2934" s="4"/>
      <c r="S2934" s="9" t="str">
        <f>HYPERLINK("https://pbs.twimg.com/profile_images/945565487085359105/RCtXj-ES.jpg","View")</f>
        <v>View</v>
      </c>
    </row>
    <row r="2935" spans="1:19" ht="70">
      <c r="A2935" s="8">
        <v>43343.741562499999</v>
      </c>
      <c r="B2935" s="11" t="str">
        <f>HYPERLINK("https://twitter.com/fardiin_nazari","@fardiin_nazari")</f>
        <v>@fardiin_nazari</v>
      </c>
      <c r="C2935" s="6" t="s">
        <v>9299</v>
      </c>
      <c r="D2935" s="5" t="s">
        <v>9298</v>
      </c>
      <c r="E2935" s="9" t="str">
        <f>HYPERLINK("https://twitter.com/fardiin_nazari/status/1035517020253630464","1035517020253630464")</f>
        <v>1035517020253630464</v>
      </c>
      <c r="F2935" s="10" t="s">
        <v>9297</v>
      </c>
      <c r="G2935" s="4"/>
      <c r="H2935" s="4"/>
      <c r="I2935" s="10" t="str">
        <f>HYPERLINK("http://twitter.com/download/android","Twitter for Android")</f>
        <v>Twitter for Android</v>
      </c>
      <c r="J2935" s="2">
        <v>136</v>
      </c>
      <c r="K2935" s="2">
        <v>304</v>
      </c>
      <c r="L2935" s="2">
        <v>0</v>
      </c>
      <c r="M2935" s="2"/>
      <c r="N2935" s="8">
        <v>42757.467152777783</v>
      </c>
      <c r="O2935" s="4" t="s">
        <v>9296</v>
      </c>
      <c r="P2935" s="3" t="s">
        <v>9295</v>
      </c>
      <c r="Q2935" s="4"/>
      <c r="R2935" s="4"/>
      <c r="S2935" s="9" t="str">
        <f>HYPERLINK("https://pbs.twimg.com/profile_images/1017548023931523073/ITM0XX6w.jpg","View")</f>
        <v>View</v>
      </c>
    </row>
    <row r="2936" spans="1:19" ht="40">
      <c r="A2936" s="8">
        <v>43343.739953703705</v>
      </c>
      <c r="B2936" s="11" t="str">
        <f>HYPERLINK("https://twitter.com/a_maghami","@a_maghami")</f>
        <v>@a_maghami</v>
      </c>
      <c r="C2936" s="6" t="s">
        <v>4332</v>
      </c>
      <c r="D2936" s="5" t="s">
        <v>9294</v>
      </c>
      <c r="E2936" s="9" t="str">
        <f>HYPERLINK("https://twitter.com/a_maghami/status/1035516439724285954","1035516439724285954")</f>
        <v>1035516439724285954</v>
      </c>
      <c r="F2936" s="4"/>
      <c r="G2936" s="4"/>
      <c r="H2936" s="4"/>
      <c r="I2936" s="10" t="str">
        <f>HYPERLINK("http://twitter.com/download/android","Twitter for Android")</f>
        <v>Twitter for Android</v>
      </c>
      <c r="J2936" s="2">
        <v>139</v>
      </c>
      <c r="K2936" s="2">
        <v>263</v>
      </c>
      <c r="L2936" s="2">
        <v>1</v>
      </c>
      <c r="M2936" s="2"/>
      <c r="N2936" s="8">
        <v>41507.376886574071</v>
      </c>
      <c r="O2936" s="4" t="s">
        <v>324</v>
      </c>
      <c r="P2936" s="3" t="s">
        <v>4328</v>
      </c>
      <c r="Q2936" s="10" t="s">
        <v>4327</v>
      </c>
      <c r="R2936" s="4"/>
      <c r="S2936" s="9" t="str">
        <f>HYPERLINK("https://pbs.twimg.com/profile_images/378800000729051711/bd566e9e4ba7bff75d083188111793dc.jpeg","View")</f>
        <v>View</v>
      </c>
    </row>
    <row r="2937" spans="1:19" ht="40">
      <c r="A2937" s="8">
        <v>43343.739270833335</v>
      </c>
      <c r="B2937" s="11" t="str">
        <f>HYPERLINK("https://twitter.com/mahloujisaleh","@mahloujisaleh")</f>
        <v>@mahloujisaleh</v>
      </c>
      <c r="C2937" s="6" t="s">
        <v>3143</v>
      </c>
      <c r="D2937" s="5" t="s">
        <v>9293</v>
      </c>
      <c r="E2937" s="9" t="str">
        <f>HYPERLINK("https://twitter.com/mahloujisaleh/status/1035516190318317568","1035516190318317568")</f>
        <v>1035516190318317568</v>
      </c>
      <c r="F2937" s="4"/>
      <c r="G2937" s="4"/>
      <c r="H2937" s="4"/>
      <c r="I2937" s="10" t="str">
        <f>HYPERLINK("http://twitter.com/download/android","Twitter for Android")</f>
        <v>Twitter for Android</v>
      </c>
      <c r="J2937" s="2">
        <v>63</v>
      </c>
      <c r="K2937" s="2">
        <v>100</v>
      </c>
      <c r="L2937" s="2">
        <v>0</v>
      </c>
      <c r="M2937" s="2"/>
      <c r="N2937" s="8">
        <v>42841.888159722221</v>
      </c>
      <c r="O2937" s="4"/>
      <c r="P2937" s="3" t="s">
        <v>3141</v>
      </c>
      <c r="Q2937" s="10" t="s">
        <v>3140</v>
      </c>
      <c r="R2937" s="4"/>
      <c r="S2937" s="9" t="str">
        <f>HYPERLINK("https://pbs.twimg.com/profile_images/853655242164113408/_KrcQNPG.jpg","View")</f>
        <v>View</v>
      </c>
    </row>
    <row r="2938" spans="1:19" ht="40">
      <c r="A2938" s="8">
        <v>43343.738958333328</v>
      </c>
      <c r="B2938" s="11" t="str">
        <f>HYPERLINK("https://twitter.com/MJ_Akbarin","@MJ_Akbarin")</f>
        <v>@MJ_Akbarin</v>
      </c>
      <c r="C2938" s="6" t="s">
        <v>9292</v>
      </c>
      <c r="D2938" s="5" t="s">
        <v>9291</v>
      </c>
      <c r="E2938" s="9" t="str">
        <f>HYPERLINK("https://twitter.com/MJ_Akbarin/status/1035516078527537153","1035516078527537153")</f>
        <v>1035516078527537153</v>
      </c>
      <c r="F2938" s="4"/>
      <c r="G2938" s="4"/>
      <c r="H2938" s="4"/>
      <c r="I2938" s="10" t="str">
        <f>HYPERLINK("http://twitter.com/#!/download/ipad","Twitter for iPad")</f>
        <v>Twitter for iPad</v>
      </c>
      <c r="J2938" s="2">
        <v>22954</v>
      </c>
      <c r="K2938" s="2">
        <v>522</v>
      </c>
      <c r="L2938" s="2">
        <v>151</v>
      </c>
      <c r="M2938" s="2"/>
      <c r="N2938" s="8">
        <v>41942.084710648152</v>
      </c>
      <c r="O2938" s="4" t="s">
        <v>9290</v>
      </c>
      <c r="P2938" s="3" t="s">
        <v>9289</v>
      </c>
      <c r="Q2938" s="4"/>
      <c r="R2938" s="4"/>
      <c r="S2938" s="9" t="str">
        <f>HYPERLINK("https://pbs.twimg.com/profile_images/831163945050333186/EDvQvyZq.jpg","View")</f>
        <v>View</v>
      </c>
    </row>
    <row r="2939" spans="1:19" ht="30">
      <c r="A2939" s="8">
        <v>43343.73883101852</v>
      </c>
      <c r="B2939" s="11" t="str">
        <f>HYPERLINK("https://twitter.com/masoudborbor","@masoudborbor")</f>
        <v>@masoudborbor</v>
      </c>
      <c r="C2939" s="6" t="s">
        <v>9288</v>
      </c>
      <c r="D2939" s="5" t="s">
        <v>9287</v>
      </c>
      <c r="E2939" s="9" t="str">
        <f>HYPERLINK("https://twitter.com/masoudborbor/status/1035516032230809600","1035516032230809600")</f>
        <v>1035516032230809600</v>
      </c>
      <c r="F2939" s="4"/>
      <c r="G2939" s="10" t="s">
        <v>9286</v>
      </c>
      <c r="H2939" s="4"/>
      <c r="I2939" s="10" t="str">
        <f>HYPERLINK("http://twitter.com/download/android","Twitter for Android")</f>
        <v>Twitter for Android</v>
      </c>
      <c r="J2939" s="2">
        <v>1873</v>
      </c>
      <c r="K2939" s="2">
        <v>901</v>
      </c>
      <c r="L2939" s="2">
        <v>22</v>
      </c>
      <c r="M2939" s="2"/>
      <c r="N2939" s="8">
        <v>39713.948252314818</v>
      </c>
      <c r="O2939" s="4" t="s">
        <v>133</v>
      </c>
      <c r="P2939" s="3" t="s">
        <v>9285</v>
      </c>
      <c r="Q2939" s="10" t="s">
        <v>9284</v>
      </c>
      <c r="R2939" s="4"/>
      <c r="S2939" s="9" t="str">
        <f>HYPERLINK("https://pbs.twimg.com/profile_images/917694185540653056/auEIvG69.jpg","View")</f>
        <v>View</v>
      </c>
    </row>
    <row r="2940" spans="1:19" ht="40">
      <c r="A2940" s="8">
        <v>43343.731932870374</v>
      </c>
      <c r="B2940" s="11" t="str">
        <f>HYPERLINK("https://twitter.com/shahrvandyar","@shahrvandyar")</f>
        <v>@shahrvandyar</v>
      </c>
      <c r="C2940" s="6" t="s">
        <v>9283</v>
      </c>
      <c r="D2940" s="5" t="s">
        <v>9282</v>
      </c>
      <c r="E2940" s="9" t="str">
        <f>HYPERLINK("https://twitter.com/shahrvandyar/status/1035513531431567360","1035513531431567360")</f>
        <v>1035513531431567360</v>
      </c>
      <c r="F2940" s="4"/>
      <c r="G2940" s="10" t="s">
        <v>9281</v>
      </c>
      <c r="H2940" s="4"/>
      <c r="I2940" s="10" t="str">
        <f>HYPERLINK("http://twitter.com/download/android","Twitter for Android")</f>
        <v>Twitter for Android</v>
      </c>
      <c r="J2940" s="2">
        <v>5115</v>
      </c>
      <c r="K2940" s="2">
        <v>186</v>
      </c>
      <c r="L2940" s="2">
        <v>35</v>
      </c>
      <c r="M2940" s="2"/>
      <c r="N2940" s="8">
        <v>40568.889525462961</v>
      </c>
      <c r="O2940" s="4" t="s">
        <v>9280</v>
      </c>
      <c r="P2940" s="3" t="s">
        <v>9279</v>
      </c>
      <c r="Q2940" s="10" t="s">
        <v>9278</v>
      </c>
      <c r="R2940" s="4"/>
      <c r="S2940" s="9" t="str">
        <f>HYPERLINK("https://pbs.twimg.com/profile_images/597542915360063488/VEvA-5OZ.jpg","View")</f>
        <v>View</v>
      </c>
    </row>
    <row r="2941" spans="1:19" ht="40">
      <c r="A2941" s="8">
        <v>43343.724606481483</v>
      </c>
      <c r="B2941" s="11" t="str">
        <f>HYPERLINK("https://twitter.com/FSeifikaran","@FSeifikaran")</f>
        <v>@FSeifikaran</v>
      </c>
      <c r="C2941" s="6" t="s">
        <v>8873</v>
      </c>
      <c r="D2941" s="5" t="s">
        <v>9277</v>
      </c>
      <c r="E2941" s="9" t="str">
        <f>HYPERLINK("https://twitter.com/FSeifikaran/status/1035510878253277185","1035510878253277185")</f>
        <v>1035510878253277185</v>
      </c>
      <c r="F2941" s="4"/>
      <c r="G2941" s="4"/>
      <c r="H2941" s="4"/>
      <c r="I2941" s="10" t="str">
        <f>HYPERLINK("http://twitter.com/download/iphone","Twitter for iPhone")</f>
        <v>Twitter for iPhone</v>
      </c>
      <c r="J2941" s="2">
        <v>24</v>
      </c>
      <c r="K2941" s="2">
        <v>19</v>
      </c>
      <c r="L2941" s="2">
        <v>0</v>
      </c>
      <c r="M2941" s="2"/>
      <c r="N2941" s="8">
        <v>40692.172696759255</v>
      </c>
      <c r="O2941" s="4"/>
      <c r="P2941" s="3" t="s">
        <v>8871</v>
      </c>
      <c r="Q2941" s="4"/>
      <c r="R2941" s="4"/>
      <c r="S2941" s="9" t="str">
        <f>HYPERLINK("https://pbs.twimg.com/profile_images/1013481433019625472/JP63WMoO.jpg","View")</f>
        <v>View</v>
      </c>
    </row>
    <row r="2942" spans="1:19" ht="40">
      <c r="A2942" s="8">
        <v>43343.720717592594</v>
      </c>
      <c r="B2942" s="11" t="str">
        <f>HYPERLINK("https://twitter.com/liea_abnos","@liea_abnos")</f>
        <v>@liea_abnos</v>
      </c>
      <c r="C2942" s="6" t="s">
        <v>2791</v>
      </c>
      <c r="D2942" s="5" t="s">
        <v>9276</v>
      </c>
      <c r="E2942" s="9" t="str">
        <f>HYPERLINK("https://twitter.com/liea_abnos/status/1035509468325404678","1035509468325404678")</f>
        <v>1035509468325404678</v>
      </c>
      <c r="F2942" s="4"/>
      <c r="G2942" s="4"/>
      <c r="H2942" s="4"/>
      <c r="I2942" s="10" t="str">
        <f>HYPERLINK("http://twitter.com/download/android","Twitter for Android")</f>
        <v>Twitter for Android</v>
      </c>
      <c r="J2942" s="2">
        <v>2789</v>
      </c>
      <c r="K2942" s="2">
        <v>227</v>
      </c>
      <c r="L2942" s="2">
        <v>19</v>
      </c>
      <c r="M2942" s="2"/>
      <c r="N2942" s="8">
        <v>43139.364282407405</v>
      </c>
      <c r="O2942" s="4"/>
      <c r="P2942" s="3" t="s">
        <v>2789</v>
      </c>
      <c r="Q2942" s="4"/>
      <c r="R2942" s="4"/>
      <c r="S2942" s="9" t="str">
        <f>HYPERLINK("https://pbs.twimg.com/profile_images/1018827713535234048/mw_PNXD5.jpg","View")</f>
        <v>View</v>
      </c>
    </row>
    <row r="2943" spans="1:19" ht="12.5">
      <c r="A2943" s="8">
        <v>43343.71938657407</v>
      </c>
      <c r="B2943" s="11" t="str">
        <f>HYPERLINK("https://twitter.com/monji_313","@monji_313")</f>
        <v>@monji_313</v>
      </c>
      <c r="C2943" s="6" t="s">
        <v>9275</v>
      </c>
      <c r="D2943" s="5" t="s">
        <v>9274</v>
      </c>
      <c r="E2943" s="9" t="str">
        <f>HYPERLINK("https://twitter.com/monji_313/status/1035508986739666946","1035508986739666946")</f>
        <v>1035508986739666946</v>
      </c>
      <c r="F2943" s="4"/>
      <c r="G2943" s="10" t="s">
        <v>9273</v>
      </c>
      <c r="H2943" s="4"/>
      <c r="I2943" s="10" t="str">
        <f>HYPERLINK("http://twitter.com/download/android","Twitter for Android")</f>
        <v>Twitter for Android</v>
      </c>
      <c r="J2943" s="2">
        <v>1205</v>
      </c>
      <c r="K2943" s="2">
        <v>1990</v>
      </c>
      <c r="L2943" s="2">
        <v>1</v>
      </c>
      <c r="M2943" s="2"/>
      <c r="N2943" s="8">
        <v>43248.716990740737</v>
      </c>
      <c r="O2943" s="4" t="s">
        <v>34</v>
      </c>
      <c r="P2943" s="3" t="s">
        <v>9272</v>
      </c>
      <c r="Q2943" s="4"/>
      <c r="R2943" s="4"/>
      <c r="S2943" s="9" t="str">
        <f>HYPERLINK("https://pbs.twimg.com/profile_images/1002470285348671488/JHgQz_SS.jpg","View")</f>
        <v>View</v>
      </c>
    </row>
    <row r="2944" spans="1:19" ht="30">
      <c r="A2944" s="8">
        <v>43343.717638888891</v>
      </c>
      <c r="B2944" s="11" t="str">
        <f>HYPERLINK("https://twitter.com/MahourChavoshi","@MahourChavoshi")</f>
        <v>@MahourChavoshi</v>
      </c>
      <c r="C2944" s="6" t="s">
        <v>1209</v>
      </c>
      <c r="D2944" s="5" t="s">
        <v>9271</v>
      </c>
      <c r="E2944" s="9" t="str">
        <f>HYPERLINK("https://twitter.com/MahourChavoshi/status/1035508351042510849","1035508351042510849")</f>
        <v>1035508351042510849</v>
      </c>
      <c r="F2944" s="4"/>
      <c r="G2944" s="4"/>
      <c r="H2944" s="4"/>
      <c r="I2944" s="10" t="str">
        <f>HYPERLINK("http://twitter.com/download/iphone","Twitter for iPhone")</f>
        <v>Twitter for iPhone</v>
      </c>
      <c r="J2944" s="2">
        <v>33</v>
      </c>
      <c r="K2944" s="2">
        <v>15</v>
      </c>
      <c r="L2944" s="2">
        <v>0</v>
      </c>
      <c r="M2944" s="2"/>
      <c r="N2944" s="8">
        <v>43290.993935185186</v>
      </c>
      <c r="O2944" s="4" t="s">
        <v>1207</v>
      </c>
      <c r="P2944" s="3" t="s">
        <v>1206</v>
      </c>
      <c r="Q2944" s="4"/>
      <c r="R2944" s="4"/>
      <c r="S2944" s="9" t="str">
        <f>HYPERLINK("https://pbs.twimg.com/profile_images/1033473765894696966/qZ1gWKHU.jpg","View")</f>
        <v>View</v>
      </c>
    </row>
    <row r="2945" spans="1:19" ht="30">
      <c r="A2945" s="8">
        <v>43343.714722222227</v>
      </c>
      <c r="B2945" s="11" t="str">
        <f>HYPERLINK("https://twitter.com/Mohamma75370061","@Mohamma75370061")</f>
        <v>@Mohamma75370061</v>
      </c>
      <c r="C2945" s="6" t="s">
        <v>1998</v>
      </c>
      <c r="D2945" s="5" t="s">
        <v>9270</v>
      </c>
      <c r="E2945" s="9" t="str">
        <f>HYPERLINK("https://twitter.com/Mohamma75370061/status/1035507293872447489","1035507293872447489")</f>
        <v>1035507293872447489</v>
      </c>
      <c r="F2945" s="4"/>
      <c r="G2945" s="4"/>
      <c r="H2945" s="4"/>
      <c r="I2945" s="10" t="str">
        <f>HYPERLINK("http://twitter.com/download/android","Twitter for Android")</f>
        <v>Twitter for Android</v>
      </c>
      <c r="J2945" s="2">
        <v>2171</v>
      </c>
      <c r="K2945" s="2">
        <v>2841</v>
      </c>
      <c r="L2945" s="2">
        <v>1</v>
      </c>
      <c r="M2945" s="2"/>
      <c r="N2945" s="8">
        <v>43270.233599537038</v>
      </c>
      <c r="O2945" s="4" t="s">
        <v>9269</v>
      </c>
      <c r="P2945" s="3" t="s">
        <v>9268</v>
      </c>
      <c r="Q2945" s="4"/>
      <c r="R2945" s="4"/>
      <c r="S2945" s="9" t="str">
        <f>HYPERLINK("https://pbs.twimg.com/profile_images/1027742418827993089/rEAc7tMh.jpg","View")</f>
        <v>View</v>
      </c>
    </row>
    <row r="2946" spans="1:19" ht="30">
      <c r="A2946" s="8">
        <v>43343.714583333334</v>
      </c>
      <c r="B2946" s="11" t="str">
        <f>HYPERLINK("https://twitter.com/EtemadOnline","@EtemadOnline")</f>
        <v>@EtemadOnline</v>
      </c>
      <c r="C2946" s="6" t="s">
        <v>9267</v>
      </c>
      <c r="D2946" s="5" t="s">
        <v>9266</v>
      </c>
      <c r="E2946" s="9" t="str">
        <f>HYPERLINK("https://twitter.com/EtemadOnline/status/1035507242966114306","1035507242966114306")</f>
        <v>1035507242966114306</v>
      </c>
      <c r="F2946" s="10" t="s">
        <v>9265</v>
      </c>
      <c r="G2946" s="4"/>
      <c r="H2946" s="4"/>
      <c r="I2946" s="10" t="str">
        <f>HYPERLINK("http://twitter.com","Twitter Web Client")</f>
        <v>Twitter Web Client</v>
      </c>
      <c r="J2946" s="2">
        <v>150742</v>
      </c>
      <c r="K2946" s="2">
        <v>36</v>
      </c>
      <c r="L2946" s="2">
        <v>368</v>
      </c>
      <c r="M2946" s="2"/>
      <c r="N2946" s="8">
        <v>41740.739247685182</v>
      </c>
      <c r="O2946" s="4" t="s">
        <v>9264</v>
      </c>
      <c r="P2946" s="3" t="s">
        <v>9263</v>
      </c>
      <c r="Q2946" s="10" t="s">
        <v>9262</v>
      </c>
      <c r="R2946" s="4"/>
      <c r="S2946" s="9" t="str">
        <f>HYPERLINK("https://pbs.twimg.com/profile_images/1023587326537162752/Uj6KCsJ4.jpg","View")</f>
        <v>View</v>
      </c>
    </row>
    <row r="2947" spans="1:19" ht="40">
      <c r="A2947" s="8">
        <v>43343.714363425926</v>
      </c>
      <c r="B2947" s="11" t="str">
        <f>HYPERLINK("https://twitter.com/AugustvonHayek","@AugustvonHayek")</f>
        <v>@AugustvonHayek</v>
      </c>
      <c r="C2947" s="6" t="s">
        <v>9261</v>
      </c>
      <c r="D2947" s="5" t="s">
        <v>9260</v>
      </c>
      <c r="E2947" s="9" t="str">
        <f>HYPERLINK("https://twitter.com/AugustvonHayek/status/1035507163018358788","1035507163018358788")</f>
        <v>1035507163018358788</v>
      </c>
      <c r="F2947" s="4"/>
      <c r="G2947" s="4"/>
      <c r="H2947" s="4"/>
      <c r="I2947" s="10" t="str">
        <f>HYPERLINK("http://twitter.com","Twitter Web Client")</f>
        <v>Twitter Web Client</v>
      </c>
      <c r="J2947" s="2">
        <v>9727</v>
      </c>
      <c r="K2947" s="2">
        <v>9291</v>
      </c>
      <c r="L2947" s="2">
        <v>25</v>
      </c>
      <c r="M2947" s="2"/>
      <c r="N2947" s="8">
        <v>42560.863900462966</v>
      </c>
      <c r="O2947" s="4" t="s">
        <v>1415</v>
      </c>
      <c r="P2947" s="3"/>
      <c r="Q2947" s="4"/>
      <c r="R2947" s="4"/>
      <c r="S2947" s="9" t="str">
        <f>HYPERLINK("https://pbs.twimg.com/profile_images/971616658052845571/g0m8l3-f.jpg","View")</f>
        <v>View</v>
      </c>
    </row>
    <row r="2948" spans="1:19" ht="30">
      <c r="A2948" s="8">
        <v>43343.712824074071</v>
      </c>
      <c r="B2948" s="11" t="str">
        <f>HYPERLINK("https://twitter.com/keivansoleimany","@keivansoleimany")</f>
        <v>@keivansoleimany</v>
      </c>
      <c r="C2948" s="6" t="s">
        <v>9259</v>
      </c>
      <c r="D2948" s="5" t="s">
        <v>9258</v>
      </c>
      <c r="E2948" s="9" t="str">
        <f>HYPERLINK("https://twitter.com/keivansoleimany/status/1035506605989625856","1035506605989625856")</f>
        <v>1035506605989625856</v>
      </c>
      <c r="F2948" s="4"/>
      <c r="G2948" s="10" t="s">
        <v>9257</v>
      </c>
      <c r="H2948" s="4"/>
      <c r="I2948" s="10" t="str">
        <f>HYPERLINK("http://twitter.com/download/android","Twitter for Android")</f>
        <v>Twitter for Android</v>
      </c>
      <c r="J2948" s="2">
        <v>195</v>
      </c>
      <c r="K2948" s="2">
        <v>237</v>
      </c>
      <c r="L2948" s="2">
        <v>2</v>
      </c>
      <c r="M2948" s="2"/>
      <c r="N2948" s="8">
        <v>42752.966134259259</v>
      </c>
      <c r="O2948" s="4"/>
      <c r="P2948" s="3" t="s">
        <v>9256</v>
      </c>
      <c r="Q2948" s="10" t="s">
        <v>9255</v>
      </c>
      <c r="R2948" s="4"/>
      <c r="S2948" s="9" t="str">
        <f>HYPERLINK("https://pbs.twimg.com/profile_images/1025370266774331394/Sdc3OlL8.jpg","View")</f>
        <v>View</v>
      </c>
    </row>
    <row r="2949" spans="1:19" ht="30">
      <c r="A2949" s="8">
        <v>43343.709907407407</v>
      </c>
      <c r="B2949" s="11" t="str">
        <f>HYPERLINK("https://twitter.com/ir_teachers","@ir_teachers")</f>
        <v>@ir_teachers</v>
      </c>
      <c r="C2949" s="6" t="s">
        <v>9254</v>
      </c>
      <c r="D2949" s="5" t="s">
        <v>9253</v>
      </c>
      <c r="E2949" s="9" t="str">
        <f>HYPERLINK("https://twitter.com/ir_teachers/status/1035505550509977605","1035505550509977605")</f>
        <v>1035505550509977605</v>
      </c>
      <c r="F2949" s="4"/>
      <c r="G2949" s="4"/>
      <c r="H2949" s="4"/>
      <c r="I2949" s="10" t="str">
        <f>HYPERLINK("http://twitter.com/download/android","Twitter for Android")</f>
        <v>Twitter for Android</v>
      </c>
      <c r="J2949" s="2">
        <v>199</v>
      </c>
      <c r="K2949" s="2">
        <v>140</v>
      </c>
      <c r="L2949" s="2">
        <v>1</v>
      </c>
      <c r="M2949" s="2"/>
      <c r="N2949" s="8">
        <v>43298.857673611114</v>
      </c>
      <c r="O2949" s="4" t="s">
        <v>17</v>
      </c>
      <c r="P2949" s="3" t="s">
        <v>9252</v>
      </c>
      <c r="Q2949" s="4"/>
      <c r="R2949" s="4"/>
      <c r="S2949" s="9" t="str">
        <f>HYPERLINK("https://pbs.twimg.com/profile_images/1019255477149093888/nByjtYgL.jpg","View")</f>
        <v>View</v>
      </c>
    </row>
    <row r="2950" spans="1:19" ht="40">
      <c r="A2950" s="8">
        <v>43343.709421296298</v>
      </c>
      <c r="B2950" s="11" t="str">
        <f>HYPERLINK("https://twitter.com/jansakht9","@jansakht9")</f>
        <v>@jansakht9</v>
      </c>
      <c r="C2950" s="6" t="s">
        <v>9251</v>
      </c>
      <c r="D2950" s="5" t="s">
        <v>9250</v>
      </c>
      <c r="E2950" s="9" t="str">
        <f>HYPERLINK("https://twitter.com/jansakht9/status/1035505375011725314","1035505375011725314")</f>
        <v>1035505375011725314</v>
      </c>
      <c r="F2950" s="4"/>
      <c r="G2950" s="4"/>
      <c r="H2950" s="4"/>
      <c r="I2950" s="10" t="str">
        <f>HYPERLINK("https://mobile.twitter.com","Twitter Lite")</f>
        <v>Twitter Lite</v>
      </c>
      <c r="J2950" s="2">
        <v>31</v>
      </c>
      <c r="K2950" s="2">
        <v>152</v>
      </c>
      <c r="L2950" s="2">
        <v>0</v>
      </c>
      <c r="M2950" s="2"/>
      <c r="N2950" s="8">
        <v>43257.262488425928</v>
      </c>
      <c r="O2950" s="4"/>
      <c r="P2950" s="3" t="s">
        <v>9249</v>
      </c>
      <c r="Q2950" s="4"/>
      <c r="R2950" s="4"/>
      <c r="S2950" s="9" t="str">
        <f>HYPERLINK("https://pbs.twimg.com/profile_images/1033645501730549760/kne9Mzqf.jpg","View")</f>
        <v>View</v>
      </c>
    </row>
    <row r="2951" spans="1:19" ht="12.5">
      <c r="A2951" s="8">
        <v>43343.707870370374</v>
      </c>
      <c r="B2951" s="11" t="str">
        <f>HYPERLINK("https://twitter.com/Mkkianbakht","@Mkkianbakht")</f>
        <v>@Mkkianbakht</v>
      </c>
      <c r="C2951" s="6" t="s">
        <v>9248</v>
      </c>
      <c r="D2951" s="5" t="s">
        <v>9247</v>
      </c>
      <c r="E2951" s="9" t="str">
        <f>HYPERLINK("https://twitter.com/Mkkianbakht/status/1035504810450190336","1035504810450190336")</f>
        <v>1035504810450190336</v>
      </c>
      <c r="F2951" s="4"/>
      <c r="G2951" s="4"/>
      <c r="H2951" s="4"/>
      <c r="I2951" s="10" t="str">
        <f>HYPERLINK("https://mobile.twitter.com","Twitter Lite")</f>
        <v>Twitter Lite</v>
      </c>
      <c r="J2951" s="2">
        <v>30</v>
      </c>
      <c r="K2951" s="2">
        <v>99</v>
      </c>
      <c r="L2951" s="2">
        <v>0</v>
      </c>
      <c r="M2951" s="2"/>
      <c r="N2951" s="8">
        <v>42839.9300462963</v>
      </c>
      <c r="O2951" s="4" t="s">
        <v>9246</v>
      </c>
      <c r="P2951" s="3"/>
      <c r="Q2951" s="4"/>
      <c r="R2951" s="4"/>
      <c r="S2951" s="9" t="str">
        <f>HYPERLINK("https://pbs.twimg.com/profile_images/852943020739641344/xmkylwh1.jpg","View")</f>
        <v>View</v>
      </c>
    </row>
    <row r="2952" spans="1:19" ht="40">
      <c r="A2952" s="8">
        <v>43343.706018518518</v>
      </c>
      <c r="B2952" s="11" t="str">
        <f>HYPERLINK("https://twitter.com/AminSabeti","@AminSabeti")</f>
        <v>@AminSabeti</v>
      </c>
      <c r="C2952" s="6" t="s">
        <v>9077</v>
      </c>
      <c r="D2952" s="5" t="s">
        <v>9245</v>
      </c>
      <c r="E2952" s="9" t="str">
        <f>HYPERLINK("https://twitter.com/AminSabeti/status/1035504139554447365","1035504139554447365")</f>
        <v>1035504139554447365</v>
      </c>
      <c r="F2952" s="4"/>
      <c r="G2952" s="4"/>
      <c r="H2952" s="4"/>
      <c r="I2952" s="10" t="str">
        <f>HYPERLINK("http://twitter.com/download/android","Twitter for Android")</f>
        <v>Twitter for Android</v>
      </c>
      <c r="J2952" s="2">
        <v>48212</v>
      </c>
      <c r="K2952" s="2">
        <v>1306</v>
      </c>
      <c r="L2952" s="2">
        <v>293</v>
      </c>
      <c r="M2952" s="2"/>
      <c r="N2952" s="8">
        <v>39124.692881944444</v>
      </c>
      <c r="O2952" s="4" t="s">
        <v>9074</v>
      </c>
      <c r="P2952" s="3" t="s">
        <v>9073</v>
      </c>
      <c r="Q2952" s="10" t="s">
        <v>9072</v>
      </c>
      <c r="R2952" s="4"/>
      <c r="S2952" s="9" t="str">
        <f>HYPERLINK("https://pbs.twimg.com/profile_images/54854187/avatar.jpg","View")</f>
        <v>View</v>
      </c>
    </row>
    <row r="2953" spans="1:19" ht="40">
      <c r="A2953" s="8">
        <v>43343.704189814816</v>
      </c>
      <c r="B2953" s="11" t="str">
        <f>HYPERLINK("https://twitter.com/sajad0740","@sajad0740")</f>
        <v>@sajad0740</v>
      </c>
      <c r="C2953" s="6" t="s">
        <v>8821</v>
      </c>
      <c r="D2953" s="5" t="s">
        <v>9244</v>
      </c>
      <c r="E2953" s="9" t="str">
        <f>HYPERLINK("https://twitter.com/sajad0740/status/1035503476732653568","1035503476732653568")</f>
        <v>1035503476732653568</v>
      </c>
      <c r="F2953" s="4"/>
      <c r="G2953" s="4"/>
      <c r="H2953" s="4"/>
      <c r="I2953" s="10" t="str">
        <f>HYPERLINK("http://twitter.com","Twitter Web Client")</f>
        <v>Twitter Web Client</v>
      </c>
      <c r="J2953" s="2">
        <v>0</v>
      </c>
      <c r="K2953" s="2">
        <v>0</v>
      </c>
      <c r="L2953" s="2">
        <v>0</v>
      </c>
      <c r="M2953" s="2"/>
      <c r="N2953" s="8">
        <v>43335.526076388887</v>
      </c>
      <c r="O2953" s="4"/>
      <c r="P2953" s="3"/>
      <c r="Q2953" s="4"/>
      <c r="R2953" s="4"/>
      <c r="S2953" s="9" t="str">
        <f>HYPERLINK("https://pbs.twimg.com/profile_images/1032548242926391296/p471Ob5L.jpg","View")</f>
        <v>View</v>
      </c>
    </row>
    <row r="2954" spans="1:19" ht="30">
      <c r="A2954" s="8">
        <v>43343.702465277776</v>
      </c>
      <c r="B2954" s="11" t="str">
        <f>HYPERLINK("https://twitter.com/hecomes1992","@hecomes1992")</f>
        <v>@hecomes1992</v>
      </c>
      <c r="C2954" s="6" t="s">
        <v>9243</v>
      </c>
      <c r="D2954" s="5" t="s">
        <v>9242</v>
      </c>
      <c r="E2954" s="9" t="str">
        <f>HYPERLINK("https://twitter.com/hecomes1992/status/1035502852750430209","1035502852750430209")</f>
        <v>1035502852750430209</v>
      </c>
      <c r="F2954" s="4"/>
      <c r="G2954" s="4"/>
      <c r="H2954" s="4"/>
      <c r="I2954" s="10" t="str">
        <f>HYPERLINK("http://twitter.com/download/android","Twitter for Android")</f>
        <v>Twitter for Android</v>
      </c>
      <c r="J2954" s="2">
        <v>343</v>
      </c>
      <c r="K2954" s="2">
        <v>384</v>
      </c>
      <c r="L2954" s="2">
        <v>0</v>
      </c>
      <c r="M2954" s="2"/>
      <c r="N2954" s="8">
        <v>42922.714907407411</v>
      </c>
      <c r="O2954" s="4" t="s">
        <v>34</v>
      </c>
      <c r="P2954" s="3" t="s">
        <v>9241</v>
      </c>
      <c r="Q2954" s="4"/>
      <c r="R2954" s="4"/>
      <c r="S2954" s="9" t="str">
        <f>HYPERLINK("https://pbs.twimg.com/profile_images/1029019243399073792/vpo_Lo3p.jpg","View")</f>
        <v>View</v>
      </c>
    </row>
    <row r="2955" spans="1:19" ht="20">
      <c r="A2955" s="8">
        <v>43343.701921296291</v>
      </c>
      <c r="B2955" s="11" t="str">
        <f>HYPERLINK("https://twitter.com/aryas_rahmani","@aryas_rahmani")</f>
        <v>@aryas_rahmani</v>
      </c>
      <c r="C2955" s="6" t="s">
        <v>9240</v>
      </c>
      <c r="D2955" s="5" t="s">
        <v>9239</v>
      </c>
      <c r="E2955" s="9" t="str">
        <f>HYPERLINK("https://twitter.com/aryas_rahmani/status/1035502657677549568","1035502657677549568")</f>
        <v>1035502657677549568</v>
      </c>
      <c r="F2955" s="4"/>
      <c r="G2955" s="4"/>
      <c r="H2955" s="4"/>
      <c r="I2955" s="10" t="str">
        <f>HYPERLINK("http://twitter.com/download/android","Twitter for Android")</f>
        <v>Twitter for Android</v>
      </c>
      <c r="J2955" s="2">
        <v>6</v>
      </c>
      <c r="K2955" s="2">
        <v>37</v>
      </c>
      <c r="L2955" s="2">
        <v>0</v>
      </c>
      <c r="M2955" s="2"/>
      <c r="N2955" s="8">
        <v>43270.686203703706</v>
      </c>
      <c r="O2955" s="4"/>
      <c r="P2955" s="3" t="s">
        <v>9238</v>
      </c>
      <c r="Q2955" s="4"/>
      <c r="R2955" s="4"/>
      <c r="S2955" s="9" t="str">
        <f>HYPERLINK("https://pbs.twimg.com/profile_images/1009045346033569792/-1Z0ZXJ8.jpg","View")</f>
        <v>View</v>
      </c>
    </row>
    <row r="2956" spans="1:19" ht="30">
      <c r="A2956" s="8">
        <v>43343.696458333332</v>
      </c>
      <c r="B2956" s="11" t="str">
        <f>HYPERLINK("https://twitter.com/Eranico_com","@Eranico_com")</f>
        <v>@Eranico_com</v>
      </c>
      <c r="C2956" s="6" t="s">
        <v>6113</v>
      </c>
      <c r="D2956" s="5" t="s">
        <v>9237</v>
      </c>
      <c r="E2956" s="9" t="str">
        <f>HYPERLINK("https://twitter.com/Eranico_com/status/1035500676581928960","1035500676581928960")</f>
        <v>1035500676581928960</v>
      </c>
      <c r="F2956" s="4"/>
      <c r="G2956" s="10" t="s">
        <v>9236</v>
      </c>
      <c r="H2956" s="4"/>
      <c r="I2956" s="10" t="str">
        <f>HYPERLINK("http://twitter.com/download/iphone","Twitter for iPhone")</f>
        <v>Twitter for iPhone</v>
      </c>
      <c r="J2956" s="2">
        <v>7514</v>
      </c>
      <c r="K2956" s="2">
        <v>103</v>
      </c>
      <c r="L2956" s="2">
        <v>123</v>
      </c>
      <c r="M2956" s="2"/>
      <c r="N2956" s="8">
        <v>41771.456817129627</v>
      </c>
      <c r="O2956" s="4" t="s">
        <v>894</v>
      </c>
      <c r="P2956" s="3" t="s">
        <v>6110</v>
      </c>
      <c r="Q2956" s="10" t="s">
        <v>6109</v>
      </c>
      <c r="R2956" s="4"/>
      <c r="S2956" s="9" t="str">
        <f>HYPERLINK("https://pbs.twimg.com/profile_images/932620790100647936/TOsgkBi2.jpg","View")</f>
        <v>View</v>
      </c>
    </row>
    <row r="2957" spans="1:19" ht="20">
      <c r="A2957" s="8">
        <v>43343.688634259262</v>
      </c>
      <c r="B2957" s="11" t="str">
        <f>HYPERLINK("https://twitter.com/hessamabnoos","@hessamabnoos")</f>
        <v>@hessamabnoos</v>
      </c>
      <c r="C2957" s="6" t="s">
        <v>9235</v>
      </c>
      <c r="D2957" s="5" t="s">
        <v>9234</v>
      </c>
      <c r="E2957" s="9" t="str">
        <f>HYPERLINK("https://twitter.com/hessamabnoos/status/1035497840649404416","1035497840649404416")</f>
        <v>1035497840649404416</v>
      </c>
      <c r="F2957" s="4"/>
      <c r="G2957" s="4"/>
      <c r="H2957" s="4"/>
      <c r="I2957" s="10" t="str">
        <f>HYPERLINK("http://twitter.com","Twitter Web Client")</f>
        <v>Twitter Web Client</v>
      </c>
      <c r="J2957" s="2">
        <v>1882</v>
      </c>
      <c r="K2957" s="2">
        <v>678</v>
      </c>
      <c r="L2957" s="2">
        <v>21</v>
      </c>
      <c r="M2957" s="2"/>
      <c r="N2957" s="8">
        <v>41895.560856481483</v>
      </c>
      <c r="O2957" s="4"/>
      <c r="P2957" s="3" t="s">
        <v>9233</v>
      </c>
      <c r="Q2957" s="4"/>
      <c r="R2957" s="4"/>
      <c r="S2957" s="9" t="str">
        <f>HYPERLINK("https://pbs.twimg.com/profile_images/1022047050807103488/CRB4NZXD.jpg","View")</f>
        <v>View</v>
      </c>
    </row>
    <row r="2958" spans="1:19" ht="30">
      <c r="A2958" s="8">
        <v>43343.688449074078</v>
      </c>
      <c r="B2958" s="11" t="str">
        <f>HYPERLINK("https://twitter.com/masrouralireza","@masrouralireza")</f>
        <v>@masrouralireza</v>
      </c>
      <c r="C2958" s="6" t="s">
        <v>5543</v>
      </c>
      <c r="D2958" s="5" t="s">
        <v>9232</v>
      </c>
      <c r="E2958" s="9" t="str">
        <f>HYPERLINK("https://twitter.com/masrouralireza/status/1035497772978515969","1035497772978515969")</f>
        <v>1035497772978515969</v>
      </c>
      <c r="F2958" s="4"/>
      <c r="G2958" s="4"/>
      <c r="H2958" s="4"/>
      <c r="I2958" s="10" t="str">
        <f>HYPERLINK("http://twitter.com/download/iphone","Twitter for iPhone")</f>
        <v>Twitter for iPhone</v>
      </c>
      <c r="J2958" s="2">
        <v>1154</v>
      </c>
      <c r="K2958" s="2">
        <v>1255</v>
      </c>
      <c r="L2958" s="2">
        <v>8</v>
      </c>
      <c r="M2958" s="2"/>
      <c r="N2958" s="8">
        <v>43103.558159722219</v>
      </c>
      <c r="O2958" s="4" t="s">
        <v>34</v>
      </c>
      <c r="P2958" s="3" t="s">
        <v>5540</v>
      </c>
      <c r="Q2958" s="10" t="s">
        <v>5539</v>
      </c>
      <c r="R2958" s="4"/>
      <c r="S2958" s="9" t="str">
        <f>HYPERLINK("https://pbs.twimg.com/profile_images/1033637084827996160/QS56Eei7.jpg","View")</f>
        <v>View</v>
      </c>
    </row>
    <row r="2959" spans="1:19" ht="60">
      <c r="A2959" s="8">
        <v>43343.687025462961</v>
      </c>
      <c r="B2959" s="11" t="str">
        <f>HYPERLINK("https://twitter.com/mehashemi1","@mehashemi1")</f>
        <v>@mehashemi1</v>
      </c>
      <c r="C2959" s="6" t="s">
        <v>9231</v>
      </c>
      <c r="D2959" s="5" t="s">
        <v>9230</v>
      </c>
      <c r="E2959" s="9" t="str">
        <f>HYPERLINK("https://twitter.com/mehashemi1/status/1035497258773430272","1035497258773430272")</f>
        <v>1035497258773430272</v>
      </c>
      <c r="F2959" s="10" t="s">
        <v>9229</v>
      </c>
      <c r="G2959" s="10" t="s">
        <v>9228</v>
      </c>
      <c r="H2959" s="4"/>
      <c r="I2959" s="10" t="str">
        <f>HYPERLINK("http://twitter.com/download/android","Twitter for Android")</f>
        <v>Twitter for Android</v>
      </c>
      <c r="J2959" s="2">
        <v>192</v>
      </c>
      <c r="K2959" s="2">
        <v>819</v>
      </c>
      <c r="L2959" s="2">
        <v>1</v>
      </c>
      <c r="M2959" s="2"/>
      <c r="N2959" s="8">
        <v>40503.809687499997</v>
      </c>
      <c r="O2959" s="4" t="s">
        <v>133</v>
      </c>
      <c r="P2959" s="3" t="s">
        <v>9227</v>
      </c>
      <c r="Q2959" s="10" t="s">
        <v>9226</v>
      </c>
      <c r="R2959" s="4"/>
      <c r="S2959" s="9" t="str">
        <f>HYPERLINK("https://pbs.twimg.com/profile_images/945300720722628608/H2az5LH_.jpg","View")</f>
        <v>View</v>
      </c>
    </row>
    <row r="2960" spans="1:19" ht="40">
      <c r="A2960" s="8">
        <v>43343.680868055555</v>
      </c>
      <c r="B2960" s="11" t="str">
        <f>HYPERLINK("https://twitter.com/nasim_tavakol","@nasim_tavakol")</f>
        <v>@nasim_tavakol</v>
      </c>
      <c r="C2960" s="6" t="s">
        <v>4728</v>
      </c>
      <c r="D2960" s="5" t="s">
        <v>9225</v>
      </c>
      <c r="E2960" s="9" t="str">
        <f>HYPERLINK("https://twitter.com/nasim_tavakol/status/1035495024467865600","1035495024467865600")</f>
        <v>1035495024467865600</v>
      </c>
      <c r="F2960" s="4"/>
      <c r="G2960" s="4"/>
      <c r="H2960" s="4"/>
      <c r="I2960" s="10" t="str">
        <f>HYPERLINK("http://twitter.com/download/iphone","Twitter for iPhone")</f>
        <v>Twitter for iPhone</v>
      </c>
      <c r="J2960" s="2">
        <v>458</v>
      </c>
      <c r="K2960" s="2">
        <v>779</v>
      </c>
      <c r="L2960" s="2">
        <v>1</v>
      </c>
      <c r="M2960" s="2"/>
      <c r="N2960" s="8">
        <v>42981.026620370365</v>
      </c>
      <c r="O2960" s="4" t="s">
        <v>34</v>
      </c>
      <c r="P2960" s="3" t="s">
        <v>4726</v>
      </c>
      <c r="Q2960" s="10" t="s">
        <v>4725</v>
      </c>
      <c r="R2960" s="4"/>
      <c r="S2960" s="9" t="str">
        <f>HYPERLINK("https://pbs.twimg.com/profile_images/904076882911645697/nMvHxPQ7.jpg","View")</f>
        <v>View</v>
      </c>
    </row>
    <row r="2961" spans="1:19" ht="40">
      <c r="A2961" s="8">
        <v>43343.679641203707</v>
      </c>
      <c r="B2961" s="11" t="str">
        <f>HYPERLINK("https://twitter.com/BarsaReza","@BarsaReza")</f>
        <v>@BarsaReza</v>
      </c>
      <c r="C2961" s="6" t="s">
        <v>5187</v>
      </c>
      <c r="D2961" s="5" t="s">
        <v>9224</v>
      </c>
      <c r="E2961" s="9" t="str">
        <f>HYPERLINK("https://twitter.com/BarsaReza/status/1035494581842980864","1035494581842980864")</f>
        <v>1035494581842980864</v>
      </c>
      <c r="F2961" s="4"/>
      <c r="G2961" s="10" t="s">
        <v>9223</v>
      </c>
      <c r="H2961" s="4"/>
      <c r="I2961" s="10" t="str">
        <f>HYPERLINK("http://twitter.com/download/iphone","Twitter for iPhone")</f>
        <v>Twitter for iPhone</v>
      </c>
      <c r="J2961" s="2">
        <v>1673</v>
      </c>
      <c r="K2961" s="2">
        <v>1455</v>
      </c>
      <c r="L2961" s="2">
        <v>7</v>
      </c>
      <c r="M2961" s="2"/>
      <c r="N2961" s="8">
        <v>42929.095821759256</v>
      </c>
      <c r="O2961" s="4" t="s">
        <v>5185</v>
      </c>
      <c r="P2961" s="3" t="s">
        <v>5184</v>
      </c>
      <c r="Q2961" s="4"/>
      <c r="R2961" s="4"/>
      <c r="S2961" s="9" t="str">
        <f>HYPERLINK("https://pbs.twimg.com/profile_images/1024991695631339520/D5HPsKiC.jpg","View")</f>
        <v>View</v>
      </c>
    </row>
    <row r="2962" spans="1:19" ht="40">
      <c r="A2962" s="8">
        <v>43343.678738425922</v>
      </c>
      <c r="B2962" s="11" t="str">
        <f>HYPERLINK("https://twitter.com/ReformistBoy","@ReformistBoy")</f>
        <v>@ReformistBoy</v>
      </c>
      <c r="C2962" s="6" t="s">
        <v>4640</v>
      </c>
      <c r="D2962" s="5" t="s">
        <v>9222</v>
      </c>
      <c r="E2962" s="9" t="str">
        <f>HYPERLINK("https://twitter.com/ReformistBoy/status/1035494252497788930","1035494252497788930")</f>
        <v>1035494252497788930</v>
      </c>
      <c r="F2962" s="4"/>
      <c r="G2962" s="4"/>
      <c r="H2962" s="4"/>
      <c r="I2962" s="10" t="str">
        <f>HYPERLINK("http://twitter.com/download/android","Twitter for Android")</f>
        <v>Twitter for Android</v>
      </c>
      <c r="J2962" s="2">
        <v>777</v>
      </c>
      <c r="K2962" s="2">
        <v>383</v>
      </c>
      <c r="L2962" s="2">
        <v>2</v>
      </c>
      <c r="M2962" s="2"/>
      <c r="N2962" s="8">
        <v>41841.961365740739</v>
      </c>
      <c r="O2962" s="4" t="s">
        <v>4637</v>
      </c>
      <c r="P2962" s="3" t="s">
        <v>4636</v>
      </c>
      <c r="Q2962" s="4"/>
      <c r="R2962" s="4"/>
      <c r="S2962" s="9" t="str">
        <f>HYPERLINK("https://pbs.twimg.com/profile_images/1024208644286701568/nb2BOkhE.jpg","View")</f>
        <v>View</v>
      </c>
    </row>
    <row r="2963" spans="1:19" ht="30">
      <c r="A2963" s="8">
        <v>43343.675740740742</v>
      </c>
      <c r="B2963" s="11" t="str">
        <f>HYPERLINK("https://twitter.com/sabaghi_as","@sabaghi_as")</f>
        <v>@sabaghi_as</v>
      </c>
      <c r="C2963" s="6" t="s">
        <v>9221</v>
      </c>
      <c r="D2963" s="5" t="s">
        <v>9220</v>
      </c>
      <c r="E2963" s="9" t="str">
        <f>HYPERLINK("https://twitter.com/sabaghi_as/status/1035493168962314241","1035493168962314241")</f>
        <v>1035493168962314241</v>
      </c>
      <c r="F2963" s="4"/>
      <c r="G2963" s="4"/>
      <c r="H2963" s="4"/>
      <c r="I2963" s="10" t="str">
        <f>HYPERLINK("http://twitter.com","Twitter Web Client")</f>
        <v>Twitter Web Client</v>
      </c>
      <c r="J2963" s="2">
        <v>152</v>
      </c>
      <c r="K2963" s="2">
        <v>1242</v>
      </c>
      <c r="L2963" s="2">
        <v>0</v>
      </c>
      <c r="M2963" s="2"/>
      <c r="N2963" s="8">
        <v>42112.987986111111</v>
      </c>
      <c r="O2963" s="4" t="s">
        <v>34</v>
      </c>
      <c r="P2963" s="3" t="s">
        <v>9219</v>
      </c>
      <c r="Q2963" s="10" t="s">
        <v>9218</v>
      </c>
      <c r="R2963" s="4"/>
      <c r="S2963" s="9" t="str">
        <f>HYPERLINK("https://pbs.twimg.com/profile_images/955729061376155648/BNxcGkLy.jpg","View")</f>
        <v>View</v>
      </c>
    </row>
    <row r="2964" spans="1:19" ht="40">
      <c r="A2964" s="8">
        <v>43343.67559027778</v>
      </c>
      <c r="B2964" s="11" t="str">
        <f>HYPERLINK("https://twitter.com/Hassan56281713","@Hassan56281713")</f>
        <v>@Hassan56281713</v>
      </c>
      <c r="C2964" s="6" t="s">
        <v>9217</v>
      </c>
      <c r="D2964" s="5" t="s">
        <v>9216</v>
      </c>
      <c r="E2964" s="9" t="str">
        <f>HYPERLINK("https://twitter.com/Hassan56281713/status/1035493115539476481","1035493115539476481")</f>
        <v>1035493115539476481</v>
      </c>
      <c r="F2964" s="4"/>
      <c r="G2964" s="4"/>
      <c r="H2964" s="4"/>
      <c r="I2964" s="10" t="str">
        <f>HYPERLINK("http://twitter.com/download/android","Twitter for Android")</f>
        <v>Twitter for Android</v>
      </c>
      <c r="J2964" s="2">
        <v>79</v>
      </c>
      <c r="K2964" s="2">
        <v>14</v>
      </c>
      <c r="L2964" s="2">
        <v>0</v>
      </c>
      <c r="M2964" s="2"/>
      <c r="N2964" s="8">
        <v>43231.490474537037</v>
      </c>
      <c r="O2964" s="4"/>
      <c r="P2964" s="3"/>
      <c r="Q2964" s="4"/>
      <c r="R2964" s="4"/>
      <c r="S2964" s="2" t="s">
        <v>155</v>
      </c>
    </row>
    <row r="2965" spans="1:19" ht="40">
      <c r="A2965" s="8">
        <v>43343.670486111107</v>
      </c>
      <c r="B2965" s="11" t="str">
        <f>HYPERLINK("https://twitter.com/hamidih7","@hamidih7")</f>
        <v>@hamidih7</v>
      </c>
      <c r="C2965" s="6" t="s">
        <v>9215</v>
      </c>
      <c r="D2965" s="5" t="s">
        <v>9214</v>
      </c>
      <c r="E2965" s="9" t="str">
        <f>HYPERLINK("https://twitter.com/hamidih7/status/1035491262743367680","1035491262743367680")</f>
        <v>1035491262743367680</v>
      </c>
      <c r="F2965" s="4"/>
      <c r="G2965" s="10" t="s">
        <v>9213</v>
      </c>
      <c r="H2965" s="4"/>
      <c r="I2965" s="10" t="str">
        <f>HYPERLINK("http://twitter.com/download/android","Twitter for Android")</f>
        <v>Twitter for Android</v>
      </c>
      <c r="J2965" s="2">
        <v>96</v>
      </c>
      <c r="K2965" s="2">
        <v>84</v>
      </c>
      <c r="L2965" s="2">
        <v>0</v>
      </c>
      <c r="M2965" s="2"/>
      <c r="N2965" s="8">
        <v>43102.621481481481</v>
      </c>
      <c r="O2965" s="4" t="s">
        <v>17</v>
      </c>
      <c r="P2965" s="3" t="s">
        <v>9212</v>
      </c>
      <c r="Q2965" s="4"/>
      <c r="R2965" s="4"/>
      <c r="S2965" s="9" t="str">
        <f>HYPERLINK("https://pbs.twimg.com/profile_images/955161200341520384/HM3GkWSv.jpg","View")</f>
        <v>View</v>
      </c>
    </row>
    <row r="2966" spans="1:19" ht="40">
      <c r="A2966" s="8">
        <v>43343.666921296295</v>
      </c>
      <c r="B2966" s="11" t="str">
        <f>HYPERLINK("https://twitter.com/mmoheimany","@mmoheimany")</f>
        <v>@mmoheimany</v>
      </c>
      <c r="C2966" s="6" t="s">
        <v>9191</v>
      </c>
      <c r="D2966" s="5" t="s">
        <v>9211</v>
      </c>
      <c r="E2966" s="9" t="str">
        <f>HYPERLINK("https://twitter.com/mmoheimany/status/1035489970360856576","1035489970360856576")</f>
        <v>1035489970360856576</v>
      </c>
      <c r="F2966" s="4"/>
      <c r="G2966" s="10" t="s">
        <v>9210</v>
      </c>
      <c r="H2966" s="4"/>
      <c r="I2966" s="10" t="str">
        <f>HYPERLINK("http://twitter.com","Twitter Web Client")</f>
        <v>Twitter Web Client</v>
      </c>
      <c r="J2966" s="2">
        <v>1411</v>
      </c>
      <c r="K2966" s="2">
        <v>1011</v>
      </c>
      <c r="L2966" s="2">
        <v>2</v>
      </c>
      <c r="M2966" s="2"/>
      <c r="N2966" s="8">
        <v>42729.674490740741</v>
      </c>
      <c r="O2966" s="4" t="s">
        <v>9188</v>
      </c>
      <c r="P2966" s="3" t="s">
        <v>9187</v>
      </c>
      <c r="Q2966" s="4"/>
      <c r="R2966" s="4"/>
      <c r="S2966" s="9" t="str">
        <f>HYPERLINK("https://pbs.twimg.com/profile_images/1034025033281220609/BjjTQQNT.jpg","View")</f>
        <v>View</v>
      </c>
    </row>
    <row r="2967" spans="1:19" ht="30">
      <c r="A2967" s="8">
        <v>43343.666608796295</v>
      </c>
      <c r="B2967" s="11" t="str">
        <f>HYPERLINK("https://twitter.com/Shahnam27970510","@Shahnam27970510")</f>
        <v>@Shahnam27970510</v>
      </c>
      <c r="C2967" s="6" t="s">
        <v>9208</v>
      </c>
      <c r="D2967" s="5" t="s">
        <v>9209</v>
      </c>
      <c r="E2967" s="9" t="str">
        <f>HYPERLINK("https://twitter.com/Shahnam27970510/status/1035489859325050880","1035489859325050880")</f>
        <v>1035489859325050880</v>
      </c>
      <c r="F2967" s="4"/>
      <c r="G2967" s="4"/>
      <c r="H2967" s="4"/>
      <c r="I2967" s="10" t="str">
        <f>HYPERLINK("http://twitter.com/download/android","Twitter for Android")</f>
        <v>Twitter for Android</v>
      </c>
      <c r="J2967" s="2">
        <v>5</v>
      </c>
      <c r="K2967" s="2">
        <v>16</v>
      </c>
      <c r="L2967" s="2">
        <v>0</v>
      </c>
      <c r="M2967" s="2"/>
      <c r="N2967" s="8">
        <v>43127.094641203701</v>
      </c>
      <c r="O2967" s="4"/>
      <c r="P2967" s="3" t="s">
        <v>9206</v>
      </c>
      <c r="Q2967" s="4"/>
      <c r="R2967" s="4"/>
      <c r="S2967" s="9" t="str">
        <f>HYPERLINK("https://pbs.twimg.com/profile_images/1013128177600942080/wAqkeT95.jpg","View")</f>
        <v>View</v>
      </c>
    </row>
    <row r="2968" spans="1:19" ht="20">
      <c r="A2968" s="8">
        <v>43343.660578703704</v>
      </c>
      <c r="B2968" s="11" t="str">
        <f>HYPERLINK("https://twitter.com/Shahnam27970510","@Shahnam27970510")</f>
        <v>@Shahnam27970510</v>
      </c>
      <c r="C2968" s="6" t="s">
        <v>9208</v>
      </c>
      <c r="D2968" s="5" t="s">
        <v>9207</v>
      </c>
      <c r="E2968" s="9" t="str">
        <f>HYPERLINK("https://twitter.com/Shahnam27970510/status/1035487675401334784","1035487675401334784")</f>
        <v>1035487675401334784</v>
      </c>
      <c r="F2968" s="4"/>
      <c r="G2968" s="4"/>
      <c r="H2968" s="4"/>
      <c r="I2968" s="10" t="str">
        <f>HYPERLINK("http://twitter.com/download/android","Twitter for Android")</f>
        <v>Twitter for Android</v>
      </c>
      <c r="J2968" s="2">
        <v>5</v>
      </c>
      <c r="K2968" s="2">
        <v>16</v>
      </c>
      <c r="L2968" s="2">
        <v>0</v>
      </c>
      <c r="M2968" s="2"/>
      <c r="N2968" s="8">
        <v>43127.094641203701</v>
      </c>
      <c r="O2968" s="4"/>
      <c r="P2968" s="3" t="s">
        <v>9206</v>
      </c>
      <c r="Q2968" s="4"/>
      <c r="R2968" s="4"/>
      <c r="S2968" s="9" t="str">
        <f>HYPERLINK("https://pbs.twimg.com/profile_images/1013128177600942080/wAqkeT95.jpg","View")</f>
        <v>View</v>
      </c>
    </row>
    <row r="2969" spans="1:19" ht="12.5">
      <c r="A2969" s="8">
        <v>43343.659953703704</v>
      </c>
      <c r="B2969" s="11" t="str">
        <f>HYPERLINK("https://twitter.com/Saman_emamii","@Saman_emamii")</f>
        <v>@Saman_emamii</v>
      </c>
      <c r="C2969" s="6" t="s">
        <v>9205</v>
      </c>
      <c r="D2969" s="5" t="s">
        <v>9204</v>
      </c>
      <c r="E2969" s="9" t="str">
        <f>HYPERLINK("https://twitter.com/Saman_emamii/status/1035487445939306497","1035487445939306497")</f>
        <v>1035487445939306497</v>
      </c>
      <c r="F2969" s="4"/>
      <c r="G2969" s="10" t="s">
        <v>9203</v>
      </c>
      <c r="H2969" s="4"/>
      <c r="I2969" s="10" t="str">
        <f>HYPERLINK("http://twitter.com/download/android","Twitter for Android")</f>
        <v>Twitter for Android</v>
      </c>
      <c r="J2969" s="2">
        <v>27</v>
      </c>
      <c r="K2969" s="2">
        <v>114</v>
      </c>
      <c r="L2969" s="2">
        <v>0</v>
      </c>
      <c r="M2969" s="2"/>
      <c r="N2969" s="8">
        <v>43088.188067129631</v>
      </c>
      <c r="O2969" s="4" t="s">
        <v>3787</v>
      </c>
      <c r="P2969" s="3" t="s">
        <v>9202</v>
      </c>
      <c r="Q2969" s="4"/>
      <c r="R2969" s="4"/>
      <c r="S2969" s="9" t="str">
        <f>HYPERLINK("https://pbs.twimg.com/profile_images/1011673344318550017/WNlLCmSs.jpg","View")</f>
        <v>View</v>
      </c>
    </row>
    <row r="2970" spans="1:19" ht="40">
      <c r="A2970" s="8">
        <v>43343.659675925926</v>
      </c>
      <c r="B2970" s="11" t="str">
        <f>HYPERLINK("https://twitter.com/Malavan__zebel","@Malavan__zebel")</f>
        <v>@Malavan__zebel</v>
      </c>
      <c r="C2970" s="6" t="s">
        <v>9201</v>
      </c>
      <c r="D2970" s="5" t="s">
        <v>9200</v>
      </c>
      <c r="E2970" s="9" t="str">
        <f>HYPERLINK("https://twitter.com/Malavan__zebel/status/1035487348396630017","1035487348396630017")</f>
        <v>1035487348396630017</v>
      </c>
      <c r="F2970" s="4"/>
      <c r="G2970" s="4"/>
      <c r="H2970" s="4"/>
      <c r="I2970" s="10" t="str">
        <f>HYPERLINK("http://twitter.com/download/android","Twitter for Android")</f>
        <v>Twitter for Android</v>
      </c>
      <c r="J2970" s="2">
        <v>149</v>
      </c>
      <c r="K2970" s="2">
        <v>74</v>
      </c>
      <c r="L2970" s="2">
        <v>0</v>
      </c>
      <c r="M2970" s="2"/>
      <c r="N2970" s="8">
        <v>43038.577708333338</v>
      </c>
      <c r="O2970" s="4" t="s">
        <v>2642</v>
      </c>
      <c r="P2970" s="3" t="s">
        <v>9199</v>
      </c>
      <c r="Q2970" s="4"/>
      <c r="R2970" s="4"/>
      <c r="S2970" s="9" t="str">
        <f>HYPERLINK("https://pbs.twimg.com/profile_images/941208710826938369/IvrxJMm1.jpg","View")</f>
        <v>View</v>
      </c>
    </row>
    <row r="2971" spans="1:19" ht="20">
      <c r="A2971" s="8">
        <v>43343.657476851848</v>
      </c>
      <c r="B2971" s="11" t="str">
        <f>HYPERLINK("https://twitter.com/AlirezaPlk","@AlirezaPlk")</f>
        <v>@AlirezaPlk</v>
      </c>
      <c r="C2971" s="6" t="s">
        <v>9198</v>
      </c>
      <c r="D2971" s="5" t="s">
        <v>9197</v>
      </c>
      <c r="E2971" s="9" t="str">
        <f>HYPERLINK("https://twitter.com/AlirezaPlk/status/1035486548408582144","1035486548408582144")</f>
        <v>1035486548408582144</v>
      </c>
      <c r="F2971" s="4"/>
      <c r="G2971" s="4"/>
      <c r="H2971" s="4"/>
      <c r="I2971" s="10" t="str">
        <f>HYPERLINK("http://twitter.com/download/iphone","Twitter for iPhone")</f>
        <v>Twitter for iPhone</v>
      </c>
      <c r="J2971" s="2">
        <v>20</v>
      </c>
      <c r="K2971" s="2">
        <v>80</v>
      </c>
      <c r="L2971" s="2">
        <v>0</v>
      </c>
      <c r="M2971" s="2"/>
      <c r="N2971" s="8">
        <v>42199.792245370365</v>
      </c>
      <c r="O2971" s="4" t="s">
        <v>133</v>
      </c>
      <c r="P2971" s="3" t="s">
        <v>9196</v>
      </c>
      <c r="Q2971" s="4"/>
      <c r="R2971" s="4"/>
      <c r="S2971" s="9" t="str">
        <f>HYPERLINK("https://pbs.twimg.com/profile_images/1004998994106429440/0SRTua_2.jpg","View")</f>
        <v>View</v>
      </c>
    </row>
    <row r="2972" spans="1:19" ht="40">
      <c r="A2972" s="8">
        <v>43343.653831018513</v>
      </c>
      <c r="B2972" s="11" t="str">
        <f>HYPERLINK("https://twitter.com/Tasnimnews_Fa","@Tasnimnews_Fa")</f>
        <v>@Tasnimnews_Fa</v>
      </c>
      <c r="C2972" s="6" t="s">
        <v>603</v>
      </c>
      <c r="D2972" s="5" t="s">
        <v>9195</v>
      </c>
      <c r="E2972" s="9" t="str">
        <f>HYPERLINK("https://twitter.com/Tasnimnews_Fa/status/1035485229530660865","1035485229530660865")</f>
        <v>1035485229530660865</v>
      </c>
      <c r="F2972" s="10" t="s">
        <v>9194</v>
      </c>
      <c r="G2972" s="10" t="s">
        <v>9193</v>
      </c>
      <c r="H2972" s="4"/>
      <c r="I2972" s="10" t="str">
        <f>HYPERLINK("http://twitter.com/download/iphone","Twitter for iPhone")</f>
        <v>Twitter for iPhone</v>
      </c>
      <c r="J2972" s="2">
        <v>109500</v>
      </c>
      <c r="K2972" s="2">
        <v>20</v>
      </c>
      <c r="L2972" s="2">
        <v>377</v>
      </c>
      <c r="M2972" s="2" t="s">
        <v>80</v>
      </c>
      <c r="N2972" s="8">
        <v>41868.671585648146</v>
      </c>
      <c r="O2972" s="4" t="s">
        <v>133</v>
      </c>
      <c r="P2972" s="3" t="s">
        <v>599</v>
      </c>
      <c r="Q2972" s="10" t="s">
        <v>598</v>
      </c>
      <c r="R2972" s="4"/>
      <c r="S2972" s="9" t="str">
        <f>HYPERLINK("https://pbs.twimg.com/profile_images/942003149430239232/hvLw_1_E.jpg","View")</f>
        <v>View</v>
      </c>
    </row>
    <row r="2973" spans="1:19" ht="40">
      <c r="A2973" s="8">
        <v>43343.652962962966</v>
      </c>
      <c r="B2973" s="11" t="str">
        <f>HYPERLINK("https://twitter.com/MahourLotfi","@MahourLotfi")</f>
        <v>@MahourLotfi</v>
      </c>
      <c r="C2973" s="6" t="s">
        <v>9150</v>
      </c>
      <c r="D2973" s="5" t="s">
        <v>9192</v>
      </c>
      <c r="E2973" s="9" t="str">
        <f>HYPERLINK("https://twitter.com/MahourLotfi/status/1035484912961376256","1035484912961376256")</f>
        <v>1035484912961376256</v>
      </c>
      <c r="F2973" s="4"/>
      <c r="G2973" s="4"/>
      <c r="H2973" s="4"/>
      <c r="I2973" s="10" t="str">
        <f>HYPERLINK("http://twitter.com","Twitter Web Client")</f>
        <v>Twitter Web Client</v>
      </c>
      <c r="J2973" s="2">
        <v>84</v>
      </c>
      <c r="K2973" s="2">
        <v>39</v>
      </c>
      <c r="L2973" s="2">
        <v>1</v>
      </c>
      <c r="M2973" s="2"/>
      <c r="N2973" s="8">
        <v>42567.843703703707</v>
      </c>
      <c r="O2973" s="4" t="s">
        <v>894</v>
      </c>
      <c r="P2973" s="3" t="s">
        <v>9148</v>
      </c>
      <c r="Q2973" s="4"/>
      <c r="R2973" s="4"/>
      <c r="S2973" s="9" t="str">
        <f>HYPERLINK("https://pbs.twimg.com/profile_images/1010604928383909888/f-soDF5k.jpg","View")</f>
        <v>View</v>
      </c>
    </row>
    <row r="2974" spans="1:19" ht="30">
      <c r="A2974" s="8">
        <v>43343.650578703702</v>
      </c>
      <c r="B2974" s="11" t="str">
        <f>HYPERLINK("https://twitter.com/mmoheimany","@mmoheimany")</f>
        <v>@mmoheimany</v>
      </c>
      <c r="C2974" s="6" t="s">
        <v>9191</v>
      </c>
      <c r="D2974" s="5" t="s">
        <v>9190</v>
      </c>
      <c r="E2974" s="9" t="str">
        <f>HYPERLINK("https://twitter.com/mmoheimany/status/1035484050193108997","1035484050193108997")</f>
        <v>1035484050193108997</v>
      </c>
      <c r="F2974" s="4"/>
      <c r="G2974" s="10" t="s">
        <v>9189</v>
      </c>
      <c r="H2974" s="4"/>
      <c r="I2974" s="10" t="str">
        <f>HYPERLINK("http://twitter.com","Twitter Web Client")</f>
        <v>Twitter Web Client</v>
      </c>
      <c r="J2974" s="2">
        <v>1411</v>
      </c>
      <c r="K2974" s="2">
        <v>1011</v>
      </c>
      <c r="L2974" s="2">
        <v>2</v>
      </c>
      <c r="M2974" s="2"/>
      <c r="N2974" s="8">
        <v>42729.674490740741</v>
      </c>
      <c r="O2974" s="4" t="s">
        <v>9188</v>
      </c>
      <c r="P2974" s="3" t="s">
        <v>9187</v>
      </c>
      <c r="Q2974" s="4"/>
      <c r="R2974" s="4"/>
      <c r="S2974" s="9" t="str">
        <f>HYPERLINK("https://pbs.twimg.com/profile_images/1034025033281220609/BjjTQQNT.jpg","View")</f>
        <v>View</v>
      </c>
    </row>
    <row r="2975" spans="1:19" ht="12.5">
      <c r="A2975" s="8">
        <v>43343.649768518517</v>
      </c>
      <c r="B2975" s="11" t="str">
        <f>HYPERLINK("https://twitter.com/MP5_Plus_1","@MP5_Plus_1")</f>
        <v>@MP5_Plus_1</v>
      </c>
      <c r="C2975" s="6" t="s">
        <v>9186</v>
      </c>
      <c r="D2975" s="5" t="s">
        <v>9185</v>
      </c>
      <c r="E2975" s="9" t="str">
        <f>HYPERLINK("https://twitter.com/MP5_Plus_1/status/1035483756675493888","1035483756675493888")</f>
        <v>1035483756675493888</v>
      </c>
      <c r="F2975" s="4"/>
      <c r="G2975" s="10" t="s">
        <v>9184</v>
      </c>
      <c r="H2975" s="4"/>
      <c r="I2975" s="10" t="str">
        <f>HYPERLINK("http://twitter.com","Twitter Web Client")</f>
        <v>Twitter Web Client</v>
      </c>
      <c r="J2975" s="2">
        <v>260</v>
      </c>
      <c r="K2975" s="2">
        <v>242</v>
      </c>
      <c r="L2975" s="2">
        <v>0</v>
      </c>
      <c r="M2975" s="2"/>
      <c r="N2975" s="8">
        <v>43290.449594907404</v>
      </c>
      <c r="O2975" s="4" t="s">
        <v>9183</v>
      </c>
      <c r="P2975" s="3" t="s">
        <v>9182</v>
      </c>
      <c r="Q2975" s="4"/>
      <c r="R2975" s="4"/>
      <c r="S2975" s="9" t="str">
        <f>HYPERLINK("https://pbs.twimg.com/profile_images/1034900568274132993/Ns7QUSk4.jpg","View")</f>
        <v>View</v>
      </c>
    </row>
    <row r="2976" spans="1:19" ht="20">
      <c r="A2976" s="8">
        <v>43343.648738425924</v>
      </c>
      <c r="B2976" s="11" t="str">
        <f>HYPERLINK("https://twitter.com/M_Rezaei14","@M_Rezaei14")</f>
        <v>@M_Rezaei14</v>
      </c>
      <c r="C2976" s="6" t="s">
        <v>280</v>
      </c>
      <c r="D2976" s="5" t="s">
        <v>9181</v>
      </c>
      <c r="E2976" s="9" t="str">
        <f>HYPERLINK("https://twitter.com/M_Rezaei14/status/1035483381193236480","1035483381193236480")</f>
        <v>1035483381193236480</v>
      </c>
      <c r="F2976" s="4"/>
      <c r="G2976" s="4"/>
      <c r="H2976" s="4"/>
      <c r="I2976" s="10" t="str">
        <f>HYPERLINK("http://twitter.com/download/android","Twitter for Android")</f>
        <v>Twitter for Android</v>
      </c>
      <c r="J2976" s="2">
        <v>10</v>
      </c>
      <c r="K2976" s="2">
        <v>13</v>
      </c>
      <c r="L2976" s="2">
        <v>0</v>
      </c>
      <c r="M2976" s="2"/>
      <c r="N2976" s="8">
        <v>43330.475347222222</v>
      </c>
      <c r="O2976" s="4" t="s">
        <v>278</v>
      </c>
      <c r="P2976" s="3" t="s">
        <v>277</v>
      </c>
      <c r="Q2976" s="4"/>
      <c r="R2976" s="4"/>
      <c r="S2976" s="9" t="str">
        <f>HYPERLINK("https://pbs.twimg.com/profile_images/1031385698274865154/wP6FG9mE.jpg","View")</f>
        <v>View</v>
      </c>
    </row>
    <row r="2977" spans="1:19" ht="40">
      <c r="A2977" s="8">
        <v>43343.648344907408</v>
      </c>
      <c r="B2977" s="11" t="str">
        <f>HYPERLINK("https://twitter.com/hamedamd","@hamedamd")</f>
        <v>@hamedamd</v>
      </c>
      <c r="C2977" s="6" t="s">
        <v>9180</v>
      </c>
      <c r="D2977" s="5" t="s">
        <v>9179</v>
      </c>
      <c r="E2977" s="9" t="str">
        <f>HYPERLINK("https://twitter.com/hamedamd/status/1035483240428134400","1035483240428134400")</f>
        <v>1035483240428134400</v>
      </c>
      <c r="F2977" s="4"/>
      <c r="G2977" s="4"/>
      <c r="H2977" s="4"/>
      <c r="I2977" s="10" t="str">
        <f>HYPERLINK("http://twitter.com/download/iphone","Twitter for iPhone")</f>
        <v>Twitter for iPhone</v>
      </c>
      <c r="J2977" s="2">
        <v>191</v>
      </c>
      <c r="K2977" s="2">
        <v>499</v>
      </c>
      <c r="L2977" s="2">
        <v>0</v>
      </c>
      <c r="M2977" s="2"/>
      <c r="N2977" s="8">
        <v>43134.133356481485</v>
      </c>
      <c r="O2977" s="4" t="s">
        <v>34</v>
      </c>
      <c r="P2977" s="3" t="s">
        <v>9178</v>
      </c>
      <c r="Q2977" s="4"/>
      <c r="R2977" s="4"/>
      <c r="S2977" s="9" t="str">
        <f>HYPERLINK("https://pbs.twimg.com/profile_images/959573577598107650/7WggVkGg.jpg","View")</f>
        <v>View</v>
      </c>
    </row>
    <row r="2978" spans="1:19" ht="30">
      <c r="A2978" s="8">
        <v>43343.644421296296</v>
      </c>
      <c r="B2978" s="11" t="str">
        <f>HYPERLINK("https://twitter.com/msadpm","@msadpm")</f>
        <v>@msadpm</v>
      </c>
      <c r="C2978" s="6" t="s">
        <v>1696</v>
      </c>
      <c r="D2978" s="5" t="s">
        <v>9177</v>
      </c>
      <c r="E2978" s="9" t="str">
        <f>HYPERLINK("https://twitter.com/msadpm/status/1035481818798145538","1035481818798145538")</f>
        <v>1035481818798145538</v>
      </c>
      <c r="F2978" s="4"/>
      <c r="G2978" s="4"/>
      <c r="H2978" s="4"/>
      <c r="I2978" s="10" t="str">
        <f>HYPERLINK("http://twitter.com","Twitter Web Client")</f>
        <v>Twitter Web Client</v>
      </c>
      <c r="J2978" s="2">
        <v>1</v>
      </c>
      <c r="K2978" s="2">
        <v>8</v>
      </c>
      <c r="L2978" s="2">
        <v>0</v>
      </c>
      <c r="M2978" s="2"/>
      <c r="N2978" s="8">
        <v>43309.653935185182</v>
      </c>
      <c r="O2978" s="4"/>
      <c r="P2978" s="3"/>
      <c r="Q2978" s="4"/>
      <c r="R2978" s="4"/>
      <c r="S2978" s="9" t="str">
        <f>HYPERLINK("https://pbs.twimg.com/profile_images/1026467437196320768/-Ytvr8hI.jpg","View")</f>
        <v>View</v>
      </c>
    </row>
    <row r="2979" spans="1:19" ht="20">
      <c r="A2979" s="8">
        <v>43343.643576388888</v>
      </c>
      <c r="B2979" s="11" t="str">
        <f>HYPERLINK("https://twitter.com/Moanna_Tmk_IR","@Moanna_Tmk_IR")</f>
        <v>@Moanna_Tmk_IR</v>
      </c>
      <c r="C2979" s="6" t="s">
        <v>9176</v>
      </c>
      <c r="D2979" s="5" t="s">
        <v>9175</v>
      </c>
      <c r="E2979" s="9" t="str">
        <f>HYPERLINK("https://twitter.com/Moanna_Tmk_IR/status/1035481514249740290","1035481514249740290")</f>
        <v>1035481514249740290</v>
      </c>
      <c r="F2979" s="4"/>
      <c r="G2979" s="4"/>
      <c r="H2979" s="4"/>
      <c r="I2979" s="10" t="str">
        <f>HYPERLINK("https://mobile.twitter.com","Twitter Lite")</f>
        <v>Twitter Lite</v>
      </c>
      <c r="J2979" s="2">
        <v>64</v>
      </c>
      <c r="K2979" s="2">
        <v>124</v>
      </c>
      <c r="L2979" s="2">
        <v>0</v>
      </c>
      <c r="M2979" s="2"/>
      <c r="N2979" s="8">
        <v>42896.616087962961</v>
      </c>
      <c r="O2979" s="4"/>
      <c r="P2979" s="3" t="s">
        <v>8747</v>
      </c>
      <c r="Q2979" s="4"/>
      <c r="R2979" s="4"/>
      <c r="S2979" s="9" t="str">
        <f>HYPERLINK("https://pbs.twimg.com/profile_images/1031901493652156416/TwWvziTJ.jpg","View")</f>
        <v>View</v>
      </c>
    </row>
    <row r="2980" spans="1:19" ht="20">
      <c r="A2980" s="8">
        <v>43343.639432870375</v>
      </c>
      <c r="B2980" s="11" t="str">
        <f>HYPERLINK("https://twitter.com/MAEDEHEBRAHIMI1","@MAEDEHEBRAHIMI1")</f>
        <v>@MAEDEHEBRAHIMI1</v>
      </c>
      <c r="C2980" s="6" t="s">
        <v>9174</v>
      </c>
      <c r="D2980" s="5" t="s">
        <v>9173</v>
      </c>
      <c r="E2980" s="9" t="str">
        <f>HYPERLINK("https://twitter.com/MAEDEHEBRAHIMI1/status/1035480008884723713","1035480008884723713")</f>
        <v>1035480008884723713</v>
      </c>
      <c r="F2980" s="4"/>
      <c r="G2980" s="4"/>
      <c r="H2980" s="4"/>
      <c r="I2980" s="10" t="str">
        <f>HYPERLINK("http://twitter.com/download/android","Twitter for Android")</f>
        <v>Twitter for Android</v>
      </c>
      <c r="J2980" s="2">
        <v>11</v>
      </c>
      <c r="K2980" s="2">
        <v>6</v>
      </c>
      <c r="L2980" s="2">
        <v>0</v>
      </c>
      <c r="M2980" s="2"/>
      <c r="N2980" s="8">
        <v>43282.630578703705</v>
      </c>
      <c r="O2980" s="4" t="s">
        <v>17</v>
      </c>
      <c r="P2980" s="3" t="s">
        <v>9172</v>
      </c>
      <c r="Q2980" s="4"/>
      <c r="R2980" s="4"/>
      <c r="S2980" s="9" t="str">
        <f>HYPERLINK("https://pbs.twimg.com/profile_images/1029387070731702272/uY0gjzKL.jpg","View")</f>
        <v>View</v>
      </c>
    </row>
    <row r="2981" spans="1:19" ht="20">
      <c r="A2981" s="8">
        <v>43343.632951388892</v>
      </c>
      <c r="B2981" s="11" t="str">
        <f>HYPERLINK("https://twitter.com/reza_nikjoo","@reza_nikjoo")</f>
        <v>@reza_nikjoo</v>
      </c>
      <c r="C2981" s="6" t="s">
        <v>9171</v>
      </c>
      <c r="D2981" s="5" t="s">
        <v>9170</v>
      </c>
      <c r="E2981" s="9" t="str">
        <f>HYPERLINK("https://twitter.com/reza_nikjoo/status/1035477661861249025","1035477661861249025")</f>
        <v>1035477661861249025</v>
      </c>
      <c r="F2981" s="4"/>
      <c r="G2981" s="4"/>
      <c r="H2981" s="4"/>
      <c r="I2981" s="10" t="str">
        <f>HYPERLINK("http://twitter.com/download/android","Twitter for Android")</f>
        <v>Twitter for Android</v>
      </c>
      <c r="J2981" s="2">
        <v>7</v>
      </c>
      <c r="K2981" s="2">
        <v>87</v>
      </c>
      <c r="L2981" s="2">
        <v>0</v>
      </c>
      <c r="M2981" s="2"/>
      <c r="N2981" s="8">
        <v>43342.988344907411</v>
      </c>
      <c r="O2981" s="4"/>
      <c r="P2981" s="3" t="s">
        <v>9169</v>
      </c>
      <c r="Q2981" s="4"/>
      <c r="R2981" s="4"/>
      <c r="S2981" s="9" t="str">
        <f>HYPERLINK("https://pbs.twimg.com/profile_images/1035246063043661825/k0nChmEs.jpg","View")</f>
        <v>View</v>
      </c>
    </row>
    <row r="2982" spans="1:19" ht="30">
      <c r="A2982" s="8">
        <v>43343.629699074074</v>
      </c>
      <c r="B2982" s="11" t="str">
        <f>HYPERLINK("https://twitter.com/smostafa1992","@smostafa1992")</f>
        <v>@smostafa1992</v>
      </c>
      <c r="C2982" s="6" t="s">
        <v>1076</v>
      </c>
      <c r="D2982" s="5" t="s">
        <v>9168</v>
      </c>
      <c r="E2982" s="9" t="str">
        <f>HYPERLINK("https://twitter.com/smostafa1992/status/1035476483526021120","1035476483526021120")</f>
        <v>1035476483526021120</v>
      </c>
      <c r="F2982" s="4"/>
      <c r="G2982" s="10" t="s">
        <v>9167</v>
      </c>
      <c r="H2982" s="4"/>
      <c r="I2982" s="10" t="str">
        <f>HYPERLINK("http://twitter.com/download/iphone","Twitter for iPhone")</f>
        <v>Twitter for iPhone</v>
      </c>
      <c r="J2982" s="2">
        <v>10</v>
      </c>
      <c r="K2982" s="2">
        <v>33</v>
      </c>
      <c r="L2982" s="2">
        <v>0</v>
      </c>
      <c r="M2982" s="2"/>
      <c r="N2982" s="8">
        <v>43326.545289351852</v>
      </c>
      <c r="O2982" s="4" t="s">
        <v>1074</v>
      </c>
      <c r="P2982" s="3" t="s">
        <v>1073</v>
      </c>
      <c r="Q2982" s="10" t="s">
        <v>1072</v>
      </c>
      <c r="R2982" s="4"/>
      <c r="S2982" s="9" t="str">
        <f>HYPERLINK("https://pbs.twimg.com/profile_images/1029287491138990083/OQSkcKdz.jpg","View")</f>
        <v>View</v>
      </c>
    </row>
    <row r="2983" spans="1:19" ht="40">
      <c r="A2983" s="8">
        <v>43343.629317129627</v>
      </c>
      <c r="B2983" s="11" t="str">
        <f>HYPERLINK("https://twitter.com/Mo_ba_fatthi","@Mo_ba_fatthi")</f>
        <v>@Mo_ba_fatthi</v>
      </c>
      <c r="C2983" s="6" t="s">
        <v>9166</v>
      </c>
      <c r="D2983" s="5" t="s">
        <v>9165</v>
      </c>
      <c r="E2983" s="9" t="str">
        <f>HYPERLINK("https://twitter.com/Mo_ba_fatthi/status/1035476345688535040","1035476345688535040")</f>
        <v>1035476345688535040</v>
      </c>
      <c r="F2983" s="10" t="s">
        <v>9164</v>
      </c>
      <c r="G2983" s="10" t="s">
        <v>9163</v>
      </c>
      <c r="H2983" s="4"/>
      <c r="I2983" s="10" t="str">
        <f>HYPERLINK("http://twitter.com/download/android","Twitter for Android")</f>
        <v>Twitter for Android</v>
      </c>
      <c r="J2983" s="2">
        <v>427</v>
      </c>
      <c r="K2983" s="2">
        <v>421</v>
      </c>
      <c r="L2983" s="2">
        <v>0</v>
      </c>
      <c r="M2983" s="2"/>
      <c r="N2983" s="8">
        <v>43137.924317129626</v>
      </c>
      <c r="O2983" s="4"/>
      <c r="P2983" s="3" t="s">
        <v>9162</v>
      </c>
      <c r="Q2983" s="10" t="s">
        <v>9161</v>
      </c>
      <c r="R2983" s="4"/>
      <c r="S2983" s="9" t="str">
        <f>HYPERLINK("https://pbs.twimg.com/profile_images/1031652037904150528/jiQ6jSFJ.jpg","View")</f>
        <v>View</v>
      </c>
    </row>
    <row r="2984" spans="1:19" ht="30">
      <c r="A2984" s="8">
        <v>43343.628333333334</v>
      </c>
      <c r="B2984" s="11" t="str">
        <f>HYPERLINK("https://twitter.com/hamonmehrAndish","@hamonmehrAndish")</f>
        <v>@hamonmehrAndish</v>
      </c>
      <c r="C2984" s="6" t="s">
        <v>9160</v>
      </c>
      <c r="D2984" s="5" t="s">
        <v>9159</v>
      </c>
      <c r="E2984" s="9" t="str">
        <f>HYPERLINK("https://twitter.com/hamonmehrAndish/status/1035475988723970053","1035475988723970053")</f>
        <v>1035475988723970053</v>
      </c>
      <c r="F2984" s="4"/>
      <c r="G2984" s="4"/>
      <c r="H2984" s="4"/>
      <c r="I2984" s="10" t="str">
        <f>HYPERLINK("http://twitter.com/download/android","Twitter for Android")</f>
        <v>Twitter for Android</v>
      </c>
      <c r="J2984" s="2">
        <v>791</v>
      </c>
      <c r="K2984" s="2">
        <v>777</v>
      </c>
      <c r="L2984" s="2">
        <v>0</v>
      </c>
      <c r="M2984" s="2"/>
      <c r="N2984" s="8">
        <v>43227.332083333335</v>
      </c>
      <c r="O2984" s="4" t="s">
        <v>9158</v>
      </c>
      <c r="P2984" s="3" t="s">
        <v>9157</v>
      </c>
      <c r="Q2984" s="4"/>
      <c r="R2984" s="4"/>
      <c r="S2984" s="9" t="str">
        <f>HYPERLINK("https://pbs.twimg.com/profile_images/1035180456285810688/4jJvdtbA.jpg","View")</f>
        <v>View</v>
      </c>
    </row>
    <row r="2985" spans="1:19" ht="40">
      <c r="A2985" s="8">
        <v>43343.626493055555</v>
      </c>
      <c r="B2985" s="11" t="str">
        <f>HYPERLINK("https://twitter.com/szfaegh","@szfaegh")</f>
        <v>@szfaegh</v>
      </c>
      <c r="C2985" s="6" t="s">
        <v>8089</v>
      </c>
      <c r="D2985" s="5" t="s">
        <v>9156</v>
      </c>
      <c r="E2985" s="9" t="str">
        <f>HYPERLINK("https://twitter.com/szfaegh/status/1035475321020141568","1035475321020141568")</f>
        <v>1035475321020141568</v>
      </c>
      <c r="F2985" s="4"/>
      <c r="G2985" s="4"/>
      <c r="H2985" s="4"/>
      <c r="I2985" s="10" t="str">
        <f>HYPERLINK("http://twitter.com/#!/download/ipad","Twitter for iPad")</f>
        <v>Twitter for iPad</v>
      </c>
      <c r="J2985" s="2">
        <v>1018</v>
      </c>
      <c r="K2985" s="2">
        <v>5005</v>
      </c>
      <c r="L2985" s="2">
        <v>6</v>
      </c>
      <c r="M2985" s="2"/>
      <c r="N2985" s="8">
        <v>40623.490451388891</v>
      </c>
      <c r="O2985" s="4"/>
      <c r="P2985" s="3" t="s">
        <v>8087</v>
      </c>
      <c r="Q2985" s="4"/>
      <c r="R2985" s="4"/>
      <c r="S2985" s="9" t="str">
        <f>HYPERLINK("https://pbs.twimg.com/profile_images/1034056417555177537/qhlAiqrF.jpg","View")</f>
        <v>View</v>
      </c>
    </row>
    <row r="2986" spans="1:19" ht="12.5">
      <c r="A2986" s="8">
        <v>43343.623425925922</v>
      </c>
      <c r="B2986" s="11" t="str">
        <f>HYPERLINK("https://twitter.com/Jenabemirza","@Jenabemirza")</f>
        <v>@Jenabemirza</v>
      </c>
      <c r="C2986" s="6" t="s">
        <v>9155</v>
      </c>
      <c r="D2986" s="5" t="s">
        <v>9154</v>
      </c>
      <c r="E2986" s="9" t="str">
        <f>HYPERLINK("https://twitter.com/Jenabemirza/status/1035474208934035458","1035474208934035458")</f>
        <v>1035474208934035458</v>
      </c>
      <c r="F2986" s="4"/>
      <c r="G2986" s="4"/>
      <c r="H2986" s="4"/>
      <c r="I2986" s="10" t="str">
        <f>HYPERLINK("http://twitter.com/download/android","Twitter for Android")</f>
        <v>Twitter for Android</v>
      </c>
      <c r="J2986" s="2">
        <v>153</v>
      </c>
      <c r="K2986" s="2">
        <v>571</v>
      </c>
      <c r="L2986" s="2">
        <v>0</v>
      </c>
      <c r="M2986" s="2"/>
      <c r="N2986" s="8">
        <v>42857.954432870371</v>
      </c>
      <c r="O2986" s="4"/>
      <c r="P2986" s="3" t="s">
        <v>9153</v>
      </c>
      <c r="Q2986" s="4"/>
      <c r="R2986" s="4"/>
      <c r="S2986" s="9" t="str">
        <f>HYPERLINK("https://pbs.twimg.com/profile_images/869569487615516673/1sDri5bx.jpg","View")</f>
        <v>View</v>
      </c>
    </row>
    <row r="2987" spans="1:19" ht="40">
      <c r="A2987" s="8">
        <v>43343.621736111112</v>
      </c>
      <c r="B2987" s="11" t="str">
        <f>HYPERLINK("https://twitter.com/sjjadsaeedipour","@sjjadsaeedipour")</f>
        <v>@sjjadsaeedipour</v>
      </c>
      <c r="C2987" s="6" t="s">
        <v>1705</v>
      </c>
      <c r="D2987" s="5" t="s">
        <v>9152</v>
      </c>
      <c r="E2987" s="9" t="str">
        <f>HYPERLINK("https://twitter.com/sjjadsaeedipour/status/1035473596288851968","1035473596288851968")</f>
        <v>1035473596288851968</v>
      </c>
      <c r="F2987" s="4"/>
      <c r="G2987" s="4"/>
      <c r="H2987" s="4"/>
      <c r="I2987" s="10" t="str">
        <f>HYPERLINK("http://twitter.com/download/android","Twitter for Android")</f>
        <v>Twitter for Android</v>
      </c>
      <c r="J2987" s="2">
        <v>44</v>
      </c>
      <c r="K2987" s="2">
        <v>39</v>
      </c>
      <c r="L2987" s="2">
        <v>0</v>
      </c>
      <c r="M2987" s="2"/>
      <c r="N2987" s="8">
        <v>43131.64439814815</v>
      </c>
      <c r="O2987" s="4"/>
      <c r="P2987" s="3" t="s">
        <v>1703</v>
      </c>
      <c r="Q2987" s="4"/>
      <c r="R2987" s="4"/>
      <c r="S2987" s="9" t="str">
        <f>HYPERLINK("https://pbs.twimg.com/profile_images/1030425985907400704/I2w6sYfQ.jpg","View")</f>
        <v>View</v>
      </c>
    </row>
    <row r="2988" spans="1:19" ht="30">
      <c r="A2988" s="8">
        <v>43343.616909722223</v>
      </c>
      <c r="B2988" s="11" t="str">
        <f>HYPERLINK("https://twitter.com/MehdiSeylani","@MehdiSeylani")</f>
        <v>@MehdiSeylani</v>
      </c>
      <c r="C2988" s="6" t="s">
        <v>8863</v>
      </c>
      <c r="D2988" s="5" t="s">
        <v>9151</v>
      </c>
      <c r="E2988" s="9" t="str">
        <f>HYPERLINK("https://twitter.com/MehdiSeylani/status/1035471849344442368","1035471849344442368")</f>
        <v>1035471849344442368</v>
      </c>
      <c r="F2988" s="4"/>
      <c r="G2988" s="4"/>
      <c r="H2988" s="4"/>
      <c r="I2988" s="10" t="str">
        <f>HYPERLINK("http://twitter.com","Twitter Web Client")</f>
        <v>Twitter Web Client</v>
      </c>
      <c r="J2988" s="2">
        <v>3</v>
      </c>
      <c r="K2988" s="2">
        <v>6</v>
      </c>
      <c r="L2988" s="2">
        <v>0</v>
      </c>
      <c r="M2988" s="2"/>
      <c r="N2988" s="8">
        <v>42275.003460648149</v>
      </c>
      <c r="O2988" s="4" t="s">
        <v>8860</v>
      </c>
      <c r="P2988" s="3" t="s">
        <v>8859</v>
      </c>
      <c r="Q2988" s="4"/>
      <c r="R2988" s="4"/>
      <c r="S2988" s="9" t="str">
        <f>HYPERLINK("https://pbs.twimg.com/profile_images/806135390704832516/SSS0OrVV.jpg","View")</f>
        <v>View</v>
      </c>
    </row>
    <row r="2989" spans="1:19" ht="40">
      <c r="A2989" s="8">
        <v>43343.615671296298</v>
      </c>
      <c r="B2989" s="11" t="str">
        <f>HYPERLINK("https://twitter.com/MahourLotfi","@MahourLotfi")</f>
        <v>@MahourLotfi</v>
      </c>
      <c r="C2989" s="6" t="s">
        <v>9150</v>
      </c>
      <c r="D2989" s="5" t="s">
        <v>9149</v>
      </c>
      <c r="E2989" s="9" t="str">
        <f>HYPERLINK("https://twitter.com/MahourLotfi/status/1035471401900228609","1035471401900228609")</f>
        <v>1035471401900228609</v>
      </c>
      <c r="F2989" s="4"/>
      <c r="G2989" s="4"/>
      <c r="H2989" s="4"/>
      <c r="I2989" s="10" t="str">
        <f>HYPERLINK("http://twitter.com","Twitter Web Client")</f>
        <v>Twitter Web Client</v>
      </c>
      <c r="J2989" s="2">
        <v>84</v>
      </c>
      <c r="K2989" s="2">
        <v>39</v>
      </c>
      <c r="L2989" s="2">
        <v>1</v>
      </c>
      <c r="M2989" s="2"/>
      <c r="N2989" s="8">
        <v>42567.843703703707</v>
      </c>
      <c r="O2989" s="4" t="s">
        <v>894</v>
      </c>
      <c r="P2989" s="3" t="s">
        <v>9148</v>
      </c>
      <c r="Q2989" s="4"/>
      <c r="R2989" s="4"/>
      <c r="S2989" s="9" t="str">
        <f>HYPERLINK("https://pbs.twimg.com/profile_images/1010604928383909888/f-soDF5k.jpg","View")</f>
        <v>View</v>
      </c>
    </row>
    <row r="2990" spans="1:19" ht="20">
      <c r="A2990" s="8">
        <v>43343.613750000004</v>
      </c>
      <c r="B2990" s="11" t="str">
        <f>HYPERLINK("https://twitter.com/Amoogorge","@Amoogorge")</f>
        <v>@Amoogorge</v>
      </c>
      <c r="C2990" s="6" t="s">
        <v>7684</v>
      </c>
      <c r="D2990" s="5" t="s">
        <v>9147</v>
      </c>
      <c r="E2990" s="9" t="str">
        <f>HYPERLINK("https://twitter.com/Amoogorge/status/1035470703565434880","1035470703565434880")</f>
        <v>1035470703565434880</v>
      </c>
      <c r="F2990" s="4"/>
      <c r="G2990" s="4"/>
      <c r="H2990" s="4"/>
      <c r="I2990" s="10" t="str">
        <f>HYPERLINK("http://twitter.com/download/android","Twitter for Android")</f>
        <v>Twitter for Android</v>
      </c>
      <c r="J2990" s="2">
        <v>4</v>
      </c>
      <c r="K2990" s="2">
        <v>15</v>
      </c>
      <c r="L2990" s="2">
        <v>0</v>
      </c>
      <c r="M2990" s="2"/>
      <c r="N2990" s="8">
        <v>43329.930787037039</v>
      </c>
      <c r="O2990" s="4"/>
      <c r="P2990" s="3" t="s">
        <v>7682</v>
      </c>
      <c r="Q2990" s="4"/>
      <c r="R2990" s="4"/>
      <c r="S2990" s="9" t="str">
        <f>HYPERLINK("https://pbs.twimg.com/profile_images/1034539518022615047/5B-naZai.jpg","View")</f>
        <v>View</v>
      </c>
    </row>
    <row r="2991" spans="1:19" ht="40">
      <c r="A2991" s="8">
        <v>43343.611412037033</v>
      </c>
      <c r="B2991" s="11" t="str">
        <f>HYPERLINK("https://twitter.com/Ndehghan1","@Ndehghan1")</f>
        <v>@Ndehghan1</v>
      </c>
      <c r="C2991" s="6" t="s">
        <v>9146</v>
      </c>
      <c r="D2991" s="5" t="s">
        <v>9145</v>
      </c>
      <c r="E2991" s="9" t="str">
        <f>HYPERLINK("https://twitter.com/Ndehghan1/status/1035469854525014016","1035469854525014016")</f>
        <v>1035469854525014016</v>
      </c>
      <c r="F2991" s="4"/>
      <c r="G2991" s="4"/>
      <c r="H2991" s="4"/>
      <c r="I2991" s="10" t="str">
        <f>HYPERLINK("http://twitter.com/download/android","Twitter for Android")</f>
        <v>Twitter for Android</v>
      </c>
      <c r="J2991" s="2">
        <v>202</v>
      </c>
      <c r="K2991" s="2">
        <v>187</v>
      </c>
      <c r="L2991" s="2">
        <v>3</v>
      </c>
      <c r="M2991" s="2"/>
      <c r="N2991" s="8">
        <v>42735.79850694444</v>
      </c>
      <c r="O2991" s="4" t="s">
        <v>133</v>
      </c>
      <c r="P2991" s="3" t="s">
        <v>9144</v>
      </c>
      <c r="Q2991" s="4"/>
      <c r="R2991" s="4"/>
      <c r="S2991" s="9" t="str">
        <f>HYPERLINK("https://pbs.twimg.com/profile_images/857285139176488961/lbSSd0pp.jpg","View")</f>
        <v>View</v>
      </c>
    </row>
    <row r="2992" spans="1:19" ht="60">
      <c r="A2992" s="8">
        <v>43343.610034722224</v>
      </c>
      <c r="B2992" s="11" t="str">
        <f>HYPERLINK("https://twitter.com/atrinnaaa","@atrinnaaa")</f>
        <v>@atrinnaaa</v>
      </c>
      <c r="C2992" s="6" t="s">
        <v>7637</v>
      </c>
      <c r="D2992" s="5" t="s">
        <v>9143</v>
      </c>
      <c r="E2992" s="9" t="str">
        <f>HYPERLINK("https://twitter.com/atrinnaaa/status/1035469355914547201","1035469355914547201")</f>
        <v>1035469355914547201</v>
      </c>
      <c r="F2992" s="10" t="s">
        <v>9142</v>
      </c>
      <c r="G2992" s="4"/>
      <c r="H2992" s="4"/>
      <c r="I2992" s="10" t="str">
        <f>HYPERLINK("http://twitter.com/download/android","Twitter for Android")</f>
        <v>Twitter for Android</v>
      </c>
      <c r="J2992" s="2">
        <v>284</v>
      </c>
      <c r="K2992" s="2">
        <v>643</v>
      </c>
      <c r="L2992" s="2">
        <v>0</v>
      </c>
      <c r="M2992" s="2"/>
      <c r="N2992" s="8">
        <v>43339.420127314814</v>
      </c>
      <c r="O2992" s="4"/>
      <c r="P2992" s="3" t="s">
        <v>7635</v>
      </c>
      <c r="Q2992" s="4"/>
      <c r="R2992" s="4"/>
      <c r="S2992" s="9" t="str">
        <f>HYPERLINK("https://pbs.twimg.com/profile_images/1034291521309364225/lcX-Vf62.jpg","View")</f>
        <v>View</v>
      </c>
    </row>
    <row r="2993" spans="1:19" ht="30">
      <c r="A2993" s="8">
        <v>43343.606793981482</v>
      </c>
      <c r="B2993" s="11" t="str">
        <f>HYPERLINK("https://twitter.com/salman_sanjary","@salman_sanjary")</f>
        <v>@salman_sanjary</v>
      </c>
      <c r="C2993" s="6" t="s">
        <v>3365</v>
      </c>
      <c r="D2993" s="5" t="s">
        <v>9141</v>
      </c>
      <c r="E2993" s="9" t="str">
        <f>HYPERLINK("https://twitter.com/salman_sanjary/status/1035468181341712384","1035468181341712384")</f>
        <v>1035468181341712384</v>
      </c>
      <c r="F2993" s="4"/>
      <c r="G2993" s="10" t="s">
        <v>9140</v>
      </c>
      <c r="H2993" s="4"/>
      <c r="I2993" s="10" t="str">
        <f>HYPERLINK("http://twitter.com/download/android","Twitter for Android")</f>
        <v>Twitter for Android</v>
      </c>
      <c r="J2993" s="2">
        <v>116</v>
      </c>
      <c r="K2993" s="2">
        <v>225</v>
      </c>
      <c r="L2993" s="2">
        <v>1</v>
      </c>
      <c r="M2993" s="2"/>
      <c r="N2993" s="8">
        <v>43310.393240740741</v>
      </c>
      <c r="O2993" s="4" t="s">
        <v>3363</v>
      </c>
      <c r="P2993" s="3" t="s">
        <v>3362</v>
      </c>
      <c r="Q2993" s="4"/>
      <c r="R2993" s="4"/>
      <c r="S2993" s="9" t="str">
        <f>HYPERLINK("https://pbs.twimg.com/profile_images/1023443114164404225/aoqNKpOX.jpg","View")</f>
        <v>View</v>
      </c>
    </row>
    <row r="2994" spans="1:19" ht="20">
      <c r="A2994" s="8">
        <v>43343.602453703701</v>
      </c>
      <c r="B2994" s="11" t="str">
        <f>HYPERLINK("https://twitter.com/rkheibari","@rkheibari")</f>
        <v>@rkheibari</v>
      </c>
      <c r="C2994" s="6" t="s">
        <v>9139</v>
      </c>
      <c r="D2994" s="5" t="s">
        <v>9138</v>
      </c>
      <c r="E2994" s="9" t="str">
        <f>HYPERLINK("https://twitter.com/rkheibari/status/1035466609257787392","1035466609257787392")</f>
        <v>1035466609257787392</v>
      </c>
      <c r="F2994" s="4"/>
      <c r="G2994" s="4"/>
      <c r="H2994" s="4"/>
      <c r="I2994" s="10" t="str">
        <f>HYPERLINK("http://twitter.com/download/android","Twitter for Android")</f>
        <v>Twitter for Android</v>
      </c>
      <c r="J2994" s="2">
        <v>1029</v>
      </c>
      <c r="K2994" s="2">
        <v>1259</v>
      </c>
      <c r="L2994" s="2">
        <v>4</v>
      </c>
      <c r="M2994" s="2"/>
      <c r="N2994" s="8">
        <v>42784.191689814819</v>
      </c>
      <c r="O2994" s="4" t="s">
        <v>17</v>
      </c>
      <c r="P2994" s="3" t="s">
        <v>9137</v>
      </c>
      <c r="Q2994" s="4"/>
      <c r="R2994" s="4"/>
      <c r="S2994" s="9" t="str">
        <f>HYPERLINK("https://pbs.twimg.com/profile_images/833030986795405312/GChi5luS.jpg","View")</f>
        <v>View</v>
      </c>
    </row>
    <row r="2995" spans="1:19" ht="20">
      <c r="A2995" s="8">
        <v>43343.601886574077</v>
      </c>
      <c r="B2995" s="11" t="str">
        <f>HYPERLINK("https://twitter.com/SalekOmid","@SalekOmid")</f>
        <v>@SalekOmid</v>
      </c>
      <c r="C2995" s="6" t="s">
        <v>982</v>
      </c>
      <c r="D2995" s="5" t="s">
        <v>9136</v>
      </c>
      <c r="E2995" s="9" t="str">
        <f>HYPERLINK("https://twitter.com/SalekOmid/status/1035466406295465984","1035466406295465984")</f>
        <v>1035466406295465984</v>
      </c>
      <c r="F2995" s="4"/>
      <c r="G2995" s="4"/>
      <c r="H2995" s="4"/>
      <c r="I2995" s="10" t="str">
        <f>HYPERLINK("http://twitter.com/download/iphone","Twitter for iPhone")</f>
        <v>Twitter for iPhone</v>
      </c>
      <c r="J2995" s="2">
        <v>93</v>
      </c>
      <c r="K2995" s="2">
        <v>92</v>
      </c>
      <c r="L2995" s="2">
        <v>0</v>
      </c>
      <c r="M2995" s="2"/>
      <c r="N2995" s="8">
        <v>43265.993252314816</v>
      </c>
      <c r="O2995" s="4" t="s">
        <v>980</v>
      </c>
      <c r="P2995" s="3" t="s">
        <v>979</v>
      </c>
      <c r="Q2995" s="10" t="s">
        <v>978</v>
      </c>
      <c r="R2995" s="4"/>
      <c r="S2995" s="9" t="str">
        <f>HYPERLINK("https://pbs.twimg.com/profile_images/1007342649131618311/EOpUdINw.jpg","View")</f>
        <v>View</v>
      </c>
    </row>
    <row r="2996" spans="1:19" ht="40">
      <c r="A2996" s="8">
        <v>43343.598113425927</v>
      </c>
      <c r="B2996" s="11" t="str">
        <f>HYPERLINK("https://twitter.com/yetalabe","@yetalabe")</f>
        <v>@yetalabe</v>
      </c>
      <c r="C2996" s="6" t="s">
        <v>9135</v>
      </c>
      <c r="D2996" s="5" t="s">
        <v>9134</v>
      </c>
      <c r="E2996" s="9" t="str">
        <f>HYPERLINK("https://twitter.com/yetalabe/status/1035465037895360512","1035465037895360512")</f>
        <v>1035465037895360512</v>
      </c>
      <c r="F2996" s="4"/>
      <c r="G2996" s="4"/>
      <c r="H2996" s="4"/>
      <c r="I2996" s="10" t="str">
        <f>HYPERLINK("http://twitter.com/download/android","Twitter for Android")</f>
        <v>Twitter for Android</v>
      </c>
      <c r="J2996" s="2">
        <v>373</v>
      </c>
      <c r="K2996" s="2">
        <v>236</v>
      </c>
      <c r="L2996" s="2">
        <v>1</v>
      </c>
      <c r="M2996" s="2"/>
      <c r="N2996" s="8">
        <v>42888.081655092596</v>
      </c>
      <c r="O2996" s="4" t="s">
        <v>9133</v>
      </c>
      <c r="P2996" s="3" t="s">
        <v>9132</v>
      </c>
      <c r="Q2996" s="4"/>
      <c r="R2996" s="4"/>
      <c r="S2996" s="9" t="str">
        <f>HYPERLINK("https://pbs.twimg.com/profile_images/1012044816719331328/UDn7zAQw.jpg","View")</f>
        <v>View</v>
      </c>
    </row>
    <row r="2997" spans="1:19" ht="20">
      <c r="A2997" s="8">
        <v>43343.59783564815</v>
      </c>
      <c r="B2997" s="11" t="str">
        <f>HYPERLINK("https://twitter.com/ilnanews","@ilnanews")</f>
        <v>@ilnanews</v>
      </c>
      <c r="C2997" s="6" t="s">
        <v>6413</v>
      </c>
      <c r="D2997" s="5" t="s">
        <v>9131</v>
      </c>
      <c r="E2997" s="9" t="str">
        <f>HYPERLINK("https://twitter.com/ilnanews/status/1035464934644166656","1035464934644166656")</f>
        <v>1035464934644166656</v>
      </c>
      <c r="F2997" s="10" t="s">
        <v>9130</v>
      </c>
      <c r="G2997" s="10" t="s">
        <v>9129</v>
      </c>
      <c r="H2997" s="4"/>
      <c r="I2997" s="10" t="str">
        <f>HYPERLINK("http://twitter.com/download/android","Twitter for Android")</f>
        <v>Twitter for Android</v>
      </c>
      <c r="J2997" s="2">
        <v>32244</v>
      </c>
      <c r="K2997" s="2">
        <v>67</v>
      </c>
      <c r="L2997" s="2">
        <v>159</v>
      </c>
      <c r="M2997" s="2"/>
      <c r="N2997" s="8">
        <v>42062.024768518517</v>
      </c>
      <c r="O2997" s="4" t="s">
        <v>34</v>
      </c>
      <c r="P2997" s="3" t="s">
        <v>6409</v>
      </c>
      <c r="Q2997" s="10" t="s">
        <v>6408</v>
      </c>
      <c r="R2997" s="4"/>
      <c r="S2997" s="9" t="str">
        <f>HYPERLINK("https://pbs.twimg.com/profile_images/760387216782848000/TS1QyYLo.jpg","View")</f>
        <v>View</v>
      </c>
    </row>
    <row r="2998" spans="1:19" ht="20">
      <c r="A2998" s="8">
        <v>43343.587187500001</v>
      </c>
      <c r="B2998" s="11" t="str">
        <f>HYPERLINK("https://twitter.com/Ashraf_Almulk","@Ashraf_Almulk")</f>
        <v>@Ashraf_Almulk</v>
      </c>
      <c r="C2998" s="6" t="s">
        <v>3159</v>
      </c>
      <c r="D2998" s="5" t="s">
        <v>9128</v>
      </c>
      <c r="E2998" s="9" t="str">
        <f>HYPERLINK("https://twitter.com/Ashraf_Almulk/status/1035461077281239040","1035461077281239040")</f>
        <v>1035461077281239040</v>
      </c>
      <c r="F2998" s="4"/>
      <c r="G2998" s="4"/>
      <c r="H2998" s="4"/>
      <c r="I2998" s="10" t="str">
        <f>HYPERLINK("http://twitter.com/download/android","Twitter for Android")</f>
        <v>Twitter for Android</v>
      </c>
      <c r="J2998" s="2">
        <v>9975</v>
      </c>
      <c r="K2998" s="2">
        <v>8222</v>
      </c>
      <c r="L2998" s="2">
        <v>7</v>
      </c>
      <c r="M2998" s="2"/>
      <c r="N2998" s="8">
        <v>42174.52988425926</v>
      </c>
      <c r="O2998" s="4" t="s">
        <v>3157</v>
      </c>
      <c r="P2998" s="3" t="s">
        <v>3156</v>
      </c>
      <c r="Q2998" s="4"/>
      <c r="R2998" s="4"/>
      <c r="S2998" s="9" t="str">
        <f>HYPERLINK("https://pbs.twimg.com/profile_images/1033052221116690434/LEIWamrj.jpg","View")</f>
        <v>View</v>
      </c>
    </row>
    <row r="2999" spans="1:19" ht="12.5">
      <c r="A2999" s="8">
        <v>43343.585543981477</v>
      </c>
      <c r="B2999" s="11" t="str">
        <f>HYPERLINK("https://twitter.com/M30yasat","@M30yasat")</f>
        <v>@M30yasat</v>
      </c>
      <c r="C2999" s="6" t="s">
        <v>7510</v>
      </c>
      <c r="D2999" s="5" t="s">
        <v>9127</v>
      </c>
      <c r="E2999" s="9" t="str">
        <f>HYPERLINK("https://twitter.com/M30yasat/status/1035460479983013888","1035460479983013888")</f>
        <v>1035460479983013888</v>
      </c>
      <c r="F2999" s="4"/>
      <c r="G2999" s="10" t="s">
        <v>9126</v>
      </c>
      <c r="H2999" s="4"/>
      <c r="I2999" s="10" t="str">
        <f>HYPERLINK("http://twitter.com/download/android","Twitter for Android")</f>
        <v>Twitter for Android</v>
      </c>
      <c r="J2999" s="2">
        <v>0</v>
      </c>
      <c r="K2999" s="2">
        <v>0</v>
      </c>
      <c r="L2999" s="2">
        <v>0</v>
      </c>
      <c r="M2999" s="2"/>
      <c r="N2999" s="8">
        <v>43337.827094907407</v>
      </c>
      <c r="O2999" s="4"/>
      <c r="P2999" s="3" t="s">
        <v>7508</v>
      </c>
      <c r="Q2999" s="4"/>
      <c r="R2999" s="4"/>
      <c r="S2999" s="9" t="str">
        <f>HYPERLINK("https://pbs.twimg.com/profile_images/1033377399080144896/CZ6oRTxw.jpg","View")</f>
        <v>View</v>
      </c>
    </row>
    <row r="3000" spans="1:19" ht="30">
      <c r="A3000" s="8">
        <v>43343.579016203701</v>
      </c>
      <c r="B3000" s="11" t="str">
        <f>HYPERLINK("https://twitter.com/MahdiMoradi7697","@MahdiMoradi7697")</f>
        <v>@MahdiMoradi7697</v>
      </c>
      <c r="C3000" s="6" t="s">
        <v>9125</v>
      </c>
      <c r="D3000" s="5" t="s">
        <v>9124</v>
      </c>
      <c r="E3000" s="9" t="str">
        <f>HYPERLINK("https://twitter.com/MahdiMoradi7697/status/1035458118178758656","1035458118178758656")</f>
        <v>1035458118178758656</v>
      </c>
      <c r="F3000" s="4"/>
      <c r="G3000" s="10" t="s">
        <v>9123</v>
      </c>
      <c r="H3000" s="4"/>
      <c r="I3000" s="10" t="str">
        <f>HYPERLINK("http://twitter.com/download/android","Twitter for Android")</f>
        <v>Twitter for Android</v>
      </c>
      <c r="J3000" s="2">
        <v>51</v>
      </c>
      <c r="K3000" s="2">
        <v>51</v>
      </c>
      <c r="L3000" s="2">
        <v>0</v>
      </c>
      <c r="M3000" s="2"/>
      <c r="N3000" s="8">
        <v>43267.865856481483</v>
      </c>
      <c r="O3000" s="4" t="s">
        <v>17</v>
      </c>
      <c r="P3000" s="3" t="s">
        <v>9122</v>
      </c>
      <c r="Q3000" s="4"/>
      <c r="R3000" s="4"/>
      <c r="S3000" s="9" t="str">
        <f>HYPERLINK("https://pbs.twimg.com/profile_images/1008021286738644997/20WRYolS.jpg","View")</f>
        <v>View</v>
      </c>
    </row>
    <row r="3001" spans="1:19" ht="20">
      <c r="A3001" s="8">
        <v>43343.574328703704</v>
      </c>
      <c r="B3001" s="11" t="str">
        <f>HYPERLINK("https://twitter.com/ata_afs","@ata_afs")</f>
        <v>@ata_afs</v>
      </c>
      <c r="C3001" s="6" t="s">
        <v>1217</v>
      </c>
      <c r="D3001" s="5" t="s">
        <v>9121</v>
      </c>
      <c r="E3001" s="9" t="str">
        <f>HYPERLINK("https://twitter.com/ata_afs/status/1035456416771764224","1035456416771764224")</f>
        <v>1035456416771764224</v>
      </c>
      <c r="F3001" s="4"/>
      <c r="G3001" s="4"/>
      <c r="H3001" s="4"/>
      <c r="I3001" s="10" t="str">
        <f>HYPERLINK("http://twitter.com/download/iphone","Twitter for iPhone")</f>
        <v>Twitter for iPhone</v>
      </c>
      <c r="J3001" s="2">
        <v>363</v>
      </c>
      <c r="K3001" s="2">
        <v>692</v>
      </c>
      <c r="L3001" s="2">
        <v>0</v>
      </c>
      <c r="M3001" s="2"/>
      <c r="N3001" s="8">
        <v>41833.536099537036</v>
      </c>
      <c r="O3001" s="4" t="s">
        <v>34</v>
      </c>
      <c r="P3001" s="3" t="s">
        <v>1213</v>
      </c>
      <c r="Q3001" s="4"/>
      <c r="R3001" s="4"/>
      <c r="S3001" s="9" t="str">
        <f>HYPERLINK("https://pbs.twimg.com/profile_images/958374868008960000/IRXSv5-C.jpg","View")</f>
        <v>View</v>
      </c>
    </row>
    <row r="3002" spans="1:19" ht="60">
      <c r="A3002" s="8">
        <v>43343.574155092589</v>
      </c>
      <c r="B3002" s="11" t="str">
        <f>HYPERLINK("https://twitter.com/iman_1350","@iman_1350")</f>
        <v>@iman_1350</v>
      </c>
      <c r="C3002" s="6" t="s">
        <v>9120</v>
      </c>
      <c r="D3002" s="5" t="s">
        <v>9119</v>
      </c>
      <c r="E3002" s="9" t="str">
        <f>HYPERLINK("https://twitter.com/iman_1350/status/1035456354847215616","1035456354847215616")</f>
        <v>1035456354847215616</v>
      </c>
      <c r="F3002" s="10" t="s">
        <v>9118</v>
      </c>
      <c r="G3002" s="4"/>
      <c r="H3002" s="4"/>
      <c r="I3002" s="10" t="str">
        <f>HYPERLINK("http://twitter.com/download/iphone","Twitter for iPhone")</f>
        <v>Twitter for iPhone</v>
      </c>
      <c r="J3002" s="2">
        <v>23</v>
      </c>
      <c r="K3002" s="2">
        <v>47</v>
      </c>
      <c r="L3002" s="2">
        <v>0</v>
      </c>
      <c r="M3002" s="2"/>
      <c r="N3002" s="8">
        <v>42741.690555555557</v>
      </c>
      <c r="O3002" s="4" t="s">
        <v>34</v>
      </c>
      <c r="P3002" s="3"/>
      <c r="Q3002" s="4"/>
      <c r="R3002" s="4"/>
      <c r="S3002" s="9" t="str">
        <f>HYPERLINK("https://pbs.twimg.com/profile_images/1034832968634777601/Mntwbrb9.jpg","View")</f>
        <v>View</v>
      </c>
    </row>
    <row r="3003" spans="1:19" ht="40">
      <c r="A3003" s="8">
        <v>43343.573576388888</v>
      </c>
      <c r="B3003" s="11" t="str">
        <f>HYPERLINK("https://twitter.com/amirdaneshvar","@amirdaneshvar")</f>
        <v>@amirdaneshvar</v>
      </c>
      <c r="C3003" s="6" t="s">
        <v>9117</v>
      </c>
      <c r="D3003" s="5" t="s">
        <v>9116</v>
      </c>
      <c r="E3003" s="9" t="str">
        <f>HYPERLINK("https://twitter.com/amirdaneshvar/status/1035456145933119488","1035456145933119488")</f>
        <v>1035456145933119488</v>
      </c>
      <c r="F3003" s="4"/>
      <c r="G3003" s="4"/>
      <c r="H3003" s="4"/>
      <c r="I3003" s="10" t="str">
        <f>HYPERLINK("http://twitter.com/download/iphone","Twitter for iPhone")</f>
        <v>Twitter for iPhone</v>
      </c>
      <c r="J3003" s="2">
        <v>291</v>
      </c>
      <c r="K3003" s="2">
        <v>1152</v>
      </c>
      <c r="L3003" s="2">
        <v>36</v>
      </c>
      <c r="M3003" s="2"/>
      <c r="N3003" s="8">
        <v>40317.070324074077</v>
      </c>
      <c r="O3003" s="4" t="s">
        <v>9115</v>
      </c>
      <c r="P3003" s="3" t="s">
        <v>9114</v>
      </c>
      <c r="Q3003" s="4"/>
      <c r="R3003" s="4"/>
      <c r="S3003" s="9" t="str">
        <f>HYPERLINK("https://pbs.twimg.com/profile_images/928970924833075201/6G4LvjGm.jpg","View")</f>
        <v>View</v>
      </c>
    </row>
    <row r="3004" spans="1:19" ht="20">
      <c r="A3004" s="8">
        <v>43343.569699074069</v>
      </c>
      <c r="B3004" s="11" t="str">
        <f>HYPERLINK("https://twitter.com/drmaghsoodi2","@drmaghsoodi2")</f>
        <v>@drmaghsoodi2</v>
      </c>
      <c r="C3004" s="6" t="s">
        <v>5707</v>
      </c>
      <c r="D3004" s="5" t="s">
        <v>9113</v>
      </c>
      <c r="E3004" s="9" t="str">
        <f>HYPERLINK("https://twitter.com/drmaghsoodi2/status/1035454738022760448","1035454738022760448")</f>
        <v>1035454738022760448</v>
      </c>
      <c r="F3004" s="4"/>
      <c r="G3004" s="4"/>
      <c r="H3004" s="4"/>
      <c r="I3004" s="10" t="str">
        <f>HYPERLINK("http://twitter.com/download/android","Twitter for Android")</f>
        <v>Twitter for Android</v>
      </c>
      <c r="J3004" s="2">
        <v>314</v>
      </c>
      <c r="K3004" s="2">
        <v>110</v>
      </c>
      <c r="L3004" s="2">
        <v>1</v>
      </c>
      <c r="M3004" s="2"/>
      <c r="N3004" s="8">
        <v>43120.440185185187</v>
      </c>
      <c r="O3004" s="4"/>
      <c r="P3004" s="3" t="s">
        <v>5705</v>
      </c>
      <c r="Q3004" s="4"/>
      <c r="R3004" s="4"/>
      <c r="S3004" s="9" t="str">
        <f>HYPERLINK("https://pbs.twimg.com/profile_images/962908629690146817/JF8xg-Aa.jpg","View")</f>
        <v>View</v>
      </c>
    </row>
    <row r="3005" spans="1:19" ht="40">
      <c r="A3005" s="8">
        <v>43343.566782407404</v>
      </c>
      <c r="B3005" s="11" t="str">
        <f>HYPERLINK("https://twitter.com/freedommesenger","@freedommesenger")</f>
        <v>@freedommesenger</v>
      </c>
      <c r="C3005" s="6" t="s">
        <v>808</v>
      </c>
      <c r="D3005" s="5" t="s">
        <v>9112</v>
      </c>
      <c r="E3005" s="9" t="str">
        <f>HYPERLINK("https://twitter.com/freedommesenger/status/1035453683692134401","1035453683692134401")</f>
        <v>1035453683692134401</v>
      </c>
      <c r="F3005" s="4"/>
      <c r="G3005" s="10" t="s">
        <v>9111</v>
      </c>
      <c r="H3005" s="4"/>
      <c r="I3005" s="10" t="str">
        <f>HYPERLINK("http://twitter.com/download/iphone","Twitter for iPhone")</f>
        <v>Twitter for iPhone</v>
      </c>
      <c r="J3005" s="2">
        <v>7824</v>
      </c>
      <c r="K3005" s="2">
        <v>31</v>
      </c>
      <c r="L3005" s="2">
        <v>262</v>
      </c>
      <c r="M3005" s="2"/>
      <c r="N3005" s="8">
        <v>40052.203796296293</v>
      </c>
      <c r="O3005" s="4" t="s">
        <v>805</v>
      </c>
      <c r="P3005" s="3" t="s">
        <v>804</v>
      </c>
      <c r="Q3005" s="10" t="s">
        <v>803</v>
      </c>
      <c r="R3005" s="4"/>
      <c r="S3005" s="9" t="str">
        <f>HYPERLINK("https://pbs.twimg.com/profile_images/756008327/youtube_icon_01.jpg","View")</f>
        <v>View</v>
      </c>
    </row>
    <row r="3006" spans="1:19" ht="20">
      <c r="A3006" s="8">
        <v>43343.56622685185</v>
      </c>
      <c r="B3006" s="11" t="str">
        <f>HYPERLINK("https://twitter.com/14september71","@14september71")</f>
        <v>@14september71</v>
      </c>
      <c r="C3006" s="6" t="s">
        <v>5077</v>
      </c>
      <c r="D3006" s="5" t="s">
        <v>9110</v>
      </c>
      <c r="E3006" s="9" t="str">
        <f>HYPERLINK("https://twitter.com/14september71/status/1035453480008384518","1035453480008384518")</f>
        <v>1035453480008384518</v>
      </c>
      <c r="F3006" s="4"/>
      <c r="G3006" s="4"/>
      <c r="H3006" s="4"/>
      <c r="I3006" s="10" t="str">
        <f>HYPERLINK("http://twitter.com/download/iphone","Twitter for iPhone")</f>
        <v>Twitter for iPhone</v>
      </c>
      <c r="J3006" s="2">
        <v>1657</v>
      </c>
      <c r="K3006" s="2">
        <v>1942</v>
      </c>
      <c r="L3006" s="2">
        <v>3</v>
      </c>
      <c r="M3006" s="2"/>
      <c r="N3006" s="8">
        <v>42852.559594907405</v>
      </c>
      <c r="O3006" s="4"/>
      <c r="P3006" s="3" t="s">
        <v>5074</v>
      </c>
      <c r="Q3006" s="4"/>
      <c r="R3006" s="4"/>
      <c r="S3006" s="9" t="str">
        <f>HYPERLINK("https://pbs.twimg.com/profile_images/975338716108673024/d--goR47.jpg","View")</f>
        <v>View</v>
      </c>
    </row>
    <row r="3007" spans="1:19" ht="40">
      <c r="A3007" s="8">
        <v>43343.559976851851</v>
      </c>
      <c r="B3007" s="11" t="str">
        <f>HYPERLINK("https://twitter.com/amirsayah1","@amirsayah1")</f>
        <v>@amirsayah1</v>
      </c>
      <c r="C3007" s="6" t="s">
        <v>332</v>
      </c>
      <c r="D3007" s="5" t="s">
        <v>9109</v>
      </c>
      <c r="E3007" s="9" t="str">
        <f>HYPERLINK("https://twitter.com/amirsayah1/status/1035451217797939200","1035451217797939200")</f>
        <v>1035451217797939200</v>
      </c>
      <c r="F3007" s="4"/>
      <c r="G3007" s="4"/>
      <c r="H3007" s="4"/>
      <c r="I3007" s="10" t="str">
        <f>HYPERLINK("http://twitter.com/download/android","Twitter for Android")</f>
        <v>Twitter for Android</v>
      </c>
      <c r="J3007" s="2">
        <v>1851</v>
      </c>
      <c r="K3007" s="2">
        <v>129</v>
      </c>
      <c r="L3007" s="2">
        <v>15</v>
      </c>
      <c r="M3007" s="2"/>
      <c r="N3007" s="8">
        <v>43297.851585648154</v>
      </c>
      <c r="O3007" s="4"/>
      <c r="P3007" s="3" t="s">
        <v>330</v>
      </c>
      <c r="Q3007" s="4"/>
      <c r="R3007" s="4"/>
      <c r="S3007" s="9" t="str">
        <f>HYPERLINK("https://pbs.twimg.com/profile_images/1031588127075434496/8SFrshob.jpg","View")</f>
        <v>View</v>
      </c>
    </row>
    <row r="3008" spans="1:19" ht="20">
      <c r="A3008" s="8">
        <v>43343.559791666667</v>
      </c>
      <c r="B3008" s="11" t="str">
        <f>HYPERLINK("https://twitter.com/ehsayn","@ehsayn")</f>
        <v>@ehsayn</v>
      </c>
      <c r="C3008" s="6" t="s">
        <v>5195</v>
      </c>
      <c r="D3008" s="5" t="s">
        <v>9108</v>
      </c>
      <c r="E3008" s="9" t="str">
        <f>HYPERLINK("https://twitter.com/ehsayn/status/1035451149879525377","1035451149879525377")</f>
        <v>1035451149879525377</v>
      </c>
      <c r="F3008" s="4"/>
      <c r="G3008" s="4"/>
      <c r="H3008" s="4"/>
      <c r="I3008" s="10" t="str">
        <f>HYPERLINK("http://twitter.com/download/android","Twitter for Android")</f>
        <v>Twitter for Android</v>
      </c>
      <c r="J3008" s="2">
        <v>1464</v>
      </c>
      <c r="K3008" s="2">
        <v>672</v>
      </c>
      <c r="L3008" s="2">
        <v>9</v>
      </c>
      <c r="M3008" s="2"/>
      <c r="N3008" s="8">
        <v>42104.503206018519</v>
      </c>
      <c r="O3008" s="4" t="s">
        <v>104</v>
      </c>
      <c r="P3008" s="3" t="s">
        <v>5193</v>
      </c>
      <c r="Q3008" s="4"/>
      <c r="R3008" s="4"/>
      <c r="S3008" s="9" t="str">
        <f>HYPERLINK("https://pbs.twimg.com/profile_images/1033997278359498754/Yy813AY3.jpg","View")</f>
        <v>View</v>
      </c>
    </row>
    <row r="3009" spans="1:19" ht="30">
      <c r="A3009" s="8">
        <v>43343.558923611112</v>
      </c>
      <c r="B3009" s="11" t="str">
        <f>HYPERLINK("https://twitter.com/javadifar66","@javadifar66")</f>
        <v>@javadifar66</v>
      </c>
      <c r="C3009" s="6" t="s">
        <v>9107</v>
      </c>
      <c r="D3009" s="5" t="s">
        <v>9106</v>
      </c>
      <c r="E3009" s="9" t="str">
        <f>HYPERLINK("https://twitter.com/javadifar66/status/1035450835088683008","1035450835088683008")</f>
        <v>1035450835088683008</v>
      </c>
      <c r="F3009" s="4"/>
      <c r="G3009" s="4"/>
      <c r="H3009" s="4"/>
      <c r="I3009" s="10" t="str">
        <f>HYPERLINK("http://twitter.com/download/android","Twitter for Android")</f>
        <v>Twitter for Android</v>
      </c>
      <c r="J3009" s="2">
        <v>391</v>
      </c>
      <c r="K3009" s="2">
        <v>381</v>
      </c>
      <c r="L3009" s="2">
        <v>0</v>
      </c>
      <c r="M3009" s="2"/>
      <c r="N3009" s="8">
        <v>42517.767013888893</v>
      </c>
      <c r="O3009" s="4"/>
      <c r="P3009" s="3" t="s">
        <v>9105</v>
      </c>
      <c r="Q3009" s="4"/>
      <c r="R3009" s="4"/>
      <c r="S3009" s="9" t="str">
        <f>HYPERLINK("https://pbs.twimg.com/profile_images/1021000129191563264/L6viif4m.jpg","View")</f>
        <v>View</v>
      </c>
    </row>
    <row r="3010" spans="1:19" ht="20">
      <c r="A3010" s="8">
        <v>43343.556261574078</v>
      </c>
      <c r="B3010" s="11" t="str">
        <f>HYPERLINK("https://twitter.com/rajabali_ir","@rajabali_ir")</f>
        <v>@rajabali_ir</v>
      </c>
      <c r="C3010" s="6" t="s">
        <v>6642</v>
      </c>
      <c r="D3010" s="5" t="s">
        <v>9104</v>
      </c>
      <c r="E3010" s="9" t="str">
        <f>HYPERLINK("https://twitter.com/rajabali_ir/status/1035449871023726592","1035449871023726592")</f>
        <v>1035449871023726592</v>
      </c>
      <c r="F3010" s="4"/>
      <c r="G3010" s="4"/>
      <c r="H3010" s="4"/>
      <c r="I3010" s="10" t="str">
        <f>HYPERLINK("http://twitter.com/download/android","Twitter for Android")</f>
        <v>Twitter for Android</v>
      </c>
      <c r="J3010" s="2">
        <v>1413</v>
      </c>
      <c r="K3010" s="2">
        <v>1999</v>
      </c>
      <c r="L3010" s="2">
        <v>0</v>
      </c>
      <c r="M3010" s="2"/>
      <c r="N3010" s="8">
        <v>42963.714201388888</v>
      </c>
      <c r="O3010" s="4" t="s">
        <v>17</v>
      </c>
      <c r="P3010" s="3" t="s">
        <v>6640</v>
      </c>
      <c r="Q3010" s="4"/>
      <c r="R3010" s="4"/>
      <c r="S3010" s="9" t="str">
        <f>HYPERLINK("https://pbs.twimg.com/profile_images/1023889695447470080/AB1JFOIC.jpg","View")</f>
        <v>View</v>
      </c>
    </row>
    <row r="3011" spans="1:19" ht="40">
      <c r="A3011" s="8">
        <v>43343.556134259255</v>
      </c>
      <c r="B3011" s="11" t="str">
        <f>HYPERLINK("https://twitter.com/roushan1355","@roushan1355")</f>
        <v>@roushan1355</v>
      </c>
      <c r="C3011" s="6" t="s">
        <v>3689</v>
      </c>
      <c r="D3011" s="5" t="s">
        <v>9103</v>
      </c>
      <c r="E3011" s="9" t="str">
        <f>HYPERLINK("https://twitter.com/roushan1355/status/1035449824580186113","1035449824580186113")</f>
        <v>1035449824580186113</v>
      </c>
      <c r="F3011" s="4"/>
      <c r="G3011" s="4"/>
      <c r="H3011" s="4"/>
      <c r="I3011" s="10" t="str">
        <f>HYPERLINK("http://twitter.com/download/android","Twitter for Android")</f>
        <v>Twitter for Android</v>
      </c>
      <c r="J3011" s="2">
        <v>29</v>
      </c>
      <c r="K3011" s="2">
        <v>1</v>
      </c>
      <c r="L3011" s="2">
        <v>0</v>
      </c>
      <c r="M3011" s="2"/>
      <c r="N3011" s="8">
        <v>43115.077233796299</v>
      </c>
      <c r="O3011" s="4"/>
      <c r="P3011" s="3" t="s">
        <v>3687</v>
      </c>
      <c r="Q3011" s="4"/>
      <c r="R3011" s="4"/>
      <c r="S3011" s="9" t="str">
        <f>HYPERLINK("https://pbs.twimg.com/profile_images/1011494810727911427/aE8nO6RI.jpg","View")</f>
        <v>View</v>
      </c>
    </row>
    <row r="3012" spans="1:19" ht="30">
      <c r="A3012" s="8">
        <v>43343.554618055554</v>
      </c>
      <c r="B3012" s="11" t="str">
        <f>HYPERLINK("https://twitter.com/aliahmadimehr1","@aliahmadimehr1")</f>
        <v>@aliahmadimehr1</v>
      </c>
      <c r="C3012" s="6" t="s">
        <v>9102</v>
      </c>
      <c r="D3012" s="5" t="s">
        <v>9101</v>
      </c>
      <c r="E3012" s="9" t="str">
        <f>HYPERLINK("https://twitter.com/aliahmadimehr1/status/1035449274228727809","1035449274228727809")</f>
        <v>1035449274228727809</v>
      </c>
      <c r="F3012" s="4"/>
      <c r="G3012" s="4"/>
      <c r="H3012" s="4"/>
      <c r="I3012" s="10" t="str">
        <f>HYPERLINK("http://twitter.com/download/android","Twitter for Android")</f>
        <v>Twitter for Android</v>
      </c>
      <c r="J3012" s="2">
        <v>2961</v>
      </c>
      <c r="K3012" s="2">
        <v>988</v>
      </c>
      <c r="L3012" s="2">
        <v>26</v>
      </c>
      <c r="M3012" s="2"/>
      <c r="N3012" s="8">
        <v>42557.607986111107</v>
      </c>
      <c r="O3012" s="4" t="s">
        <v>17</v>
      </c>
      <c r="P3012" s="3" t="s">
        <v>9100</v>
      </c>
      <c r="Q3012" s="4"/>
      <c r="R3012" s="4"/>
      <c r="S3012" s="9" t="str">
        <f>HYPERLINK("https://pbs.twimg.com/profile_images/812914712346263555/kNSqoIav.jpg","View")</f>
        <v>View</v>
      </c>
    </row>
    <row r="3013" spans="1:19" ht="30">
      <c r="A3013" s="8">
        <v>43343.554236111115</v>
      </c>
      <c r="B3013" s="11" t="str">
        <f>HYPERLINK("https://twitter.com/bouyesib3131","@bouyesib3131")</f>
        <v>@bouyesib3131</v>
      </c>
      <c r="C3013" s="6" t="s">
        <v>9099</v>
      </c>
      <c r="D3013" s="5" t="s">
        <v>9098</v>
      </c>
      <c r="E3013" s="9" t="str">
        <f>HYPERLINK("https://twitter.com/bouyesib3131/status/1035449134914969600","1035449134914969600")</f>
        <v>1035449134914969600</v>
      </c>
      <c r="F3013" s="4"/>
      <c r="G3013" s="4"/>
      <c r="H3013" s="4"/>
      <c r="I3013" s="10" t="str">
        <f>HYPERLINK("http://twitter.com/download/android","Twitter for Android")</f>
        <v>Twitter for Android</v>
      </c>
      <c r="J3013" s="2">
        <v>19</v>
      </c>
      <c r="K3013" s="2">
        <v>26</v>
      </c>
      <c r="L3013" s="2">
        <v>0</v>
      </c>
      <c r="M3013" s="2"/>
      <c r="N3013" s="8">
        <v>43183.038368055553</v>
      </c>
      <c r="O3013" s="4" t="s">
        <v>9097</v>
      </c>
      <c r="P3013" s="3" t="s">
        <v>9096</v>
      </c>
      <c r="Q3013" s="4"/>
      <c r="R3013" s="4"/>
      <c r="S3013" s="9" t="str">
        <f>HYPERLINK("https://pbs.twimg.com/profile_images/1035447813574942720/B7M-RiXl.jpg","View")</f>
        <v>View</v>
      </c>
    </row>
    <row r="3014" spans="1:19" ht="40">
      <c r="A3014" s="8">
        <v>43343.553078703699</v>
      </c>
      <c r="B3014" s="11" t="str">
        <f>HYPERLINK("https://twitter.com/dele_tang","@dele_tang")</f>
        <v>@dele_tang</v>
      </c>
      <c r="C3014" s="6" t="s">
        <v>9095</v>
      </c>
      <c r="D3014" s="5" t="s">
        <v>9094</v>
      </c>
      <c r="E3014" s="9" t="str">
        <f>HYPERLINK("https://twitter.com/dele_tang/status/1035448717803839493","1035448717803839493")</f>
        <v>1035448717803839493</v>
      </c>
      <c r="F3014" s="4"/>
      <c r="G3014" s="10" t="s">
        <v>9093</v>
      </c>
      <c r="H3014" s="4"/>
      <c r="I3014" s="10" t="str">
        <f>HYPERLINK("http://twitter.com","Twitter Web Client")</f>
        <v>Twitter Web Client</v>
      </c>
      <c r="J3014" s="2">
        <v>298</v>
      </c>
      <c r="K3014" s="2">
        <v>284</v>
      </c>
      <c r="L3014" s="2">
        <v>0</v>
      </c>
      <c r="M3014" s="2"/>
      <c r="N3014" s="8">
        <v>43018.049745370372</v>
      </c>
      <c r="O3014" s="4" t="s">
        <v>190</v>
      </c>
      <c r="P3014" s="3"/>
      <c r="Q3014" s="4"/>
      <c r="R3014" s="4"/>
      <c r="S3014" s="2" t="s">
        <v>155</v>
      </c>
    </row>
    <row r="3015" spans="1:19" ht="20">
      <c r="A3015" s="8">
        <v>43343.55268518519</v>
      </c>
      <c r="B3015" s="11" t="str">
        <f>HYPERLINK("https://twitter.com/hamide218","@hamide218")</f>
        <v>@hamide218</v>
      </c>
      <c r="C3015" s="6" t="s">
        <v>9092</v>
      </c>
      <c r="D3015" s="5" t="s">
        <v>9091</v>
      </c>
      <c r="E3015" s="9" t="str">
        <f>HYPERLINK("https://twitter.com/hamide218/status/1035448575688404992","1035448575688404992")</f>
        <v>1035448575688404992</v>
      </c>
      <c r="F3015" s="4"/>
      <c r="G3015" s="10" t="s">
        <v>9090</v>
      </c>
      <c r="H3015" s="4"/>
      <c r="I3015" s="10" t="str">
        <f>HYPERLINK("http://twitter.com","Twitter Web Client")</f>
        <v>Twitter Web Client</v>
      </c>
      <c r="J3015" s="2">
        <v>4005</v>
      </c>
      <c r="K3015" s="2">
        <v>2278</v>
      </c>
      <c r="L3015" s="2">
        <v>9</v>
      </c>
      <c r="M3015" s="2"/>
      <c r="N3015" s="8">
        <v>42808.029641203699</v>
      </c>
      <c r="O3015" s="4" t="s">
        <v>3893</v>
      </c>
      <c r="P3015" s="3" t="s">
        <v>9089</v>
      </c>
      <c r="Q3015" s="10" t="s">
        <v>9088</v>
      </c>
      <c r="R3015" s="4"/>
      <c r="S3015" s="9" t="str">
        <f>HYPERLINK("https://pbs.twimg.com/profile_images/1024971484635299840/UWNycXYG.jpg","View")</f>
        <v>View</v>
      </c>
    </row>
    <row r="3016" spans="1:19" ht="40">
      <c r="A3016" s="8">
        <v>43343.552361111113</v>
      </c>
      <c r="B3016" s="11" t="str">
        <f>HYPERLINK("https://twitter.com/jskojabadi","@jskojabadi")</f>
        <v>@jskojabadi</v>
      </c>
      <c r="C3016" s="6" t="s">
        <v>9087</v>
      </c>
      <c r="D3016" s="5" t="s">
        <v>9086</v>
      </c>
      <c r="E3016" s="9" t="str">
        <f>HYPERLINK("https://twitter.com/jskojabadi/status/1035448458449244161","1035448458449244161")</f>
        <v>1035448458449244161</v>
      </c>
      <c r="F3016" s="4"/>
      <c r="G3016" s="4"/>
      <c r="H3016" s="4"/>
      <c r="I3016" s="10" t="str">
        <f>HYPERLINK("https://mobile.twitter.com","Twitter Lite")</f>
        <v>Twitter Lite</v>
      </c>
      <c r="J3016" s="2">
        <v>891</v>
      </c>
      <c r="K3016" s="2">
        <v>480</v>
      </c>
      <c r="L3016" s="2">
        <v>3</v>
      </c>
      <c r="M3016" s="2"/>
      <c r="N3016" s="8">
        <v>43028.567152777774</v>
      </c>
      <c r="O3016" s="4"/>
      <c r="P3016" s="3" t="s">
        <v>9085</v>
      </c>
      <c r="Q3016" s="4"/>
      <c r="R3016" s="4"/>
      <c r="S3016" s="9" t="str">
        <f>HYPERLINK("https://pbs.twimg.com/profile_images/921327146349547520/yuVbyLdF.jpg","View")</f>
        <v>View</v>
      </c>
    </row>
    <row r="3017" spans="1:19" ht="40">
      <c r="A3017" s="8">
        <v>43343.545671296291</v>
      </c>
      <c r="B3017" s="11" t="str">
        <f>HYPERLINK("https://twitter.com/mahdiayat","@mahdiayat")</f>
        <v>@mahdiayat</v>
      </c>
      <c r="C3017" s="6" t="s">
        <v>4907</v>
      </c>
      <c r="D3017" s="5" t="s">
        <v>9083</v>
      </c>
      <c r="E3017" s="9" t="str">
        <f>HYPERLINK("https://twitter.com/mahdiayat/status/1035446031016554496","1035446031016554496")</f>
        <v>1035446031016554496</v>
      </c>
      <c r="F3017" s="4"/>
      <c r="G3017" s="10" t="s">
        <v>9084</v>
      </c>
      <c r="H3017" s="4"/>
      <c r="I3017" s="10" t="str">
        <f>HYPERLINK("http://twitter.com/download/iphone","Twitter for iPhone")</f>
        <v>Twitter for iPhone</v>
      </c>
      <c r="J3017" s="2">
        <v>222</v>
      </c>
      <c r="K3017" s="2">
        <v>953</v>
      </c>
      <c r="L3017" s="2">
        <v>3</v>
      </c>
      <c r="M3017" s="2"/>
      <c r="N3017" s="8">
        <v>39793.538819444446</v>
      </c>
      <c r="O3017" s="4" t="s">
        <v>4905</v>
      </c>
      <c r="P3017" s="3" t="s">
        <v>4904</v>
      </c>
      <c r="Q3017" s="4"/>
      <c r="R3017" s="4"/>
      <c r="S3017" s="9" t="str">
        <f>HYPERLINK("https://pbs.twimg.com/profile_images/997401220024221696/b6kS9tmF.jpg","View")</f>
        <v>View</v>
      </c>
    </row>
    <row r="3018" spans="1:19" ht="40">
      <c r="A3018" s="8">
        <v>43343.545266203699</v>
      </c>
      <c r="B3018" s="11" t="str">
        <f>HYPERLINK("https://twitter.com/mahdiayat","@mahdiayat")</f>
        <v>@mahdiayat</v>
      </c>
      <c r="C3018" s="6" t="s">
        <v>4907</v>
      </c>
      <c r="D3018" s="5" t="s">
        <v>9083</v>
      </c>
      <c r="E3018" s="9" t="str">
        <f>HYPERLINK("https://twitter.com/mahdiayat/status/1035445885394608128","1035445885394608128")</f>
        <v>1035445885394608128</v>
      </c>
      <c r="F3018" s="4"/>
      <c r="G3018" s="4"/>
      <c r="H3018" s="4"/>
      <c r="I3018" s="10" t="str">
        <f>HYPERLINK("http://twitter.com/download/iphone","Twitter for iPhone")</f>
        <v>Twitter for iPhone</v>
      </c>
      <c r="J3018" s="2">
        <v>222</v>
      </c>
      <c r="K3018" s="2">
        <v>953</v>
      </c>
      <c r="L3018" s="2">
        <v>3</v>
      </c>
      <c r="M3018" s="2"/>
      <c r="N3018" s="8">
        <v>39793.538819444446</v>
      </c>
      <c r="O3018" s="4" t="s">
        <v>4905</v>
      </c>
      <c r="P3018" s="3" t="s">
        <v>4904</v>
      </c>
      <c r="Q3018" s="4"/>
      <c r="R3018" s="4"/>
      <c r="S3018" s="9" t="str">
        <f>HYPERLINK("https://pbs.twimg.com/profile_images/997401220024221696/b6kS9tmF.jpg","View")</f>
        <v>View</v>
      </c>
    </row>
    <row r="3019" spans="1:19" ht="40">
      <c r="A3019" s="8">
        <v>43343.542962962965</v>
      </c>
      <c r="B3019" s="11" t="str">
        <f>HYPERLINK("https://twitter.com/mehrdad935","@mehrdad935")</f>
        <v>@mehrdad935</v>
      </c>
      <c r="C3019" s="6" t="s">
        <v>6721</v>
      </c>
      <c r="D3019" s="5" t="s">
        <v>9082</v>
      </c>
      <c r="E3019" s="9" t="str">
        <f>HYPERLINK("https://twitter.com/mehrdad935/status/1035445052317859840","1035445052317859840")</f>
        <v>1035445052317859840</v>
      </c>
      <c r="F3019" s="4"/>
      <c r="G3019" s="4"/>
      <c r="H3019" s="4"/>
      <c r="I3019" s="10" t="str">
        <f>HYPERLINK("http://twitter.com","Twitter Web Client")</f>
        <v>Twitter Web Client</v>
      </c>
      <c r="J3019" s="2">
        <v>15</v>
      </c>
      <c r="K3019" s="2">
        <v>9</v>
      </c>
      <c r="L3019" s="2">
        <v>0</v>
      </c>
      <c r="M3019" s="2"/>
      <c r="N3019" s="8">
        <v>42891.682118055556</v>
      </c>
      <c r="O3019" s="4" t="s">
        <v>17</v>
      </c>
      <c r="P3019" s="3" t="s">
        <v>6719</v>
      </c>
      <c r="Q3019" s="4"/>
      <c r="R3019" s="4"/>
      <c r="S3019" s="9" t="str">
        <f>HYPERLINK("https://pbs.twimg.com/profile_images/972713031825330176/JiZOxrty.jpg","View")</f>
        <v>View</v>
      </c>
    </row>
    <row r="3020" spans="1:19" ht="40">
      <c r="A3020" s="8">
        <v>43343.541238425925</v>
      </c>
      <c r="B3020" s="11" t="str">
        <f>HYPERLINK("https://twitter.com/myfardamy","@myfardamy")</f>
        <v>@myfardamy</v>
      </c>
      <c r="C3020" s="6" t="s">
        <v>8923</v>
      </c>
      <c r="D3020" s="5" t="s">
        <v>9081</v>
      </c>
      <c r="E3020" s="9" t="str">
        <f>HYPERLINK("https://twitter.com/myfardamy/status/1035444427123318784","1035444427123318784")</f>
        <v>1035444427123318784</v>
      </c>
      <c r="F3020" s="4"/>
      <c r="G3020" s="10" t="s">
        <v>9080</v>
      </c>
      <c r="H3020" s="4"/>
      <c r="I3020" s="10" t="str">
        <f>HYPERLINK("http://twitter.com/download/android","Twitter for Android")</f>
        <v>Twitter for Android</v>
      </c>
      <c r="J3020" s="2">
        <v>1</v>
      </c>
      <c r="K3020" s="2">
        <v>49</v>
      </c>
      <c r="L3020" s="2">
        <v>0</v>
      </c>
      <c r="M3020" s="2"/>
      <c r="N3020" s="8">
        <v>43343.319548611107</v>
      </c>
      <c r="O3020" s="4" t="s">
        <v>17</v>
      </c>
      <c r="P3020" s="3" t="s">
        <v>8921</v>
      </c>
      <c r="Q3020" s="4"/>
      <c r="R3020" s="4"/>
      <c r="S3020" s="2" t="s">
        <v>155</v>
      </c>
    </row>
    <row r="3021" spans="1:19" ht="30">
      <c r="A3021" s="8">
        <v>43343.540439814809</v>
      </c>
      <c r="B3021" s="11" t="str">
        <f>HYPERLINK("https://twitter.com/fn357","@fn357")</f>
        <v>@fn357</v>
      </c>
      <c r="C3021" s="6" t="s">
        <v>9079</v>
      </c>
      <c r="D3021" s="5" t="s">
        <v>9078</v>
      </c>
      <c r="E3021" s="9" t="str">
        <f>HYPERLINK("https://twitter.com/fn357/status/1035444138848792576","1035444138848792576")</f>
        <v>1035444138848792576</v>
      </c>
      <c r="F3021" s="4"/>
      <c r="G3021" s="4"/>
      <c r="H3021" s="4"/>
      <c r="I3021" s="10" t="str">
        <f>HYPERLINK("http://twitter.com/download/android","Twitter for Android")</f>
        <v>Twitter for Android</v>
      </c>
      <c r="J3021" s="2">
        <v>217</v>
      </c>
      <c r="K3021" s="2">
        <v>253</v>
      </c>
      <c r="L3021" s="2">
        <v>0</v>
      </c>
      <c r="M3021" s="2"/>
      <c r="N3021" s="8">
        <v>42196.842233796298</v>
      </c>
      <c r="O3021" s="4"/>
      <c r="P3021" s="3"/>
      <c r="Q3021" s="4"/>
      <c r="R3021" s="4"/>
      <c r="S3021" s="9" t="str">
        <f>HYPERLINK("https://pbs.twimg.com/profile_images/1034848138379579392/TQYf-Dam.jpg","View")</f>
        <v>View</v>
      </c>
    </row>
    <row r="3022" spans="1:19" ht="40">
      <c r="A3022" s="8">
        <v>43343.537962962961</v>
      </c>
      <c r="B3022" s="11" t="str">
        <f>HYPERLINK("https://twitter.com/AminSabeti","@AminSabeti")</f>
        <v>@AminSabeti</v>
      </c>
      <c r="C3022" s="6" t="s">
        <v>9077</v>
      </c>
      <c r="D3022" s="5" t="s">
        <v>9076</v>
      </c>
      <c r="E3022" s="9" t="str">
        <f>HYPERLINK("https://twitter.com/AminSabeti/status/1035443239992664069","1035443239992664069")</f>
        <v>1035443239992664069</v>
      </c>
      <c r="F3022" s="10" t="s">
        <v>9075</v>
      </c>
      <c r="G3022" s="4"/>
      <c r="H3022" s="4"/>
      <c r="I3022" s="10" t="str">
        <f>HYPERLINK("http://twitter.com/download/android","Twitter for Android")</f>
        <v>Twitter for Android</v>
      </c>
      <c r="J3022" s="2">
        <v>48197</v>
      </c>
      <c r="K3022" s="2">
        <v>1306</v>
      </c>
      <c r="L3022" s="2">
        <v>293</v>
      </c>
      <c r="M3022" s="2"/>
      <c r="N3022" s="8">
        <v>39124.692881944444</v>
      </c>
      <c r="O3022" s="4" t="s">
        <v>9074</v>
      </c>
      <c r="P3022" s="3" t="s">
        <v>9073</v>
      </c>
      <c r="Q3022" s="10" t="s">
        <v>9072</v>
      </c>
      <c r="R3022" s="4"/>
      <c r="S3022" s="9" t="str">
        <f>HYPERLINK("https://pbs.twimg.com/profile_images/54854187/avatar.jpg","View")</f>
        <v>View</v>
      </c>
    </row>
    <row r="3023" spans="1:19" ht="40">
      <c r="A3023" s="8">
        <v>43343.536493055552</v>
      </c>
      <c r="B3023" s="11" t="str">
        <f>HYPERLINK("https://twitter.com/hrjafarian89","@hrjafarian89")</f>
        <v>@hrjafarian89</v>
      </c>
      <c r="C3023" s="6" t="s">
        <v>9071</v>
      </c>
      <c r="D3023" s="5" t="s">
        <v>9070</v>
      </c>
      <c r="E3023" s="9" t="str">
        <f>HYPERLINK("https://twitter.com/hrjafarian89/status/1035442707496415232","1035442707496415232")</f>
        <v>1035442707496415232</v>
      </c>
      <c r="F3023" s="4"/>
      <c r="G3023" s="4"/>
      <c r="H3023" s="4"/>
      <c r="I3023" s="10" t="str">
        <f>HYPERLINK("http://twitter.com/download/android","Twitter for Android")</f>
        <v>Twitter for Android</v>
      </c>
      <c r="J3023" s="2">
        <v>642</v>
      </c>
      <c r="K3023" s="2">
        <v>398</v>
      </c>
      <c r="L3023" s="2">
        <v>3</v>
      </c>
      <c r="M3023" s="2"/>
      <c r="N3023" s="8">
        <v>42905.688020833331</v>
      </c>
      <c r="O3023" s="4"/>
      <c r="P3023" s="3" t="s">
        <v>9069</v>
      </c>
      <c r="Q3023" s="4"/>
      <c r="R3023" s="4"/>
      <c r="S3023" s="9" t="str">
        <f>HYPERLINK("https://pbs.twimg.com/profile_images/1027807552459993088/hazwDWAy.jpg","View")</f>
        <v>View</v>
      </c>
    </row>
    <row r="3024" spans="1:19" ht="20">
      <c r="A3024" s="8">
        <v>43343.534780092596</v>
      </c>
      <c r="B3024" s="11" t="str">
        <f>HYPERLINK("https://twitter.com/RouhaniMeter","@RouhaniMeter")</f>
        <v>@RouhaniMeter</v>
      </c>
      <c r="C3024" s="6" t="s">
        <v>3172</v>
      </c>
      <c r="D3024" s="5" t="s">
        <v>7370</v>
      </c>
      <c r="E3024" s="9" t="str">
        <f>HYPERLINK("https://twitter.com/RouhaniMeter/status/1035442086072463360","1035442086072463360")</f>
        <v>1035442086072463360</v>
      </c>
      <c r="F3024" s="10" t="s">
        <v>7369</v>
      </c>
      <c r="G3024" s="10" t="s">
        <v>9068</v>
      </c>
      <c r="H3024" s="4"/>
      <c r="I3024" s="10" t="str">
        <f>HYPERLINK("https://coschedule.com","CoSchedule")</f>
        <v>CoSchedule</v>
      </c>
      <c r="J3024" s="2">
        <v>5561</v>
      </c>
      <c r="K3024" s="2">
        <v>229</v>
      </c>
      <c r="L3024" s="2">
        <v>49</v>
      </c>
      <c r="M3024" s="2"/>
      <c r="N3024" s="8">
        <v>41443.730347222227</v>
      </c>
      <c r="O3024" s="4"/>
      <c r="P3024" s="3" t="s">
        <v>3168</v>
      </c>
      <c r="Q3024" s="10" t="s">
        <v>3167</v>
      </c>
      <c r="R3024" s="4"/>
      <c r="S3024" s="9" t="str">
        <f>HYPERLINK("https://pbs.twimg.com/profile_images/675451482406150144/8X7mV4Al.jpg","View")</f>
        <v>View</v>
      </c>
    </row>
    <row r="3025" spans="1:19" ht="40">
      <c r="A3025" s="8">
        <v>43343.529710648145</v>
      </c>
      <c r="B3025" s="11" t="str">
        <f>HYPERLINK("https://twitter.com/LindaBahrampour","@LindaBahrampour")</f>
        <v>@LindaBahrampour</v>
      </c>
      <c r="C3025" s="6" t="s">
        <v>9067</v>
      </c>
      <c r="D3025" s="5" t="s">
        <v>9066</v>
      </c>
      <c r="E3025" s="9" t="str">
        <f>HYPERLINK("https://twitter.com/LindaBahrampour/status/1035440247159627776","1035440247159627776")</f>
        <v>1035440247159627776</v>
      </c>
      <c r="F3025" s="4"/>
      <c r="G3025" s="10" t="s">
        <v>9065</v>
      </c>
      <c r="H3025" s="4"/>
      <c r="I3025" s="10" t="str">
        <f>HYPERLINK("http://twitter.com/download/iphone","Twitter for iPhone")</f>
        <v>Twitter for iPhone</v>
      </c>
      <c r="J3025" s="2">
        <v>1095</v>
      </c>
      <c r="K3025" s="2">
        <v>427</v>
      </c>
      <c r="L3025" s="2">
        <v>10</v>
      </c>
      <c r="M3025" s="2"/>
      <c r="N3025" s="8">
        <v>41524.89439814815</v>
      </c>
      <c r="O3025" s="4"/>
      <c r="P3025" s="3" t="s">
        <v>9064</v>
      </c>
      <c r="Q3025" s="10" t="s">
        <v>9063</v>
      </c>
      <c r="R3025" s="4"/>
      <c r="S3025" s="9" t="str">
        <f>HYPERLINK("https://pbs.twimg.com/profile_images/974216594376282114/3abreymZ.jpg","View")</f>
        <v>View</v>
      </c>
    </row>
    <row r="3026" spans="1:19" ht="60">
      <c r="A3026" s="8">
        <v>43343.528414351851</v>
      </c>
      <c r="B3026" s="11" t="str">
        <f>HYPERLINK("https://twitter.com/paykari_313","@paykari_313")</f>
        <v>@paykari_313</v>
      </c>
      <c r="C3026" s="6" t="s">
        <v>9062</v>
      </c>
      <c r="D3026" s="5" t="s">
        <v>9061</v>
      </c>
      <c r="E3026" s="9" t="str">
        <f>HYPERLINK("https://twitter.com/paykari_313/status/1035439778844553217","1035439778844553217")</f>
        <v>1035439778844553217</v>
      </c>
      <c r="F3026" s="10" t="s">
        <v>9060</v>
      </c>
      <c r="G3026" s="4"/>
      <c r="H3026" s="4"/>
      <c r="I3026" s="10" t="str">
        <f>HYPERLINK("http://twitter.com/download/android","Twitter for Android")</f>
        <v>Twitter for Android</v>
      </c>
      <c r="J3026" s="2">
        <v>453</v>
      </c>
      <c r="K3026" s="2">
        <v>410</v>
      </c>
      <c r="L3026" s="2">
        <v>0</v>
      </c>
      <c r="M3026" s="2"/>
      <c r="N3026" s="8">
        <v>43222.623113425929</v>
      </c>
      <c r="O3026" s="4" t="s">
        <v>1837</v>
      </c>
      <c r="P3026" s="3" t="s">
        <v>9059</v>
      </c>
      <c r="Q3026" s="4"/>
      <c r="R3026" s="4"/>
      <c r="S3026" s="9" t="str">
        <f>HYPERLINK("https://pbs.twimg.com/profile_images/1031502569024233472/o-Xmrqkn.jpg","View")</f>
        <v>View</v>
      </c>
    </row>
    <row r="3027" spans="1:19" ht="20">
      <c r="A3027" s="8">
        <v>43343.527592592596</v>
      </c>
      <c r="B3027" s="11" t="str">
        <f>HYPERLINK("https://twitter.com/drdehghanij","@drdehghanij")</f>
        <v>@drdehghanij</v>
      </c>
      <c r="C3027" s="6" t="s">
        <v>9058</v>
      </c>
      <c r="D3027" s="5" t="s">
        <v>9057</v>
      </c>
      <c r="E3027" s="9" t="str">
        <f>HYPERLINK("https://twitter.com/drdehghanij/status/1035439480105324544","1035439480105324544")</f>
        <v>1035439480105324544</v>
      </c>
      <c r="F3027" s="4"/>
      <c r="G3027" s="10" t="s">
        <v>9056</v>
      </c>
      <c r="H3027" s="4"/>
      <c r="I3027" s="10" t="str">
        <f>HYPERLINK("http://twitter.com/download/iphone","Twitter for iPhone")</f>
        <v>Twitter for iPhone</v>
      </c>
      <c r="J3027" s="2">
        <v>1607</v>
      </c>
      <c r="K3027" s="2">
        <v>1683</v>
      </c>
      <c r="L3027" s="2">
        <v>4</v>
      </c>
      <c r="M3027" s="2"/>
      <c r="N3027" s="8">
        <v>39984.809351851851</v>
      </c>
      <c r="O3027" s="4" t="s">
        <v>4283</v>
      </c>
      <c r="P3027" s="3" t="s">
        <v>9055</v>
      </c>
      <c r="Q3027" s="10" t="s">
        <v>9054</v>
      </c>
      <c r="R3027" s="4"/>
      <c r="S3027" s="9" t="str">
        <f>HYPERLINK("https://pbs.twimg.com/profile_images/820392255735336962/0knCAfe5.jpg","View")</f>
        <v>View</v>
      </c>
    </row>
    <row r="3028" spans="1:19" ht="20">
      <c r="A3028" s="8">
        <v>43343.526782407411</v>
      </c>
      <c r="B3028" s="11" t="str">
        <f>HYPERLINK("https://twitter.com/MJavad_Asghari","@MJavad_Asghari")</f>
        <v>@MJavad_Asghari</v>
      </c>
      <c r="C3028" s="6" t="s">
        <v>218</v>
      </c>
      <c r="D3028" s="5" t="s">
        <v>9053</v>
      </c>
      <c r="E3028" s="9" t="str">
        <f>HYPERLINK("https://twitter.com/MJavad_Asghari/status/1035439189536452608","1035439189536452608")</f>
        <v>1035439189536452608</v>
      </c>
      <c r="F3028" s="4"/>
      <c r="G3028" s="4"/>
      <c r="H3028" s="4"/>
      <c r="I3028" s="10" t="str">
        <f>HYPERLINK("http://twitter.com/download/android","Twitter for Android")</f>
        <v>Twitter for Android</v>
      </c>
      <c r="J3028" s="2">
        <v>625</v>
      </c>
      <c r="K3028" s="2">
        <v>300</v>
      </c>
      <c r="L3028" s="2">
        <v>3</v>
      </c>
      <c r="M3028" s="2"/>
      <c r="N3028" s="8">
        <v>42830.026458333334</v>
      </c>
      <c r="O3028" s="4" t="s">
        <v>216</v>
      </c>
      <c r="P3028" s="3" t="s">
        <v>215</v>
      </c>
      <c r="Q3028" s="4"/>
      <c r="R3028" s="4"/>
      <c r="S3028" s="9" t="str">
        <f>HYPERLINK("https://pbs.twimg.com/profile_images/974373512893825024/02kUljsf.jpg","View")</f>
        <v>View</v>
      </c>
    </row>
    <row r="3029" spans="1:19" ht="30">
      <c r="A3029" s="8">
        <v>43343.524571759262</v>
      </c>
      <c r="B3029" s="11" t="str">
        <f>HYPERLINK("https://twitter.com/R_rahmatzehi","@R_rahmatzehi")</f>
        <v>@R_rahmatzehi</v>
      </c>
      <c r="C3029" s="6" t="s">
        <v>6923</v>
      </c>
      <c r="D3029" s="5" t="s">
        <v>9052</v>
      </c>
      <c r="E3029" s="9" t="str">
        <f>HYPERLINK("https://twitter.com/R_rahmatzehi/status/1035438384750252034","1035438384750252034")</f>
        <v>1035438384750252034</v>
      </c>
      <c r="F3029" s="4"/>
      <c r="G3029" s="4"/>
      <c r="H3029" s="4"/>
      <c r="I3029" s="10" t="str">
        <f>HYPERLINK("http://twitter.com/download/iphone","Twitter for iPhone")</f>
        <v>Twitter for iPhone</v>
      </c>
      <c r="J3029" s="2">
        <v>228</v>
      </c>
      <c r="K3029" s="2">
        <v>189</v>
      </c>
      <c r="L3029" s="2">
        <v>0</v>
      </c>
      <c r="M3029" s="2"/>
      <c r="N3029" s="8">
        <v>42943.558425925927</v>
      </c>
      <c r="O3029" s="4"/>
      <c r="P3029" s="3" t="s">
        <v>6921</v>
      </c>
      <c r="Q3029" s="4"/>
      <c r="R3029" s="4"/>
      <c r="S3029" s="9" t="str">
        <f>HYPERLINK("https://pbs.twimg.com/profile_images/890500697313218561/WFQL9-VC.jpg","View")</f>
        <v>View</v>
      </c>
    </row>
    <row r="3030" spans="1:19" ht="40">
      <c r="A3030" s="8">
        <v>43343.522268518514</v>
      </c>
      <c r="B3030" s="11" t="str">
        <f>HYPERLINK("https://twitter.com/ir_asgari","@ir_asgari")</f>
        <v>@ir_asgari</v>
      </c>
      <c r="C3030" s="6" t="s">
        <v>9051</v>
      </c>
      <c r="D3030" s="5" t="s">
        <v>9050</v>
      </c>
      <c r="E3030" s="9" t="str">
        <f>HYPERLINK("https://twitter.com/ir_asgari/status/1035437550763167746","1035437550763167746")</f>
        <v>1035437550763167746</v>
      </c>
      <c r="F3030" s="4"/>
      <c r="G3030" s="4"/>
      <c r="H3030" s="4"/>
      <c r="I3030" s="10" t="str">
        <f>HYPERLINK("http://twitter.com/download/android","Twitter for Android")</f>
        <v>Twitter for Android</v>
      </c>
      <c r="J3030" s="2">
        <v>617</v>
      </c>
      <c r="K3030" s="2">
        <v>2648</v>
      </c>
      <c r="L3030" s="2">
        <v>3</v>
      </c>
      <c r="M3030" s="2"/>
      <c r="N3030" s="8">
        <v>42852.068969907406</v>
      </c>
      <c r="O3030" s="4" t="s">
        <v>17</v>
      </c>
      <c r="P3030" s="3" t="s">
        <v>9049</v>
      </c>
      <c r="Q3030" s="4"/>
      <c r="R3030" s="4"/>
      <c r="S3030" s="9" t="str">
        <f>HYPERLINK("https://pbs.twimg.com/profile_images/857345512290344960/l_U1wrw0.jpg","View")</f>
        <v>View</v>
      </c>
    </row>
    <row r="3031" spans="1:19" ht="30">
      <c r="A3031" s="8">
        <v>43343.521365740744</v>
      </c>
      <c r="B3031" s="11" t="str">
        <f>HYPERLINK("https://twitter.com/Kianoosh_sa1","@Kianoosh_sa1")</f>
        <v>@Kianoosh_sa1</v>
      </c>
      <c r="C3031" s="6" t="s">
        <v>9048</v>
      </c>
      <c r="D3031" s="5" t="s">
        <v>9047</v>
      </c>
      <c r="E3031" s="9" t="str">
        <f>HYPERLINK("https://twitter.com/Kianoosh_sa1/status/1035437224421191680","1035437224421191680")</f>
        <v>1035437224421191680</v>
      </c>
      <c r="F3031" s="4"/>
      <c r="G3031" s="10" t="s">
        <v>9046</v>
      </c>
      <c r="H3031" s="4"/>
      <c r="I3031" s="10" t="str">
        <f>HYPERLINK("http://twitter.com","Twitter Web Client")</f>
        <v>Twitter Web Client</v>
      </c>
      <c r="J3031" s="2">
        <v>6764</v>
      </c>
      <c r="K3031" s="2">
        <v>6650</v>
      </c>
      <c r="L3031" s="2">
        <v>90</v>
      </c>
      <c r="M3031" s="2"/>
      <c r="N3031" s="8">
        <v>42483.009571759263</v>
      </c>
      <c r="O3031" s="4" t="s">
        <v>2876</v>
      </c>
      <c r="P3031" s="3"/>
      <c r="Q3031" s="4"/>
      <c r="R3031" s="4"/>
      <c r="S3031" s="9" t="str">
        <f>HYPERLINK("https://pbs.twimg.com/profile_images/1025101121512263681/ztY3r_Wl.jpg","View")</f>
        <v>View</v>
      </c>
    </row>
    <row r="3032" spans="1:19" ht="40">
      <c r="A3032" s="8">
        <v>43343.514560185184</v>
      </c>
      <c r="B3032" s="11" t="str">
        <f>HYPERLINK("https://twitter.com/mmzendedeli","@mmzendedeli")</f>
        <v>@mmzendedeli</v>
      </c>
      <c r="C3032" s="6" t="s">
        <v>9045</v>
      </c>
      <c r="D3032" s="5" t="s">
        <v>9044</v>
      </c>
      <c r="E3032" s="9" t="str">
        <f>HYPERLINK("https://twitter.com/mmzendedeli/status/1035434757151240192","1035434757151240192")</f>
        <v>1035434757151240192</v>
      </c>
      <c r="F3032" s="4"/>
      <c r="G3032" s="4"/>
      <c r="H3032" s="4"/>
      <c r="I3032" s="10" t="str">
        <f>HYPERLINK("http://twitter.com/download/android","Twitter for Android")</f>
        <v>Twitter for Android</v>
      </c>
      <c r="J3032" s="2">
        <v>180</v>
      </c>
      <c r="K3032" s="2">
        <v>610</v>
      </c>
      <c r="L3032" s="2">
        <v>0</v>
      </c>
      <c r="M3032" s="2"/>
      <c r="N3032" s="8">
        <v>43307.626712962963</v>
      </c>
      <c r="O3032" s="4"/>
      <c r="P3032" s="3" t="s">
        <v>9043</v>
      </c>
      <c r="Q3032" s="4"/>
      <c r="R3032" s="4"/>
      <c r="S3032" s="9" t="str">
        <f>HYPERLINK("https://pbs.twimg.com/profile_images/1022442712115625984/R8frj1yO.jpg","View")</f>
        <v>View</v>
      </c>
    </row>
    <row r="3033" spans="1:19" ht="30">
      <c r="A3033" s="8">
        <v>43343.514062499999</v>
      </c>
      <c r="B3033" s="11" t="str">
        <f>HYPERLINK("https://twitter.com/aa66871715","@aa66871715")</f>
        <v>@aa66871715</v>
      </c>
      <c r="C3033" s="6" t="s">
        <v>9042</v>
      </c>
      <c r="D3033" s="5" t="s">
        <v>9041</v>
      </c>
      <c r="E3033" s="9" t="str">
        <f>HYPERLINK("https://twitter.com/aa66871715/status/1035434580092878849","1035434580092878849")</f>
        <v>1035434580092878849</v>
      </c>
      <c r="F3033" s="4"/>
      <c r="G3033" s="10" t="s">
        <v>9040</v>
      </c>
      <c r="H3033" s="4"/>
      <c r="I3033" s="10" t="str">
        <f>HYPERLINK("http://twitter.com/download/iphone","Twitter for iPhone")</f>
        <v>Twitter for iPhone</v>
      </c>
      <c r="J3033" s="2">
        <v>258</v>
      </c>
      <c r="K3033" s="2">
        <v>432</v>
      </c>
      <c r="L3033" s="2">
        <v>0</v>
      </c>
      <c r="M3033" s="2"/>
      <c r="N3033" s="8">
        <v>42455.694398148145</v>
      </c>
      <c r="O3033" s="4" t="s">
        <v>9039</v>
      </c>
      <c r="P3033" s="3" t="s">
        <v>9038</v>
      </c>
      <c r="Q3033" s="4"/>
      <c r="R3033" s="4"/>
      <c r="S3033" s="9" t="str">
        <f>HYPERLINK("https://pbs.twimg.com/profile_images/899917041351766016/rdpYIlSp.jpg","View")</f>
        <v>View</v>
      </c>
    </row>
    <row r="3034" spans="1:19" ht="40">
      <c r="A3034" s="8">
        <v>43343.512685185182</v>
      </c>
      <c r="B3034" s="11" t="str">
        <f>HYPERLINK("https://twitter.com/mrnobodyhastam","@mrnobodyhastam")</f>
        <v>@mrnobodyhastam</v>
      </c>
      <c r="C3034" s="6" t="s">
        <v>8582</v>
      </c>
      <c r="D3034" s="5" t="s">
        <v>9037</v>
      </c>
      <c r="E3034" s="9" t="str">
        <f>HYPERLINK("https://twitter.com/mrnobodyhastam/status/1035434078651043840","1035434078651043840")</f>
        <v>1035434078651043840</v>
      </c>
      <c r="F3034" s="4"/>
      <c r="G3034" s="4"/>
      <c r="H3034" s="4"/>
      <c r="I3034" s="10" t="str">
        <f>HYPERLINK("http://twitter.com/download/iphone","Twitter for iPhone")</f>
        <v>Twitter for iPhone</v>
      </c>
      <c r="J3034" s="2">
        <v>353</v>
      </c>
      <c r="K3034" s="2">
        <v>1140</v>
      </c>
      <c r="L3034" s="2">
        <v>0</v>
      </c>
      <c r="M3034" s="2"/>
      <c r="N3034" s="8">
        <v>43103.06858796296</v>
      </c>
      <c r="O3034" s="4" t="s">
        <v>743</v>
      </c>
      <c r="P3034" s="3" t="s">
        <v>7915</v>
      </c>
      <c r="Q3034" s="4"/>
      <c r="R3034" s="4"/>
      <c r="S3034" s="9" t="str">
        <f>HYPERLINK("https://pbs.twimg.com/profile_images/1034296370532737024/_eSdzFh8.jpg","View")</f>
        <v>View</v>
      </c>
    </row>
    <row r="3035" spans="1:19" ht="40">
      <c r="A3035" s="8">
        <v>43343.512395833328</v>
      </c>
      <c r="B3035" s="11" t="str">
        <f>HYPERLINK("https://twitter.com/hamshahrinews","@hamshahrinews")</f>
        <v>@hamshahrinews</v>
      </c>
      <c r="C3035" s="6" t="s">
        <v>2149</v>
      </c>
      <c r="D3035" s="5" t="s">
        <v>9036</v>
      </c>
      <c r="E3035" s="9" t="str">
        <f>HYPERLINK("https://twitter.com/hamshahrinews/status/1035433974779269120","1035433974779269120")</f>
        <v>1035433974779269120</v>
      </c>
      <c r="F3035" s="4"/>
      <c r="G3035" s="4"/>
      <c r="H3035" s="4"/>
      <c r="I3035" s="10" t="str">
        <f>HYPERLINK("http://twitter.com","Twitter Web Client")</f>
        <v>Twitter Web Client</v>
      </c>
      <c r="J3035" s="2">
        <v>1866</v>
      </c>
      <c r="K3035" s="2">
        <v>12</v>
      </c>
      <c r="L3035" s="2">
        <v>36</v>
      </c>
      <c r="M3035" s="2"/>
      <c r="N3035" s="8">
        <v>42984.575752314813</v>
      </c>
      <c r="O3035" s="4" t="s">
        <v>133</v>
      </c>
      <c r="P3035" s="3" t="s">
        <v>2146</v>
      </c>
      <c r="Q3035" s="10" t="s">
        <v>2145</v>
      </c>
      <c r="R3035" s="4"/>
      <c r="S3035" s="9" t="str">
        <f>HYPERLINK("https://pbs.twimg.com/profile_images/918008480631533568/-awyAU90.jpg","View")</f>
        <v>View</v>
      </c>
    </row>
    <row r="3036" spans="1:19" ht="12.5">
      <c r="A3036" s="8">
        <v>43343.504861111112</v>
      </c>
      <c r="B3036" s="11" t="str">
        <f>HYPERLINK("https://twitter.com/ghorbani9930","@ghorbani9930")</f>
        <v>@ghorbani9930</v>
      </c>
      <c r="C3036" s="6" t="s">
        <v>9033</v>
      </c>
      <c r="D3036" s="5" t="s">
        <v>9035</v>
      </c>
      <c r="E3036" s="9" t="str">
        <f>HYPERLINK("https://twitter.com/ghorbani9930/status/1035431242383204352","1035431242383204352")</f>
        <v>1035431242383204352</v>
      </c>
      <c r="F3036" s="4"/>
      <c r="G3036" s="10" t="s">
        <v>9034</v>
      </c>
      <c r="H3036" s="4"/>
      <c r="I3036" s="10" t="str">
        <f>HYPERLINK("http://twitter.com/download/android","Twitter for Android")</f>
        <v>Twitter for Android</v>
      </c>
      <c r="J3036" s="2">
        <v>998</v>
      </c>
      <c r="K3036" s="2">
        <v>1626</v>
      </c>
      <c r="L3036" s="2">
        <v>0</v>
      </c>
      <c r="M3036" s="2"/>
      <c r="N3036" s="8">
        <v>43286.562951388885</v>
      </c>
      <c r="O3036" s="4" t="s">
        <v>17</v>
      </c>
      <c r="P3036" s="3" t="s">
        <v>9030</v>
      </c>
      <c r="Q3036" s="4"/>
      <c r="R3036" s="4"/>
      <c r="S3036" s="9" t="str">
        <f>HYPERLINK("https://pbs.twimg.com/profile_images/1015198317553291265/38V1siXO.jpg","View")</f>
        <v>View</v>
      </c>
    </row>
    <row r="3037" spans="1:19" ht="20">
      <c r="A3037" s="8">
        <v>43343.503032407403</v>
      </c>
      <c r="B3037" s="11" t="str">
        <f>HYPERLINK("https://twitter.com/ghorbani9930","@ghorbani9930")</f>
        <v>@ghorbani9930</v>
      </c>
      <c r="C3037" s="6" t="s">
        <v>9033</v>
      </c>
      <c r="D3037" s="5" t="s">
        <v>9032</v>
      </c>
      <c r="E3037" s="9" t="str">
        <f>HYPERLINK("https://twitter.com/ghorbani9930/status/1035430580450721792","1035430580450721792")</f>
        <v>1035430580450721792</v>
      </c>
      <c r="F3037" s="4"/>
      <c r="G3037" s="10" t="s">
        <v>9031</v>
      </c>
      <c r="H3037" s="4"/>
      <c r="I3037" s="10" t="str">
        <f>HYPERLINK("http://twitter.com/download/android","Twitter for Android")</f>
        <v>Twitter for Android</v>
      </c>
      <c r="J3037" s="2">
        <v>998</v>
      </c>
      <c r="K3037" s="2">
        <v>1626</v>
      </c>
      <c r="L3037" s="2">
        <v>0</v>
      </c>
      <c r="M3037" s="2"/>
      <c r="N3037" s="8">
        <v>43286.562951388885</v>
      </c>
      <c r="O3037" s="4" t="s">
        <v>17</v>
      </c>
      <c r="P3037" s="3" t="s">
        <v>9030</v>
      </c>
      <c r="Q3037" s="4"/>
      <c r="R3037" s="4"/>
      <c r="S3037" s="9" t="str">
        <f>HYPERLINK("https://pbs.twimg.com/profile_images/1015198317553291265/38V1siXO.jpg","View")</f>
        <v>View</v>
      </c>
    </row>
    <row r="3038" spans="1:19" ht="20">
      <c r="A3038" s="8">
        <v>43343.499791666662</v>
      </c>
      <c r="B3038" s="11" t="str">
        <f>HYPERLINK("https://twitter.com/alef_ein_alef","@alef_ein_alef")</f>
        <v>@alef_ein_alef</v>
      </c>
      <c r="C3038" s="6" t="s">
        <v>7456</v>
      </c>
      <c r="D3038" s="5" t="s">
        <v>9029</v>
      </c>
      <c r="E3038" s="9" t="str">
        <f>HYPERLINK("https://twitter.com/alef_ein_alef/status/1035429404791513088","1035429404791513088")</f>
        <v>1035429404791513088</v>
      </c>
      <c r="F3038" s="4"/>
      <c r="G3038" s="4"/>
      <c r="H3038" s="4"/>
      <c r="I3038" s="10" t="str">
        <f>HYPERLINK("http://twitter.com/download/android","Twitter for Android")</f>
        <v>Twitter for Android</v>
      </c>
      <c r="J3038" s="2">
        <v>77</v>
      </c>
      <c r="K3038" s="2">
        <v>274</v>
      </c>
      <c r="L3038" s="2">
        <v>0</v>
      </c>
      <c r="M3038" s="2"/>
      <c r="N3038" s="8">
        <v>43106.115266203706</v>
      </c>
      <c r="O3038" s="4" t="s">
        <v>34</v>
      </c>
      <c r="P3038" s="3" t="s">
        <v>7454</v>
      </c>
      <c r="Q3038" s="4"/>
      <c r="R3038" s="4"/>
      <c r="S3038" s="9" t="str">
        <f>HYPERLINK("https://pbs.twimg.com/profile_images/949420788087689216/cEbTOMqe.jpg","View")</f>
        <v>View</v>
      </c>
    </row>
    <row r="3039" spans="1:19" ht="40">
      <c r="A3039" s="8">
        <v>43343.499143518522</v>
      </c>
      <c r="B3039" s="11" t="str">
        <f>HYPERLINK("https://twitter.com/Aryin12006497","@Aryin12006497")</f>
        <v>@Aryin12006497</v>
      </c>
      <c r="C3039" s="6" t="s">
        <v>9015</v>
      </c>
      <c r="D3039" s="5" t="s">
        <v>9028</v>
      </c>
      <c r="E3039" s="9" t="str">
        <f>HYPERLINK("https://twitter.com/Aryin12006497/status/1035429170912944128","1035429170912944128")</f>
        <v>1035429170912944128</v>
      </c>
      <c r="F3039" s="4"/>
      <c r="G3039" s="4"/>
      <c r="H3039" s="4"/>
      <c r="I3039" s="10" t="str">
        <f>HYPERLINK("http://twitter.com/download/iphone","Twitter for iPhone")</f>
        <v>Twitter for iPhone</v>
      </c>
      <c r="J3039" s="2">
        <v>1</v>
      </c>
      <c r="K3039" s="2">
        <v>13</v>
      </c>
      <c r="L3039" s="2">
        <v>0</v>
      </c>
      <c r="M3039" s="2"/>
      <c r="N3039" s="8">
        <v>43290.515810185185</v>
      </c>
      <c r="O3039" s="4"/>
      <c r="P3039" s="3" t="s">
        <v>9013</v>
      </c>
      <c r="Q3039" s="4"/>
      <c r="R3039" s="4"/>
      <c r="S3039" s="9" t="str">
        <f>HYPERLINK("https://pbs.twimg.com/profile_images/1032944103028338689/BNKNmY1x.jpg","View")</f>
        <v>View</v>
      </c>
    </row>
    <row r="3040" spans="1:19" ht="20">
      <c r="A3040" s="8">
        <v>43343.498668981483</v>
      </c>
      <c r="B3040" s="11" t="str">
        <f>HYPERLINK("https://twitter.com/sazandegii","@sazandegii")</f>
        <v>@sazandegii</v>
      </c>
      <c r="C3040" s="6" t="s">
        <v>4156</v>
      </c>
      <c r="D3040" s="5" t="s">
        <v>9027</v>
      </c>
      <c r="E3040" s="9" t="str">
        <f>HYPERLINK("https://twitter.com/sazandegii/status/1035428999223287808","1035428999223287808")</f>
        <v>1035428999223287808</v>
      </c>
      <c r="F3040" s="4"/>
      <c r="G3040" s="10" t="s">
        <v>9026</v>
      </c>
      <c r="H3040" s="4"/>
      <c r="I3040" s="10" t="str">
        <f>HYPERLINK("http://twitter.com","Twitter Web Client")</f>
        <v>Twitter Web Client</v>
      </c>
      <c r="J3040" s="2">
        <v>766</v>
      </c>
      <c r="K3040" s="2">
        <v>75</v>
      </c>
      <c r="L3040" s="2">
        <v>14</v>
      </c>
      <c r="M3040" s="2"/>
      <c r="N3040" s="8">
        <v>43144.881296296298</v>
      </c>
      <c r="O3040" s="4" t="s">
        <v>104</v>
      </c>
      <c r="P3040" s="3" t="s">
        <v>4153</v>
      </c>
      <c r="Q3040" s="4"/>
      <c r="R3040" s="4"/>
      <c r="S3040" s="9" t="str">
        <f>HYPERLINK("https://pbs.twimg.com/profile_images/970996181366202368/iBGYCP3F.jpg","View")</f>
        <v>View</v>
      </c>
    </row>
    <row r="3041" spans="1:19" ht="40">
      <c r="A3041" s="8">
        <v>43343.496261574073</v>
      </c>
      <c r="B3041" s="11" t="str">
        <f>HYPERLINK("https://twitter.com/Aria_Prd","@Aria_Prd")</f>
        <v>@Aria_Prd</v>
      </c>
      <c r="C3041" s="6" t="s">
        <v>4534</v>
      </c>
      <c r="D3041" s="5" t="s">
        <v>9025</v>
      </c>
      <c r="E3041" s="9" t="str">
        <f>HYPERLINK("https://twitter.com/Aria_Prd/status/1035428126266929152","1035428126266929152")</f>
        <v>1035428126266929152</v>
      </c>
      <c r="F3041" s="4"/>
      <c r="G3041" s="10" t="s">
        <v>9024</v>
      </c>
      <c r="H3041" s="4"/>
      <c r="I3041" s="10" t="str">
        <f>HYPERLINK("http://twitter.com","Twitter Web Client")</f>
        <v>Twitter Web Client</v>
      </c>
      <c r="J3041" s="2">
        <v>3222</v>
      </c>
      <c r="K3041" s="2">
        <v>2764</v>
      </c>
      <c r="L3041" s="2">
        <v>1</v>
      </c>
      <c r="M3041" s="2"/>
      <c r="N3041" s="8">
        <v>42948.438657407409</v>
      </c>
      <c r="O3041" s="4"/>
      <c r="P3041" s="3" t="s">
        <v>4532</v>
      </c>
      <c r="Q3041" s="4"/>
      <c r="R3041" s="4"/>
      <c r="S3041" s="9" t="str">
        <f>HYPERLINK("https://pbs.twimg.com/profile_images/1032002356299395072/2weycQcH.jpg","View")</f>
        <v>View</v>
      </c>
    </row>
    <row r="3042" spans="1:19" ht="40">
      <c r="A3042" s="8">
        <v>43343.495416666672</v>
      </c>
      <c r="B3042" s="11" t="str">
        <f>HYPERLINK("https://twitter.com/mojtabaa8","@mojtabaa8")</f>
        <v>@mojtabaa8</v>
      </c>
      <c r="C3042" s="6" t="s">
        <v>9023</v>
      </c>
      <c r="D3042" s="5" t="s">
        <v>9022</v>
      </c>
      <c r="E3042" s="9" t="str">
        <f>HYPERLINK("https://twitter.com/mojtabaa8/status/1035427822905581568","1035427822905581568")</f>
        <v>1035427822905581568</v>
      </c>
      <c r="F3042" s="4"/>
      <c r="G3042" s="10" t="s">
        <v>9021</v>
      </c>
      <c r="H3042" s="4"/>
      <c r="I3042" s="10" t="str">
        <f>HYPERLINK("http://twitter.com/download/android","Twitter for Android")</f>
        <v>Twitter for Android</v>
      </c>
      <c r="J3042" s="2">
        <v>273</v>
      </c>
      <c r="K3042" s="2">
        <v>267</v>
      </c>
      <c r="L3042" s="2">
        <v>1</v>
      </c>
      <c r="M3042" s="2"/>
      <c r="N3042" s="8">
        <v>42527.544699074075</v>
      </c>
      <c r="O3042" s="4" t="s">
        <v>9020</v>
      </c>
      <c r="P3042" s="3" t="s">
        <v>9019</v>
      </c>
      <c r="Q3042" s="4"/>
      <c r="R3042" s="4"/>
      <c r="S3042" s="9" t="str">
        <f>HYPERLINK("https://pbs.twimg.com/profile_images/933418340298706944/ttpFIA60.jpg","View")</f>
        <v>View</v>
      </c>
    </row>
    <row r="3043" spans="1:19" ht="30">
      <c r="A3043" s="8">
        <v>43343.493935185186</v>
      </c>
      <c r="B3043" s="11" t="str">
        <f>HYPERLINK("https://twitter.com/Fnews_Persian","@Fnews_Persian")</f>
        <v>@Fnews_Persian</v>
      </c>
      <c r="C3043" s="6" t="s">
        <v>919</v>
      </c>
      <c r="D3043" s="5" t="s">
        <v>9018</v>
      </c>
      <c r="E3043" s="9" t="str">
        <f>HYPERLINK("https://twitter.com/Fnews_Persian/status/1035427282540748805","1035427282540748805")</f>
        <v>1035427282540748805</v>
      </c>
      <c r="F3043" s="4"/>
      <c r="G3043" s="10" t="s">
        <v>9017</v>
      </c>
      <c r="H3043" s="4"/>
      <c r="I3043" s="10" t="str">
        <f>HYPERLINK("http://twitter.com","Twitter Web Client")</f>
        <v>Twitter Web Client</v>
      </c>
      <c r="J3043" s="2">
        <v>58366</v>
      </c>
      <c r="K3043" s="2">
        <v>8</v>
      </c>
      <c r="L3043" s="2">
        <v>8</v>
      </c>
      <c r="M3043" s="2"/>
      <c r="N3043" s="8">
        <v>42445.668726851851</v>
      </c>
      <c r="O3043" s="4" t="s">
        <v>916</v>
      </c>
      <c r="P3043" s="3" t="s">
        <v>915</v>
      </c>
      <c r="Q3043" s="10" t="s">
        <v>9016</v>
      </c>
      <c r="R3043" s="4"/>
      <c r="S3043" s="9" t="str">
        <f>HYPERLINK("https://pbs.twimg.com/profile_images/962248284151734272/-yEY7hhB.jpg","View")</f>
        <v>View</v>
      </c>
    </row>
    <row r="3044" spans="1:19" ht="20">
      <c r="A3044" s="8">
        <v>43343.493113425924</v>
      </c>
      <c r="B3044" s="11" t="str">
        <f>HYPERLINK("https://twitter.com/Aryin12006497","@Aryin12006497")</f>
        <v>@Aryin12006497</v>
      </c>
      <c r="C3044" s="6" t="s">
        <v>9015</v>
      </c>
      <c r="D3044" s="5" t="s">
        <v>9014</v>
      </c>
      <c r="E3044" s="9" t="str">
        <f>HYPERLINK("https://twitter.com/Aryin12006497/status/1035426987064602625","1035426987064602625")</f>
        <v>1035426987064602625</v>
      </c>
      <c r="F3044" s="4"/>
      <c r="G3044" s="4"/>
      <c r="H3044" s="4"/>
      <c r="I3044" s="10" t="str">
        <f>HYPERLINK("http://twitter.com/download/iphone","Twitter for iPhone")</f>
        <v>Twitter for iPhone</v>
      </c>
      <c r="J3044" s="2">
        <v>1</v>
      </c>
      <c r="K3044" s="2">
        <v>13</v>
      </c>
      <c r="L3044" s="2">
        <v>0</v>
      </c>
      <c r="M3044" s="2"/>
      <c r="N3044" s="8">
        <v>43290.515810185185</v>
      </c>
      <c r="O3044" s="4"/>
      <c r="P3044" s="3" t="s">
        <v>9013</v>
      </c>
      <c r="Q3044" s="4"/>
      <c r="R3044" s="4"/>
      <c r="S3044" s="9" t="str">
        <f>HYPERLINK("https://pbs.twimg.com/profile_images/1032944103028338689/BNKNmY1x.jpg","View")</f>
        <v>View</v>
      </c>
    </row>
    <row r="3045" spans="1:19" ht="30">
      <c r="A3045" s="8">
        <v>43343.491724537038</v>
      </c>
      <c r="B3045" s="11" t="str">
        <f>HYPERLINK("https://twitter.com/Plaaksefid1","@Plaaksefid1")</f>
        <v>@Plaaksefid1</v>
      </c>
      <c r="C3045" s="6" t="s">
        <v>9012</v>
      </c>
      <c r="D3045" s="5" t="s">
        <v>9011</v>
      </c>
      <c r="E3045" s="9" t="str">
        <f>HYPERLINK("https://twitter.com/Plaaksefid1/status/1035426484570214400","1035426484570214400")</f>
        <v>1035426484570214400</v>
      </c>
      <c r="F3045" s="10" t="s">
        <v>9010</v>
      </c>
      <c r="G3045" s="4"/>
      <c r="H3045" s="4"/>
      <c r="I3045" s="10" t="str">
        <f>HYPERLINK("http://instagram.com","Instagram")</f>
        <v>Instagram</v>
      </c>
      <c r="J3045" s="2">
        <v>551</v>
      </c>
      <c r="K3045" s="2">
        <v>774</v>
      </c>
      <c r="L3045" s="2">
        <v>0</v>
      </c>
      <c r="M3045" s="2"/>
      <c r="N3045" s="8">
        <v>43286.565740740742</v>
      </c>
      <c r="O3045" s="4"/>
      <c r="P3045" s="3"/>
      <c r="Q3045" s="4"/>
      <c r="R3045" s="4"/>
      <c r="S3045" s="9" t="str">
        <f>HYPERLINK("https://pbs.twimg.com/profile_images/1014799143942967296/vuNPh3NJ.jpg","View")</f>
        <v>View</v>
      </c>
    </row>
    <row r="3046" spans="1:19" ht="30">
      <c r="A3046" s="8">
        <v>43343.484270833331</v>
      </c>
      <c r="B3046" s="11" t="str">
        <f>HYPERLINK("https://twitter.com/AmirAli1344","@AmirAli1344")</f>
        <v>@AmirAli1344</v>
      </c>
      <c r="C3046" s="6" t="s">
        <v>1719</v>
      </c>
      <c r="D3046" s="5" t="s">
        <v>9009</v>
      </c>
      <c r="E3046" s="9" t="str">
        <f>HYPERLINK("https://twitter.com/AmirAli1344/status/1035423783262273536","1035423783262273536")</f>
        <v>1035423783262273536</v>
      </c>
      <c r="F3046" s="4"/>
      <c r="G3046" s="10" t="s">
        <v>9008</v>
      </c>
      <c r="H3046" s="4"/>
      <c r="I3046" s="10" t="str">
        <f>HYPERLINK("http://twitter.com","Twitter Web Client")</f>
        <v>Twitter Web Client</v>
      </c>
      <c r="J3046" s="2">
        <v>3474</v>
      </c>
      <c r="K3046" s="2">
        <v>2552</v>
      </c>
      <c r="L3046" s="2">
        <v>4</v>
      </c>
      <c r="M3046" s="2"/>
      <c r="N3046" s="8">
        <v>42814.762604166666</v>
      </c>
      <c r="O3046" s="4" t="s">
        <v>1716</v>
      </c>
      <c r="P3046" s="3" t="s">
        <v>1715</v>
      </c>
      <c r="Q3046" s="4"/>
      <c r="R3046" s="4"/>
      <c r="S3046" s="9" t="str">
        <f>HYPERLINK("https://pbs.twimg.com/profile_images/986167816570195969/G1B7kO7v.jpg","View")</f>
        <v>View</v>
      </c>
    </row>
    <row r="3047" spans="1:19" ht="40">
      <c r="A3047" s="8">
        <v>43343.478726851856</v>
      </c>
      <c r="B3047" s="11" t="str">
        <f>HYPERLINK("https://twitter.com/siamakfarid","@siamakfarid")</f>
        <v>@siamakfarid</v>
      </c>
      <c r="C3047" s="6" t="s">
        <v>5115</v>
      </c>
      <c r="D3047" s="5" t="s">
        <v>9007</v>
      </c>
      <c r="E3047" s="9" t="str">
        <f>HYPERLINK("https://twitter.com/siamakfarid/status/1035421771720220672","1035421771720220672")</f>
        <v>1035421771720220672</v>
      </c>
      <c r="F3047" s="4"/>
      <c r="G3047" s="4"/>
      <c r="H3047" s="4"/>
      <c r="I3047" s="10" t="str">
        <f>HYPERLINK("http://twitter.com/download/iphone","Twitter for iPhone")</f>
        <v>Twitter for iPhone</v>
      </c>
      <c r="J3047" s="2">
        <v>130</v>
      </c>
      <c r="K3047" s="2">
        <v>265</v>
      </c>
      <c r="L3047" s="2">
        <v>0</v>
      </c>
      <c r="M3047" s="2"/>
      <c r="N3047" s="8">
        <v>41726.132060185184</v>
      </c>
      <c r="O3047" s="4" t="s">
        <v>5113</v>
      </c>
      <c r="P3047" s="3" t="s">
        <v>5112</v>
      </c>
      <c r="Q3047" s="4"/>
      <c r="R3047" s="4"/>
      <c r="S3047" s="9" t="str">
        <f>HYPERLINK("https://pbs.twimg.com/profile_images/1033605273607438336/r_nHwI8s.jpg","View")</f>
        <v>View</v>
      </c>
    </row>
    <row r="3048" spans="1:19" ht="30">
      <c r="A3048" s="8">
        <v>43343.478715277779</v>
      </c>
      <c r="B3048" s="11" t="str">
        <f>HYPERLINK("https://twitter.com/mohandes_m1","@mohandes_m1")</f>
        <v>@mohandes_m1</v>
      </c>
      <c r="C3048" s="6" t="s">
        <v>9006</v>
      </c>
      <c r="D3048" s="5" t="s">
        <v>9005</v>
      </c>
      <c r="E3048" s="9" t="str">
        <f>HYPERLINK("https://twitter.com/mohandes_m1/status/1035421770470305793","1035421770470305793")</f>
        <v>1035421770470305793</v>
      </c>
      <c r="F3048" s="4"/>
      <c r="G3048" s="4"/>
      <c r="H3048" s="4"/>
      <c r="I3048" s="10" t="str">
        <f>HYPERLINK("http://twitter.com/download/android","Twitter for Android")</f>
        <v>Twitter for Android</v>
      </c>
      <c r="J3048" s="2">
        <v>1</v>
      </c>
      <c r="K3048" s="2">
        <v>6</v>
      </c>
      <c r="L3048" s="2">
        <v>0</v>
      </c>
      <c r="M3048" s="2"/>
      <c r="N3048" s="8">
        <v>43321.063842592594</v>
      </c>
      <c r="O3048" s="4"/>
      <c r="P3048" s="3" t="s">
        <v>9004</v>
      </c>
      <c r="Q3048" s="4"/>
      <c r="R3048" s="4"/>
      <c r="S3048" s="9" t="str">
        <f>HYPERLINK("https://pbs.twimg.com/profile_images/1027301334637338626/mRit1For.jpg","View")</f>
        <v>View</v>
      </c>
    </row>
    <row r="3049" spans="1:19" ht="30">
      <c r="A3049" s="8">
        <v>43343.475289351853</v>
      </c>
      <c r="B3049" s="11" t="str">
        <f>HYPERLINK("https://twitter.com/FutureHopeLife","@FutureHopeLife")</f>
        <v>@FutureHopeLife</v>
      </c>
      <c r="C3049" s="6" t="s">
        <v>9003</v>
      </c>
      <c r="D3049" s="5" t="s">
        <v>9002</v>
      </c>
      <c r="E3049" s="9" t="str">
        <f>HYPERLINK("https://twitter.com/FutureHopeLife/status/1035420528251752448","1035420528251752448")</f>
        <v>1035420528251752448</v>
      </c>
      <c r="F3049" s="4"/>
      <c r="G3049" s="4"/>
      <c r="H3049" s="4"/>
      <c r="I3049" s="10" t="str">
        <f>HYPERLINK("http://twitter.com","Twitter Web Client")</f>
        <v>Twitter Web Client</v>
      </c>
      <c r="J3049" s="2">
        <v>209</v>
      </c>
      <c r="K3049" s="2">
        <v>110</v>
      </c>
      <c r="L3049" s="2">
        <v>0</v>
      </c>
      <c r="M3049" s="2"/>
      <c r="N3049" s="8">
        <v>42173.879780092597</v>
      </c>
      <c r="O3049" s="4" t="s">
        <v>6099</v>
      </c>
      <c r="P3049" s="3" t="s">
        <v>9001</v>
      </c>
      <c r="Q3049" s="4"/>
      <c r="R3049" s="4"/>
      <c r="S3049" s="9" t="str">
        <f>HYPERLINK("https://pbs.twimg.com/profile_images/956658592899325952/_N8DtJO4.jpg","View")</f>
        <v>View</v>
      </c>
    </row>
    <row r="3050" spans="1:19" ht="30">
      <c r="A3050" s="8">
        <v>43343.474826388891</v>
      </c>
      <c r="B3050" s="11" t="str">
        <f>HYPERLINK("https://twitter.com/Tasnimnews_Fa","@Tasnimnews_Fa")</f>
        <v>@Tasnimnews_Fa</v>
      </c>
      <c r="C3050" s="6" t="s">
        <v>603</v>
      </c>
      <c r="D3050" s="5" t="s">
        <v>9000</v>
      </c>
      <c r="E3050" s="9" t="str">
        <f>HYPERLINK("https://twitter.com/Tasnimnews_Fa/status/1035420360072679425","1035420360072679425")</f>
        <v>1035420360072679425</v>
      </c>
      <c r="F3050" s="10" t="s">
        <v>8999</v>
      </c>
      <c r="G3050" s="10" t="s">
        <v>8998</v>
      </c>
      <c r="H3050" s="4"/>
      <c r="I3050" s="10" t="str">
        <f>HYPERLINK("http://twitter.com","Twitter Web Client")</f>
        <v>Twitter Web Client</v>
      </c>
      <c r="J3050" s="2">
        <v>109485</v>
      </c>
      <c r="K3050" s="2">
        <v>20</v>
      </c>
      <c r="L3050" s="2">
        <v>377</v>
      </c>
      <c r="M3050" s="2" t="s">
        <v>80</v>
      </c>
      <c r="N3050" s="8">
        <v>41868.671585648146</v>
      </c>
      <c r="O3050" s="4" t="s">
        <v>133</v>
      </c>
      <c r="P3050" s="3" t="s">
        <v>599</v>
      </c>
      <c r="Q3050" s="10" t="s">
        <v>598</v>
      </c>
      <c r="R3050" s="4"/>
      <c r="S3050" s="9" t="str">
        <f>HYPERLINK("https://pbs.twimg.com/profile_images/942003149430239232/hvLw_1_E.jpg","View")</f>
        <v>View</v>
      </c>
    </row>
    <row r="3051" spans="1:19" ht="30">
      <c r="A3051" s="8">
        <v>43343.472002314811</v>
      </c>
      <c r="B3051" s="11" t="str">
        <f>HYPERLINK("https://twitter.com/Sobhe_Pirozy","@Sobhe_Pirozy")</f>
        <v>@Sobhe_Pirozy</v>
      </c>
      <c r="C3051" s="6" t="s">
        <v>8997</v>
      </c>
      <c r="D3051" s="5" t="s">
        <v>8996</v>
      </c>
      <c r="E3051" s="9" t="str">
        <f>HYPERLINK("https://twitter.com/Sobhe_Pirozy/status/1035419336364773376","1035419336364773376")</f>
        <v>1035419336364773376</v>
      </c>
      <c r="F3051" s="4"/>
      <c r="G3051" s="10" t="s">
        <v>8995</v>
      </c>
      <c r="H3051" s="4"/>
      <c r="I3051" s="10" t="str">
        <f>HYPERLINK("http://twitter.com","Twitter Web Client")</f>
        <v>Twitter Web Client</v>
      </c>
      <c r="J3051" s="2">
        <v>3234</v>
      </c>
      <c r="K3051" s="2">
        <v>3440</v>
      </c>
      <c r="L3051" s="2">
        <v>2</v>
      </c>
      <c r="M3051" s="2"/>
      <c r="N3051" s="8">
        <v>42963.58730324074</v>
      </c>
      <c r="O3051" s="4"/>
      <c r="P3051" s="3" t="s">
        <v>8994</v>
      </c>
      <c r="Q3051" s="4"/>
      <c r="R3051" s="4"/>
      <c r="S3051" s="9" t="str">
        <f>HYPERLINK("https://pbs.twimg.com/profile_images/1030186147048247296/cU6Dq69V.jpg","View")</f>
        <v>View</v>
      </c>
    </row>
    <row r="3052" spans="1:19" ht="90">
      <c r="A3052" s="8">
        <v>43343.471585648149</v>
      </c>
      <c r="B3052" s="11" t="str">
        <f>HYPERLINK("https://twitter.com/sussantweets","@sussantweets")</f>
        <v>@sussantweets</v>
      </c>
      <c r="C3052" s="6" t="s">
        <v>8716</v>
      </c>
      <c r="D3052" s="5" t="s">
        <v>8993</v>
      </c>
      <c r="E3052" s="9" t="str">
        <f>HYPERLINK("https://twitter.com/sussantweets/status/1035419186279923712","1035419186279923712")</f>
        <v>1035419186279923712</v>
      </c>
      <c r="F3052" s="4" t="s">
        <v>8992</v>
      </c>
      <c r="G3052" s="4"/>
      <c r="H3052" s="4"/>
      <c r="I3052" s="10" t="str">
        <f>HYPERLINK("http://twitter.com","Twitter Web Client")</f>
        <v>Twitter Web Client</v>
      </c>
      <c r="J3052" s="2">
        <v>4251</v>
      </c>
      <c r="K3052" s="2">
        <v>1121</v>
      </c>
      <c r="L3052" s="2">
        <v>90</v>
      </c>
      <c r="M3052" s="2"/>
      <c r="N3052" s="8">
        <v>40590.481631944444</v>
      </c>
      <c r="O3052" s="4" t="s">
        <v>3647</v>
      </c>
      <c r="P3052" s="3" t="s">
        <v>8714</v>
      </c>
      <c r="Q3052" s="4"/>
      <c r="R3052" s="4"/>
      <c r="S3052" s="9" t="str">
        <f>HYPERLINK("https://pbs.twimg.com/profile_images/911146591297441793/17nEZ1n4.jpg","View")</f>
        <v>View</v>
      </c>
    </row>
    <row r="3053" spans="1:19" ht="20">
      <c r="A3053" s="8">
        <v>43343.463124999995</v>
      </c>
      <c r="B3053" s="11" t="str">
        <f>HYPERLINK("https://twitter.com/mahdi_behravesh","@mahdi_behravesh")</f>
        <v>@mahdi_behravesh</v>
      </c>
      <c r="C3053" s="6" t="s">
        <v>8991</v>
      </c>
      <c r="D3053" s="5" t="s">
        <v>8990</v>
      </c>
      <c r="E3053" s="9" t="str">
        <f>HYPERLINK("https://twitter.com/mahdi_behravesh/status/1035416118939332609","1035416118939332609")</f>
        <v>1035416118939332609</v>
      </c>
      <c r="F3053" s="4"/>
      <c r="G3053" s="4"/>
      <c r="H3053" s="4"/>
      <c r="I3053" s="10" t="str">
        <f>HYPERLINK("http://twitter.com/download/android","Twitter for Android")</f>
        <v>Twitter for Android</v>
      </c>
      <c r="J3053" s="2">
        <v>143</v>
      </c>
      <c r="K3053" s="2">
        <v>146</v>
      </c>
      <c r="L3053" s="2">
        <v>1</v>
      </c>
      <c r="M3053" s="2"/>
      <c r="N3053" s="8">
        <v>42998.919305555552</v>
      </c>
      <c r="O3053" s="4" t="s">
        <v>34</v>
      </c>
      <c r="P3053" s="3" t="s">
        <v>8989</v>
      </c>
      <c r="Q3053" s="4"/>
      <c r="R3053" s="4"/>
      <c r="S3053" s="9" t="str">
        <f>HYPERLINK("https://pbs.twimg.com/profile_images/968977750110466049/U_5wwQD6.jpg","View")</f>
        <v>View</v>
      </c>
    </row>
    <row r="3054" spans="1:19" ht="30">
      <c r="A3054" s="8">
        <v>43343.452638888892</v>
      </c>
      <c r="B3054" s="11" t="str">
        <f>HYPERLINK("https://twitter.com/alidsbda","@alidsbda")</f>
        <v>@alidsbda</v>
      </c>
      <c r="C3054" s="6" t="s">
        <v>8988</v>
      </c>
      <c r="D3054" s="5" t="s">
        <v>8987</v>
      </c>
      <c r="E3054" s="9" t="str">
        <f>HYPERLINK("https://twitter.com/alidsbda/status/1035412320560848897","1035412320560848897")</f>
        <v>1035412320560848897</v>
      </c>
      <c r="F3054" s="4"/>
      <c r="G3054" s="10" t="s">
        <v>8986</v>
      </c>
      <c r="H3054" s="4"/>
      <c r="I3054" s="10" t="str">
        <f>HYPERLINK("http://twitter.com/download/android","Twitter for Android")</f>
        <v>Twitter for Android</v>
      </c>
      <c r="J3054" s="2">
        <v>783</v>
      </c>
      <c r="K3054" s="2">
        <v>545</v>
      </c>
      <c r="L3054" s="2">
        <v>5</v>
      </c>
      <c r="M3054" s="2"/>
      <c r="N3054" s="8">
        <v>42581.778611111113</v>
      </c>
      <c r="O3054" s="4" t="s">
        <v>34</v>
      </c>
      <c r="P3054" s="3" t="s">
        <v>8985</v>
      </c>
      <c r="Q3054" s="10" t="s">
        <v>8984</v>
      </c>
      <c r="R3054" s="4"/>
      <c r="S3054" s="9" t="str">
        <f>HYPERLINK("https://pbs.twimg.com/profile_images/1020721573492338690/AnMR6JW6.jpg","View")</f>
        <v>View</v>
      </c>
    </row>
    <row r="3055" spans="1:19" ht="40">
      <c r="A3055" s="8">
        <v>43343.451817129629</v>
      </c>
      <c r="B3055" s="11" t="str">
        <f>HYPERLINK("https://twitter.com/MaBahrami","@MaBahrami")</f>
        <v>@MaBahrami</v>
      </c>
      <c r="C3055" s="6" t="s">
        <v>8983</v>
      </c>
      <c r="D3055" s="5" t="s">
        <v>8982</v>
      </c>
      <c r="E3055" s="9" t="str">
        <f>HYPERLINK("https://twitter.com/MaBahrami/status/1035412022769410048","1035412022769410048")</f>
        <v>1035412022769410048</v>
      </c>
      <c r="F3055" s="4"/>
      <c r="G3055" s="4"/>
      <c r="H3055" s="4"/>
      <c r="I3055" s="10" t="str">
        <f>HYPERLINK("http://twitter.com/download/android","Twitter for Android")</f>
        <v>Twitter for Android</v>
      </c>
      <c r="J3055" s="2">
        <v>78</v>
      </c>
      <c r="K3055" s="2">
        <v>107</v>
      </c>
      <c r="L3055" s="2">
        <v>1</v>
      </c>
      <c r="M3055" s="2"/>
      <c r="N3055" s="8">
        <v>43311.905081018514</v>
      </c>
      <c r="O3055" s="4"/>
      <c r="P3055" s="3"/>
      <c r="Q3055" s="4"/>
      <c r="R3055" s="4"/>
      <c r="S3055" s="9" t="str">
        <f>HYPERLINK("https://pbs.twimg.com/profile_images/1024168141923012608/WuG5a6XF.jpg","View")</f>
        <v>View</v>
      </c>
    </row>
    <row r="3056" spans="1:19" ht="30">
      <c r="A3056" s="8">
        <v>43343.445532407408</v>
      </c>
      <c r="B3056" s="11" t="str">
        <f>HYPERLINK("https://twitter.com/Hajali661","@Hajali661")</f>
        <v>@Hajali661</v>
      </c>
      <c r="C3056" s="6" t="s">
        <v>8981</v>
      </c>
      <c r="D3056" s="5" t="s">
        <v>8980</v>
      </c>
      <c r="E3056" s="9" t="str">
        <f>HYPERLINK("https://twitter.com/Hajali661/status/1035409745371324416","1035409745371324416")</f>
        <v>1035409745371324416</v>
      </c>
      <c r="F3056" s="4"/>
      <c r="G3056" s="4"/>
      <c r="H3056" s="4"/>
      <c r="I3056" s="10" t="str">
        <f>HYPERLINK("http://twitter.com/download/android","Twitter for Android")</f>
        <v>Twitter for Android</v>
      </c>
      <c r="J3056" s="2">
        <v>6</v>
      </c>
      <c r="K3056" s="2">
        <v>19</v>
      </c>
      <c r="L3056" s="2">
        <v>0</v>
      </c>
      <c r="M3056" s="2"/>
      <c r="N3056" s="8">
        <v>43340.682442129633</v>
      </c>
      <c r="O3056" s="4" t="s">
        <v>682</v>
      </c>
      <c r="P3056" s="3" t="s">
        <v>8979</v>
      </c>
      <c r="Q3056" s="4"/>
      <c r="R3056" s="4"/>
      <c r="S3056" s="9" t="str">
        <f>HYPERLINK("https://pbs.twimg.com/profile_images/1034413556572270593/LgHJ8UBb.jpg","View")</f>
        <v>View</v>
      </c>
    </row>
    <row r="3057" spans="1:19" ht="40">
      <c r="A3057" s="8">
        <v>43343.444814814815</v>
      </c>
      <c r="B3057" s="11" t="str">
        <f>HYPERLINK("https://twitter.com/M_Hajarr","@M_Hajarr")</f>
        <v>@M_Hajarr</v>
      </c>
      <c r="C3057" s="6" t="s">
        <v>125</v>
      </c>
      <c r="D3057" s="5" t="s">
        <v>8978</v>
      </c>
      <c r="E3057" s="9" t="str">
        <f>HYPERLINK("https://twitter.com/M_Hajarr/status/1035409484275957760","1035409484275957760")</f>
        <v>1035409484275957760</v>
      </c>
      <c r="F3057" s="4"/>
      <c r="G3057" s="4"/>
      <c r="H3057" s="4"/>
      <c r="I3057" s="10" t="str">
        <f>HYPERLINK("http://twitter.com/download/android","Twitter for Android")</f>
        <v>Twitter for Android</v>
      </c>
      <c r="J3057" s="2">
        <v>939</v>
      </c>
      <c r="K3057" s="2">
        <v>1344</v>
      </c>
      <c r="L3057" s="2">
        <v>1</v>
      </c>
      <c r="M3057" s="2"/>
      <c r="N3057" s="8">
        <v>42918.549641203703</v>
      </c>
      <c r="O3057" s="4"/>
      <c r="P3057" s="3" t="s">
        <v>123</v>
      </c>
      <c r="Q3057" s="4"/>
      <c r="R3057" s="4"/>
      <c r="S3057" s="9" t="str">
        <f>HYPERLINK("https://pbs.twimg.com/profile_images/1030581313806495744/QyYqukki.jpg","View")</f>
        <v>View</v>
      </c>
    </row>
    <row r="3058" spans="1:19" ht="20">
      <c r="A3058" s="8">
        <v>43343.444710648153</v>
      </c>
      <c r="B3058" s="11" t="str">
        <f>HYPERLINK("https://twitter.com/hashemi_tegzas","@hashemi_tegzas")</f>
        <v>@hashemi_tegzas</v>
      </c>
      <c r="C3058" s="6" t="s">
        <v>8977</v>
      </c>
      <c r="D3058" s="5" t="s">
        <v>8976</v>
      </c>
      <c r="E3058" s="9" t="str">
        <f>HYPERLINK("https://twitter.com/hashemi_tegzas/status/1035409446640541697","1035409446640541697")</f>
        <v>1035409446640541697</v>
      </c>
      <c r="F3058" s="4"/>
      <c r="G3058" s="10" t="s">
        <v>8975</v>
      </c>
      <c r="H3058" s="4"/>
      <c r="I3058" s="10" t="str">
        <f>HYPERLINK("http://twitter.com/download/android","Twitter for Android")</f>
        <v>Twitter for Android</v>
      </c>
      <c r="J3058" s="2">
        <v>223</v>
      </c>
      <c r="K3058" s="2">
        <v>627</v>
      </c>
      <c r="L3058" s="2">
        <v>0</v>
      </c>
      <c r="M3058" s="2"/>
      <c r="N3058" s="8">
        <v>43076.265486111108</v>
      </c>
      <c r="O3058" s="4" t="s">
        <v>8974</v>
      </c>
      <c r="P3058" s="3" t="s">
        <v>8973</v>
      </c>
      <c r="Q3058" s="4"/>
      <c r="R3058" s="4"/>
      <c r="S3058" s="9" t="str">
        <f>HYPERLINK("https://pbs.twimg.com/profile_images/1032334629980790785/ugwrIo36.jpg","View")</f>
        <v>View</v>
      </c>
    </row>
    <row r="3059" spans="1:19" ht="40">
      <c r="A3059" s="8">
        <v>43343.440914351857</v>
      </c>
      <c r="B3059" s="11" t="str">
        <f>HYPERLINK("https://twitter.com/greatsanjari","@greatsanjari")</f>
        <v>@greatsanjari</v>
      </c>
      <c r="C3059" s="6" t="s">
        <v>8972</v>
      </c>
      <c r="D3059" s="5" t="s">
        <v>8971</v>
      </c>
      <c r="E3059" s="9" t="str">
        <f>HYPERLINK("https://twitter.com/greatsanjari/status/1035408069705048064","1035408069705048064")</f>
        <v>1035408069705048064</v>
      </c>
      <c r="F3059" s="4"/>
      <c r="G3059" s="10" t="s">
        <v>8970</v>
      </c>
      <c r="H3059" s="4"/>
      <c r="I3059" s="10" t="str">
        <f>HYPERLINK("http://twitter.com/download/iphone","Twitter for iPhone")</f>
        <v>Twitter for iPhone</v>
      </c>
      <c r="J3059" s="2">
        <v>6</v>
      </c>
      <c r="K3059" s="2">
        <v>71</v>
      </c>
      <c r="L3059" s="2">
        <v>0</v>
      </c>
      <c r="M3059" s="2"/>
      <c r="N3059" s="8">
        <v>42552.151203703703</v>
      </c>
      <c r="O3059" s="4"/>
      <c r="P3059" s="3"/>
      <c r="Q3059" s="4"/>
      <c r="R3059" s="4"/>
      <c r="S3059" s="2" t="s">
        <v>155</v>
      </c>
    </row>
    <row r="3060" spans="1:19" ht="60">
      <c r="A3060" s="8">
        <v>43343.436666666668</v>
      </c>
      <c r="B3060" s="11" t="str">
        <f>HYPERLINK("https://twitter.com/ZiaNabavi1","@ZiaNabavi1")</f>
        <v>@ZiaNabavi1</v>
      </c>
      <c r="C3060" s="6" t="s">
        <v>8969</v>
      </c>
      <c r="D3060" s="5" t="s">
        <v>8968</v>
      </c>
      <c r="E3060" s="9" t="str">
        <f>HYPERLINK("https://twitter.com/ZiaNabavi1/status/1035406529493704705","1035406529493704705")</f>
        <v>1035406529493704705</v>
      </c>
      <c r="F3060" s="4" t="s">
        <v>8967</v>
      </c>
      <c r="G3060" s="4"/>
      <c r="H3060" s="4"/>
      <c r="I3060" s="10" t="str">
        <f>HYPERLINK("http://twitter.com/download/android","Twitter for Android")</f>
        <v>Twitter for Android</v>
      </c>
      <c r="J3060" s="2">
        <v>11505</v>
      </c>
      <c r="K3060" s="2">
        <v>123</v>
      </c>
      <c r="L3060" s="2">
        <v>46</v>
      </c>
      <c r="M3060" s="2"/>
      <c r="N3060" s="8">
        <v>43217.591180555552</v>
      </c>
      <c r="O3060" s="4"/>
      <c r="P3060" s="3" t="s">
        <v>8966</v>
      </c>
      <c r="Q3060" s="4"/>
      <c r="R3060" s="4"/>
      <c r="S3060" s="9" t="str">
        <f>HYPERLINK("https://pbs.twimg.com/profile_images/989810127975960576/RMxaOZT0.jpg","View")</f>
        <v>View</v>
      </c>
    </row>
    <row r="3061" spans="1:19" ht="40">
      <c r="A3061" s="8">
        <v>43343.432071759264</v>
      </c>
      <c r="B3061" s="11" t="str">
        <f>HYPERLINK("https://twitter.com/sazandegii","@sazandegii")</f>
        <v>@sazandegii</v>
      </c>
      <c r="C3061" s="6" t="s">
        <v>4156</v>
      </c>
      <c r="D3061" s="5" t="s">
        <v>8965</v>
      </c>
      <c r="E3061" s="9" t="str">
        <f>HYPERLINK("https://twitter.com/sazandegii/status/1035404864115953665","1035404864115953665")</f>
        <v>1035404864115953665</v>
      </c>
      <c r="F3061" s="4"/>
      <c r="G3061" s="4"/>
      <c r="H3061" s="4"/>
      <c r="I3061" s="10" t="str">
        <f>HYPERLINK("http://twitter.com","Twitter Web Client")</f>
        <v>Twitter Web Client</v>
      </c>
      <c r="J3061" s="2">
        <v>764</v>
      </c>
      <c r="K3061" s="2">
        <v>75</v>
      </c>
      <c r="L3061" s="2">
        <v>14</v>
      </c>
      <c r="M3061" s="2"/>
      <c r="N3061" s="8">
        <v>43144.881296296298</v>
      </c>
      <c r="O3061" s="4" t="s">
        <v>104</v>
      </c>
      <c r="P3061" s="3" t="s">
        <v>4153</v>
      </c>
      <c r="Q3061" s="4"/>
      <c r="R3061" s="4"/>
      <c r="S3061" s="9" t="str">
        <f>HYPERLINK("https://pbs.twimg.com/profile_images/970996181366202368/iBGYCP3F.jpg","View")</f>
        <v>View</v>
      </c>
    </row>
    <row r="3062" spans="1:19" ht="40">
      <c r="A3062" s="8">
        <v>43343.429722222223</v>
      </c>
      <c r="B3062" s="11" t="str">
        <f>HYPERLINK("https://twitter.com/alef_ein_alef","@alef_ein_alef")</f>
        <v>@alef_ein_alef</v>
      </c>
      <c r="C3062" s="6" t="s">
        <v>7456</v>
      </c>
      <c r="D3062" s="5" t="s">
        <v>8964</v>
      </c>
      <c r="E3062" s="9" t="str">
        <f>HYPERLINK("https://twitter.com/alef_ein_alef/status/1035404013787918336","1035404013787918336")</f>
        <v>1035404013787918336</v>
      </c>
      <c r="F3062" s="4"/>
      <c r="G3062" s="4"/>
      <c r="H3062" s="4"/>
      <c r="I3062" s="10" t="str">
        <f>HYPERLINK("http://twitter.com/download/android","Twitter for Android")</f>
        <v>Twitter for Android</v>
      </c>
      <c r="J3062" s="2">
        <v>77</v>
      </c>
      <c r="K3062" s="2">
        <v>273</v>
      </c>
      <c r="L3062" s="2">
        <v>0</v>
      </c>
      <c r="M3062" s="2"/>
      <c r="N3062" s="8">
        <v>43106.115266203706</v>
      </c>
      <c r="O3062" s="4" t="s">
        <v>34</v>
      </c>
      <c r="P3062" s="3" t="s">
        <v>7454</v>
      </c>
      <c r="Q3062" s="4"/>
      <c r="R3062" s="4"/>
      <c r="S3062" s="9" t="str">
        <f>HYPERLINK("https://pbs.twimg.com/profile_images/949420788087689216/cEbTOMqe.jpg","View")</f>
        <v>View</v>
      </c>
    </row>
    <row r="3063" spans="1:19" ht="40">
      <c r="A3063" s="8">
        <v>43343.428437499999</v>
      </c>
      <c r="B3063" s="11" t="str">
        <f>HYPERLINK("https://twitter.com/radiozamaneh","@radiozamaneh")</f>
        <v>@radiozamaneh</v>
      </c>
      <c r="C3063" s="6" t="s">
        <v>5731</v>
      </c>
      <c r="D3063" s="5" t="s">
        <v>8963</v>
      </c>
      <c r="E3063" s="9" t="str">
        <f>HYPERLINK("https://twitter.com/radiozamaneh/status/1035403548744470528","1035403548744470528")</f>
        <v>1035403548744470528</v>
      </c>
      <c r="F3063" s="10" t="s">
        <v>8962</v>
      </c>
      <c r="G3063" s="10" t="s">
        <v>8961</v>
      </c>
      <c r="H3063" s="4"/>
      <c r="I3063" s="10" t="str">
        <f>HYPERLINK("https://zapier.com/","Zapier.com")</f>
        <v>Zapier.com</v>
      </c>
      <c r="J3063" s="2">
        <v>110316</v>
      </c>
      <c r="K3063" s="2">
        <v>837</v>
      </c>
      <c r="L3063" s="2">
        <v>379</v>
      </c>
      <c r="M3063" s="2" t="s">
        <v>80</v>
      </c>
      <c r="N3063" s="8">
        <v>39573.255729166667</v>
      </c>
      <c r="O3063" s="4" t="s">
        <v>5727</v>
      </c>
      <c r="P3063" s="3" t="s">
        <v>5726</v>
      </c>
      <c r="Q3063" s="10" t="s">
        <v>5725</v>
      </c>
      <c r="R3063" s="4"/>
      <c r="S3063" s="9" t="str">
        <f>HYPERLINK("https://pbs.twimg.com/profile_images/990906227256328192/IYPsq9ai.jpg","View")</f>
        <v>View</v>
      </c>
    </row>
    <row r="3064" spans="1:19" ht="30">
      <c r="A3064" s="8">
        <v>43343.426886574074</v>
      </c>
      <c r="B3064" s="11" t="str">
        <f>HYPERLINK("https://twitter.com/ilnanews","@ilnanews")</f>
        <v>@ilnanews</v>
      </c>
      <c r="C3064" s="6" t="s">
        <v>6413</v>
      </c>
      <c r="D3064" s="5" t="s">
        <v>8960</v>
      </c>
      <c r="E3064" s="9" t="str">
        <f>HYPERLINK("https://twitter.com/ilnanews/status/1035402984828620801","1035402984828620801")</f>
        <v>1035402984828620801</v>
      </c>
      <c r="F3064" s="10" t="s">
        <v>8959</v>
      </c>
      <c r="G3064" s="10" t="s">
        <v>8958</v>
      </c>
      <c r="H3064" s="4"/>
      <c r="I3064" s="10" t="str">
        <f>HYPERLINK("http://twitter.com/download/android","Twitter for Android")</f>
        <v>Twitter for Android</v>
      </c>
      <c r="J3064" s="2">
        <v>32221</v>
      </c>
      <c r="K3064" s="2">
        <v>67</v>
      </c>
      <c r="L3064" s="2">
        <v>159</v>
      </c>
      <c r="M3064" s="2"/>
      <c r="N3064" s="8">
        <v>42062.024768518517</v>
      </c>
      <c r="O3064" s="4" t="s">
        <v>34</v>
      </c>
      <c r="P3064" s="3" t="s">
        <v>6409</v>
      </c>
      <c r="Q3064" s="10" t="s">
        <v>6408</v>
      </c>
      <c r="R3064" s="4"/>
      <c r="S3064" s="9" t="str">
        <f>HYPERLINK("https://pbs.twimg.com/profile_images/760387216782848000/TS1QyYLo.jpg","View")</f>
        <v>View</v>
      </c>
    </row>
    <row r="3065" spans="1:19" ht="40">
      <c r="A3065" s="8">
        <v>43343.424768518518</v>
      </c>
      <c r="B3065" s="11" t="str">
        <f>HYPERLINK("https://twitter.com/siamak087","@siamak087")</f>
        <v>@siamak087</v>
      </c>
      <c r="C3065" s="6" t="s">
        <v>8361</v>
      </c>
      <c r="D3065" s="5" t="s">
        <v>8957</v>
      </c>
      <c r="E3065" s="9" t="str">
        <f>HYPERLINK("https://twitter.com/siamak087/status/1035402220223770626","1035402220223770626")</f>
        <v>1035402220223770626</v>
      </c>
      <c r="F3065" s="4"/>
      <c r="G3065" s="4"/>
      <c r="H3065" s="4"/>
      <c r="I3065" s="10" t="str">
        <f>HYPERLINK("http://twitter.com/download/android","Twitter for Android")</f>
        <v>Twitter for Android</v>
      </c>
      <c r="J3065" s="2">
        <v>1249</v>
      </c>
      <c r="K3065" s="2">
        <v>1269</v>
      </c>
      <c r="L3065" s="2">
        <v>1</v>
      </c>
      <c r="M3065" s="2"/>
      <c r="N3065" s="8">
        <v>43104.948321759264</v>
      </c>
      <c r="O3065" s="4"/>
      <c r="P3065" s="3" t="s">
        <v>8359</v>
      </c>
      <c r="Q3065" s="4"/>
      <c r="R3065" s="4"/>
      <c r="S3065" s="9" t="str">
        <f>HYPERLINK("https://pbs.twimg.com/profile_images/1019576662428700673/ZoVeWo8o.jpg","View")</f>
        <v>View</v>
      </c>
    </row>
    <row r="3066" spans="1:19" ht="30">
      <c r="A3066" s="8">
        <v>43343.423761574071</v>
      </c>
      <c r="B3066" s="11" t="str">
        <f>HYPERLINK("https://twitter.com/tanzvarzeshi","@tanzvarzeshi")</f>
        <v>@tanzvarzeshi</v>
      </c>
      <c r="C3066" s="6" t="s">
        <v>8956</v>
      </c>
      <c r="D3066" s="5" t="s">
        <v>8955</v>
      </c>
      <c r="E3066" s="9" t="str">
        <f>HYPERLINK("https://twitter.com/tanzvarzeshi/status/1035401855763992576","1035401855763992576")</f>
        <v>1035401855763992576</v>
      </c>
      <c r="F3066" s="10" t="s">
        <v>8954</v>
      </c>
      <c r="G3066" s="4"/>
      <c r="H3066" s="4"/>
      <c r="I3066" s="10" t="str">
        <f>HYPERLINK("http://instagram.com","Instagram")</f>
        <v>Instagram</v>
      </c>
      <c r="J3066" s="2">
        <v>0</v>
      </c>
      <c r="K3066" s="2">
        <v>0</v>
      </c>
      <c r="L3066" s="2">
        <v>0</v>
      </c>
      <c r="M3066" s="2"/>
      <c r="N3066" s="8">
        <v>43340.457199074073</v>
      </c>
      <c r="O3066" s="4"/>
      <c r="P3066" s="3"/>
      <c r="Q3066" s="4"/>
      <c r="R3066" s="4"/>
      <c r="S3066" s="9" t="str">
        <f>HYPERLINK("https://pbs.twimg.com/profile_images/1034791711485186049/9QqcvXW5.jpg","View")</f>
        <v>View</v>
      </c>
    </row>
    <row r="3067" spans="1:19" ht="40">
      <c r="A3067" s="8">
        <v>43343.422430555554</v>
      </c>
      <c r="B3067" s="11" t="str">
        <f>HYPERLINK("https://twitter.com/jalalkhorram","@jalalkhorram")</f>
        <v>@jalalkhorram</v>
      </c>
      <c r="C3067" s="6" t="s">
        <v>8953</v>
      </c>
      <c r="D3067" s="5" t="s">
        <v>8952</v>
      </c>
      <c r="E3067" s="9" t="str">
        <f>HYPERLINK("https://twitter.com/jalalkhorram/status/1035401373175693312","1035401373175693312")</f>
        <v>1035401373175693312</v>
      </c>
      <c r="F3067" s="4"/>
      <c r="G3067" s="10" t="s">
        <v>8951</v>
      </c>
      <c r="H3067" s="4"/>
      <c r="I3067" s="10" t="str">
        <f>HYPERLINK("http://twitter.com/download/android","Twitter for Android")</f>
        <v>Twitter for Android</v>
      </c>
      <c r="J3067" s="2">
        <v>1103</v>
      </c>
      <c r="K3067" s="2">
        <v>2013</v>
      </c>
      <c r="L3067" s="2">
        <v>1</v>
      </c>
      <c r="M3067" s="2"/>
      <c r="N3067" s="8">
        <v>43115.319965277777</v>
      </c>
      <c r="O3067" s="4" t="s">
        <v>34</v>
      </c>
      <c r="P3067" s="3" t="s">
        <v>8950</v>
      </c>
      <c r="Q3067" s="4"/>
      <c r="R3067" s="4"/>
      <c r="S3067" s="9" t="str">
        <f>HYPERLINK("https://pbs.twimg.com/profile_images/1033013588879978502/jxJBdas-.jpg","View")</f>
        <v>View</v>
      </c>
    </row>
    <row r="3068" spans="1:19" ht="40">
      <c r="A3068" s="8">
        <v>43343.421840277777</v>
      </c>
      <c r="B3068" s="11" t="str">
        <f>HYPERLINK("https://twitter.com/daneshjoo_12","@daneshjoo_12")</f>
        <v>@daneshjoo_12</v>
      </c>
      <c r="C3068" s="6" t="s">
        <v>7151</v>
      </c>
      <c r="D3068" s="5" t="s">
        <v>8949</v>
      </c>
      <c r="E3068" s="9" t="str">
        <f>HYPERLINK("https://twitter.com/daneshjoo_12/status/1035401159224246272","1035401159224246272")</f>
        <v>1035401159224246272</v>
      </c>
      <c r="F3068" s="4"/>
      <c r="G3068" s="10" t="s">
        <v>8948</v>
      </c>
      <c r="H3068" s="4"/>
      <c r="I3068" s="10" t="str">
        <f>HYPERLINK("http://twitter.com/download/android","Twitter for Android")</f>
        <v>Twitter for Android</v>
      </c>
      <c r="J3068" s="2">
        <v>4744</v>
      </c>
      <c r="K3068" s="2">
        <v>5032</v>
      </c>
      <c r="L3068" s="2">
        <v>13</v>
      </c>
      <c r="M3068" s="2"/>
      <c r="N3068" s="8">
        <v>42818.541597222225</v>
      </c>
      <c r="O3068" s="4" t="s">
        <v>25</v>
      </c>
      <c r="P3068" s="3" t="s">
        <v>8947</v>
      </c>
      <c r="Q3068" s="4"/>
      <c r="R3068" s="4"/>
      <c r="S3068" s="9" t="str">
        <f>HYPERLINK("https://pbs.twimg.com/profile_images/983351378889379840/7aRHDbVY.jpg","View")</f>
        <v>View</v>
      </c>
    </row>
    <row r="3069" spans="1:19" ht="40">
      <c r="A3069" s="8">
        <v>43343.417233796295</v>
      </c>
      <c r="B3069" s="11" t="str">
        <f>HYPERLINK("https://twitter.com/Proph_Aristotle","@Proph_Aristotle")</f>
        <v>@Proph_Aristotle</v>
      </c>
      <c r="C3069" s="6" t="s">
        <v>8946</v>
      </c>
      <c r="D3069" s="5" t="s">
        <v>8945</v>
      </c>
      <c r="E3069" s="9" t="str">
        <f>HYPERLINK("https://twitter.com/Proph_Aristotle/status/1035399488356020224","1035399488356020224")</f>
        <v>1035399488356020224</v>
      </c>
      <c r="F3069" s="4"/>
      <c r="G3069" s="4"/>
      <c r="H3069" s="4"/>
      <c r="I3069" s="10" t="str">
        <f>HYPERLINK("https://mobile.twitter.com","Twitter Lite")</f>
        <v>Twitter Lite</v>
      </c>
      <c r="J3069" s="2">
        <v>137</v>
      </c>
      <c r="K3069" s="2">
        <v>475</v>
      </c>
      <c r="L3069" s="2">
        <v>1</v>
      </c>
      <c r="M3069" s="2"/>
      <c r="N3069" s="8">
        <v>42924.584085648152</v>
      </c>
      <c r="O3069" s="4"/>
      <c r="P3069" s="3" t="s">
        <v>8944</v>
      </c>
      <c r="Q3069" s="4"/>
      <c r="R3069" s="4"/>
      <c r="S3069" s="9" t="str">
        <f>HYPERLINK("https://pbs.twimg.com/profile_images/884328523535613952/Q3Eq9LHR.jpg","View")</f>
        <v>View</v>
      </c>
    </row>
    <row r="3070" spans="1:19" ht="30">
      <c r="A3070" s="8">
        <v>43343.416643518518</v>
      </c>
      <c r="B3070" s="11" t="str">
        <f>HYPERLINK("https://twitter.com/journalistirani","@journalistirani")</f>
        <v>@journalistirani</v>
      </c>
      <c r="C3070" s="6" t="s">
        <v>4243</v>
      </c>
      <c r="D3070" s="5" t="s">
        <v>8943</v>
      </c>
      <c r="E3070" s="9" t="str">
        <f>HYPERLINK("https://twitter.com/journalistirani/status/1035399273402322944","1035399273402322944")</f>
        <v>1035399273402322944</v>
      </c>
      <c r="F3070" s="4"/>
      <c r="G3070" s="4"/>
      <c r="H3070" s="4"/>
      <c r="I3070" s="10" t="str">
        <f>HYPERLINK("http://twitter.com/download/android","Twitter for Android")</f>
        <v>Twitter for Android</v>
      </c>
      <c r="J3070" s="2">
        <v>227</v>
      </c>
      <c r="K3070" s="2">
        <v>127</v>
      </c>
      <c r="L3070" s="2">
        <v>0</v>
      </c>
      <c r="M3070" s="2"/>
      <c r="N3070" s="8">
        <v>42889.23883101852</v>
      </c>
      <c r="O3070" s="4" t="s">
        <v>104</v>
      </c>
      <c r="P3070" s="3" t="s">
        <v>4241</v>
      </c>
      <c r="Q3070" s="4"/>
      <c r="R3070" s="4"/>
      <c r="S3070" s="9" t="str">
        <f>HYPERLINK("https://pbs.twimg.com/profile_images/1030794328602537984/rOEUD0pb.jpg","View")</f>
        <v>View</v>
      </c>
    </row>
    <row r="3071" spans="1:19" ht="40">
      <c r="A3071" s="8">
        <v>43343.397256944445</v>
      </c>
      <c r="B3071" s="11" t="str">
        <f>HYPERLINK("https://twitter.com/MR_Mojiiii","@MR_Mojiiii")</f>
        <v>@MR_Mojiiii</v>
      </c>
      <c r="C3071" s="6" t="s">
        <v>8942</v>
      </c>
      <c r="D3071" s="5" t="s">
        <v>8941</v>
      </c>
      <c r="E3071" s="9" t="str">
        <f>HYPERLINK("https://twitter.com/MR_Mojiiii/status/1035392247095799808","1035392247095799808")</f>
        <v>1035392247095799808</v>
      </c>
      <c r="F3071" s="4"/>
      <c r="G3071" s="4"/>
      <c r="H3071" s="4"/>
      <c r="I3071" s="10" t="str">
        <f>HYPERLINK("http://twitter.com/download/android","Twitter for Android")</f>
        <v>Twitter for Android</v>
      </c>
      <c r="J3071" s="2">
        <v>56</v>
      </c>
      <c r="K3071" s="2">
        <v>71</v>
      </c>
      <c r="L3071" s="2">
        <v>0</v>
      </c>
      <c r="M3071" s="2"/>
      <c r="N3071" s="8">
        <v>43087.666400462964</v>
      </c>
      <c r="O3071" s="4" t="s">
        <v>34</v>
      </c>
      <c r="P3071" s="3" t="s">
        <v>8940</v>
      </c>
      <c r="Q3071" s="4"/>
      <c r="R3071" s="4"/>
      <c r="S3071" s="9" t="str">
        <f>HYPERLINK("https://pbs.twimg.com/profile_images/991185136631894016/vNhUrPBH.jpg","View")</f>
        <v>View</v>
      </c>
    </row>
    <row r="3072" spans="1:19" ht="30">
      <c r="A3072" s="8">
        <v>43343.394861111112</v>
      </c>
      <c r="B3072" s="11" t="str">
        <f>HYPERLINK("https://twitter.com/HessamLa","@HessamLa")</f>
        <v>@HessamLa</v>
      </c>
      <c r="C3072" s="6" t="s">
        <v>8939</v>
      </c>
      <c r="D3072" s="5" t="s">
        <v>8938</v>
      </c>
      <c r="E3072" s="9" t="str">
        <f>HYPERLINK("https://twitter.com/HessamLa/status/1035391382934970369","1035391382934970369")</f>
        <v>1035391382934970369</v>
      </c>
      <c r="F3072" s="4"/>
      <c r="G3072" s="4"/>
      <c r="H3072" s="4"/>
      <c r="I3072" s="10" t="str">
        <f>HYPERLINK("http://twitter.com/download/android","Twitter for Android")</f>
        <v>Twitter for Android</v>
      </c>
      <c r="J3072" s="2">
        <v>246</v>
      </c>
      <c r="K3072" s="2">
        <v>736</v>
      </c>
      <c r="L3072" s="2">
        <v>0</v>
      </c>
      <c r="M3072" s="2"/>
      <c r="N3072" s="8">
        <v>40892.146944444445</v>
      </c>
      <c r="O3072" s="4" t="s">
        <v>8937</v>
      </c>
      <c r="P3072" s="3" t="s">
        <v>8936</v>
      </c>
      <c r="Q3072" s="4"/>
      <c r="R3072" s="4"/>
      <c r="S3072" s="9" t="str">
        <f>HYPERLINK("https://pbs.twimg.com/profile_images/838139079518785536/7_U7wpth.jpg","View")</f>
        <v>View</v>
      </c>
    </row>
    <row r="3073" spans="1:19" ht="20">
      <c r="A3073" s="8">
        <v>43343.393171296295</v>
      </c>
      <c r="B3073" s="11" t="str">
        <f>HYPERLINK("https://twitter.com/Milad1593","@Milad1593")</f>
        <v>@Milad1593</v>
      </c>
      <c r="C3073" s="6" t="s">
        <v>8935</v>
      </c>
      <c r="D3073" s="5" t="s">
        <v>8934</v>
      </c>
      <c r="E3073" s="9" t="str">
        <f>HYPERLINK("https://twitter.com/Milad1593/status/1035390770256244736","1035390770256244736")</f>
        <v>1035390770256244736</v>
      </c>
      <c r="F3073" s="4"/>
      <c r="G3073" s="4"/>
      <c r="H3073" s="4"/>
      <c r="I3073" s="10" t="str">
        <f>HYPERLINK("http://twitter.com/download/iphone","Twitter for iPhone")</f>
        <v>Twitter for iPhone</v>
      </c>
      <c r="J3073" s="2">
        <v>23</v>
      </c>
      <c r="K3073" s="2">
        <v>77</v>
      </c>
      <c r="L3073" s="2">
        <v>0</v>
      </c>
      <c r="M3073" s="2"/>
      <c r="N3073" s="8">
        <v>43111.919398148151</v>
      </c>
      <c r="O3073" s="4" t="s">
        <v>34</v>
      </c>
      <c r="P3073" s="3"/>
      <c r="Q3073" s="4"/>
      <c r="R3073" s="4"/>
      <c r="S3073" s="9" t="str">
        <f>HYPERLINK("https://pbs.twimg.com/profile_images/1034295646323449856/5CikDeKG.jpg","View")</f>
        <v>View</v>
      </c>
    </row>
    <row r="3074" spans="1:19" ht="20">
      <c r="A3074" s="8">
        <v>43343.389930555553</v>
      </c>
      <c r="B3074" s="11" t="str">
        <f>HYPERLINK("https://twitter.com/SARMAD2018","@SARMAD2018")</f>
        <v>@SARMAD2018</v>
      </c>
      <c r="C3074" s="6" t="s">
        <v>7649</v>
      </c>
      <c r="D3074" s="5" t="s">
        <v>7648</v>
      </c>
      <c r="E3074" s="9" t="str">
        <f>HYPERLINK("https://twitter.com/SARMAD2018/status/1035389593405849600","1035389593405849600")</f>
        <v>1035389593405849600</v>
      </c>
      <c r="F3074" s="4"/>
      <c r="G3074" s="4"/>
      <c r="H3074" s="4"/>
      <c r="I3074" s="10" t="str">
        <f>HYPERLINK("http://twitter.com","Twitter Web Client")</f>
        <v>Twitter Web Client</v>
      </c>
      <c r="J3074" s="2">
        <v>682</v>
      </c>
      <c r="K3074" s="2">
        <v>764</v>
      </c>
      <c r="L3074" s="2">
        <v>0</v>
      </c>
      <c r="M3074" s="2"/>
      <c r="N3074" s="8">
        <v>43110.940208333333</v>
      </c>
      <c r="O3074" s="4" t="s">
        <v>25</v>
      </c>
      <c r="P3074" s="3" t="s">
        <v>7647</v>
      </c>
      <c r="Q3074" s="4"/>
      <c r="R3074" s="4"/>
      <c r="S3074" s="9" t="str">
        <f>HYPERLINK("https://pbs.twimg.com/profile_images/1024289046862946304/OW0JCoB_.jpg","View")</f>
        <v>View</v>
      </c>
    </row>
    <row r="3075" spans="1:19" ht="30">
      <c r="A3075" s="8">
        <v>43343.384872685187</v>
      </c>
      <c r="B3075" s="11" t="str">
        <f>HYPERLINK("https://twitter.com/adashtabi","@adashtabi")</f>
        <v>@adashtabi</v>
      </c>
      <c r="C3075" s="6" t="s">
        <v>8933</v>
      </c>
      <c r="D3075" s="5" t="s">
        <v>8932</v>
      </c>
      <c r="E3075" s="9" t="str">
        <f>HYPERLINK("https://twitter.com/adashtabi/status/1035387761522626566","1035387761522626566")</f>
        <v>1035387761522626566</v>
      </c>
      <c r="F3075" s="4"/>
      <c r="G3075" s="4"/>
      <c r="H3075" s="4"/>
      <c r="I3075" s="10" t="str">
        <f>HYPERLINK("http://twitter.com/download/android","Twitter for Android")</f>
        <v>Twitter for Android</v>
      </c>
      <c r="J3075" s="2">
        <v>141</v>
      </c>
      <c r="K3075" s="2">
        <v>92</v>
      </c>
      <c r="L3075" s="2">
        <v>0</v>
      </c>
      <c r="M3075" s="2"/>
      <c r="N3075" s="8">
        <v>42385.611446759256</v>
      </c>
      <c r="O3075" s="4"/>
      <c r="P3075" s="3" t="s">
        <v>8931</v>
      </c>
      <c r="Q3075" s="10" t="s">
        <v>8930</v>
      </c>
      <c r="R3075" s="4"/>
      <c r="S3075" s="9" t="str">
        <f>HYPERLINK("https://pbs.twimg.com/profile_images/1033702579627118592/Utl3W_xx.jpg","View")</f>
        <v>View</v>
      </c>
    </row>
    <row r="3076" spans="1:19" ht="40">
      <c r="A3076" s="8">
        <v>43343.369942129633</v>
      </c>
      <c r="B3076" s="11" t="str">
        <f>HYPERLINK("https://twitter.com/dekho1000","@dekho1000")</f>
        <v>@dekho1000</v>
      </c>
      <c r="C3076" s="6" t="s">
        <v>8929</v>
      </c>
      <c r="D3076" s="5" t="s">
        <v>8928</v>
      </c>
      <c r="E3076" s="9" t="str">
        <f>HYPERLINK("https://twitter.com/dekho1000/status/1035382349045932032","1035382349045932032")</f>
        <v>1035382349045932032</v>
      </c>
      <c r="F3076" s="10" t="s">
        <v>8927</v>
      </c>
      <c r="G3076" s="10" t="s">
        <v>8926</v>
      </c>
      <c r="H3076" s="4"/>
      <c r="I3076" s="10" t="str">
        <f>HYPERLINK("http://twitter.com/download/iphone","Twitter for iPhone")</f>
        <v>Twitter for iPhone</v>
      </c>
      <c r="J3076" s="2">
        <v>2560</v>
      </c>
      <c r="K3076" s="2">
        <v>1111</v>
      </c>
      <c r="L3076" s="2">
        <v>5</v>
      </c>
      <c r="M3076" s="2"/>
      <c r="N3076" s="8">
        <v>42217.842673611114</v>
      </c>
      <c r="O3076" s="4" t="s">
        <v>682</v>
      </c>
      <c r="P3076" s="3" t="s">
        <v>8925</v>
      </c>
      <c r="Q3076" s="10" t="s">
        <v>8924</v>
      </c>
      <c r="R3076" s="4"/>
      <c r="S3076" s="9" t="str">
        <f>HYPERLINK("https://pbs.twimg.com/profile_images/941333521670594560/4lKMPBS9.jpg","View")</f>
        <v>View</v>
      </c>
    </row>
    <row r="3077" spans="1:19" ht="20">
      <c r="A3077" s="8">
        <v>43343.353541666671</v>
      </c>
      <c r="B3077" s="11" t="str">
        <f>HYPERLINK("https://twitter.com/myfardamy","@myfardamy")</f>
        <v>@myfardamy</v>
      </c>
      <c r="C3077" s="6" t="s">
        <v>8923</v>
      </c>
      <c r="D3077" s="5" t="s">
        <v>8922</v>
      </c>
      <c r="E3077" s="9" t="str">
        <f>HYPERLINK("https://twitter.com/myfardamy/status/1035376407914971136","1035376407914971136")</f>
        <v>1035376407914971136</v>
      </c>
      <c r="F3077" s="4"/>
      <c r="G3077" s="4"/>
      <c r="H3077" s="4"/>
      <c r="I3077" s="10" t="str">
        <f>HYPERLINK("http://twitter.com/download/android","Twitter for Android")</f>
        <v>Twitter for Android</v>
      </c>
      <c r="J3077" s="2">
        <v>0</v>
      </c>
      <c r="K3077" s="2">
        <v>49</v>
      </c>
      <c r="L3077" s="2">
        <v>0</v>
      </c>
      <c r="M3077" s="2"/>
      <c r="N3077" s="8">
        <v>43343.319548611107</v>
      </c>
      <c r="O3077" s="4" t="s">
        <v>17</v>
      </c>
      <c r="P3077" s="3" t="s">
        <v>8921</v>
      </c>
      <c r="Q3077" s="4"/>
      <c r="R3077" s="4"/>
      <c r="S3077" s="2" t="s">
        <v>155</v>
      </c>
    </row>
    <row r="3078" spans="1:19" ht="20">
      <c r="A3078" s="8">
        <v>43343.297754629632</v>
      </c>
      <c r="B3078" s="11" t="str">
        <f>HYPERLINK("https://twitter.com/marham313","@marham313")</f>
        <v>@marham313</v>
      </c>
      <c r="C3078" s="6" t="s">
        <v>8920</v>
      </c>
      <c r="D3078" s="5" t="s">
        <v>8919</v>
      </c>
      <c r="E3078" s="9" t="str">
        <f>HYPERLINK("https://twitter.com/marham313/status/1035356192086863872","1035356192086863872")</f>
        <v>1035356192086863872</v>
      </c>
      <c r="F3078" s="4"/>
      <c r="G3078" s="4"/>
      <c r="H3078" s="4"/>
      <c r="I3078" s="10" t="str">
        <f>HYPERLINK("http://twitter.com/download/android","Twitter for Android")</f>
        <v>Twitter for Android</v>
      </c>
      <c r="J3078" s="2">
        <v>11</v>
      </c>
      <c r="K3078" s="2">
        <v>21</v>
      </c>
      <c r="L3078" s="2">
        <v>0</v>
      </c>
      <c r="M3078" s="2"/>
      <c r="N3078" s="8">
        <v>43330.483981481477</v>
      </c>
      <c r="O3078" s="4" t="s">
        <v>8262</v>
      </c>
      <c r="P3078" s="3" t="s">
        <v>8918</v>
      </c>
      <c r="Q3078" s="4"/>
      <c r="R3078" s="4"/>
      <c r="S3078" s="9" t="str">
        <f>HYPERLINK("https://pbs.twimg.com/profile_images/1031468072023060481/OgpIyW9f.jpg","View")</f>
        <v>View</v>
      </c>
    </row>
    <row r="3079" spans="1:19" ht="20">
      <c r="A3079" s="8">
        <v>43343.268136574072</v>
      </c>
      <c r="B3079" s="11" t="str">
        <f>HYPERLINK("https://twitter.com/hosseinzareii","@hosseinzareii")</f>
        <v>@hosseinzareii</v>
      </c>
      <c r="C3079" s="6" t="s">
        <v>8917</v>
      </c>
      <c r="D3079" s="5" t="s">
        <v>8916</v>
      </c>
      <c r="E3079" s="9" t="str">
        <f>HYPERLINK("https://twitter.com/hosseinzareii/status/1035345455675310080","1035345455675310080")</f>
        <v>1035345455675310080</v>
      </c>
      <c r="F3079" s="4"/>
      <c r="G3079" s="4"/>
      <c r="H3079" s="4"/>
      <c r="I3079" s="10" t="str">
        <f>HYPERLINK("http://twitter.com/download/iphone","Twitter for iPhone")</f>
        <v>Twitter for iPhone</v>
      </c>
      <c r="J3079" s="2">
        <v>127</v>
      </c>
      <c r="K3079" s="2">
        <v>92</v>
      </c>
      <c r="L3079" s="2">
        <v>1</v>
      </c>
      <c r="M3079" s="2"/>
      <c r="N3079" s="8">
        <v>42854.120092592595</v>
      </c>
      <c r="O3079" s="4" t="s">
        <v>682</v>
      </c>
      <c r="P3079" s="3" t="s">
        <v>8915</v>
      </c>
      <c r="Q3079" s="4"/>
      <c r="R3079" s="4"/>
      <c r="S3079" s="9" t="str">
        <f>HYPERLINK("https://pbs.twimg.com/profile_images/858085649643175936/vLzAM5RV.jpg","View")</f>
        <v>View</v>
      </c>
    </row>
    <row r="3080" spans="1:19" ht="40">
      <c r="A3080" s="8">
        <v>43343.248310185183</v>
      </c>
      <c r="B3080" s="11" t="str">
        <f>HYPERLINK("https://twitter.com/siamak087","@siamak087")</f>
        <v>@siamak087</v>
      </c>
      <c r="C3080" s="6" t="s">
        <v>8361</v>
      </c>
      <c r="D3080" s="5" t="s">
        <v>8914</v>
      </c>
      <c r="E3080" s="9" t="str">
        <f>HYPERLINK("https://twitter.com/siamak087/status/1035338272237662208","1035338272237662208")</f>
        <v>1035338272237662208</v>
      </c>
      <c r="F3080" s="4"/>
      <c r="G3080" s="4"/>
      <c r="H3080" s="4"/>
      <c r="I3080" s="10" t="str">
        <f>HYPERLINK("http://twitter.com/download/android","Twitter for Android")</f>
        <v>Twitter for Android</v>
      </c>
      <c r="J3080" s="2">
        <v>1249</v>
      </c>
      <c r="K3080" s="2">
        <v>1269</v>
      </c>
      <c r="L3080" s="2">
        <v>1</v>
      </c>
      <c r="M3080" s="2"/>
      <c r="N3080" s="8">
        <v>43104.948321759264</v>
      </c>
      <c r="O3080" s="4"/>
      <c r="P3080" s="3" t="s">
        <v>8359</v>
      </c>
      <c r="Q3080" s="4"/>
      <c r="R3080" s="4"/>
      <c r="S3080" s="9" t="str">
        <f>HYPERLINK("https://pbs.twimg.com/profile_images/1019576662428700673/ZoVeWo8o.jpg","View")</f>
        <v>View</v>
      </c>
    </row>
    <row r="3081" spans="1:19" ht="30">
      <c r="A3081" s="8">
        <v>43343.233946759261</v>
      </c>
      <c r="B3081" s="11" t="str">
        <f>HYPERLINK("https://twitter.com/naderalizadeh3","@naderalizadeh3")</f>
        <v>@naderalizadeh3</v>
      </c>
      <c r="C3081" s="6" t="s">
        <v>5217</v>
      </c>
      <c r="D3081" s="5" t="s">
        <v>8913</v>
      </c>
      <c r="E3081" s="9" t="str">
        <f>HYPERLINK("https://twitter.com/naderalizadeh3/status/1035333068918116352","1035333068918116352")</f>
        <v>1035333068918116352</v>
      </c>
      <c r="F3081" s="4"/>
      <c r="G3081" s="4"/>
      <c r="H3081" s="4"/>
      <c r="I3081" s="10" t="str">
        <f>HYPERLINK("https://mobile.twitter.com","Twitter Lite")</f>
        <v>Twitter Lite</v>
      </c>
      <c r="J3081" s="2">
        <v>4316</v>
      </c>
      <c r="K3081" s="2">
        <v>4222</v>
      </c>
      <c r="L3081" s="2">
        <v>5</v>
      </c>
      <c r="M3081" s="2"/>
      <c r="N3081" s="8">
        <v>42972.01053240741</v>
      </c>
      <c r="O3081" s="4" t="s">
        <v>5215</v>
      </c>
      <c r="P3081" s="3" t="s">
        <v>5214</v>
      </c>
      <c r="Q3081" s="4"/>
      <c r="R3081" s="4"/>
      <c r="S3081" s="9" t="str">
        <f>HYPERLINK("https://pbs.twimg.com/profile_images/926064240397635584/8LmsrwAq.jpg","View")</f>
        <v>View</v>
      </c>
    </row>
    <row r="3082" spans="1:19" ht="20">
      <c r="A3082" s="8">
        <v>43343.207986111112</v>
      </c>
      <c r="B3082" s="11" t="str">
        <f>HYPERLINK("https://twitter.com/mohamadamin96","@mohamadamin96")</f>
        <v>@mohamadamin96</v>
      </c>
      <c r="C3082" s="6" t="s">
        <v>8912</v>
      </c>
      <c r="D3082" s="5" t="s">
        <v>8911</v>
      </c>
      <c r="E3082" s="9" t="str">
        <f>HYPERLINK("https://twitter.com/mohamadamin96/status/1035323659190194177","1035323659190194177")</f>
        <v>1035323659190194177</v>
      </c>
      <c r="F3082" s="4"/>
      <c r="G3082" s="10" t="s">
        <v>8910</v>
      </c>
      <c r="H3082" s="4"/>
      <c r="I3082" s="10" t="str">
        <f>HYPERLINK("http://twitter.com/download/android","Twitter for Android")</f>
        <v>Twitter for Android</v>
      </c>
      <c r="J3082" s="2">
        <v>119</v>
      </c>
      <c r="K3082" s="2">
        <v>392</v>
      </c>
      <c r="L3082" s="2">
        <v>0</v>
      </c>
      <c r="M3082" s="2"/>
      <c r="N3082" s="8">
        <v>42562.111782407403</v>
      </c>
      <c r="O3082" s="4"/>
      <c r="P3082" s="3"/>
      <c r="Q3082" s="4"/>
      <c r="R3082" s="4"/>
      <c r="S3082" s="9" t="str">
        <f>HYPERLINK("https://pbs.twimg.com/profile_images/1007114365315764227/4JWPBcWU.jpg","View")</f>
        <v>View</v>
      </c>
    </row>
    <row r="3083" spans="1:19" ht="20">
      <c r="A3083" s="8">
        <v>43343.18649305556</v>
      </c>
      <c r="B3083" s="11" t="str">
        <f>HYPERLINK("https://twitter.com/VakilUlroaya","@VakilUlroaya")</f>
        <v>@VakilUlroaya</v>
      </c>
      <c r="C3083" s="6" t="s">
        <v>6338</v>
      </c>
      <c r="D3083" s="5" t="s">
        <v>8909</v>
      </c>
      <c r="E3083" s="9" t="str">
        <f>HYPERLINK("https://twitter.com/VakilUlroaya/status/1035315871135281154","1035315871135281154")</f>
        <v>1035315871135281154</v>
      </c>
      <c r="F3083" s="4"/>
      <c r="G3083" s="10" t="s">
        <v>8908</v>
      </c>
      <c r="H3083" s="4"/>
      <c r="I3083" s="10" t="str">
        <f>HYPERLINK("http://twitter.com/download/android","Twitter for Android")</f>
        <v>Twitter for Android</v>
      </c>
      <c r="J3083" s="2">
        <v>2298</v>
      </c>
      <c r="K3083" s="2">
        <v>1021</v>
      </c>
      <c r="L3083" s="2">
        <v>4</v>
      </c>
      <c r="M3083" s="2"/>
      <c r="N3083" s="8">
        <v>43257.526874999996</v>
      </c>
      <c r="O3083" s="4" t="s">
        <v>6336</v>
      </c>
      <c r="P3083" s="3" t="s">
        <v>6335</v>
      </c>
      <c r="Q3083" s="10" t="s">
        <v>6334</v>
      </c>
      <c r="R3083" s="4"/>
      <c r="S3083" s="9" t="str">
        <f>HYPERLINK("https://pbs.twimg.com/profile_images/1023136868626509824/6l89Latq.jpg","View")</f>
        <v>View</v>
      </c>
    </row>
    <row r="3084" spans="1:19" ht="12.5">
      <c r="A3084" s="8">
        <v>43343.162094907406</v>
      </c>
      <c r="B3084" s="11" t="str">
        <f>HYPERLINK("https://twitter.com/milad667001","@milad667001")</f>
        <v>@milad667001</v>
      </c>
      <c r="C3084" s="6" t="s">
        <v>8907</v>
      </c>
      <c r="D3084" s="5" t="s">
        <v>8906</v>
      </c>
      <c r="E3084" s="9" t="str">
        <f>HYPERLINK("https://twitter.com/milad667001/status/1035307028699394049","1035307028699394049")</f>
        <v>1035307028699394049</v>
      </c>
      <c r="F3084" s="4"/>
      <c r="G3084" s="10" t="s">
        <v>8905</v>
      </c>
      <c r="H3084" s="4"/>
      <c r="I3084" s="10" t="str">
        <f>HYPERLINK("http://twitter.com/download/android","Twitter for Android")</f>
        <v>Twitter for Android</v>
      </c>
      <c r="J3084" s="2">
        <v>32</v>
      </c>
      <c r="K3084" s="2">
        <v>79</v>
      </c>
      <c r="L3084" s="2">
        <v>0</v>
      </c>
      <c r="M3084" s="2"/>
      <c r="N3084" s="8">
        <v>42392.76054398148</v>
      </c>
      <c r="O3084" s="4"/>
      <c r="P3084" s="3" t="s">
        <v>8904</v>
      </c>
      <c r="Q3084" s="4"/>
      <c r="R3084" s="4"/>
      <c r="S3084" s="9" t="str">
        <f>HYPERLINK("https://pbs.twimg.com/profile_images/929826421287071744/9MQ8DAnD.jpg","View")</f>
        <v>View</v>
      </c>
    </row>
    <row r="3085" spans="1:19" ht="30">
      <c r="A3085" s="8">
        <v>43343.159351851849</v>
      </c>
      <c r="B3085" s="11" t="str">
        <f>HYPERLINK("https://twitter.com/toorajtoosi","@toorajtoosi")</f>
        <v>@toorajtoosi</v>
      </c>
      <c r="C3085" s="6" t="s">
        <v>8903</v>
      </c>
      <c r="D3085" s="5" t="s">
        <v>8902</v>
      </c>
      <c r="E3085" s="9" t="str">
        <f>HYPERLINK("https://twitter.com/toorajtoosi/status/1035306035173642240","1035306035173642240")</f>
        <v>1035306035173642240</v>
      </c>
      <c r="F3085" s="4"/>
      <c r="G3085" s="4"/>
      <c r="H3085" s="4"/>
      <c r="I3085" s="10" t="str">
        <f>HYPERLINK("http://twitter.com/download/android","Twitter for Android")</f>
        <v>Twitter for Android</v>
      </c>
      <c r="J3085" s="2">
        <v>0</v>
      </c>
      <c r="K3085" s="2">
        <v>16</v>
      </c>
      <c r="L3085" s="2">
        <v>0</v>
      </c>
      <c r="M3085" s="2"/>
      <c r="N3085" s="8">
        <v>41739.89503472222</v>
      </c>
      <c r="O3085" s="4" t="s">
        <v>8901</v>
      </c>
      <c r="P3085" s="3"/>
      <c r="Q3085" s="4"/>
      <c r="R3085" s="4"/>
      <c r="S3085" s="9" t="str">
        <f>HYPERLINK("https://pbs.twimg.com/profile_images/1008641778717806592/-n8DDFnQ.jpg","View")</f>
        <v>View</v>
      </c>
    </row>
    <row r="3086" spans="1:19" ht="20">
      <c r="A3086" s="8">
        <v>43343.149328703701</v>
      </c>
      <c r="B3086" s="11" t="str">
        <f>HYPERLINK("https://twitter.com/WinstonGhermez","@WinstonGhermez")</f>
        <v>@WinstonGhermez</v>
      </c>
      <c r="C3086" s="6" t="s">
        <v>8900</v>
      </c>
      <c r="D3086" s="5" t="s">
        <v>8899</v>
      </c>
      <c r="E3086" s="9" t="str">
        <f>HYPERLINK("https://twitter.com/WinstonGhermez/status/1035302403443179522","1035302403443179522")</f>
        <v>1035302403443179522</v>
      </c>
      <c r="F3086" s="4"/>
      <c r="G3086" s="4"/>
      <c r="H3086" s="4"/>
      <c r="I3086" s="10" t="str">
        <f>HYPERLINK("http://twitter.com/download/iphone","Twitter for iPhone")</f>
        <v>Twitter for iPhone</v>
      </c>
      <c r="J3086" s="2">
        <v>8</v>
      </c>
      <c r="K3086" s="2">
        <v>3</v>
      </c>
      <c r="L3086" s="2">
        <v>0</v>
      </c>
      <c r="M3086" s="2"/>
      <c r="N3086" s="8">
        <v>43239.983564814815</v>
      </c>
      <c r="O3086" s="4" t="s">
        <v>8898</v>
      </c>
      <c r="P3086" s="3" t="s">
        <v>8897</v>
      </c>
      <c r="Q3086" s="10" t="s">
        <v>8896</v>
      </c>
      <c r="R3086" s="4"/>
      <c r="S3086" s="9" t="str">
        <f>HYPERLINK("https://pbs.twimg.com/profile_images/1033456542178271232/pGjxt2-O.jpg","View")</f>
        <v>View</v>
      </c>
    </row>
    <row r="3087" spans="1:19" ht="40">
      <c r="A3087" s="8">
        <v>43343.149201388893</v>
      </c>
      <c r="B3087" s="11" t="str">
        <f>HYPERLINK("https://twitter.com/Mh_yosefi","@Mh_yosefi")</f>
        <v>@Mh_yosefi</v>
      </c>
      <c r="C3087" s="6" t="s">
        <v>8895</v>
      </c>
      <c r="D3087" s="5" t="s">
        <v>8894</v>
      </c>
      <c r="E3087" s="9" t="str">
        <f>HYPERLINK("https://twitter.com/Mh_yosefi/status/1035302356131504128","1035302356131504128")</f>
        <v>1035302356131504128</v>
      </c>
      <c r="F3087" s="4"/>
      <c r="G3087" s="4"/>
      <c r="H3087" s="4"/>
      <c r="I3087" s="10" t="str">
        <f>HYPERLINK("http://twitter.com/download/android","Twitter for Android")</f>
        <v>Twitter for Android</v>
      </c>
      <c r="J3087" s="2">
        <v>13</v>
      </c>
      <c r="K3087" s="2">
        <v>12</v>
      </c>
      <c r="L3087" s="2">
        <v>0</v>
      </c>
      <c r="M3087" s="2"/>
      <c r="N3087" s="8">
        <v>43282.771851851852</v>
      </c>
      <c r="O3087" s="4" t="s">
        <v>17</v>
      </c>
      <c r="P3087" s="3" t="s">
        <v>8893</v>
      </c>
      <c r="Q3087" s="4"/>
      <c r="R3087" s="4"/>
      <c r="S3087" s="9" t="str">
        <f>HYPERLINK("https://pbs.twimg.com/profile_images/1013716895445463040/E3wes8Tl.jpg","View")</f>
        <v>View</v>
      </c>
    </row>
    <row r="3088" spans="1:19" ht="20">
      <c r="A3088" s="8">
        <v>43343.147893518515</v>
      </c>
      <c r="B3088" s="11" t="str">
        <f>HYPERLINK("https://twitter.com/popcharmg","@popcharmg")</f>
        <v>@popcharmg</v>
      </c>
      <c r="C3088" s="6" t="s">
        <v>8892</v>
      </c>
      <c r="D3088" s="5" t="s">
        <v>8891</v>
      </c>
      <c r="E3088" s="9" t="str">
        <f>HYPERLINK("https://twitter.com/popcharmg/status/1035301882548432896","1035301882548432896")</f>
        <v>1035301882548432896</v>
      </c>
      <c r="F3088" s="4"/>
      <c r="G3088" s="4"/>
      <c r="H3088" s="4"/>
      <c r="I3088" s="10" t="str">
        <f>HYPERLINK("http://twitter.com/download/android","Twitter for Android")</f>
        <v>Twitter for Android</v>
      </c>
      <c r="J3088" s="2">
        <v>26</v>
      </c>
      <c r="K3088" s="2">
        <v>68</v>
      </c>
      <c r="L3088" s="2">
        <v>0</v>
      </c>
      <c r="M3088" s="2"/>
      <c r="N3088" s="8">
        <v>43207.792326388888</v>
      </c>
      <c r="O3088" s="4" t="s">
        <v>324</v>
      </c>
      <c r="P3088" s="3" t="s">
        <v>323</v>
      </c>
      <c r="Q3088" s="4"/>
      <c r="R3088" s="4"/>
      <c r="S3088" s="9" t="str">
        <f>HYPERLINK("https://pbs.twimg.com/profile_images/1031336915352608768/x_B-lyxu.jpg","View")</f>
        <v>View</v>
      </c>
    </row>
    <row r="3089" spans="1:19" ht="30">
      <c r="A3089" s="8">
        <v>43343.147615740745</v>
      </c>
      <c r="B3089" s="11" t="str">
        <f>HYPERLINK("https://twitter.com/BehrouzMina","@BehrouzMina")</f>
        <v>@BehrouzMina</v>
      </c>
      <c r="C3089" s="6" t="s">
        <v>8890</v>
      </c>
      <c r="D3089" s="5" t="s">
        <v>8889</v>
      </c>
      <c r="E3089" s="9" t="str">
        <f>HYPERLINK("https://twitter.com/BehrouzMina/status/1035301782577139712","1035301782577139712")</f>
        <v>1035301782577139712</v>
      </c>
      <c r="F3089" s="10" t="s">
        <v>8888</v>
      </c>
      <c r="G3089" s="4"/>
      <c r="H3089" s="4"/>
      <c r="I3089" s="10" t="str">
        <f>HYPERLINK("http://twitter.com","Twitter Web Client")</f>
        <v>Twitter Web Client</v>
      </c>
      <c r="J3089" s="2">
        <v>213</v>
      </c>
      <c r="K3089" s="2">
        <v>511</v>
      </c>
      <c r="L3089" s="2">
        <v>13</v>
      </c>
      <c r="M3089" s="2"/>
      <c r="N3089" s="8">
        <v>41494.718460648146</v>
      </c>
      <c r="O3089" s="4"/>
      <c r="P3089" s="3" t="s">
        <v>8887</v>
      </c>
      <c r="Q3089" s="4"/>
      <c r="R3089" s="4"/>
      <c r="S3089" s="9" t="str">
        <f>HYPERLINK("https://pbs.twimg.com/profile_images/576070380588158978/NG3n_ivZ.jpeg","View")</f>
        <v>View</v>
      </c>
    </row>
    <row r="3090" spans="1:19" ht="40">
      <c r="A3090" s="8">
        <v>43343.14644675926</v>
      </c>
      <c r="B3090" s="11" t="str">
        <f>HYPERLINK("https://twitter.com/sedhadihoseiny","@sedhadihoseiny")</f>
        <v>@sedhadihoseiny</v>
      </c>
      <c r="C3090" s="6" t="s">
        <v>8886</v>
      </c>
      <c r="D3090" s="5" t="s">
        <v>8885</v>
      </c>
      <c r="E3090" s="9" t="str">
        <f>HYPERLINK("https://twitter.com/sedhadihoseiny/status/1035301358960877570","1035301358960877570")</f>
        <v>1035301358960877570</v>
      </c>
      <c r="F3090" s="4"/>
      <c r="G3090" s="4"/>
      <c r="H3090" s="4"/>
      <c r="I3090" s="10" t="str">
        <f>HYPERLINK("http://twitter.com/download/android","Twitter for Android")</f>
        <v>Twitter for Android</v>
      </c>
      <c r="J3090" s="2">
        <v>8945</v>
      </c>
      <c r="K3090" s="2">
        <v>8044</v>
      </c>
      <c r="L3090" s="2">
        <v>30</v>
      </c>
      <c r="M3090" s="2"/>
      <c r="N3090" s="8">
        <v>41484.648912037039</v>
      </c>
      <c r="O3090" s="4" t="s">
        <v>640</v>
      </c>
      <c r="P3090" s="3" t="s">
        <v>8884</v>
      </c>
      <c r="Q3090" s="10" t="s">
        <v>8883</v>
      </c>
      <c r="R3090" s="4"/>
      <c r="S3090" s="9" t="str">
        <f>HYPERLINK("https://pbs.twimg.com/profile_images/969845323060346882/tMzW18AD.jpg","View")</f>
        <v>View</v>
      </c>
    </row>
    <row r="3091" spans="1:19" ht="30">
      <c r="A3091" s="8">
        <v>43343.145092592589</v>
      </c>
      <c r="B3091" s="11" t="str">
        <f>HYPERLINK("https://twitter.com/ArmanRoomana","@ArmanRoomana")</f>
        <v>@ArmanRoomana</v>
      </c>
      <c r="C3091" s="6" t="s">
        <v>8882</v>
      </c>
      <c r="D3091" s="5" t="s">
        <v>8881</v>
      </c>
      <c r="E3091" s="9" t="str">
        <f>HYPERLINK("https://twitter.com/ArmanRoomana/status/1035300867912740865","1035300867912740865")</f>
        <v>1035300867912740865</v>
      </c>
      <c r="F3091" s="4"/>
      <c r="G3091" s="4"/>
      <c r="H3091" s="4"/>
      <c r="I3091" s="10" t="str">
        <f>HYPERLINK("http://twitter.com","Twitter Web Client")</f>
        <v>Twitter Web Client</v>
      </c>
      <c r="J3091" s="2">
        <v>518</v>
      </c>
      <c r="K3091" s="2">
        <v>549</v>
      </c>
      <c r="L3091" s="2">
        <v>2</v>
      </c>
      <c r="M3091" s="2"/>
      <c r="N3091" s="8">
        <v>42278.891944444447</v>
      </c>
      <c r="O3091" s="4" t="s">
        <v>34</v>
      </c>
      <c r="P3091" s="3" t="s">
        <v>8880</v>
      </c>
      <c r="Q3091" s="10" t="s">
        <v>8879</v>
      </c>
      <c r="R3091" s="4"/>
      <c r="S3091" s="9" t="str">
        <f>HYPERLINK("https://pbs.twimg.com/profile_images/868403617920954369/qRCsM5XG.jpg","View")</f>
        <v>View</v>
      </c>
    </row>
    <row r="3092" spans="1:19" ht="20">
      <c r="A3092" s="8">
        <v>43343.123576388884</v>
      </c>
      <c r="B3092" s="11" t="str">
        <f>HYPERLINK("https://twitter.com/behzadghobadi_","@behzadghobadi_")</f>
        <v>@behzadghobadi_</v>
      </c>
      <c r="C3092" s="6" t="s">
        <v>2489</v>
      </c>
      <c r="D3092" s="5" t="s">
        <v>8878</v>
      </c>
      <c r="E3092" s="9" t="str">
        <f>HYPERLINK("https://twitter.com/behzadghobadi_/status/1035293070760194048","1035293070760194048")</f>
        <v>1035293070760194048</v>
      </c>
      <c r="F3092" s="4"/>
      <c r="G3092" s="4"/>
      <c r="H3092" s="4"/>
      <c r="I3092" s="10" t="str">
        <f>HYPERLINK("http://twitter.com/download/android","Twitter for Android")</f>
        <v>Twitter for Android</v>
      </c>
      <c r="J3092" s="2">
        <v>60</v>
      </c>
      <c r="K3092" s="2">
        <v>118</v>
      </c>
      <c r="L3092" s="2">
        <v>0</v>
      </c>
      <c r="M3092" s="2"/>
      <c r="N3092" s="8">
        <v>42914.156643518523</v>
      </c>
      <c r="O3092" s="4"/>
      <c r="P3092" s="3" t="s">
        <v>2487</v>
      </c>
      <c r="Q3092" s="4"/>
      <c r="R3092" s="4"/>
      <c r="S3092" s="9" t="str">
        <f>HYPERLINK("https://pbs.twimg.com/profile_images/1034401444579880961/Uj4S_Mvg.jpg","View")</f>
        <v>View</v>
      </c>
    </row>
    <row r="3093" spans="1:19" ht="40">
      <c r="A3093" s="8">
        <v>43343.123553240745</v>
      </c>
      <c r="B3093" s="11" t="str">
        <f>HYPERLINK("https://twitter.com/dralish1993","@dralish1993")</f>
        <v>@dralish1993</v>
      </c>
      <c r="C3093" s="6" t="s">
        <v>8877</v>
      </c>
      <c r="D3093" s="5" t="s">
        <v>8876</v>
      </c>
      <c r="E3093" s="9" t="str">
        <f>HYPERLINK("https://twitter.com/dralish1993/status/1035293063801982976","1035293063801982976")</f>
        <v>1035293063801982976</v>
      </c>
      <c r="F3093" s="4"/>
      <c r="G3093" s="4"/>
      <c r="H3093" s="4"/>
      <c r="I3093" s="10" t="str">
        <f>HYPERLINK("http://twitter.com/download/iphone","Twitter for iPhone")</f>
        <v>Twitter for iPhone</v>
      </c>
      <c r="J3093" s="2">
        <v>260</v>
      </c>
      <c r="K3093" s="2">
        <v>828</v>
      </c>
      <c r="L3093" s="2">
        <v>1</v>
      </c>
      <c r="M3093" s="2"/>
      <c r="N3093" s="8">
        <v>42904.447430555556</v>
      </c>
      <c r="O3093" s="4" t="s">
        <v>8875</v>
      </c>
      <c r="P3093" s="3" t="s">
        <v>8874</v>
      </c>
      <c r="Q3093" s="4"/>
      <c r="R3093" s="4"/>
      <c r="S3093" s="9" t="str">
        <f>HYPERLINK("https://pbs.twimg.com/profile_images/1033287344894488576/BOkLfu4C.jpg","View")</f>
        <v>View</v>
      </c>
    </row>
    <row r="3094" spans="1:19" ht="30">
      <c r="A3094" s="8">
        <v>43343.120555555557</v>
      </c>
      <c r="B3094" s="11" t="str">
        <f>HYPERLINK("https://twitter.com/FSeifikaran","@FSeifikaran")</f>
        <v>@FSeifikaran</v>
      </c>
      <c r="C3094" s="6" t="s">
        <v>8873</v>
      </c>
      <c r="D3094" s="5" t="s">
        <v>8872</v>
      </c>
      <c r="E3094" s="9" t="str">
        <f>HYPERLINK("https://twitter.com/FSeifikaran/status/1035291977586237441","1035291977586237441")</f>
        <v>1035291977586237441</v>
      </c>
      <c r="F3094" s="4"/>
      <c r="G3094" s="4"/>
      <c r="H3094" s="4"/>
      <c r="I3094" s="10" t="str">
        <f>HYPERLINK("http://twitter.com/download/iphone","Twitter for iPhone")</f>
        <v>Twitter for iPhone</v>
      </c>
      <c r="J3094" s="2">
        <v>23</v>
      </c>
      <c r="K3094" s="2">
        <v>19</v>
      </c>
      <c r="L3094" s="2">
        <v>0</v>
      </c>
      <c r="M3094" s="2"/>
      <c r="N3094" s="8">
        <v>40692.172696759255</v>
      </c>
      <c r="O3094" s="4"/>
      <c r="P3094" s="3" t="s">
        <v>8871</v>
      </c>
      <c r="Q3094" s="4"/>
      <c r="R3094" s="4"/>
      <c r="S3094" s="9" t="str">
        <f>HYPERLINK("https://pbs.twimg.com/profile_images/1013481433019625472/JP63WMoO.jpg","View")</f>
        <v>View</v>
      </c>
    </row>
    <row r="3095" spans="1:19" ht="20">
      <c r="A3095" s="8">
        <v>43343.116377314815</v>
      </c>
      <c r="B3095" s="11" t="str">
        <f>HYPERLINK("https://twitter.com/IranianMediaBox","@IranianMediaBox")</f>
        <v>@IranianMediaBox</v>
      </c>
      <c r="C3095" s="6" t="s">
        <v>8870</v>
      </c>
      <c r="D3095" s="5" t="s">
        <v>8869</v>
      </c>
      <c r="E3095" s="9" t="str">
        <f>HYPERLINK("https://twitter.com/IranianMediaBox/status/1035290459936108544","1035290459936108544")</f>
        <v>1035290459936108544</v>
      </c>
      <c r="F3095" s="10" t="s">
        <v>8868</v>
      </c>
      <c r="G3095" s="4"/>
      <c r="H3095" s="4"/>
      <c r="I3095" s="10" t="str">
        <f>HYPERLINK("http://twitter.com","Twitter Web Client")</f>
        <v>Twitter Web Client</v>
      </c>
      <c r="J3095" s="2">
        <v>37</v>
      </c>
      <c r="K3095" s="2">
        <v>43</v>
      </c>
      <c r="L3095" s="2">
        <v>0</v>
      </c>
      <c r="M3095" s="2"/>
      <c r="N3095" s="8">
        <v>42020.277465277773</v>
      </c>
      <c r="O3095" s="4"/>
      <c r="P3095" s="3"/>
      <c r="Q3095" s="4"/>
      <c r="R3095" s="4"/>
      <c r="S3095" s="9" t="str">
        <f>HYPERLINK("https://pbs.twimg.com/profile_images/555946300449886210/KCmiQ-Xv.png","View")</f>
        <v>View</v>
      </c>
    </row>
    <row r="3096" spans="1:19" ht="30">
      <c r="A3096" s="8">
        <v>43343.112488425926</v>
      </c>
      <c r="B3096" s="11" t="str">
        <f>HYPERLINK("https://twitter.com/eqbal_zarrin","@eqbal_zarrin")</f>
        <v>@eqbal_zarrin</v>
      </c>
      <c r="C3096" s="6" t="s">
        <v>8867</v>
      </c>
      <c r="D3096" s="5" t="s">
        <v>8866</v>
      </c>
      <c r="E3096" s="9" t="str">
        <f>HYPERLINK("https://twitter.com/eqbal_zarrin/status/1035289050750636033","1035289050750636033")</f>
        <v>1035289050750636033</v>
      </c>
      <c r="F3096" s="4"/>
      <c r="G3096" s="4"/>
      <c r="H3096" s="4"/>
      <c r="I3096" s="10" t="str">
        <f>HYPERLINK("https://mobile.twitter.com","Twitter Lite")</f>
        <v>Twitter Lite</v>
      </c>
      <c r="J3096" s="2">
        <v>223</v>
      </c>
      <c r="K3096" s="2">
        <v>247</v>
      </c>
      <c r="L3096" s="2">
        <v>0</v>
      </c>
      <c r="M3096" s="2"/>
      <c r="N3096" s="8">
        <v>43183.840856481482</v>
      </c>
      <c r="O3096" s="4" t="s">
        <v>104</v>
      </c>
      <c r="P3096" s="3" t="s">
        <v>8865</v>
      </c>
      <c r="Q3096" s="4"/>
      <c r="R3096" s="4"/>
      <c r="S3096" s="9" t="str">
        <f>HYPERLINK("https://pbs.twimg.com/profile_images/1019337860745519104/7OUejWJJ.jpg","View")</f>
        <v>View</v>
      </c>
    </row>
    <row r="3097" spans="1:19" ht="40">
      <c r="A3097" s="8">
        <v>43343.111909722225</v>
      </c>
      <c r="B3097" s="11" t="str">
        <f>HYPERLINK("https://twitter.com/teclamachenko","@teclamachenko")</f>
        <v>@teclamachenko</v>
      </c>
      <c r="C3097" s="6" t="s">
        <v>3984</v>
      </c>
      <c r="D3097" s="5" t="s">
        <v>8864</v>
      </c>
      <c r="E3097" s="9" t="str">
        <f>HYPERLINK("https://twitter.com/teclamachenko/status/1035288844793524225","1035288844793524225")</f>
        <v>1035288844793524225</v>
      </c>
      <c r="F3097" s="4"/>
      <c r="G3097" s="4"/>
      <c r="H3097" s="4"/>
      <c r="I3097" s="10" t="str">
        <f>HYPERLINK("http://twitter.com/download/android","Twitter for Android")</f>
        <v>Twitter for Android</v>
      </c>
      <c r="J3097" s="2">
        <v>3815</v>
      </c>
      <c r="K3097" s="2">
        <v>963</v>
      </c>
      <c r="L3097" s="2">
        <v>16</v>
      </c>
      <c r="M3097" s="2"/>
      <c r="N3097" s="8">
        <v>42912.16878472222</v>
      </c>
      <c r="O3097" s="4" t="s">
        <v>3982</v>
      </c>
      <c r="P3097" s="3" t="s">
        <v>8847</v>
      </c>
      <c r="Q3097" s="4"/>
      <c r="R3097" s="4"/>
      <c r="S3097" s="9" t="str">
        <f>HYPERLINK("https://pbs.twimg.com/profile_images/994479360253063170/6rT51vV9.jpg","View")</f>
        <v>View</v>
      </c>
    </row>
    <row r="3098" spans="1:19" ht="30">
      <c r="A3098" s="8">
        <v>43343.109918981485</v>
      </c>
      <c r="B3098" s="11" t="str">
        <f>HYPERLINK("https://twitter.com/MehdiSeylani","@MehdiSeylani")</f>
        <v>@MehdiSeylani</v>
      </c>
      <c r="C3098" s="6" t="s">
        <v>8863</v>
      </c>
      <c r="D3098" s="5" t="s">
        <v>8862</v>
      </c>
      <c r="E3098" s="9" t="str">
        <f>HYPERLINK("https://twitter.com/MehdiSeylani/status/1035288120193937408","1035288120193937408")</f>
        <v>1035288120193937408</v>
      </c>
      <c r="F3098" s="4"/>
      <c r="G3098" s="10" t="s">
        <v>8861</v>
      </c>
      <c r="H3098" s="4"/>
      <c r="I3098" s="10" t="str">
        <f>HYPERLINK("http://twitter.com","Twitter Web Client")</f>
        <v>Twitter Web Client</v>
      </c>
      <c r="J3098" s="2">
        <v>3</v>
      </c>
      <c r="K3098" s="2">
        <v>6</v>
      </c>
      <c r="L3098" s="2">
        <v>0</v>
      </c>
      <c r="M3098" s="2"/>
      <c r="N3098" s="8">
        <v>42275.003460648149</v>
      </c>
      <c r="O3098" s="4" t="s">
        <v>8860</v>
      </c>
      <c r="P3098" s="3" t="s">
        <v>8859</v>
      </c>
      <c r="Q3098" s="4"/>
      <c r="R3098" s="4"/>
      <c r="S3098" s="9" t="str">
        <f>HYPERLINK("https://pbs.twimg.com/profile_images/806135390704832516/SSS0OrVV.jpg","View")</f>
        <v>View</v>
      </c>
    </row>
    <row r="3099" spans="1:19" ht="40">
      <c r="A3099" s="8">
        <v>43343.101365740746</v>
      </c>
      <c r="B3099" s="11" t="str">
        <f>HYPERLINK("https://twitter.com/Daee_Iman","@Daee_Iman")</f>
        <v>@Daee_Iman</v>
      </c>
      <c r="C3099" s="6" t="s">
        <v>4627</v>
      </c>
      <c r="D3099" s="5" t="s">
        <v>8858</v>
      </c>
      <c r="E3099" s="9" t="str">
        <f>HYPERLINK("https://twitter.com/Daee_Iman/status/1035285020011888640","1035285020011888640")</f>
        <v>1035285020011888640</v>
      </c>
      <c r="F3099" s="4"/>
      <c r="G3099" s="4"/>
      <c r="H3099" s="4"/>
      <c r="I3099" s="10" t="str">
        <f>HYPERLINK("http://twitter.com/download/android","Twitter for Android")</f>
        <v>Twitter for Android</v>
      </c>
      <c r="J3099" s="2">
        <v>62</v>
      </c>
      <c r="K3099" s="2">
        <v>69</v>
      </c>
      <c r="L3099" s="2">
        <v>1</v>
      </c>
      <c r="M3099" s="2"/>
      <c r="N3099" s="8">
        <v>42841.576562499999</v>
      </c>
      <c r="O3099" s="4" t="s">
        <v>145</v>
      </c>
      <c r="P3099" s="3" t="s">
        <v>4625</v>
      </c>
      <c r="Q3099" s="4"/>
      <c r="R3099" s="4"/>
      <c r="S3099" s="9" t="str">
        <f>HYPERLINK("https://pbs.twimg.com/profile_images/859687315001798656/_ftmg6gO.jpg","View")</f>
        <v>View</v>
      </c>
    </row>
    <row r="3100" spans="1:19" ht="20">
      <c r="A3100" s="8">
        <v>43343.098009259258</v>
      </c>
      <c r="B3100" s="11" t="str">
        <f>HYPERLINK("https://twitter.com/simayazaditv","@simayazaditv")</f>
        <v>@simayazaditv</v>
      </c>
      <c r="C3100" s="6" t="s">
        <v>1758</v>
      </c>
      <c r="D3100" s="5" t="s">
        <v>8857</v>
      </c>
      <c r="E3100" s="9" t="str">
        <f>HYPERLINK("https://twitter.com/simayazaditv/status/1035283805194674177","1035283805194674177")</f>
        <v>1035283805194674177</v>
      </c>
      <c r="F3100" s="10" t="s">
        <v>8856</v>
      </c>
      <c r="G3100" s="10" t="s">
        <v>8855</v>
      </c>
      <c r="H3100" s="4"/>
      <c r="I3100" s="10" t="str">
        <f>HYPERLINK("http://twitter.com","Twitter Web Client")</f>
        <v>Twitter Web Client</v>
      </c>
      <c r="J3100" s="2">
        <v>6038</v>
      </c>
      <c r="K3100" s="2">
        <v>1</v>
      </c>
      <c r="L3100" s="2">
        <v>100</v>
      </c>
      <c r="M3100" s="2"/>
      <c r="N3100" s="8">
        <v>42209.662442129629</v>
      </c>
      <c r="O3100" s="4" t="s">
        <v>252</v>
      </c>
      <c r="P3100" s="3"/>
      <c r="Q3100" s="10" t="s">
        <v>1755</v>
      </c>
      <c r="R3100" s="4"/>
      <c r="S3100" s="9" t="str">
        <f>HYPERLINK("https://pbs.twimg.com/profile_images/624546008937144321/5aqccHix.png","View")</f>
        <v>View</v>
      </c>
    </row>
    <row r="3101" spans="1:19" ht="12.5">
      <c r="A3101" s="8">
        <v>43343.097557870366</v>
      </c>
      <c r="B3101" s="11" t="str">
        <f>HYPERLINK("https://twitter.com/mrmowji","@mrmowji")</f>
        <v>@mrmowji</v>
      </c>
      <c r="C3101" s="6" t="s">
        <v>8854</v>
      </c>
      <c r="D3101" s="5" t="s">
        <v>8853</v>
      </c>
      <c r="E3101" s="9" t="str">
        <f>HYPERLINK("https://twitter.com/mrmowji/status/1035283641520152576","1035283641520152576")</f>
        <v>1035283641520152576</v>
      </c>
      <c r="F3101" s="4"/>
      <c r="G3101" s="4"/>
      <c r="H3101" s="4"/>
      <c r="I3101" s="10" t="str">
        <f>HYPERLINK("http://twitter.com","Twitter Web Client")</f>
        <v>Twitter Web Client</v>
      </c>
      <c r="J3101" s="2">
        <v>30</v>
      </c>
      <c r="K3101" s="2">
        <v>122</v>
      </c>
      <c r="L3101" s="2">
        <v>0</v>
      </c>
      <c r="M3101" s="2"/>
      <c r="N3101" s="8">
        <v>40568.899143518516</v>
      </c>
      <c r="O3101" s="4"/>
      <c r="P3101" s="3" t="s">
        <v>8852</v>
      </c>
      <c r="Q3101" s="4"/>
      <c r="R3101" s="4"/>
      <c r="S3101" s="9" t="str">
        <f>HYPERLINK("https://pbs.twimg.com/profile_images/1012277608392765440/uvWh09EP.jpg","View")</f>
        <v>View</v>
      </c>
    </row>
    <row r="3102" spans="1:19" ht="40">
      <c r="A3102" s="8">
        <v>43343.096539351856</v>
      </c>
      <c r="B3102" s="11" t="str">
        <f>HYPERLINK("https://twitter.com/RafatiSiavash","@RafatiSiavash")</f>
        <v>@RafatiSiavash</v>
      </c>
      <c r="C3102" s="6" t="s">
        <v>3226</v>
      </c>
      <c r="D3102" s="5" t="s">
        <v>8851</v>
      </c>
      <c r="E3102" s="9" t="str">
        <f>HYPERLINK("https://twitter.com/RafatiSiavash/status/1035283273314959367","1035283273314959367")</f>
        <v>1035283273314959367</v>
      </c>
      <c r="F3102" s="10" t="s">
        <v>8850</v>
      </c>
      <c r="G3102" s="10" t="s">
        <v>8849</v>
      </c>
      <c r="H3102" s="4"/>
      <c r="I3102" s="10" t="str">
        <f>HYPERLINK("http://twitter.com","Twitter Web Client")</f>
        <v>Twitter Web Client</v>
      </c>
      <c r="J3102" s="2">
        <v>288</v>
      </c>
      <c r="K3102" s="2">
        <v>230</v>
      </c>
      <c r="L3102" s="2">
        <v>87</v>
      </c>
      <c r="M3102" s="2"/>
      <c r="N3102" s="8">
        <v>41050.769884259258</v>
      </c>
      <c r="O3102" s="4"/>
      <c r="P3102" s="3" t="s">
        <v>3223</v>
      </c>
      <c r="Q3102" s="10" t="s">
        <v>3222</v>
      </c>
      <c r="R3102" s="4"/>
      <c r="S3102" s="9" t="str">
        <f>HYPERLINK("https://pbs.twimg.com/profile_images/821385868690751488/Qqe0I1Bk.jpg","View")</f>
        <v>View</v>
      </c>
    </row>
    <row r="3103" spans="1:19" ht="30">
      <c r="A3103" s="8">
        <v>43343.093946759254</v>
      </c>
      <c r="B3103" s="11" t="str">
        <f>HYPERLINK("https://twitter.com/teclamachenko","@teclamachenko")</f>
        <v>@teclamachenko</v>
      </c>
      <c r="C3103" s="6" t="s">
        <v>3984</v>
      </c>
      <c r="D3103" s="5" t="s">
        <v>8848</v>
      </c>
      <c r="E3103" s="9" t="str">
        <f>HYPERLINK("https://twitter.com/teclamachenko/status/1035282333694418944","1035282333694418944")</f>
        <v>1035282333694418944</v>
      </c>
      <c r="F3103" s="4"/>
      <c r="G3103" s="4"/>
      <c r="H3103" s="4"/>
      <c r="I3103" s="10" t="str">
        <f>HYPERLINK("http://twitter.com/download/android","Twitter for Android")</f>
        <v>Twitter for Android</v>
      </c>
      <c r="J3103" s="2">
        <v>3814</v>
      </c>
      <c r="K3103" s="2">
        <v>964</v>
      </c>
      <c r="L3103" s="2">
        <v>16</v>
      </c>
      <c r="M3103" s="2"/>
      <c r="N3103" s="8">
        <v>42912.16878472222</v>
      </c>
      <c r="O3103" s="4" t="s">
        <v>3982</v>
      </c>
      <c r="P3103" s="3" t="s">
        <v>8847</v>
      </c>
      <c r="Q3103" s="4"/>
      <c r="R3103" s="4"/>
      <c r="S3103" s="9" t="str">
        <f>HYPERLINK("https://pbs.twimg.com/profile_images/994479360253063170/6rT51vV9.jpg","View")</f>
        <v>View</v>
      </c>
    </row>
    <row r="3104" spans="1:19" ht="12.5">
      <c r="A3104" s="8">
        <v>43343.093460648146</v>
      </c>
      <c r="B3104" s="11" t="str">
        <f>HYPERLINK("https://twitter.com/Aria_Prd","@Aria_Prd")</f>
        <v>@Aria_Prd</v>
      </c>
      <c r="C3104" s="6" t="s">
        <v>4534</v>
      </c>
      <c r="D3104" s="5" t="s">
        <v>8846</v>
      </c>
      <c r="E3104" s="9" t="str">
        <f>HYPERLINK("https://twitter.com/Aria_Prd/status/1035282158473158656","1035282158473158656")</f>
        <v>1035282158473158656</v>
      </c>
      <c r="F3104" s="4"/>
      <c r="G3104" s="4"/>
      <c r="H3104" s="4"/>
      <c r="I3104" s="10" t="str">
        <f>HYPERLINK("http://twitter.com","Twitter Web Client")</f>
        <v>Twitter Web Client</v>
      </c>
      <c r="J3104" s="2">
        <v>3222</v>
      </c>
      <c r="K3104" s="2">
        <v>2764</v>
      </c>
      <c r="L3104" s="2">
        <v>1</v>
      </c>
      <c r="M3104" s="2"/>
      <c r="N3104" s="8">
        <v>42948.438657407409</v>
      </c>
      <c r="O3104" s="4"/>
      <c r="P3104" s="3" t="s">
        <v>4532</v>
      </c>
      <c r="Q3104" s="4"/>
      <c r="R3104" s="4"/>
      <c r="S3104" s="9" t="str">
        <f>HYPERLINK("https://pbs.twimg.com/profile_images/1032002356299395072/2weycQcH.jpg","View")</f>
        <v>View</v>
      </c>
    </row>
    <row r="3105" spans="1:19" ht="20">
      <c r="A3105" s="8">
        <v>43343.093206018515</v>
      </c>
      <c r="B3105" s="11" t="str">
        <f>HYPERLINK("https://twitter.com/saliwanm","@saliwanm")</f>
        <v>@saliwanm</v>
      </c>
      <c r="C3105" s="6" t="s">
        <v>8845</v>
      </c>
      <c r="D3105" s="5" t="s">
        <v>8844</v>
      </c>
      <c r="E3105" s="9" t="str">
        <f>HYPERLINK("https://twitter.com/saliwanm/status/1035282065946759169","1035282065946759169")</f>
        <v>1035282065946759169</v>
      </c>
      <c r="F3105" s="4"/>
      <c r="G3105" s="4"/>
      <c r="H3105" s="4"/>
      <c r="I3105" s="10" t="str">
        <f>HYPERLINK("https://mobile.twitter.com","Twitter Lite")</f>
        <v>Twitter Lite</v>
      </c>
      <c r="J3105" s="2">
        <v>22</v>
      </c>
      <c r="K3105" s="2">
        <v>65</v>
      </c>
      <c r="L3105" s="2">
        <v>0</v>
      </c>
      <c r="M3105" s="2"/>
      <c r="N3105" s="8">
        <v>42737.632141203707</v>
      </c>
      <c r="O3105" s="4" t="s">
        <v>8843</v>
      </c>
      <c r="P3105" s="3"/>
      <c r="Q3105" s="4"/>
      <c r="R3105" s="4"/>
      <c r="S3105" s="9" t="str">
        <f>HYPERLINK("https://pbs.twimg.com/profile_images/941072407242174465/KxgJ-3qY.jpg","View")</f>
        <v>View</v>
      </c>
    </row>
    <row r="3106" spans="1:19" ht="40">
      <c r="A3106" s="8">
        <v>43343.088703703703</v>
      </c>
      <c r="B3106" s="11" t="str">
        <f>HYPERLINK("https://twitter.com/RafatiSiavash","@RafatiSiavash")</f>
        <v>@RafatiSiavash</v>
      </c>
      <c r="C3106" s="6" t="s">
        <v>3226</v>
      </c>
      <c r="D3106" s="5" t="s">
        <v>8842</v>
      </c>
      <c r="E3106" s="9" t="str">
        <f>HYPERLINK("https://twitter.com/RafatiSiavash/status/1035280434987499520","1035280434987499520")</f>
        <v>1035280434987499520</v>
      </c>
      <c r="F3106" s="10" t="s">
        <v>8841</v>
      </c>
      <c r="G3106" s="4"/>
      <c r="H3106" s="4"/>
      <c r="I3106" s="10" t="str">
        <f>HYPERLINK("http://twitter.com","Twitter Web Client")</f>
        <v>Twitter Web Client</v>
      </c>
      <c r="J3106" s="2">
        <v>288</v>
      </c>
      <c r="K3106" s="2">
        <v>230</v>
      </c>
      <c r="L3106" s="2">
        <v>87</v>
      </c>
      <c r="M3106" s="2"/>
      <c r="N3106" s="8">
        <v>41050.769884259258</v>
      </c>
      <c r="O3106" s="4"/>
      <c r="P3106" s="3" t="s">
        <v>3223</v>
      </c>
      <c r="Q3106" s="10" t="s">
        <v>3222</v>
      </c>
      <c r="R3106" s="4"/>
      <c r="S3106" s="9" t="str">
        <f>HYPERLINK("https://pbs.twimg.com/profile_images/821385868690751488/Qqe0I1Bk.jpg","View")</f>
        <v>View</v>
      </c>
    </row>
    <row r="3107" spans="1:19" ht="30">
      <c r="A3107" s="8">
        <v>43343.088101851856</v>
      </c>
      <c r="B3107" s="11" t="str">
        <f>HYPERLINK("https://twitter.com/Sadegh_Today","@Sadegh_Today")</f>
        <v>@Sadegh_Today</v>
      </c>
      <c r="C3107" s="6" t="s">
        <v>8840</v>
      </c>
      <c r="D3107" s="5" t="s">
        <v>8839</v>
      </c>
      <c r="E3107" s="9" t="str">
        <f>HYPERLINK("https://twitter.com/Sadegh_Today/status/1035280214023131136","1035280214023131136")</f>
        <v>1035280214023131136</v>
      </c>
      <c r="F3107" s="4"/>
      <c r="G3107" s="4"/>
      <c r="H3107" s="4"/>
      <c r="I3107" s="10" t="str">
        <f>HYPERLINK("http://twitter.com/download/android","Twitter for Android")</f>
        <v>Twitter for Android</v>
      </c>
      <c r="J3107" s="2">
        <v>199</v>
      </c>
      <c r="K3107" s="2">
        <v>517</v>
      </c>
      <c r="L3107" s="2">
        <v>0</v>
      </c>
      <c r="M3107" s="2"/>
      <c r="N3107" s="8">
        <v>42850.771099537036</v>
      </c>
      <c r="O3107" s="4" t="s">
        <v>8838</v>
      </c>
      <c r="P3107" s="3"/>
      <c r="Q3107" s="4"/>
      <c r="R3107" s="4"/>
      <c r="S3107" s="9" t="str">
        <f>HYPERLINK("https://pbs.twimg.com/profile_images/856871430067236865/QPsqMIcP.jpg","View")</f>
        <v>View</v>
      </c>
    </row>
    <row r="3108" spans="1:19" ht="40">
      <c r="A3108" s="8">
        <v>43343.084456018521</v>
      </c>
      <c r="B3108" s="11" t="str">
        <f>HYPERLINK("https://twitter.com/m_ghaedi","@m_ghaedi")</f>
        <v>@m_ghaedi</v>
      </c>
      <c r="C3108" s="6" t="s">
        <v>3418</v>
      </c>
      <c r="D3108" s="5" t="s">
        <v>8837</v>
      </c>
      <c r="E3108" s="9" t="str">
        <f>HYPERLINK("https://twitter.com/m_ghaedi/status/1035278895094878210","1035278895094878210")</f>
        <v>1035278895094878210</v>
      </c>
      <c r="F3108" s="4"/>
      <c r="G3108" s="4"/>
      <c r="H3108" s="4"/>
      <c r="I3108" s="10" t="str">
        <f>HYPERLINK("http://twitter.com/download/android","Twitter for Android")</f>
        <v>Twitter for Android</v>
      </c>
      <c r="J3108" s="2">
        <v>5130</v>
      </c>
      <c r="K3108" s="2">
        <v>3159</v>
      </c>
      <c r="L3108" s="2">
        <v>14</v>
      </c>
      <c r="M3108" s="2"/>
      <c r="N3108" s="8">
        <v>42742.733136574076</v>
      </c>
      <c r="O3108" s="4" t="s">
        <v>310</v>
      </c>
      <c r="P3108" s="3" t="s">
        <v>8836</v>
      </c>
      <c r="Q3108" s="4"/>
      <c r="R3108" s="4"/>
      <c r="S3108" s="9" t="str">
        <f>HYPERLINK("https://pbs.twimg.com/profile_images/1021356154029518848/T8pKb5xe.jpg","View")</f>
        <v>View</v>
      </c>
    </row>
    <row r="3109" spans="1:19" ht="50">
      <c r="A3109" s="8">
        <v>43343.081608796296</v>
      </c>
      <c r="B3109" s="11" t="str">
        <f>HYPERLINK("https://twitter.com/restart_0ho0","@restart_0ho0")</f>
        <v>@restart_0ho0</v>
      </c>
      <c r="C3109" s="6" t="s">
        <v>1889</v>
      </c>
      <c r="D3109" s="5" t="s">
        <v>8835</v>
      </c>
      <c r="E3109" s="9" t="str">
        <f>HYPERLINK("https://twitter.com/restart_0ho0/status/1035277862767677441","1035277862767677441")</f>
        <v>1035277862767677441</v>
      </c>
      <c r="F3109" s="4"/>
      <c r="G3109" s="10" t="s">
        <v>8834</v>
      </c>
      <c r="H3109" s="4"/>
      <c r="I3109" s="10" t="str">
        <f>HYPERLINK("http://twitter.com/download/android","Twitter for Android")</f>
        <v>Twitter for Android</v>
      </c>
      <c r="J3109" s="2">
        <v>363</v>
      </c>
      <c r="K3109" s="2">
        <v>117</v>
      </c>
      <c r="L3109" s="2">
        <v>1</v>
      </c>
      <c r="M3109" s="2"/>
      <c r="N3109" s="8">
        <v>43135.789837962962</v>
      </c>
      <c r="O3109" s="4"/>
      <c r="P3109" s="3" t="s">
        <v>1887</v>
      </c>
      <c r="Q3109" s="10" t="s">
        <v>1886</v>
      </c>
      <c r="R3109" s="4"/>
      <c r="S3109" s="9" t="str">
        <f>HYPERLINK("https://pbs.twimg.com/profile_images/1018264481938460672/Z4-ZxVhg.jpg","View")</f>
        <v>View</v>
      </c>
    </row>
    <row r="3110" spans="1:19" ht="40">
      <c r="A3110" s="8">
        <v>43343.078321759254</v>
      </c>
      <c r="B3110" s="11" t="str">
        <f>HYPERLINK("https://twitter.com/rajabzade55","@rajabzade55")</f>
        <v>@rajabzade55</v>
      </c>
      <c r="C3110" s="6" t="s">
        <v>8833</v>
      </c>
      <c r="D3110" s="5" t="s">
        <v>8832</v>
      </c>
      <c r="E3110" s="9" t="str">
        <f>HYPERLINK("https://twitter.com/rajabzade55/status/1035276671245529088","1035276671245529088")</f>
        <v>1035276671245529088</v>
      </c>
      <c r="F3110" s="4"/>
      <c r="G3110" s="10" t="s">
        <v>8831</v>
      </c>
      <c r="H3110" s="4"/>
      <c r="I3110" s="10" t="str">
        <f>HYPERLINK("http://twitter.com/download/android","Twitter for Android")</f>
        <v>Twitter for Android</v>
      </c>
      <c r="J3110" s="2">
        <v>1</v>
      </c>
      <c r="K3110" s="2">
        <v>6</v>
      </c>
      <c r="L3110" s="2">
        <v>0</v>
      </c>
      <c r="M3110" s="2"/>
      <c r="N3110" s="8">
        <v>43339.935254629629</v>
      </c>
      <c r="O3110" s="4" t="s">
        <v>17</v>
      </c>
      <c r="P3110" s="3" t="s">
        <v>8830</v>
      </c>
      <c r="Q3110" s="4"/>
      <c r="R3110" s="4"/>
      <c r="S3110" s="2" t="s">
        <v>155</v>
      </c>
    </row>
    <row r="3111" spans="1:19" ht="40">
      <c r="A3111" s="8">
        <v>43343.074699074074</v>
      </c>
      <c r="B3111" s="11" t="str">
        <f>HYPERLINK("https://twitter.com/RafatiSiavash","@RafatiSiavash")</f>
        <v>@RafatiSiavash</v>
      </c>
      <c r="C3111" s="6" t="s">
        <v>3226</v>
      </c>
      <c r="D3111" s="5" t="s">
        <v>8829</v>
      </c>
      <c r="E3111" s="9" t="str">
        <f>HYPERLINK("https://twitter.com/RafatiSiavash/status/1035275356268376065","1035275356268376065")</f>
        <v>1035275356268376065</v>
      </c>
      <c r="F3111" s="4"/>
      <c r="G3111" s="4"/>
      <c r="H3111" s="4"/>
      <c r="I3111" s="10" t="str">
        <f>HYPERLINK("http://twitter.com","Twitter Web Client")</f>
        <v>Twitter Web Client</v>
      </c>
      <c r="J3111" s="2">
        <v>288</v>
      </c>
      <c r="K3111" s="2">
        <v>230</v>
      </c>
      <c r="L3111" s="2">
        <v>87</v>
      </c>
      <c r="M3111" s="2"/>
      <c r="N3111" s="8">
        <v>41050.769884259258</v>
      </c>
      <c r="O3111" s="4"/>
      <c r="P3111" s="3" t="s">
        <v>3223</v>
      </c>
      <c r="Q3111" s="10" t="s">
        <v>3222</v>
      </c>
      <c r="R3111" s="4"/>
      <c r="S3111" s="9" t="str">
        <f>HYPERLINK("https://pbs.twimg.com/profile_images/821385868690751488/Qqe0I1Bk.jpg","View")</f>
        <v>View</v>
      </c>
    </row>
    <row r="3112" spans="1:19" ht="30">
      <c r="A3112" s="8">
        <v>43343.071851851855</v>
      </c>
      <c r="B3112" s="11" t="str">
        <f>HYPERLINK("https://twitter.com/MhGhanbarpour","@MhGhanbarpour")</f>
        <v>@MhGhanbarpour</v>
      </c>
      <c r="C3112" s="6" t="s">
        <v>8828</v>
      </c>
      <c r="D3112" s="5" t="s">
        <v>8827</v>
      </c>
      <c r="E3112" s="9" t="str">
        <f>HYPERLINK("https://twitter.com/MhGhanbarpour/status/1035274327338438663","1035274327338438663")</f>
        <v>1035274327338438663</v>
      </c>
      <c r="F3112" s="4"/>
      <c r="G3112" s="4"/>
      <c r="H3112" s="4"/>
      <c r="I3112" s="10" t="str">
        <f>HYPERLINK("https://mobile.twitter.com","Twitter Lite")</f>
        <v>Twitter Lite</v>
      </c>
      <c r="J3112" s="2">
        <v>34</v>
      </c>
      <c r="K3112" s="2">
        <v>49</v>
      </c>
      <c r="L3112" s="2">
        <v>0</v>
      </c>
      <c r="M3112" s="2"/>
      <c r="N3112" s="8">
        <v>41782.675578703704</v>
      </c>
      <c r="O3112" s="4" t="s">
        <v>34</v>
      </c>
      <c r="P3112" s="3" t="s">
        <v>8826</v>
      </c>
      <c r="Q3112" s="4"/>
      <c r="R3112" s="4"/>
      <c r="S3112" s="9" t="str">
        <f>HYPERLINK("https://pbs.twimg.com/profile_images/469817347100774400/gUTd3CGf.jpeg","View")</f>
        <v>View</v>
      </c>
    </row>
    <row r="3113" spans="1:19" ht="30">
      <c r="A3113" s="8">
        <v>43343.071782407409</v>
      </c>
      <c r="B3113" s="11" t="str">
        <f>HYPERLINK("https://twitter.com/Mehdi00634209","@Mehdi00634209")</f>
        <v>@Mehdi00634209</v>
      </c>
      <c r="C3113" s="6" t="s">
        <v>8825</v>
      </c>
      <c r="D3113" s="5" t="s">
        <v>8824</v>
      </c>
      <c r="E3113" s="9" t="str">
        <f>HYPERLINK("https://twitter.com/Mehdi00634209/status/1035274300675244032","1035274300675244032")</f>
        <v>1035274300675244032</v>
      </c>
      <c r="F3113" s="4"/>
      <c r="G3113" s="4"/>
      <c r="H3113" s="4"/>
      <c r="I3113" s="10" t="str">
        <f>HYPERLINK("http://twitter.com/download/iphone","Twitter for iPhone")</f>
        <v>Twitter for iPhone</v>
      </c>
      <c r="J3113" s="2">
        <v>81</v>
      </c>
      <c r="K3113" s="2">
        <v>342</v>
      </c>
      <c r="L3113" s="2">
        <v>0</v>
      </c>
      <c r="M3113" s="2"/>
      <c r="N3113" s="8">
        <v>43218.556168981479</v>
      </c>
      <c r="O3113" s="4" t="s">
        <v>8823</v>
      </c>
      <c r="P3113" s="3" t="s">
        <v>8822</v>
      </c>
      <c r="Q3113" s="4"/>
      <c r="R3113" s="4"/>
      <c r="S3113" s="9" t="str">
        <f>HYPERLINK("https://pbs.twimg.com/profile_images/1032246099338248192/jg5sTckJ.jpg","View")</f>
        <v>View</v>
      </c>
    </row>
    <row r="3114" spans="1:19" ht="30">
      <c r="A3114" s="8">
        <v>43343.069687499999</v>
      </c>
      <c r="B3114" s="11" t="str">
        <f>HYPERLINK("https://twitter.com/sajad0740","@sajad0740")</f>
        <v>@sajad0740</v>
      </c>
      <c r="C3114" s="6" t="s">
        <v>8821</v>
      </c>
      <c r="D3114" s="5" t="s">
        <v>8820</v>
      </c>
      <c r="E3114" s="9" t="str">
        <f>HYPERLINK("https://twitter.com/sajad0740/status/1035273542433234944","1035273542433234944")</f>
        <v>1035273542433234944</v>
      </c>
      <c r="F3114" s="4"/>
      <c r="G3114" s="4"/>
      <c r="H3114" s="4"/>
      <c r="I3114" s="10" t="str">
        <f>HYPERLINK("http://twitter.com","Twitter Web Client")</f>
        <v>Twitter Web Client</v>
      </c>
      <c r="J3114" s="2">
        <v>0</v>
      </c>
      <c r="K3114" s="2">
        <v>0</v>
      </c>
      <c r="L3114" s="2">
        <v>0</v>
      </c>
      <c r="M3114" s="2"/>
      <c r="N3114" s="8">
        <v>43335.526076388887</v>
      </c>
      <c r="O3114" s="4"/>
      <c r="P3114" s="3"/>
      <c r="Q3114" s="4"/>
      <c r="R3114" s="4"/>
      <c r="S3114" s="9" t="str">
        <f>HYPERLINK("https://pbs.twimg.com/profile_images/1032548242926391296/p471Ob5L.jpg","View")</f>
        <v>View</v>
      </c>
    </row>
    <row r="3115" spans="1:19" ht="40">
      <c r="A3115" s="8">
        <v>43343.066840277781</v>
      </c>
      <c r="B3115" s="11" t="str">
        <f>HYPERLINK("https://twitter.com/YBagherfar","@YBagherfar")</f>
        <v>@YBagherfar</v>
      </c>
      <c r="C3115" s="6" t="s">
        <v>8819</v>
      </c>
      <c r="D3115" s="5" t="s">
        <v>8818</v>
      </c>
      <c r="E3115" s="9" t="str">
        <f>HYPERLINK("https://twitter.com/YBagherfar/status/1035272509132824576","1035272509132824576")</f>
        <v>1035272509132824576</v>
      </c>
      <c r="F3115" s="10" t="s">
        <v>8817</v>
      </c>
      <c r="G3115" s="10" t="s">
        <v>8816</v>
      </c>
      <c r="H3115" s="4"/>
      <c r="I3115" s="10" t="str">
        <f>HYPERLINK("http://twitter.com/download/iphone","Twitter for iPhone")</f>
        <v>Twitter for iPhone</v>
      </c>
      <c r="J3115" s="2">
        <v>152</v>
      </c>
      <c r="K3115" s="2">
        <v>143</v>
      </c>
      <c r="L3115" s="2">
        <v>0</v>
      </c>
      <c r="M3115" s="2"/>
      <c r="N3115" s="8">
        <v>42575.064097222217</v>
      </c>
      <c r="O3115" s="4" t="s">
        <v>4972</v>
      </c>
      <c r="P3115" s="3" t="s">
        <v>8815</v>
      </c>
      <c r="Q3115" s="4"/>
      <c r="R3115" s="4"/>
      <c r="S3115" s="9" t="str">
        <f>HYPERLINK("https://pbs.twimg.com/profile_images/963744284016107520/bWAjMRzc.jpg","View")</f>
        <v>View</v>
      </c>
    </row>
    <row r="3116" spans="1:19" ht="40">
      <c r="A3116" s="8">
        <v>43343.057789351849</v>
      </c>
      <c r="B3116" s="11" t="str">
        <f>HYPERLINK("https://twitter.com/MohsenFerdowsi1","@MohsenFerdowsi1")</f>
        <v>@MohsenFerdowsi1</v>
      </c>
      <c r="C3116" s="6" t="s">
        <v>8814</v>
      </c>
      <c r="D3116" s="5" t="s">
        <v>8813</v>
      </c>
      <c r="E3116" s="9" t="str">
        <f>HYPERLINK("https://twitter.com/MohsenFerdowsi1/status/1035269230587830272","1035269230587830272")</f>
        <v>1035269230587830272</v>
      </c>
      <c r="F3116" s="4"/>
      <c r="G3116" s="10" t="s">
        <v>8812</v>
      </c>
      <c r="H3116" s="4"/>
      <c r="I3116" s="10" t="str">
        <f>HYPERLINK("http://twitter.com/download/iphone","Twitter for iPhone")</f>
        <v>Twitter for iPhone</v>
      </c>
      <c r="J3116" s="2">
        <v>996</v>
      </c>
      <c r="K3116" s="2">
        <v>2250</v>
      </c>
      <c r="L3116" s="2">
        <v>2</v>
      </c>
      <c r="M3116" s="2"/>
      <c r="N3116" s="8">
        <v>43102.400856481487</v>
      </c>
      <c r="O3116" s="4" t="s">
        <v>4842</v>
      </c>
      <c r="P3116" s="3"/>
      <c r="Q3116" s="4"/>
      <c r="R3116" s="4"/>
      <c r="S3116" s="9" t="str">
        <f>HYPERLINK("https://pbs.twimg.com/profile_images/998670242413883392/qu1ruRMj.jpg","View")</f>
        <v>View</v>
      </c>
    </row>
    <row r="3117" spans="1:19" ht="50">
      <c r="A3117" s="8">
        <v>43343.054895833338</v>
      </c>
      <c r="B3117" s="11" t="str">
        <f>HYPERLINK("https://twitter.com/MemarpouriM","@MemarpouriM")</f>
        <v>@MemarpouriM</v>
      </c>
      <c r="C3117" s="6" t="s">
        <v>8811</v>
      </c>
      <c r="D3117" s="5" t="s">
        <v>8810</v>
      </c>
      <c r="E3117" s="9" t="str">
        <f>HYPERLINK("https://twitter.com/MemarpouriM/status/1035268181319933954","1035268181319933954")</f>
        <v>1035268181319933954</v>
      </c>
      <c r="F3117" s="10" t="s">
        <v>8809</v>
      </c>
      <c r="G3117" s="10" t="s">
        <v>8808</v>
      </c>
      <c r="H3117" s="4"/>
      <c r="I3117" s="10" t="str">
        <f>HYPERLINK("http://twitter.com","Twitter Web Client")</f>
        <v>Twitter Web Client</v>
      </c>
      <c r="J3117" s="2">
        <v>270</v>
      </c>
      <c r="K3117" s="2">
        <v>569</v>
      </c>
      <c r="L3117" s="2">
        <v>6</v>
      </c>
      <c r="M3117" s="2"/>
      <c r="N3117" s="8">
        <v>41628.025092592594</v>
      </c>
      <c r="O3117" s="4" t="s">
        <v>8807</v>
      </c>
      <c r="P3117" s="3" t="s">
        <v>8806</v>
      </c>
      <c r="Q3117" s="4"/>
      <c r="R3117" s="4"/>
      <c r="S3117" s="9" t="str">
        <f>HYPERLINK("https://pbs.twimg.com/profile_images/885878004043337729/iYVpBsvU.jpg","View")</f>
        <v>View</v>
      </c>
    </row>
    <row r="3118" spans="1:19" ht="30">
      <c r="A3118" s="8">
        <v>43343.05363425926</v>
      </c>
      <c r="B3118" s="11" t="str">
        <f>HYPERLINK("https://twitter.com/nazaninmatinnia","@nazaninmatinnia")</f>
        <v>@nazaninmatinnia</v>
      </c>
      <c r="C3118" s="6" t="s">
        <v>8805</v>
      </c>
      <c r="D3118" s="5" t="s">
        <v>8804</v>
      </c>
      <c r="E3118" s="9" t="str">
        <f>HYPERLINK("https://twitter.com/nazaninmatinnia/status/1035267725768187904","1035267725768187904")</f>
        <v>1035267725768187904</v>
      </c>
      <c r="F3118" s="4"/>
      <c r="G3118" s="4"/>
      <c r="H3118" s="4"/>
      <c r="I3118" s="10" t="str">
        <f>HYPERLINK("http://twitter.com/download/iphone","Twitter for iPhone")</f>
        <v>Twitter for iPhone</v>
      </c>
      <c r="J3118" s="2">
        <v>2051</v>
      </c>
      <c r="K3118" s="2">
        <v>253</v>
      </c>
      <c r="L3118" s="2">
        <v>7</v>
      </c>
      <c r="M3118" s="2"/>
      <c r="N3118" s="8">
        <v>41854.037546296298</v>
      </c>
      <c r="O3118" s="4"/>
      <c r="P3118" s="3" t="s">
        <v>8803</v>
      </c>
      <c r="Q3118" s="4"/>
      <c r="R3118" s="4"/>
      <c r="S3118" s="9" t="str">
        <f>HYPERLINK("https://pbs.twimg.com/profile_images/1028558845646434304/Rph4xY1f.jpg","View")</f>
        <v>View</v>
      </c>
    </row>
    <row r="3119" spans="1:19" ht="12.5">
      <c r="A3119" s="8">
        <v>43343.049039351856</v>
      </c>
      <c r="B3119" s="11" t="str">
        <f>HYPERLINK("https://twitter.com/demokracy","@demokracy")</f>
        <v>@demokracy</v>
      </c>
      <c r="C3119" s="6" t="s">
        <v>4021</v>
      </c>
      <c r="D3119" s="5" t="s">
        <v>8802</v>
      </c>
      <c r="E3119" s="9" t="str">
        <f>HYPERLINK("https://twitter.com/demokracy/status/1035266058100330496","1035266058100330496")</f>
        <v>1035266058100330496</v>
      </c>
      <c r="F3119" s="4"/>
      <c r="G3119" s="4"/>
      <c r="H3119" s="4"/>
      <c r="I3119" s="10" t="str">
        <f>HYPERLINK("http://twitter.com/download/iphone","Twitter for iPhone")</f>
        <v>Twitter for iPhone</v>
      </c>
      <c r="J3119" s="2">
        <v>2153</v>
      </c>
      <c r="K3119" s="2">
        <v>830</v>
      </c>
      <c r="L3119" s="2">
        <v>13</v>
      </c>
      <c r="M3119" s="2"/>
      <c r="N3119" s="8">
        <v>39852.540347222224</v>
      </c>
      <c r="O3119" s="4" t="s">
        <v>324</v>
      </c>
      <c r="P3119" s="3" t="s">
        <v>4019</v>
      </c>
      <c r="Q3119" s="4"/>
      <c r="R3119" s="4"/>
      <c r="S3119" s="9" t="str">
        <f>HYPERLINK("https://pbs.twimg.com/profile_images/972720470641598464/k64X46SR.jpg","View")</f>
        <v>View</v>
      </c>
    </row>
    <row r="3120" spans="1:19" ht="20">
      <c r="A3120" s="8">
        <v>43343.045069444444</v>
      </c>
      <c r="B3120" s="11" t="str">
        <f>HYPERLINK("https://twitter.com/ArdalaniMr","@ArdalaniMr")</f>
        <v>@ArdalaniMr</v>
      </c>
      <c r="C3120" s="6" t="s">
        <v>6424</v>
      </c>
      <c r="D3120" s="5" t="s">
        <v>8801</v>
      </c>
      <c r="E3120" s="9" t="str">
        <f>HYPERLINK("https://twitter.com/ArdalaniMr/status/1035264622700445703","1035264622700445703")</f>
        <v>1035264622700445703</v>
      </c>
      <c r="F3120" s="4"/>
      <c r="G3120" s="10" t="s">
        <v>8800</v>
      </c>
      <c r="H3120" s="4"/>
      <c r="I3120" s="10" t="str">
        <f>HYPERLINK("http://twitter.com/download/android","Twitter for Android")</f>
        <v>Twitter for Android</v>
      </c>
      <c r="J3120" s="2">
        <v>4</v>
      </c>
      <c r="K3120" s="2">
        <v>72</v>
      </c>
      <c r="L3120" s="2">
        <v>0</v>
      </c>
      <c r="M3120" s="2"/>
      <c r="N3120" s="8">
        <v>43302.104062500002</v>
      </c>
      <c r="O3120" s="4"/>
      <c r="P3120" s="3"/>
      <c r="Q3120" s="4"/>
      <c r="R3120" s="4"/>
      <c r="S3120" s="9" t="str">
        <f>HYPERLINK("https://pbs.twimg.com/profile_images/1034724850009600001/kAfuGgIw.jpg","View")</f>
        <v>View</v>
      </c>
    </row>
    <row r="3121" spans="1:19" ht="40">
      <c r="A3121" s="8">
        <v>43343.041990740741</v>
      </c>
      <c r="B3121" s="11" t="str">
        <f>HYPERLINK("https://twitter.com/mimaleahmad5","@mimaleahmad5")</f>
        <v>@mimaleahmad5</v>
      </c>
      <c r="C3121" s="6" t="s">
        <v>8799</v>
      </c>
      <c r="D3121" s="5" t="s">
        <v>8798</v>
      </c>
      <c r="E3121" s="9" t="str">
        <f>HYPERLINK("https://twitter.com/mimaleahmad5/status/1035263506357149697","1035263506357149697")</f>
        <v>1035263506357149697</v>
      </c>
      <c r="F3121" s="4"/>
      <c r="G3121" s="4"/>
      <c r="H3121" s="4"/>
      <c r="I3121" s="10" t="str">
        <f>HYPERLINK("http://twitter.com/download/iphone","Twitter for iPhone")</f>
        <v>Twitter for iPhone</v>
      </c>
      <c r="J3121" s="2">
        <v>2531</v>
      </c>
      <c r="K3121" s="2">
        <v>3136</v>
      </c>
      <c r="L3121" s="2">
        <v>6</v>
      </c>
      <c r="M3121" s="2"/>
      <c r="N3121" s="8">
        <v>43211.788541666669</v>
      </c>
      <c r="O3121" s="4"/>
      <c r="P3121" s="3" t="s">
        <v>8797</v>
      </c>
      <c r="Q3121" s="4"/>
      <c r="R3121" s="4"/>
      <c r="S3121" s="9" t="str">
        <f>HYPERLINK("https://pbs.twimg.com/profile_images/987702030209835008/LuUNAqdx.jpg","View")</f>
        <v>View</v>
      </c>
    </row>
    <row r="3122" spans="1:19" ht="30">
      <c r="A3122" s="8">
        <v>43343.040034722224</v>
      </c>
      <c r="B3122" s="11" t="str">
        <f>HYPERLINK("https://twitter.com/simayazaditv","@simayazaditv")</f>
        <v>@simayazaditv</v>
      </c>
      <c r="C3122" s="6" t="s">
        <v>1758</v>
      </c>
      <c r="D3122" s="5" t="s">
        <v>8796</v>
      </c>
      <c r="E3122" s="9" t="str">
        <f>HYPERLINK("https://twitter.com/simayazaditv/status/1035262794805985281","1035262794805985281")</f>
        <v>1035262794805985281</v>
      </c>
      <c r="F3122" s="4"/>
      <c r="G3122" s="4"/>
      <c r="H3122" s="4"/>
      <c r="I3122" s="10" t="str">
        <f>HYPERLINK("http://twitter.com","Twitter Web Client")</f>
        <v>Twitter Web Client</v>
      </c>
      <c r="J3122" s="2">
        <v>6037</v>
      </c>
      <c r="K3122" s="2">
        <v>1</v>
      </c>
      <c r="L3122" s="2">
        <v>100</v>
      </c>
      <c r="M3122" s="2"/>
      <c r="N3122" s="8">
        <v>42209.662442129629</v>
      </c>
      <c r="O3122" s="4" t="s">
        <v>252</v>
      </c>
      <c r="P3122" s="3"/>
      <c r="Q3122" s="10" t="s">
        <v>1755</v>
      </c>
      <c r="R3122" s="4"/>
      <c r="S3122" s="9" t="str">
        <f>HYPERLINK("https://pbs.twimg.com/profile_images/624546008937144321/5aqccHix.png","View")</f>
        <v>View</v>
      </c>
    </row>
    <row r="3123" spans="1:19" ht="30">
      <c r="A3123" s="8">
        <v>43343.03837962963</v>
      </c>
      <c r="B3123" s="11" t="str">
        <f>HYPERLINK("https://twitter.com/s_kh73","@s_kh73")</f>
        <v>@s_kh73</v>
      </c>
      <c r="C3123" s="6" t="s">
        <v>8795</v>
      </c>
      <c r="D3123" s="5" t="s">
        <v>8794</v>
      </c>
      <c r="E3123" s="9" t="str">
        <f>HYPERLINK("https://twitter.com/s_kh73/status/1035262194940829697","1035262194940829697")</f>
        <v>1035262194940829697</v>
      </c>
      <c r="F3123" s="4"/>
      <c r="G3123" s="4"/>
      <c r="H3123" s="4"/>
      <c r="I3123" s="10" t="str">
        <f>HYPERLINK("http://twitter.com/download/android","Twitter for Android")</f>
        <v>Twitter for Android</v>
      </c>
      <c r="J3123" s="2">
        <v>780</v>
      </c>
      <c r="K3123" s="2">
        <v>771</v>
      </c>
      <c r="L3123" s="2">
        <v>3</v>
      </c>
      <c r="M3123" s="2"/>
      <c r="N3123" s="8">
        <v>43131.549097222218</v>
      </c>
      <c r="O3123" s="4" t="s">
        <v>25</v>
      </c>
      <c r="P3123" s="3" t="s">
        <v>8793</v>
      </c>
      <c r="Q3123" s="4"/>
      <c r="R3123" s="4"/>
      <c r="S3123" s="9" t="str">
        <f>HYPERLINK("https://pbs.twimg.com/profile_images/1032282957464199169/n99jtq3p.jpg","View")</f>
        <v>View</v>
      </c>
    </row>
    <row r="3124" spans="1:19" ht="40">
      <c r="A3124" s="8">
        <v>43343.034502314811</v>
      </c>
      <c r="B3124" s="11" t="str">
        <f>HYPERLINK("https://twitter.com/mehdinadali2","@mehdinadali2")</f>
        <v>@mehdinadali2</v>
      </c>
      <c r="C3124" s="6" t="s">
        <v>8792</v>
      </c>
      <c r="D3124" s="5" t="s">
        <v>8791</v>
      </c>
      <c r="E3124" s="9" t="str">
        <f>HYPERLINK("https://twitter.com/mehdinadali2/status/1035260790813675520","1035260790813675520")</f>
        <v>1035260790813675520</v>
      </c>
      <c r="F3124" s="4"/>
      <c r="G3124" s="10" t="s">
        <v>8790</v>
      </c>
      <c r="H3124" s="4"/>
      <c r="I3124" s="10" t="str">
        <f>HYPERLINK("http://twitter.com/download/android","Twitter for Android")</f>
        <v>Twitter for Android</v>
      </c>
      <c r="J3124" s="2">
        <v>2</v>
      </c>
      <c r="K3124" s="2">
        <v>15</v>
      </c>
      <c r="L3124" s="2">
        <v>0</v>
      </c>
      <c r="M3124" s="2"/>
      <c r="N3124" s="8">
        <v>43335.736493055556</v>
      </c>
      <c r="O3124" s="4" t="s">
        <v>2777</v>
      </c>
      <c r="P3124" s="3" t="s">
        <v>8789</v>
      </c>
      <c r="Q3124" s="4"/>
      <c r="R3124" s="4"/>
      <c r="S3124" s="9" t="str">
        <f>HYPERLINK("https://pbs.twimg.com/profile_images/1032618969507586048/70HOuPDT.jpg","View")</f>
        <v>View</v>
      </c>
    </row>
    <row r="3125" spans="1:19" ht="20">
      <c r="A3125" s="8">
        <v>43343.032743055555</v>
      </c>
      <c r="B3125" s="11" t="str">
        <f>HYPERLINK("https://twitter.com/ASRAparsiya","@ASRAparsiya")</f>
        <v>@ASRAparsiya</v>
      </c>
      <c r="C3125" s="6" t="s">
        <v>8788</v>
      </c>
      <c r="D3125" s="5" t="s">
        <v>8787</v>
      </c>
      <c r="E3125" s="9" t="str">
        <f>HYPERLINK("https://twitter.com/ASRAparsiya/status/1035260154479108097","1035260154479108097")</f>
        <v>1035260154479108097</v>
      </c>
      <c r="F3125" s="4"/>
      <c r="G3125" s="4"/>
      <c r="H3125" s="4"/>
      <c r="I3125" s="10" t="str">
        <f>HYPERLINK("http://twitter.com/download/android","Twitter for Android")</f>
        <v>Twitter for Android</v>
      </c>
      <c r="J3125" s="2">
        <v>65</v>
      </c>
      <c r="K3125" s="2">
        <v>80</v>
      </c>
      <c r="L3125" s="2">
        <v>0</v>
      </c>
      <c r="M3125" s="2"/>
      <c r="N3125" s="8">
        <v>43321.802673611106</v>
      </c>
      <c r="O3125" s="4"/>
      <c r="P3125" s="3" t="s">
        <v>8786</v>
      </c>
      <c r="Q3125" s="4"/>
      <c r="R3125" s="4"/>
      <c r="S3125" s="9" t="str">
        <f>HYPERLINK("https://pbs.twimg.com/profile_images/1027809422834315264/wh6UtXSn.jpg","View")</f>
        <v>View</v>
      </c>
    </row>
    <row r="3126" spans="1:19" ht="40">
      <c r="A3126" s="8">
        <v>43343.032465277778</v>
      </c>
      <c r="B3126" s="11" t="str">
        <f>HYPERLINK("https://twitter.com/RafatiSiavash","@RafatiSiavash")</f>
        <v>@RafatiSiavash</v>
      </c>
      <c r="C3126" s="6" t="s">
        <v>3226</v>
      </c>
      <c r="D3126" s="5" t="s">
        <v>8785</v>
      </c>
      <c r="E3126" s="9" t="str">
        <f>HYPERLINK("https://twitter.com/RafatiSiavash/status/1035260053408890881","1035260053408890881")</f>
        <v>1035260053408890881</v>
      </c>
      <c r="F3126" s="10" t="s">
        <v>8784</v>
      </c>
      <c r="G3126" s="4"/>
      <c r="H3126" s="4"/>
      <c r="I3126" s="10" t="str">
        <f>HYPERLINK("http://twitter.com","Twitter Web Client")</f>
        <v>Twitter Web Client</v>
      </c>
      <c r="J3126" s="2">
        <v>288</v>
      </c>
      <c r="K3126" s="2">
        <v>230</v>
      </c>
      <c r="L3126" s="2">
        <v>87</v>
      </c>
      <c r="M3126" s="2"/>
      <c r="N3126" s="8">
        <v>41050.769884259258</v>
      </c>
      <c r="O3126" s="4"/>
      <c r="P3126" s="3" t="s">
        <v>3223</v>
      </c>
      <c r="Q3126" s="10" t="s">
        <v>3222</v>
      </c>
      <c r="R3126" s="4"/>
      <c r="S3126" s="9" t="str">
        <f>HYPERLINK("https://pbs.twimg.com/profile_images/821385868690751488/Qqe0I1Bk.jpg","View")</f>
        <v>View</v>
      </c>
    </row>
    <row r="3127" spans="1:19" ht="30">
      <c r="A3127" s="8">
        <v>43343.026388888888</v>
      </c>
      <c r="B3127" s="11" t="str">
        <f>HYPERLINK("https://twitter.com/ipharzan","@ipharzan")</f>
        <v>@ipharzan</v>
      </c>
      <c r="C3127" s="6" t="s">
        <v>1583</v>
      </c>
      <c r="D3127" s="5" t="s">
        <v>8783</v>
      </c>
      <c r="E3127" s="9" t="str">
        <f>HYPERLINK("https://twitter.com/ipharzan/status/1035257852372365319","1035257852372365319")</f>
        <v>1035257852372365319</v>
      </c>
      <c r="F3127" s="4"/>
      <c r="G3127" s="4"/>
      <c r="H3127" s="4"/>
      <c r="I3127" s="10" t="str">
        <f>HYPERLINK("http://twitter.com/download/iphone","Twitter for iPhone")</f>
        <v>Twitter for iPhone</v>
      </c>
      <c r="J3127" s="2">
        <v>14</v>
      </c>
      <c r="K3127" s="2">
        <v>28</v>
      </c>
      <c r="L3127" s="2">
        <v>0</v>
      </c>
      <c r="M3127" s="2"/>
      <c r="N3127" s="8">
        <v>43219.391215277778</v>
      </c>
      <c r="O3127" s="4" t="s">
        <v>1581</v>
      </c>
      <c r="P3127" s="3" t="s">
        <v>1580</v>
      </c>
      <c r="Q3127" s="4"/>
      <c r="R3127" s="4"/>
      <c r="S3127" s="9" t="str">
        <f>HYPERLINK("https://pbs.twimg.com/profile_images/990940342366203904/ReQzfIoi.jpg","View")</f>
        <v>View</v>
      </c>
    </row>
    <row r="3128" spans="1:19" ht="30">
      <c r="A3128" s="8">
        <v>43343.025347222225</v>
      </c>
      <c r="B3128" s="11" t="str">
        <f>HYPERLINK("https://twitter.com/Saba_LM","@Saba_LM")</f>
        <v>@Saba_LM</v>
      </c>
      <c r="C3128" s="6" t="s">
        <v>8782</v>
      </c>
      <c r="D3128" s="5" t="s">
        <v>8781</v>
      </c>
      <c r="E3128" s="9" t="str">
        <f>HYPERLINK("https://twitter.com/Saba_LM/status/1035257473446363139","1035257473446363139")</f>
        <v>1035257473446363139</v>
      </c>
      <c r="F3128" s="4"/>
      <c r="G3128" s="4"/>
      <c r="H3128" s="4"/>
      <c r="I3128" s="10" t="str">
        <f>HYPERLINK("http://twitter.com/download/iphone","Twitter for iPhone")</f>
        <v>Twitter for iPhone</v>
      </c>
      <c r="J3128" s="2">
        <v>491</v>
      </c>
      <c r="K3128" s="2">
        <v>162</v>
      </c>
      <c r="L3128" s="2">
        <v>10</v>
      </c>
      <c r="M3128" s="2"/>
      <c r="N3128" s="8">
        <v>41289.030682870369</v>
      </c>
      <c r="O3128" s="4" t="s">
        <v>8780</v>
      </c>
      <c r="P3128" s="3" t="s">
        <v>8779</v>
      </c>
      <c r="Q3128" s="10" t="s">
        <v>8778</v>
      </c>
      <c r="R3128" s="4"/>
      <c r="S3128" s="9" t="str">
        <f>HYPERLINK("https://pbs.twimg.com/profile_images/1032995566886813696/clnLT-pO.jpg","View")</f>
        <v>View</v>
      </c>
    </row>
    <row r="3129" spans="1:19" ht="30">
      <c r="A3129" s="8">
        <v>43343.024340277778</v>
      </c>
      <c r="B3129" s="11" t="str">
        <f>HYPERLINK("https://twitter.com/azhargushe","@azhargushe")</f>
        <v>@azhargushe</v>
      </c>
      <c r="C3129" s="6" t="s">
        <v>7813</v>
      </c>
      <c r="D3129" s="5" t="s">
        <v>8777</v>
      </c>
      <c r="E3129" s="9" t="str">
        <f>HYPERLINK("https://twitter.com/azhargushe/status/1035257107044548609","1035257107044548609")</f>
        <v>1035257107044548609</v>
      </c>
      <c r="F3129" s="4"/>
      <c r="G3129" s="10" t="s">
        <v>8776</v>
      </c>
      <c r="H3129" s="4"/>
      <c r="I3129" s="10" t="str">
        <f>HYPERLINK("http://twitter.com","Twitter Web Client")</f>
        <v>Twitter Web Client</v>
      </c>
      <c r="J3129" s="2">
        <v>1398</v>
      </c>
      <c r="K3129" s="2">
        <v>919</v>
      </c>
      <c r="L3129" s="2">
        <v>3</v>
      </c>
      <c r="M3129" s="2"/>
      <c r="N3129" s="8">
        <v>42011.748900462961</v>
      </c>
      <c r="O3129" s="4"/>
      <c r="P3129" s="3"/>
      <c r="Q3129" s="4"/>
      <c r="R3129" s="4"/>
      <c r="S3129" s="9" t="str">
        <f>HYPERLINK("https://pbs.twimg.com/profile_images/1024018957496471556/xcvJIqkJ.jpg","View")</f>
        <v>View</v>
      </c>
    </row>
    <row r="3130" spans="1:19" ht="30">
      <c r="A3130" s="8">
        <v>43343.022662037038</v>
      </c>
      <c r="B3130" s="11" t="str">
        <f>HYPERLINK("https://twitter.com/MarziehAlahyari","@MarziehAlahyari")</f>
        <v>@MarziehAlahyari</v>
      </c>
      <c r="C3130" s="6" t="s">
        <v>8775</v>
      </c>
      <c r="D3130" s="5" t="s">
        <v>8774</v>
      </c>
      <c r="E3130" s="9" t="str">
        <f>HYPERLINK("https://twitter.com/MarziehAlahyari/status/1035256499361259521","1035256499361259521")</f>
        <v>1035256499361259521</v>
      </c>
      <c r="F3130" s="4"/>
      <c r="G3130" s="4"/>
      <c r="H3130" s="4"/>
      <c r="I3130" s="10" t="str">
        <f>HYPERLINK("http://twitter.com","Twitter Web Client")</f>
        <v>Twitter Web Client</v>
      </c>
      <c r="J3130" s="2">
        <v>373</v>
      </c>
      <c r="K3130" s="2">
        <v>569</v>
      </c>
      <c r="L3130" s="2">
        <v>2</v>
      </c>
      <c r="M3130" s="2"/>
      <c r="N3130" s="8">
        <v>42968.516435185185</v>
      </c>
      <c r="O3130" s="4"/>
      <c r="P3130" s="3" t="s">
        <v>8773</v>
      </c>
      <c r="Q3130" s="4"/>
      <c r="R3130" s="4"/>
      <c r="S3130" s="9" t="str">
        <f>HYPERLINK("https://pbs.twimg.com/profile_images/956844311030652928/2OZYakDu.jpg","View")</f>
        <v>View</v>
      </c>
    </row>
    <row r="3131" spans="1:19" ht="50">
      <c r="A3131" s="8">
        <v>43343.020775462966</v>
      </c>
      <c r="B3131" s="11" t="str">
        <f>HYPERLINK("https://twitter.com/niloofar__s","@niloofar__s")</f>
        <v>@niloofar__s</v>
      </c>
      <c r="C3131" s="6" t="s">
        <v>8772</v>
      </c>
      <c r="D3131" s="5" t="s">
        <v>8771</v>
      </c>
      <c r="E3131" s="9" t="str">
        <f>HYPERLINK("https://twitter.com/niloofar__s/status/1035255816947810305","1035255816947810305")</f>
        <v>1035255816947810305</v>
      </c>
      <c r="F3131" s="10" t="s">
        <v>8770</v>
      </c>
      <c r="G3131" s="10" t="s">
        <v>8769</v>
      </c>
      <c r="H3131" s="4"/>
      <c r="I3131" s="10" t="str">
        <f>HYPERLINK("http://twitter.com/download/android","Twitter for Android")</f>
        <v>Twitter for Android</v>
      </c>
      <c r="J3131" s="2">
        <v>814</v>
      </c>
      <c r="K3131" s="2">
        <v>3112</v>
      </c>
      <c r="L3131" s="2">
        <v>23</v>
      </c>
      <c r="M3131" s="2"/>
      <c r="N3131" s="8">
        <v>39898.119606481479</v>
      </c>
      <c r="O3131" s="4"/>
      <c r="P3131" s="3" t="s">
        <v>8768</v>
      </c>
      <c r="Q3131" s="4"/>
      <c r="R3131" s="4"/>
      <c r="S3131" s="9" t="str">
        <f>HYPERLINK("https://pbs.twimg.com/profile_images/1032775289854545920/3IYtZ9tQ.jpg","View")</f>
        <v>View</v>
      </c>
    </row>
    <row r="3132" spans="1:19" ht="40">
      <c r="A3132" s="8">
        <v>43343.014780092592</v>
      </c>
      <c r="B3132" s="11" t="str">
        <f>HYPERLINK("https://twitter.com/mostafa_karimii","@mostafa_karimii")</f>
        <v>@mostafa_karimii</v>
      </c>
      <c r="C3132" s="6" t="s">
        <v>8767</v>
      </c>
      <c r="D3132" s="5" t="s">
        <v>8766</v>
      </c>
      <c r="E3132" s="9" t="str">
        <f>HYPERLINK("https://twitter.com/mostafa_karimii/status/1035253645015691265","1035253645015691265")</f>
        <v>1035253645015691265</v>
      </c>
      <c r="F3132" s="4"/>
      <c r="G3132" s="10" t="s">
        <v>8765</v>
      </c>
      <c r="H3132" s="4"/>
      <c r="I3132" s="10" t="str">
        <f>HYPERLINK("http://twitter.com/download/android","Twitter for Android")</f>
        <v>Twitter for Android</v>
      </c>
      <c r="J3132" s="2">
        <v>1161</v>
      </c>
      <c r="K3132" s="2">
        <v>644</v>
      </c>
      <c r="L3132" s="2">
        <v>4</v>
      </c>
      <c r="M3132" s="2"/>
      <c r="N3132" s="8">
        <v>41491.6018287037</v>
      </c>
      <c r="O3132" s="4"/>
      <c r="P3132" s="3" t="s">
        <v>8764</v>
      </c>
      <c r="Q3132" s="4"/>
      <c r="R3132" s="4"/>
      <c r="S3132" s="9" t="str">
        <f>HYPERLINK("https://pbs.twimg.com/profile_images/951422682297503745/s-KXxP3i.jpg","View")</f>
        <v>View</v>
      </c>
    </row>
    <row r="3133" spans="1:19" ht="40">
      <c r="A3133" s="8">
        <v>43343.013773148152</v>
      </c>
      <c r="B3133" s="11" t="str">
        <f>HYPERLINK("https://twitter.com/mrbaghal","@mrbaghal")</f>
        <v>@mrbaghal</v>
      </c>
      <c r="C3133" s="6" t="s">
        <v>8763</v>
      </c>
      <c r="D3133" s="5" t="s">
        <v>8762</v>
      </c>
      <c r="E3133" s="9" t="str">
        <f>HYPERLINK("https://twitter.com/mrbaghal/status/1035253277955432448","1035253277955432448")</f>
        <v>1035253277955432448</v>
      </c>
      <c r="F3133" s="4"/>
      <c r="G3133" s="4"/>
      <c r="H3133" s="4"/>
      <c r="I3133" s="10" t="str">
        <f>HYPERLINK("http://twitter.com/download/android","Twitter for Android")</f>
        <v>Twitter for Android</v>
      </c>
      <c r="J3133" s="2">
        <v>14</v>
      </c>
      <c r="K3133" s="2">
        <v>47</v>
      </c>
      <c r="L3133" s="2">
        <v>0</v>
      </c>
      <c r="M3133" s="2"/>
      <c r="N3133" s="8">
        <v>43215.012604166666</v>
      </c>
      <c r="O3133" s="4" t="s">
        <v>5283</v>
      </c>
      <c r="P3133" s="3" t="s">
        <v>8761</v>
      </c>
      <c r="Q3133" s="4"/>
      <c r="R3133" s="4"/>
      <c r="S3133" s="9" t="str">
        <f>HYPERLINK("https://pbs.twimg.com/profile_images/1011009361592967170/UA1Cb_rP.jpg","View")</f>
        <v>View</v>
      </c>
    </row>
    <row r="3134" spans="1:19" ht="40">
      <c r="A3134" s="8">
        <v>43343.012777777782</v>
      </c>
      <c r="B3134" s="11" t="str">
        <f>HYPERLINK("https://twitter.com/freedommesenger","@freedommesenger")</f>
        <v>@freedommesenger</v>
      </c>
      <c r="C3134" s="6" t="s">
        <v>808</v>
      </c>
      <c r="D3134" s="5" t="s">
        <v>8760</v>
      </c>
      <c r="E3134" s="9" t="str">
        <f>HYPERLINK("https://twitter.com/freedommesenger/status/1035252917136224256","1035252917136224256")</f>
        <v>1035252917136224256</v>
      </c>
      <c r="F3134" s="4"/>
      <c r="G3134" s="10" t="s">
        <v>8759</v>
      </c>
      <c r="H3134" s="4"/>
      <c r="I3134" s="10" t="str">
        <f>HYPERLINK("http://twitter.com/download/iphone","Twitter for iPhone")</f>
        <v>Twitter for iPhone</v>
      </c>
      <c r="J3134" s="2">
        <v>7824</v>
      </c>
      <c r="K3134" s="2">
        <v>31</v>
      </c>
      <c r="L3134" s="2">
        <v>262</v>
      </c>
      <c r="M3134" s="2"/>
      <c r="N3134" s="8">
        <v>40052.203796296293</v>
      </c>
      <c r="O3134" s="4" t="s">
        <v>805</v>
      </c>
      <c r="P3134" s="3" t="s">
        <v>804</v>
      </c>
      <c r="Q3134" s="10" t="s">
        <v>803</v>
      </c>
      <c r="R3134" s="4"/>
      <c r="S3134" s="9" t="str">
        <f>HYPERLINK("https://pbs.twimg.com/profile_images/756008327/youtube_icon_01.jpg","View")</f>
        <v>View</v>
      </c>
    </row>
    <row r="3135" spans="1:19" ht="30">
      <c r="A3135" s="8">
        <v>43343.009629629625</v>
      </c>
      <c r="B3135" s="11" t="str">
        <f>HYPERLINK("https://twitter.com/AtousaDolatyari","@AtousaDolatyari")</f>
        <v>@AtousaDolatyari</v>
      </c>
      <c r="C3135" s="6" t="s">
        <v>8758</v>
      </c>
      <c r="D3135" s="5" t="s">
        <v>8757</v>
      </c>
      <c r="E3135" s="9" t="str">
        <f>HYPERLINK("https://twitter.com/AtousaDolatyari/status/1035251776784658433","1035251776784658433")</f>
        <v>1035251776784658433</v>
      </c>
      <c r="F3135" s="4"/>
      <c r="G3135" s="4"/>
      <c r="H3135" s="4"/>
      <c r="I3135" s="10" t="str">
        <f>HYPERLINK("http://twitter.com/download/iphone","Twitter for iPhone")</f>
        <v>Twitter for iPhone</v>
      </c>
      <c r="J3135" s="2">
        <v>18</v>
      </c>
      <c r="K3135" s="2">
        <v>50</v>
      </c>
      <c r="L3135" s="2">
        <v>0</v>
      </c>
      <c r="M3135" s="2"/>
      <c r="N3135" s="8">
        <v>43295.761817129634</v>
      </c>
      <c r="O3135" s="4" t="s">
        <v>34</v>
      </c>
      <c r="P3135" s="3" t="s">
        <v>8756</v>
      </c>
      <c r="Q3135" s="4"/>
      <c r="R3135" s="4"/>
      <c r="S3135" s="9" t="str">
        <f>HYPERLINK("https://pbs.twimg.com/profile_images/1018143612113244160/2egXNNGU.jpg","View")</f>
        <v>View</v>
      </c>
    </row>
    <row r="3136" spans="1:19" ht="40">
      <c r="A3136" s="8">
        <v>43343.009386574078</v>
      </c>
      <c r="B3136" s="11" t="str">
        <f>HYPERLINK("https://twitter.com/taghavifard","@taghavifard")</f>
        <v>@taghavifard</v>
      </c>
      <c r="C3136" s="6" t="s">
        <v>8755</v>
      </c>
      <c r="D3136" s="5" t="s">
        <v>8754</v>
      </c>
      <c r="E3136" s="9" t="str">
        <f>HYPERLINK("https://twitter.com/taghavifard/status/1035251691510263808","1035251691510263808")</f>
        <v>1035251691510263808</v>
      </c>
      <c r="F3136" s="4"/>
      <c r="G3136" s="4"/>
      <c r="H3136" s="4"/>
      <c r="I3136" s="10" t="str">
        <f>HYPERLINK("http://twitter.com/download/iphone","Twitter for iPhone")</f>
        <v>Twitter for iPhone</v>
      </c>
      <c r="J3136" s="2">
        <v>173</v>
      </c>
      <c r="K3136" s="2">
        <v>0</v>
      </c>
      <c r="L3136" s="2">
        <v>3</v>
      </c>
      <c r="M3136" s="2"/>
      <c r="N3136" s="8">
        <v>42754.705277777779</v>
      </c>
      <c r="O3136" s="4" t="s">
        <v>133</v>
      </c>
      <c r="P3136" s="3" t="s">
        <v>8753</v>
      </c>
      <c r="Q3136" s="4"/>
      <c r="R3136" s="4"/>
      <c r="S3136" s="9" t="str">
        <f>HYPERLINK("https://pbs.twimg.com/profile_images/963870928005402625/tC5uAnPN.jpg","View")</f>
        <v>View</v>
      </c>
    </row>
    <row r="3137" spans="1:19" ht="30">
      <c r="A3137" s="8">
        <v>43343.005578703705</v>
      </c>
      <c r="B3137" s="11" t="str">
        <f>HYPERLINK("https://twitter.com/MiladRahmati7","@MiladRahmati7")</f>
        <v>@MiladRahmati7</v>
      </c>
      <c r="C3137" s="6" t="s">
        <v>4920</v>
      </c>
      <c r="D3137" s="5" t="s">
        <v>8752</v>
      </c>
      <c r="E3137" s="9" t="str">
        <f>HYPERLINK("https://twitter.com/MiladRahmati7/status/1035250311424827392","1035250311424827392")</f>
        <v>1035250311424827392</v>
      </c>
      <c r="F3137" s="4"/>
      <c r="G3137" s="4"/>
      <c r="H3137" s="4"/>
      <c r="I3137" s="10" t="str">
        <f>HYPERLINK("http://twitter.com/download/android","Twitter for Android")</f>
        <v>Twitter for Android</v>
      </c>
      <c r="J3137" s="2">
        <v>7</v>
      </c>
      <c r="K3137" s="2">
        <v>123</v>
      </c>
      <c r="L3137" s="2">
        <v>0</v>
      </c>
      <c r="M3137" s="2"/>
      <c r="N3137" s="8">
        <v>43219.181481481486</v>
      </c>
      <c r="O3137" s="4" t="s">
        <v>34</v>
      </c>
      <c r="P3137" s="3" t="s">
        <v>4918</v>
      </c>
      <c r="Q3137" s="4"/>
      <c r="R3137" s="4"/>
      <c r="S3137" s="9" t="str">
        <f>HYPERLINK("https://pbs.twimg.com/profile_images/990380325212708864/VNQ0s6rE.jpg","View")</f>
        <v>View</v>
      </c>
    </row>
    <row r="3138" spans="1:19" ht="40">
      <c r="A3138" s="8">
        <v>43343.005150462966</v>
      </c>
      <c r="B3138" s="11" t="str">
        <f>HYPERLINK("https://twitter.com/kargaraneiran","@kargaraneiran")</f>
        <v>@kargaraneiran</v>
      </c>
      <c r="C3138" s="6" t="s">
        <v>8736</v>
      </c>
      <c r="D3138" s="5" t="s">
        <v>8751</v>
      </c>
      <c r="E3138" s="9" t="str">
        <f>HYPERLINK("https://twitter.com/kargaraneiran/status/1035250152699830272","1035250152699830272")</f>
        <v>1035250152699830272</v>
      </c>
      <c r="F3138" s="4"/>
      <c r="G3138" s="10" t="s">
        <v>8750</v>
      </c>
      <c r="H3138" s="4"/>
      <c r="I3138" s="10" t="str">
        <f>HYPERLINK("http://twitter.com/download/android","Twitter for Android")</f>
        <v>Twitter for Android</v>
      </c>
      <c r="J3138" s="2">
        <v>65</v>
      </c>
      <c r="K3138" s="2">
        <v>124</v>
      </c>
      <c r="L3138" s="2">
        <v>1</v>
      </c>
      <c r="M3138" s="2"/>
      <c r="N3138" s="8">
        <v>43323.441562499997</v>
      </c>
      <c r="O3138" s="4" t="s">
        <v>524</v>
      </c>
      <c r="P3138" s="3" t="s">
        <v>8733</v>
      </c>
      <c r="Q3138" s="4"/>
      <c r="R3138" s="4"/>
      <c r="S3138" s="9" t="str">
        <f>HYPERLINK("https://pbs.twimg.com/profile_images/1029023802217426944/ms_oivix.jpg","View")</f>
        <v>View</v>
      </c>
    </row>
    <row r="3139" spans="1:19" ht="20">
      <c r="A3139" s="8">
        <v>43343.005046296297</v>
      </c>
      <c r="B3139" s="11" t="str">
        <f>HYPERLINK("https://twitter.com/IR_Moana","@IR_Moana")</f>
        <v>@IR_Moana</v>
      </c>
      <c r="C3139" s="6" t="s">
        <v>8749</v>
      </c>
      <c r="D3139" s="5" t="s">
        <v>8748</v>
      </c>
      <c r="E3139" s="9" t="str">
        <f>HYPERLINK("https://twitter.com/IR_Moana/status/1035250115550867457","1035250115550867457")</f>
        <v>1035250115550867457</v>
      </c>
      <c r="F3139" s="4"/>
      <c r="G3139" s="4"/>
      <c r="H3139" s="4"/>
      <c r="I3139" s="10" t="str">
        <f>HYPERLINK("https://mobile.twitter.com","Twitter Lite")</f>
        <v>Twitter Lite</v>
      </c>
      <c r="J3139" s="2">
        <v>64</v>
      </c>
      <c r="K3139" s="2">
        <v>124</v>
      </c>
      <c r="L3139" s="2">
        <v>0</v>
      </c>
      <c r="M3139" s="2"/>
      <c r="N3139" s="8">
        <v>42896.616087962961</v>
      </c>
      <c r="O3139" s="4"/>
      <c r="P3139" s="3" t="s">
        <v>8747</v>
      </c>
      <c r="Q3139" s="4"/>
      <c r="R3139" s="4"/>
      <c r="S3139" s="9" t="str">
        <f>HYPERLINK("https://pbs.twimg.com/profile_images/1031901493652156416/TwWvziTJ.jpg","View")</f>
        <v>View</v>
      </c>
    </row>
    <row r="3140" spans="1:19" ht="40">
      <c r="A3140" s="8">
        <v>43343.003796296296</v>
      </c>
      <c r="B3140" s="11" t="str">
        <f>HYPERLINK("https://twitter.com/NaeimehDoustdar","@NaeimehDoustdar")</f>
        <v>@NaeimehDoustdar</v>
      </c>
      <c r="C3140" s="6" t="s">
        <v>8746</v>
      </c>
      <c r="D3140" s="5" t="s">
        <v>8745</v>
      </c>
      <c r="E3140" s="9" t="str">
        <f>HYPERLINK("https://twitter.com/NaeimehDoustdar/status/1035249662540873728","1035249662540873728")</f>
        <v>1035249662540873728</v>
      </c>
      <c r="F3140" s="4"/>
      <c r="G3140" s="4"/>
      <c r="H3140" s="4"/>
      <c r="I3140" s="10" t="str">
        <f>HYPERLINK("http://twitter.com/download/iphone","Twitter for iPhone")</f>
        <v>Twitter for iPhone</v>
      </c>
      <c r="J3140" s="2">
        <v>2691</v>
      </c>
      <c r="K3140" s="2">
        <v>675</v>
      </c>
      <c r="L3140" s="2">
        <v>41</v>
      </c>
      <c r="M3140" s="2"/>
      <c r="N3140" s="8">
        <v>41051.57130787037</v>
      </c>
      <c r="O3140" s="4" t="s">
        <v>3562</v>
      </c>
      <c r="P3140" s="3" t="s">
        <v>8744</v>
      </c>
      <c r="Q3140" s="10" t="s">
        <v>8743</v>
      </c>
      <c r="R3140" s="4"/>
      <c r="S3140" s="9" t="str">
        <f>HYPERLINK("https://pbs.twimg.com/profile_images/733169824965242883/kyk5X-a0.jpg","View")</f>
        <v>View</v>
      </c>
    </row>
    <row r="3141" spans="1:19" ht="30">
      <c r="A3141" s="8">
        <v>43343.003703703704</v>
      </c>
      <c r="B3141" s="11" t="str">
        <f>HYPERLINK("https://twitter.com/HachalHaft","@HachalHaft")</f>
        <v>@HachalHaft</v>
      </c>
      <c r="C3141" s="6" t="s">
        <v>8742</v>
      </c>
      <c r="D3141" s="5" t="s">
        <v>8741</v>
      </c>
      <c r="E3141" s="9" t="str">
        <f>HYPERLINK("https://twitter.com/HachalHaft/status/1035249632056619008","1035249632056619008")</f>
        <v>1035249632056619008</v>
      </c>
      <c r="F3141" s="4"/>
      <c r="G3141" s="10" t="s">
        <v>8740</v>
      </c>
      <c r="H3141" s="4"/>
      <c r="I3141" s="10" t="str">
        <f>HYPERLINK("http://twitter.com/download/android","Twitter for Android")</f>
        <v>Twitter for Android</v>
      </c>
      <c r="J3141" s="2">
        <v>577</v>
      </c>
      <c r="K3141" s="2">
        <v>586</v>
      </c>
      <c r="L3141" s="2">
        <v>0</v>
      </c>
      <c r="M3141" s="2"/>
      <c r="N3141" s="8">
        <v>43245.780914351853</v>
      </c>
      <c r="O3141" s="4" t="s">
        <v>8739</v>
      </c>
      <c r="P3141" s="3" t="s">
        <v>8738</v>
      </c>
      <c r="Q3141" s="10" t="s">
        <v>8737</v>
      </c>
      <c r="R3141" s="4"/>
      <c r="S3141" s="9" t="str">
        <f>HYPERLINK("https://pbs.twimg.com/profile_images/1033789475434967040/IGGjEid5.jpg","View")</f>
        <v>View</v>
      </c>
    </row>
    <row r="3142" spans="1:19" ht="30">
      <c r="A3142" s="8">
        <v>43342.993888888886</v>
      </c>
      <c r="B3142" s="11" t="str">
        <f>HYPERLINK("https://twitter.com/kargaraneiran","@kargaraneiran")</f>
        <v>@kargaraneiran</v>
      </c>
      <c r="C3142" s="6" t="s">
        <v>8736</v>
      </c>
      <c r="D3142" s="5" t="s">
        <v>8735</v>
      </c>
      <c r="E3142" s="9" t="str">
        <f>HYPERLINK("https://twitter.com/kargaraneiran/status/1035246072967385088","1035246072967385088")</f>
        <v>1035246072967385088</v>
      </c>
      <c r="F3142" s="4"/>
      <c r="G3142" s="10" t="s">
        <v>8734</v>
      </c>
      <c r="H3142" s="4"/>
      <c r="I3142" s="10" t="str">
        <f>HYPERLINK("http://twitter.com/download/android","Twitter for Android")</f>
        <v>Twitter for Android</v>
      </c>
      <c r="J3142" s="2">
        <v>65</v>
      </c>
      <c r="K3142" s="2">
        <v>124</v>
      </c>
      <c r="L3142" s="2">
        <v>1</v>
      </c>
      <c r="M3142" s="2"/>
      <c r="N3142" s="8">
        <v>43323.441562499997</v>
      </c>
      <c r="O3142" s="4" t="s">
        <v>524</v>
      </c>
      <c r="P3142" s="3" t="s">
        <v>8733</v>
      </c>
      <c r="Q3142" s="4"/>
      <c r="R3142" s="4"/>
      <c r="S3142" s="9" t="str">
        <f>HYPERLINK("https://pbs.twimg.com/profile_images/1029023802217426944/ms_oivix.jpg","View")</f>
        <v>View</v>
      </c>
    </row>
    <row r="3143" spans="1:19" ht="40">
      <c r="A3143" s="8">
        <v>43342.990057870367</v>
      </c>
      <c r="B3143" s="11" t="str">
        <f>HYPERLINK("https://twitter.com/AyazIbadi","@AyazIbadi")</f>
        <v>@AyazIbadi</v>
      </c>
      <c r="C3143" s="6" t="s">
        <v>8732</v>
      </c>
      <c r="D3143" s="5" t="s">
        <v>8731</v>
      </c>
      <c r="E3143" s="9" t="str">
        <f>HYPERLINK("https://twitter.com/AyazIbadi/status/1035244686766755844","1035244686766755844")</f>
        <v>1035244686766755844</v>
      </c>
      <c r="F3143" s="4"/>
      <c r="G3143" s="4"/>
      <c r="H3143" s="4"/>
      <c r="I3143" s="10" t="str">
        <f>HYPERLINK("http://twitter.com/download/android","Twitter for Android")</f>
        <v>Twitter for Android</v>
      </c>
      <c r="J3143" s="2">
        <v>296</v>
      </c>
      <c r="K3143" s="2">
        <v>439</v>
      </c>
      <c r="L3143" s="2">
        <v>2</v>
      </c>
      <c r="M3143" s="2"/>
      <c r="N3143" s="8">
        <v>43107.895949074074</v>
      </c>
      <c r="O3143" s="4" t="s">
        <v>8730</v>
      </c>
      <c r="P3143" s="3" t="s">
        <v>8729</v>
      </c>
      <c r="Q3143" s="4"/>
      <c r="R3143" s="4"/>
      <c r="S3143" s="9" t="str">
        <f>HYPERLINK("https://pbs.twimg.com/profile_images/950067297577611264/oGn2_k1t.jpg","View")</f>
        <v>View</v>
      </c>
    </row>
    <row r="3144" spans="1:19" ht="30">
      <c r="A3144" s="8">
        <v>43342.98572916667</v>
      </c>
      <c r="B3144" s="11" t="str">
        <f>HYPERLINK("https://twitter.com/voldemort1300","@voldemort1300")</f>
        <v>@voldemort1300</v>
      </c>
      <c r="C3144" s="6" t="s">
        <v>8728</v>
      </c>
      <c r="D3144" s="5" t="s">
        <v>8727</v>
      </c>
      <c r="E3144" s="9" t="str">
        <f>HYPERLINK("https://twitter.com/voldemort1300/status/1035243117597941761","1035243117597941761")</f>
        <v>1035243117597941761</v>
      </c>
      <c r="F3144" s="4"/>
      <c r="G3144" s="4"/>
      <c r="H3144" s="4"/>
      <c r="I3144" s="10" t="str">
        <f>HYPERLINK("http://twitter.com/download/android","Twitter for Android")</f>
        <v>Twitter for Android</v>
      </c>
      <c r="J3144" s="2">
        <v>2355</v>
      </c>
      <c r="K3144" s="2">
        <v>4993</v>
      </c>
      <c r="L3144" s="2">
        <v>1</v>
      </c>
      <c r="M3144" s="2"/>
      <c r="N3144" s="8">
        <v>43228.695717592593</v>
      </c>
      <c r="O3144" s="4" t="s">
        <v>8726</v>
      </c>
      <c r="P3144" s="3" t="s">
        <v>8725</v>
      </c>
      <c r="Q3144" s="4"/>
      <c r="R3144" s="4"/>
      <c r="S3144" s="9" t="str">
        <f>HYPERLINK("https://pbs.twimg.com/profile_images/993906474622574592/6HvXNXS4.jpg","View")</f>
        <v>View</v>
      </c>
    </row>
    <row r="3145" spans="1:19" ht="40">
      <c r="A3145" s="8">
        <v>43342.982719907406</v>
      </c>
      <c r="B3145" s="11" t="str">
        <f>HYPERLINK("https://twitter.com/SamanMehrbod","@SamanMehrbod")</f>
        <v>@SamanMehrbod</v>
      </c>
      <c r="C3145" s="6" t="s">
        <v>8724</v>
      </c>
      <c r="D3145" s="5" t="s">
        <v>8723</v>
      </c>
      <c r="E3145" s="9" t="str">
        <f>HYPERLINK("https://twitter.com/SamanMehrbod/status/1035242027812831232","1035242027812831232")</f>
        <v>1035242027812831232</v>
      </c>
      <c r="F3145" s="4"/>
      <c r="G3145" s="10" t="s">
        <v>8722</v>
      </c>
      <c r="H3145" s="4"/>
      <c r="I3145" s="10" t="str">
        <f>HYPERLINK("http://twitter.com/download/iphone","Twitter for iPhone")</f>
        <v>Twitter for iPhone</v>
      </c>
      <c r="J3145" s="2">
        <v>152</v>
      </c>
      <c r="K3145" s="2">
        <v>75</v>
      </c>
      <c r="L3145" s="2">
        <v>0</v>
      </c>
      <c r="M3145" s="2"/>
      <c r="N3145" s="8">
        <v>42941.932569444441</v>
      </c>
      <c r="O3145" s="4" t="s">
        <v>8721</v>
      </c>
      <c r="P3145" s="3" t="s">
        <v>8720</v>
      </c>
      <c r="Q3145" s="4"/>
      <c r="R3145" s="4"/>
      <c r="S3145" s="9" t="str">
        <f>HYPERLINK("https://pbs.twimg.com/profile_images/1035242478411161601/d4EfLglt.jpg","View")</f>
        <v>View</v>
      </c>
    </row>
    <row r="3146" spans="1:19" ht="40">
      <c r="A3146" s="8">
        <v>43342.982337962967</v>
      </c>
      <c r="B3146" s="11" t="str">
        <f>HYPERLINK("https://twitter.com/Revman10","@Revman10")</f>
        <v>@Revman10</v>
      </c>
      <c r="C3146" s="6" t="s">
        <v>4403</v>
      </c>
      <c r="D3146" s="5" t="s">
        <v>8719</v>
      </c>
      <c r="E3146" s="9" t="str">
        <f>HYPERLINK("https://twitter.com/Revman10/status/1035241888067014656","1035241888067014656")</f>
        <v>1035241888067014656</v>
      </c>
      <c r="F3146" s="4"/>
      <c r="G3146" s="4"/>
      <c r="H3146" s="4"/>
      <c r="I3146" s="10" t="str">
        <f>HYPERLINK("http://twitter.com/download/android","Twitter for Android")</f>
        <v>Twitter for Android</v>
      </c>
      <c r="J3146" s="2">
        <v>70</v>
      </c>
      <c r="K3146" s="2">
        <v>95</v>
      </c>
      <c r="L3146" s="2">
        <v>0</v>
      </c>
      <c r="M3146" s="2"/>
      <c r="N3146" s="8">
        <v>43271.257766203707</v>
      </c>
      <c r="O3146" s="4" t="s">
        <v>324</v>
      </c>
      <c r="P3146" s="3" t="s">
        <v>4401</v>
      </c>
      <c r="Q3146" s="4"/>
      <c r="R3146" s="4"/>
      <c r="S3146" s="9" t="str">
        <f>HYPERLINK("https://pbs.twimg.com/profile_images/1027487813896429568/Gbn1h0z3.jpg","View")</f>
        <v>View</v>
      </c>
    </row>
    <row r="3147" spans="1:19" ht="40">
      <c r="A3147" s="8">
        <v>43342.974247685182</v>
      </c>
      <c r="B3147" s="11" t="str">
        <f>HYPERLINK("https://twitter.com/Revman10","@Revman10")</f>
        <v>@Revman10</v>
      </c>
      <c r="C3147" s="6" t="s">
        <v>4403</v>
      </c>
      <c r="D3147" s="5" t="s">
        <v>8718</v>
      </c>
      <c r="E3147" s="9" t="str">
        <f>HYPERLINK("https://twitter.com/Revman10/status/1035238956080742400","1035238956080742400")</f>
        <v>1035238956080742400</v>
      </c>
      <c r="F3147" s="4"/>
      <c r="G3147" s="4"/>
      <c r="H3147" s="4"/>
      <c r="I3147" s="10" t="str">
        <f>HYPERLINK("http://twitter.com/download/android","Twitter for Android")</f>
        <v>Twitter for Android</v>
      </c>
      <c r="J3147" s="2">
        <v>70</v>
      </c>
      <c r="K3147" s="2">
        <v>95</v>
      </c>
      <c r="L3147" s="2">
        <v>0</v>
      </c>
      <c r="M3147" s="2"/>
      <c r="N3147" s="8">
        <v>43271.257766203707</v>
      </c>
      <c r="O3147" s="4" t="s">
        <v>324</v>
      </c>
      <c r="P3147" s="3" t="s">
        <v>4401</v>
      </c>
      <c r="Q3147" s="4"/>
      <c r="R3147" s="4"/>
      <c r="S3147" s="9" t="str">
        <f>HYPERLINK("https://pbs.twimg.com/profile_images/1027487813896429568/Gbn1h0z3.jpg","View")</f>
        <v>View</v>
      </c>
    </row>
    <row r="3148" spans="1:19" ht="30">
      <c r="A3148" s="8">
        <v>43342.974004629628</v>
      </c>
      <c r="B3148" s="11" t="str">
        <f>HYPERLINK("https://twitter.com/SalekOmid","@SalekOmid")</f>
        <v>@SalekOmid</v>
      </c>
      <c r="C3148" s="6" t="s">
        <v>982</v>
      </c>
      <c r="D3148" s="5" t="s">
        <v>8717</v>
      </c>
      <c r="E3148" s="9" t="str">
        <f>HYPERLINK("https://twitter.com/SalekOmid/status/1035238866637213697","1035238866637213697")</f>
        <v>1035238866637213697</v>
      </c>
      <c r="F3148" s="4"/>
      <c r="G3148" s="4"/>
      <c r="H3148" s="4"/>
      <c r="I3148" s="10" t="str">
        <f>HYPERLINK("http://twitter.com/download/iphone","Twitter for iPhone")</f>
        <v>Twitter for iPhone</v>
      </c>
      <c r="J3148" s="2">
        <v>89</v>
      </c>
      <c r="K3148" s="2">
        <v>90</v>
      </c>
      <c r="L3148" s="2">
        <v>0</v>
      </c>
      <c r="M3148" s="2"/>
      <c r="N3148" s="8">
        <v>43265.993252314816</v>
      </c>
      <c r="O3148" s="4" t="s">
        <v>980</v>
      </c>
      <c r="P3148" s="3" t="s">
        <v>979</v>
      </c>
      <c r="Q3148" s="10" t="s">
        <v>978</v>
      </c>
      <c r="R3148" s="4"/>
      <c r="S3148" s="9" t="str">
        <f>HYPERLINK("https://pbs.twimg.com/profile_images/1007342649131618311/EOpUdINw.jpg","View")</f>
        <v>View</v>
      </c>
    </row>
    <row r="3149" spans="1:19" ht="40">
      <c r="A3149" s="8">
        <v>43342.973298611112</v>
      </c>
      <c r="B3149" s="11" t="str">
        <f>HYPERLINK("https://twitter.com/sussantweets","@sussantweets")</f>
        <v>@sussantweets</v>
      </c>
      <c r="C3149" s="6" t="s">
        <v>8716</v>
      </c>
      <c r="D3149" s="5" t="s">
        <v>8715</v>
      </c>
      <c r="E3149" s="9" t="str">
        <f>HYPERLINK("https://twitter.com/sussantweets/status/1035238609803259904","1035238609803259904")</f>
        <v>1035238609803259904</v>
      </c>
      <c r="F3149" s="4"/>
      <c r="G3149" s="4"/>
      <c r="H3149" s="4"/>
      <c r="I3149" s="10" t="str">
        <f>HYPERLINK("http://twitter.com","Twitter Web Client")</f>
        <v>Twitter Web Client</v>
      </c>
      <c r="J3149" s="2">
        <v>4245</v>
      </c>
      <c r="K3149" s="2">
        <v>1119</v>
      </c>
      <c r="L3149" s="2">
        <v>90</v>
      </c>
      <c r="M3149" s="2"/>
      <c r="N3149" s="8">
        <v>40590.481631944444</v>
      </c>
      <c r="O3149" s="4" t="s">
        <v>3647</v>
      </c>
      <c r="P3149" s="3" t="s">
        <v>8714</v>
      </c>
      <c r="Q3149" s="4"/>
      <c r="R3149" s="4"/>
      <c r="S3149" s="9" t="str">
        <f>HYPERLINK("https://pbs.twimg.com/profile_images/911146591297441793/17nEZ1n4.jpg","View")</f>
        <v>View</v>
      </c>
    </row>
    <row r="3150" spans="1:19" ht="40">
      <c r="A3150" s="8">
        <v>43342.970266203702</v>
      </c>
      <c r="B3150" s="11" t="str">
        <f>HYPERLINK("https://twitter.com/Totem62374573","@Totem62374573")</f>
        <v>@Totem62374573</v>
      </c>
      <c r="C3150" s="6" t="s">
        <v>8713</v>
      </c>
      <c r="D3150" s="5" t="s">
        <v>8712</v>
      </c>
      <c r="E3150" s="9" t="str">
        <f>HYPERLINK("https://twitter.com/Totem62374573/status/1035237512917204992","1035237512917204992")</f>
        <v>1035237512917204992</v>
      </c>
      <c r="F3150" s="4"/>
      <c r="G3150" s="4"/>
      <c r="H3150" s="4"/>
      <c r="I3150" s="10" t="str">
        <f>HYPERLINK("http://twitter.com/download/android","Twitter for Android")</f>
        <v>Twitter for Android</v>
      </c>
      <c r="J3150" s="2">
        <v>4</v>
      </c>
      <c r="K3150" s="2">
        <v>15</v>
      </c>
      <c r="L3150" s="2">
        <v>0</v>
      </c>
      <c r="M3150" s="2"/>
      <c r="N3150" s="8">
        <v>43342.390717592592</v>
      </c>
      <c r="O3150" s="4" t="s">
        <v>34</v>
      </c>
      <c r="P3150" s="3" t="s">
        <v>8711</v>
      </c>
      <c r="Q3150" s="4"/>
      <c r="R3150" s="4"/>
      <c r="S3150" s="9" t="str">
        <f>HYPERLINK("https://pbs.twimg.com/profile_images/1035030749328625665/XpwoFR94.jpg","View")</f>
        <v>View</v>
      </c>
    </row>
    <row r="3151" spans="1:19" ht="30">
      <c r="A3151" s="8">
        <v>43342.968206018515</v>
      </c>
      <c r="B3151" s="11" t="str">
        <f>HYPERLINK("https://twitter.com/shahabsmam","@shahabsmam")</f>
        <v>@shahabsmam</v>
      </c>
      <c r="C3151" s="6" t="s">
        <v>1939</v>
      </c>
      <c r="D3151" s="5" t="s">
        <v>8710</v>
      </c>
      <c r="E3151" s="9" t="str">
        <f>HYPERLINK("https://twitter.com/shahabsmam/status/1035236766070915072","1035236766070915072")</f>
        <v>1035236766070915072</v>
      </c>
      <c r="F3151" s="4"/>
      <c r="G3151" s="10" t="s">
        <v>8709</v>
      </c>
      <c r="H3151" s="4"/>
      <c r="I3151" s="10" t="str">
        <f>HYPERLINK("http://twitter.com/download/android","Twitter for Android")</f>
        <v>Twitter for Android</v>
      </c>
      <c r="J3151" s="2">
        <v>893</v>
      </c>
      <c r="K3151" s="2">
        <v>666</v>
      </c>
      <c r="L3151" s="2">
        <v>3</v>
      </c>
      <c r="M3151" s="2"/>
      <c r="N3151" s="8">
        <v>42736.421018518522</v>
      </c>
      <c r="O3151" s="4" t="s">
        <v>1937</v>
      </c>
      <c r="P3151" s="3" t="s">
        <v>1936</v>
      </c>
      <c r="Q3151" s="4"/>
      <c r="R3151" s="4"/>
      <c r="S3151" s="9" t="str">
        <f>HYPERLINK("https://pbs.twimg.com/profile_images/906273560779513861/eGhkT1Z8.jpg","View")</f>
        <v>View</v>
      </c>
    </row>
    <row r="3152" spans="1:19" ht="20">
      <c r="A3152" s="8">
        <v>43342.961886574078</v>
      </c>
      <c r="B3152" s="11" t="str">
        <f>HYPERLINK("https://twitter.com/Hasan_alinezhad","@Hasan_alinezhad")</f>
        <v>@Hasan_alinezhad</v>
      </c>
      <c r="C3152" s="6" t="s">
        <v>8708</v>
      </c>
      <c r="D3152" s="5" t="s">
        <v>8707</v>
      </c>
      <c r="E3152" s="9" t="str">
        <f>HYPERLINK("https://twitter.com/Hasan_alinezhad/status/1035234477142880256","1035234477142880256")</f>
        <v>1035234477142880256</v>
      </c>
      <c r="F3152" s="4"/>
      <c r="G3152" s="4"/>
      <c r="H3152" s="4"/>
      <c r="I3152" s="10" t="str">
        <f>HYPERLINK("http://twitter.com/download/iphone","Twitter for iPhone")</f>
        <v>Twitter for iPhone</v>
      </c>
      <c r="J3152" s="2">
        <v>361</v>
      </c>
      <c r="K3152" s="2">
        <v>452</v>
      </c>
      <c r="L3152" s="2">
        <v>1</v>
      </c>
      <c r="M3152" s="2"/>
      <c r="N3152" s="8">
        <v>42976.155740740738</v>
      </c>
      <c r="O3152" s="4"/>
      <c r="P3152" s="3" t="s">
        <v>8706</v>
      </c>
      <c r="Q3152" s="10" t="s">
        <v>8705</v>
      </c>
      <c r="R3152" s="4"/>
      <c r="S3152" s="9" t="str">
        <f>HYPERLINK("https://pbs.twimg.com/profile_images/939771596780208130/sZcxXcpo.jpg","View")</f>
        <v>View</v>
      </c>
    </row>
    <row r="3153" spans="1:19" ht="30">
      <c r="A3153" s="8">
        <v>43342.961655092593</v>
      </c>
      <c r="B3153" s="11" t="str">
        <f>HYPERLINK("https://twitter.com/KhazaeeArash","@KhazaeeArash")</f>
        <v>@KhazaeeArash</v>
      </c>
      <c r="C3153" s="6" t="s">
        <v>8704</v>
      </c>
      <c r="D3153" s="5" t="s">
        <v>8703</v>
      </c>
      <c r="E3153" s="9" t="str">
        <f>HYPERLINK("https://twitter.com/KhazaeeArash/status/1035234393516912641","1035234393516912641")</f>
        <v>1035234393516912641</v>
      </c>
      <c r="F3153" s="4"/>
      <c r="G3153" s="10" t="s">
        <v>8702</v>
      </c>
      <c r="H3153" s="4"/>
      <c r="I3153" s="10" t="str">
        <f>HYPERLINK("http://twitter.com/download/iphone","Twitter for iPhone")</f>
        <v>Twitter for iPhone</v>
      </c>
      <c r="J3153" s="2">
        <v>31</v>
      </c>
      <c r="K3153" s="2">
        <v>26</v>
      </c>
      <c r="L3153" s="2">
        <v>0</v>
      </c>
      <c r="M3153" s="2"/>
      <c r="N3153" s="8">
        <v>43268.577627314815</v>
      </c>
      <c r="O3153" s="4" t="s">
        <v>8701</v>
      </c>
      <c r="P3153" s="3" t="s">
        <v>8700</v>
      </c>
      <c r="Q3153" s="4"/>
      <c r="R3153" s="4"/>
      <c r="S3153" s="9" t="str">
        <f>HYPERLINK("https://pbs.twimg.com/profile_images/1009168456925708288/xul5gQC6.jpg","View")</f>
        <v>View</v>
      </c>
    </row>
    <row r="3154" spans="1:19" ht="40">
      <c r="A3154" s="8">
        <v>43342.958738425921</v>
      </c>
      <c r="B3154" s="11" t="str">
        <f>HYPERLINK("https://twitter.com/SiasatZadegan","@SiasatZadegan")</f>
        <v>@SiasatZadegan</v>
      </c>
      <c r="C3154" s="6" t="s">
        <v>8358</v>
      </c>
      <c r="D3154" s="5" t="s">
        <v>8357</v>
      </c>
      <c r="E3154" s="9" t="str">
        <f>HYPERLINK("https://twitter.com/SiasatZadegan/status/1035233334501273601","1035233334501273601")</f>
        <v>1035233334501273601</v>
      </c>
      <c r="F3154" s="4"/>
      <c r="G3154" s="10" t="s">
        <v>8699</v>
      </c>
      <c r="H3154" s="4"/>
      <c r="I3154" s="10" t="str">
        <f>HYPERLINK("http://twitter.com","Twitter Web Client")</f>
        <v>Twitter Web Client</v>
      </c>
      <c r="J3154" s="2">
        <v>1702</v>
      </c>
      <c r="K3154" s="2">
        <v>1202</v>
      </c>
      <c r="L3154" s="2">
        <v>5</v>
      </c>
      <c r="M3154" s="2"/>
      <c r="N3154" s="8">
        <v>40878.299791666665</v>
      </c>
      <c r="O3154" s="4" t="s">
        <v>282</v>
      </c>
      <c r="P3154" s="3" t="s">
        <v>8356</v>
      </c>
      <c r="Q3154" s="10" t="s">
        <v>8355</v>
      </c>
      <c r="R3154" s="4"/>
      <c r="S3154" s="9" t="str">
        <f>HYPERLINK("https://pbs.twimg.com/profile_images/1011245422688526337/0J6hVbZu.jpg","View")</f>
        <v>View</v>
      </c>
    </row>
    <row r="3155" spans="1:19" ht="40">
      <c r="A3155" s="8">
        <v>43342.958101851851</v>
      </c>
      <c r="B3155" s="11" t="str">
        <f>HYPERLINK("https://twitter.com/SiasatZadegan","@SiasatZadegan")</f>
        <v>@SiasatZadegan</v>
      </c>
      <c r="C3155" s="6" t="s">
        <v>8358</v>
      </c>
      <c r="D3155" s="5" t="s">
        <v>8698</v>
      </c>
      <c r="E3155" s="9" t="str">
        <f>HYPERLINK("https://twitter.com/SiasatZadegan/status/1035233103906787328","1035233103906787328")</f>
        <v>1035233103906787328</v>
      </c>
      <c r="F3155" s="4"/>
      <c r="G3155" s="4"/>
      <c r="H3155" s="4"/>
      <c r="I3155" s="10" t="str">
        <f>HYPERLINK("http://twitter.com","Twitter Web Client")</f>
        <v>Twitter Web Client</v>
      </c>
      <c r="J3155" s="2">
        <v>1702</v>
      </c>
      <c r="K3155" s="2">
        <v>1202</v>
      </c>
      <c r="L3155" s="2">
        <v>5</v>
      </c>
      <c r="M3155" s="2"/>
      <c r="N3155" s="8">
        <v>40878.299791666665</v>
      </c>
      <c r="O3155" s="4" t="s">
        <v>282</v>
      </c>
      <c r="P3155" s="3" t="s">
        <v>8356</v>
      </c>
      <c r="Q3155" s="10" t="s">
        <v>8355</v>
      </c>
      <c r="R3155" s="4"/>
      <c r="S3155" s="9" t="str">
        <f>HYPERLINK("https://pbs.twimg.com/profile_images/1011245422688526337/0J6hVbZu.jpg","View")</f>
        <v>View</v>
      </c>
    </row>
    <row r="3156" spans="1:19" ht="20">
      <c r="A3156" s="8">
        <v>43342.956087962964</v>
      </c>
      <c r="B3156" s="11" t="str">
        <f>HYPERLINK("https://twitter.com/abdizade_mehdi","@abdizade_mehdi")</f>
        <v>@abdizade_mehdi</v>
      </c>
      <c r="C3156" s="6" t="s">
        <v>3479</v>
      </c>
      <c r="D3156" s="5" t="s">
        <v>8697</v>
      </c>
      <c r="E3156" s="9" t="str">
        <f>HYPERLINK("https://twitter.com/abdizade_mehdi/status/1035232373632323587","1035232373632323587")</f>
        <v>1035232373632323587</v>
      </c>
      <c r="F3156" s="4"/>
      <c r="G3156" s="4"/>
      <c r="H3156" s="4"/>
      <c r="I3156" s="10" t="str">
        <f>HYPERLINK("http://twitter.com/download/android","Twitter for Android")</f>
        <v>Twitter for Android</v>
      </c>
      <c r="J3156" s="2">
        <v>514</v>
      </c>
      <c r="K3156" s="2">
        <v>765</v>
      </c>
      <c r="L3156" s="2">
        <v>2</v>
      </c>
      <c r="M3156" s="2"/>
      <c r="N3156" s="8">
        <v>42737.457627314812</v>
      </c>
      <c r="O3156" s="4" t="s">
        <v>17</v>
      </c>
      <c r="P3156" s="3" t="s">
        <v>3476</v>
      </c>
      <c r="Q3156" s="4"/>
      <c r="R3156" s="4"/>
      <c r="S3156" s="9" t="str">
        <f>HYPERLINK("https://pbs.twimg.com/profile_images/1024457718982160385/fQhCa6nH.jpg","View")</f>
        <v>View</v>
      </c>
    </row>
    <row r="3157" spans="1:19" ht="30">
      <c r="A3157" s="8">
        <v>43342.95244212963</v>
      </c>
      <c r="B3157" s="11" t="str">
        <f>HYPERLINK("https://twitter.com/m_abbasii_k","@m_abbasii_k")</f>
        <v>@m_abbasii_k</v>
      </c>
      <c r="C3157" s="6" t="s">
        <v>8696</v>
      </c>
      <c r="D3157" s="5" t="s">
        <v>8695</v>
      </c>
      <c r="E3157" s="9" t="str">
        <f>HYPERLINK("https://twitter.com/m_abbasii_k/status/1035231055320633344","1035231055320633344")</f>
        <v>1035231055320633344</v>
      </c>
      <c r="F3157" s="4"/>
      <c r="G3157" s="4"/>
      <c r="H3157" s="4"/>
      <c r="I3157" s="10" t="str">
        <f>HYPERLINK("http://twitter.com/download/android","Twitter for Android")</f>
        <v>Twitter for Android</v>
      </c>
      <c r="J3157" s="2">
        <v>600</v>
      </c>
      <c r="K3157" s="2">
        <v>506</v>
      </c>
      <c r="L3157" s="2">
        <v>1</v>
      </c>
      <c r="M3157" s="2"/>
      <c r="N3157" s="8">
        <v>43292.461192129631</v>
      </c>
      <c r="O3157" s="4" t="s">
        <v>8694</v>
      </c>
      <c r="P3157" s="3" t="s">
        <v>8693</v>
      </c>
      <c r="Q3157" s="4"/>
      <c r="R3157" s="4"/>
      <c r="S3157" s="9" t="str">
        <f>HYPERLINK("https://pbs.twimg.com/profile_images/1027287282653569025/se47-zOl.jpg","View")</f>
        <v>View</v>
      </c>
    </row>
    <row r="3158" spans="1:19" ht="20">
      <c r="A3158" s="8">
        <v>43342.952152777776</v>
      </c>
      <c r="B3158" s="11" t="str">
        <f>HYPERLINK("https://twitter.com/qonqabashi58","@qonqabashi58")</f>
        <v>@qonqabashi58</v>
      </c>
      <c r="C3158" s="6" t="s">
        <v>8692</v>
      </c>
      <c r="D3158" s="5" t="s">
        <v>8691</v>
      </c>
      <c r="E3158" s="9" t="str">
        <f>HYPERLINK("https://twitter.com/qonqabashi58/status/1035230948508540928","1035230948508540928")</f>
        <v>1035230948508540928</v>
      </c>
      <c r="F3158" s="4"/>
      <c r="G3158" s="4"/>
      <c r="H3158" s="4"/>
      <c r="I3158" s="10" t="str">
        <f>HYPERLINK("http://twitter.com/download/android","Twitter for Android")</f>
        <v>Twitter for Android</v>
      </c>
      <c r="J3158" s="2">
        <v>489</v>
      </c>
      <c r="K3158" s="2">
        <v>113</v>
      </c>
      <c r="L3158" s="2">
        <v>3</v>
      </c>
      <c r="M3158" s="2"/>
      <c r="N3158" s="8">
        <v>43115.165752314817</v>
      </c>
      <c r="O3158" s="4" t="s">
        <v>8690</v>
      </c>
      <c r="P3158" s="3" t="s">
        <v>8689</v>
      </c>
      <c r="Q3158" s="4"/>
      <c r="R3158" s="4"/>
      <c r="S3158" s="9" t="str">
        <f>HYPERLINK("https://pbs.twimg.com/profile_images/1028769661654052864/pcxi9aAS.jpg","View")</f>
        <v>View</v>
      </c>
    </row>
    <row r="3159" spans="1:19" ht="40">
      <c r="A3159" s="8">
        <v>43342.952060185184</v>
      </c>
      <c r="B3159" s="11" t="str">
        <f>HYPERLINK("https://twitter.com/afshin87858985","@afshin87858985")</f>
        <v>@afshin87858985</v>
      </c>
      <c r="C3159" s="6" t="s">
        <v>8688</v>
      </c>
      <c r="D3159" s="5" t="s">
        <v>8687</v>
      </c>
      <c r="E3159" s="9" t="str">
        <f>HYPERLINK("https://twitter.com/afshin87858985/status/1035230915356635136","1035230915356635136")</f>
        <v>1035230915356635136</v>
      </c>
      <c r="F3159" s="4"/>
      <c r="G3159" s="4"/>
      <c r="H3159" s="4"/>
      <c r="I3159" s="10" t="str">
        <f>HYPERLINK("http://twitter.com","Twitter Web Client")</f>
        <v>Twitter Web Client</v>
      </c>
      <c r="J3159" s="2">
        <v>1032</v>
      </c>
      <c r="K3159" s="2">
        <v>1086</v>
      </c>
      <c r="L3159" s="2">
        <v>2</v>
      </c>
      <c r="M3159" s="2"/>
      <c r="N3159" s="8">
        <v>41280.638240740736</v>
      </c>
      <c r="O3159" s="4"/>
      <c r="P3159" s="3"/>
      <c r="Q3159" s="4"/>
      <c r="R3159" s="4"/>
      <c r="S3159" s="9" t="str">
        <f>HYPERLINK("https://pbs.twimg.com/profile_images/919737014169333760/Ooy7kHI3.jpg","View")</f>
        <v>View</v>
      </c>
    </row>
    <row r="3160" spans="1:19" ht="30">
      <c r="A3160" s="8">
        <v>43342.951666666668</v>
      </c>
      <c r="B3160" s="11" t="str">
        <f>HYPERLINK("https://twitter.com/omidiaanhossein","@omidiaanhossein")</f>
        <v>@omidiaanhossein</v>
      </c>
      <c r="C3160" s="6" t="s">
        <v>4100</v>
      </c>
      <c r="D3160" s="5" t="s">
        <v>8686</v>
      </c>
      <c r="E3160" s="9" t="str">
        <f>HYPERLINK("https://twitter.com/omidiaanhossein/status/1035230771349467136","1035230771349467136")</f>
        <v>1035230771349467136</v>
      </c>
      <c r="F3160" s="4"/>
      <c r="G3160" s="10" t="s">
        <v>8685</v>
      </c>
      <c r="H3160" s="4"/>
      <c r="I3160" s="10" t="str">
        <f>HYPERLINK("http://twitter.com/download/android","Twitter for Android")</f>
        <v>Twitter for Android</v>
      </c>
      <c r="J3160" s="2">
        <v>829</v>
      </c>
      <c r="K3160" s="2">
        <v>136</v>
      </c>
      <c r="L3160" s="2">
        <v>2</v>
      </c>
      <c r="M3160" s="2"/>
      <c r="N3160" s="8">
        <v>42861.451238425929</v>
      </c>
      <c r="O3160" s="4" t="s">
        <v>4096</v>
      </c>
      <c r="P3160" s="3" t="s">
        <v>4095</v>
      </c>
      <c r="Q3160" s="4"/>
      <c r="R3160" s="4"/>
      <c r="S3160" s="9" t="str">
        <f>HYPERLINK("https://pbs.twimg.com/profile_images/990529862145277953/6-7gESqw.jpg","View")</f>
        <v>View</v>
      </c>
    </row>
    <row r="3161" spans="1:19" ht="12.5">
      <c r="A3161" s="8">
        <v>43342.951284722221</v>
      </c>
      <c r="B3161" s="11" t="str">
        <f>HYPERLINK("https://twitter.com/m4xRdlO5P3lGHMd","@m4xRdlO5P3lGHMd")</f>
        <v>@m4xRdlO5P3lGHMd</v>
      </c>
      <c r="C3161" s="6" t="s">
        <v>7764</v>
      </c>
      <c r="D3161" s="5" t="s">
        <v>8684</v>
      </c>
      <c r="E3161" s="9" t="str">
        <f>HYPERLINK("https://twitter.com/m4xRdlO5P3lGHMd/status/1035230635038789633","1035230635038789633")</f>
        <v>1035230635038789633</v>
      </c>
      <c r="F3161" s="4"/>
      <c r="G3161" s="4"/>
      <c r="H3161" s="4"/>
      <c r="I3161" s="10" t="str">
        <f>HYPERLINK("http://twitter.com/download/android","Twitter for Android")</f>
        <v>Twitter for Android</v>
      </c>
      <c r="J3161" s="2">
        <v>12</v>
      </c>
      <c r="K3161" s="2">
        <v>35</v>
      </c>
      <c r="L3161" s="2">
        <v>0</v>
      </c>
      <c r="M3161" s="2"/>
      <c r="N3161" s="8">
        <v>43003.582245370373</v>
      </c>
      <c r="O3161" s="4"/>
      <c r="P3161" s="3" t="s">
        <v>7762</v>
      </c>
      <c r="Q3161" s="4"/>
      <c r="R3161" s="4"/>
      <c r="S3161" s="9" t="str">
        <f>HYPERLINK("https://pbs.twimg.com/profile_images/953384392516358144/bP8nzLyq.jpg","View")</f>
        <v>View</v>
      </c>
    </row>
    <row r="3162" spans="1:19" ht="40">
      <c r="A3162" s="8">
        <v>43342.948692129634</v>
      </c>
      <c r="B3162" s="11" t="str">
        <f>HYPERLINK("https://twitter.com/coiniran","@coiniran")</f>
        <v>@coiniran</v>
      </c>
      <c r="C3162" s="6" t="s">
        <v>8683</v>
      </c>
      <c r="D3162" s="5" t="s">
        <v>8682</v>
      </c>
      <c r="E3162" s="9" t="str">
        <f>HYPERLINK("https://twitter.com/coiniran/status/1035229695636381696","1035229695636381696")</f>
        <v>1035229695636381696</v>
      </c>
      <c r="F3162" s="10" t="s">
        <v>8681</v>
      </c>
      <c r="G3162" s="10" t="s">
        <v>8680</v>
      </c>
      <c r="H3162" s="4"/>
      <c r="I3162" s="10" t="str">
        <f>HYPERLINK("http://twitter.com/download/iphone","Twitter for iPhone")</f>
        <v>Twitter for iPhone</v>
      </c>
      <c r="J3162" s="2">
        <v>1165</v>
      </c>
      <c r="K3162" s="2">
        <v>183</v>
      </c>
      <c r="L3162" s="2">
        <v>15</v>
      </c>
      <c r="M3162" s="2"/>
      <c r="N3162" s="8">
        <v>42058.662638888884</v>
      </c>
      <c r="O3162" s="4" t="s">
        <v>34</v>
      </c>
      <c r="P3162" s="3" t="s">
        <v>8679</v>
      </c>
      <c r="Q3162" s="10" t="s">
        <v>8678</v>
      </c>
      <c r="R3162" s="4"/>
      <c r="S3162" s="9" t="str">
        <f>HYPERLINK("https://pbs.twimg.com/profile_images/968884113771040769/fZDWxeir.jpg","View")</f>
        <v>View</v>
      </c>
    </row>
    <row r="3163" spans="1:19" ht="20">
      <c r="A3163" s="8">
        <v>43342.948611111111</v>
      </c>
      <c r="B3163" s="11" t="str">
        <f>HYPERLINK("https://twitter.com/zed_mim76","@zed_mim76")</f>
        <v>@zed_mim76</v>
      </c>
      <c r="C3163" s="6" t="s">
        <v>8677</v>
      </c>
      <c r="D3163" s="5" t="s">
        <v>8676</v>
      </c>
      <c r="E3163" s="9" t="str">
        <f>HYPERLINK("https://twitter.com/zed_mim76/status/1035229664384405504","1035229664384405504")</f>
        <v>1035229664384405504</v>
      </c>
      <c r="F3163" s="4"/>
      <c r="G3163" s="4"/>
      <c r="H3163" s="4"/>
      <c r="I3163" s="10" t="str">
        <f>HYPERLINK("http://twitter.com/download/android","Twitter for Android")</f>
        <v>Twitter for Android</v>
      </c>
      <c r="J3163" s="2">
        <v>339</v>
      </c>
      <c r="K3163" s="2">
        <v>362</v>
      </c>
      <c r="L3163" s="2">
        <v>1</v>
      </c>
      <c r="M3163" s="2"/>
      <c r="N3163" s="8">
        <v>42963.695925925931</v>
      </c>
      <c r="O3163" s="4" t="s">
        <v>8675</v>
      </c>
      <c r="P3163" s="3" t="s">
        <v>8674</v>
      </c>
      <c r="Q3163" s="4"/>
      <c r="R3163" s="4"/>
      <c r="S3163" s="9" t="str">
        <f>HYPERLINK("https://pbs.twimg.com/profile_images/1016029326876315649/gCfrjOaQ.jpg","View")</f>
        <v>View</v>
      </c>
    </row>
    <row r="3164" spans="1:19" ht="40">
      <c r="A3164" s="8">
        <v>43342.948460648149</v>
      </c>
      <c r="B3164" s="11" t="str">
        <f>HYPERLINK("https://twitter.com/ali_babaei2001","@ali_babaei2001")</f>
        <v>@ali_babaei2001</v>
      </c>
      <c r="C3164" s="6" t="s">
        <v>8673</v>
      </c>
      <c r="D3164" s="5" t="s">
        <v>8672</v>
      </c>
      <c r="E3164" s="9" t="str">
        <f>HYPERLINK("https://twitter.com/ali_babaei2001/status/1035229612740100098","1035229612740100098")</f>
        <v>1035229612740100098</v>
      </c>
      <c r="F3164" s="4"/>
      <c r="G3164" s="4"/>
      <c r="H3164" s="4"/>
      <c r="I3164" s="10" t="str">
        <f>HYPERLINK("http://twitter.com/download/android","Twitter for Android")</f>
        <v>Twitter for Android</v>
      </c>
      <c r="J3164" s="2">
        <v>63</v>
      </c>
      <c r="K3164" s="2">
        <v>360</v>
      </c>
      <c r="L3164" s="2">
        <v>0</v>
      </c>
      <c r="M3164" s="2"/>
      <c r="N3164" s="8">
        <v>42904.025752314818</v>
      </c>
      <c r="O3164" s="4" t="s">
        <v>17</v>
      </c>
      <c r="P3164" s="3" t="s">
        <v>8671</v>
      </c>
      <c r="Q3164" s="4"/>
      <c r="R3164" s="4"/>
      <c r="S3164" s="9" t="str">
        <f>HYPERLINK("https://pbs.twimg.com/profile_images/1024332848281600000/NmmIpKf8.jpg","View")</f>
        <v>View</v>
      </c>
    </row>
    <row r="3165" spans="1:19" ht="40">
      <c r="A3165" s="8">
        <v>43342.945254629631</v>
      </c>
      <c r="B3165" s="11" t="str">
        <f>HYPERLINK("https://twitter.com/farhadkhazaeli","@farhadkhazaeli")</f>
        <v>@farhadkhazaeli</v>
      </c>
      <c r="C3165" s="6" t="s">
        <v>8670</v>
      </c>
      <c r="D3165" s="5" t="s">
        <v>8669</v>
      </c>
      <c r="E3165" s="9" t="str">
        <f>HYPERLINK("https://twitter.com/farhadkhazaeli/status/1035228450318168070","1035228450318168070")</f>
        <v>1035228450318168070</v>
      </c>
      <c r="F3165" s="4"/>
      <c r="G3165" s="4"/>
      <c r="H3165" s="4"/>
      <c r="I3165" s="10" t="str">
        <f>HYPERLINK("http://twitter.com/download/android","Twitter for Android")</f>
        <v>Twitter for Android</v>
      </c>
      <c r="J3165" s="2">
        <v>62</v>
      </c>
      <c r="K3165" s="2">
        <v>126</v>
      </c>
      <c r="L3165" s="2">
        <v>1</v>
      </c>
      <c r="M3165" s="2"/>
      <c r="N3165" s="8">
        <v>41298.827361111107</v>
      </c>
      <c r="O3165" s="4" t="s">
        <v>324</v>
      </c>
      <c r="P3165" s="3" t="s">
        <v>8668</v>
      </c>
      <c r="Q3165" s="10" t="s">
        <v>8667</v>
      </c>
      <c r="R3165" s="4"/>
      <c r="S3165" s="9" t="str">
        <f>HYPERLINK("https://pbs.twimg.com/profile_images/1005779679427596288/l_nuHc-S.jpg","View")</f>
        <v>View</v>
      </c>
    </row>
    <row r="3166" spans="1:19" ht="50">
      <c r="A3166" s="8">
        <v>43342.944965277777</v>
      </c>
      <c r="B3166" s="11" t="str">
        <f>HYPERLINK("https://twitter.com/amirparizadcom","@amirparizadcom")</f>
        <v>@amirparizadcom</v>
      </c>
      <c r="C3166" s="6" t="s">
        <v>8661</v>
      </c>
      <c r="D3166" s="5" t="s">
        <v>8666</v>
      </c>
      <c r="E3166" s="9" t="str">
        <f>HYPERLINK("https://twitter.com/amirparizadcom/status/1035228345435217920","1035228345435217920")</f>
        <v>1035228345435217920</v>
      </c>
      <c r="F3166" s="10" t="s">
        <v>8665</v>
      </c>
      <c r="G3166" s="10" t="s">
        <v>8664</v>
      </c>
      <c r="H3166" s="4"/>
      <c r="I3166" s="10" t="str">
        <f>HYPERLINK("http://twitter.com","Twitter Web Client")</f>
        <v>Twitter Web Client</v>
      </c>
      <c r="J3166" s="2">
        <v>2007</v>
      </c>
      <c r="K3166" s="2">
        <v>3130</v>
      </c>
      <c r="L3166" s="2">
        <v>21</v>
      </c>
      <c r="M3166" s="2"/>
      <c r="N3166" s="8">
        <v>41591.538368055553</v>
      </c>
      <c r="O3166" s="4" t="s">
        <v>1143</v>
      </c>
      <c r="P3166" s="3" t="s">
        <v>8658</v>
      </c>
      <c r="Q3166" s="10" t="s">
        <v>8657</v>
      </c>
      <c r="R3166" s="4"/>
      <c r="S3166" s="9" t="str">
        <f>HYPERLINK("https://pbs.twimg.com/profile_images/825623440908496896/hKZPJXCf.jpg","View")</f>
        <v>View</v>
      </c>
    </row>
    <row r="3167" spans="1:19" ht="20">
      <c r="A3167" s="8">
        <v>43342.942939814813</v>
      </c>
      <c r="B3167" s="11" t="str">
        <f>HYPERLINK("https://twitter.com/asemanbarany","@asemanbarany")</f>
        <v>@asemanbarany</v>
      </c>
      <c r="C3167" s="6" t="s">
        <v>3032</v>
      </c>
      <c r="D3167" s="5" t="s">
        <v>8663</v>
      </c>
      <c r="E3167" s="9" t="str">
        <f>HYPERLINK("https://twitter.com/asemanbarany/status/1035227609150443520","1035227609150443520")</f>
        <v>1035227609150443520</v>
      </c>
      <c r="F3167" s="4"/>
      <c r="G3167" s="10" t="s">
        <v>8662</v>
      </c>
      <c r="H3167" s="4"/>
      <c r="I3167" s="10" t="str">
        <f>HYPERLINK("http://twitter.com","Twitter Web Client")</f>
        <v>Twitter Web Client</v>
      </c>
      <c r="J3167" s="2">
        <v>2606</v>
      </c>
      <c r="K3167" s="2">
        <v>2220</v>
      </c>
      <c r="L3167" s="2">
        <v>5</v>
      </c>
      <c r="M3167" s="2"/>
      <c r="N3167" s="8">
        <v>41600.012395833335</v>
      </c>
      <c r="O3167" s="4"/>
      <c r="P3167" s="3"/>
      <c r="Q3167" s="4"/>
      <c r="R3167" s="4"/>
      <c r="S3167" s="9" t="str">
        <f>HYPERLINK("https://pbs.twimg.com/profile_images/461487032594739200/hXuQNxOU.jpeg","View")</f>
        <v>View</v>
      </c>
    </row>
    <row r="3168" spans="1:19" ht="50">
      <c r="A3168" s="8">
        <v>43342.941284722227</v>
      </c>
      <c r="B3168" s="11" t="str">
        <f>HYPERLINK("https://twitter.com/amirparizadcom","@amirparizadcom")</f>
        <v>@amirparizadcom</v>
      </c>
      <c r="C3168" s="6" t="s">
        <v>8661</v>
      </c>
      <c r="D3168" s="5" t="s">
        <v>8660</v>
      </c>
      <c r="E3168" s="9" t="str">
        <f>HYPERLINK("https://twitter.com/amirparizadcom/status/1035227010774130688","1035227010774130688")</f>
        <v>1035227010774130688</v>
      </c>
      <c r="F3168" s="4"/>
      <c r="G3168" s="10" t="s">
        <v>8659</v>
      </c>
      <c r="H3168" s="4"/>
      <c r="I3168" s="10" t="str">
        <f>HYPERLINK("http://twitter.com","Twitter Web Client")</f>
        <v>Twitter Web Client</v>
      </c>
      <c r="J3168" s="2">
        <v>2007</v>
      </c>
      <c r="K3168" s="2">
        <v>3130</v>
      </c>
      <c r="L3168" s="2">
        <v>21</v>
      </c>
      <c r="M3168" s="2"/>
      <c r="N3168" s="8">
        <v>41591.538368055553</v>
      </c>
      <c r="O3168" s="4" t="s">
        <v>1143</v>
      </c>
      <c r="P3168" s="3" t="s">
        <v>8658</v>
      </c>
      <c r="Q3168" s="10" t="s">
        <v>8657</v>
      </c>
      <c r="R3168" s="4"/>
      <c r="S3168" s="9" t="str">
        <f>HYPERLINK("https://pbs.twimg.com/profile_images/825623440908496896/hKZPJXCf.jpg","View")</f>
        <v>View</v>
      </c>
    </row>
    <row r="3169" spans="1:19" ht="20">
      <c r="A3169" s="8">
        <v>43342.937743055554</v>
      </c>
      <c r="B3169" s="11" t="str">
        <f>HYPERLINK("https://twitter.com/Babajanallen","@Babajanallen")</f>
        <v>@Babajanallen</v>
      </c>
      <c r="C3169" s="6" t="s">
        <v>8656</v>
      </c>
      <c r="D3169" s="5" t="s">
        <v>8655</v>
      </c>
      <c r="E3169" s="9" t="str">
        <f>HYPERLINK("https://twitter.com/Babajanallen/status/1035225725253701633","1035225725253701633")</f>
        <v>1035225725253701633</v>
      </c>
      <c r="F3169" s="4"/>
      <c r="G3169" s="4"/>
      <c r="H3169" s="4"/>
      <c r="I3169" s="10" t="str">
        <f>HYPERLINK("http://twitter.com/download/iphone","Twitter for iPhone")</f>
        <v>Twitter for iPhone</v>
      </c>
      <c r="J3169" s="2">
        <v>12</v>
      </c>
      <c r="K3169" s="2">
        <v>135</v>
      </c>
      <c r="L3169" s="2">
        <v>0</v>
      </c>
      <c r="M3169" s="2"/>
      <c r="N3169" s="8">
        <v>42760.961331018523</v>
      </c>
      <c r="O3169" s="4" t="s">
        <v>3647</v>
      </c>
      <c r="P3169" s="3" t="s">
        <v>8654</v>
      </c>
      <c r="Q3169" s="4"/>
      <c r="R3169" s="4"/>
      <c r="S3169" s="9" t="str">
        <f>HYPERLINK("https://pbs.twimg.com/profile_images/1021462190723928065/clCPyAGe.jpg","View")</f>
        <v>View</v>
      </c>
    </row>
    <row r="3170" spans="1:19" ht="30">
      <c r="A3170" s="8">
        <v>43342.936469907407</v>
      </c>
      <c r="B3170" s="11" t="str">
        <f>HYPERLINK("https://twitter.com/msadpm","@msadpm")</f>
        <v>@msadpm</v>
      </c>
      <c r="C3170" s="6" t="s">
        <v>1696</v>
      </c>
      <c r="D3170" s="5" t="s">
        <v>8653</v>
      </c>
      <c r="E3170" s="9" t="str">
        <f>HYPERLINK("https://twitter.com/msadpm/status/1035225263850831874","1035225263850831874")</f>
        <v>1035225263850831874</v>
      </c>
      <c r="F3170" s="4"/>
      <c r="G3170" s="4"/>
      <c r="H3170" s="4"/>
      <c r="I3170" s="10" t="str">
        <f>HYPERLINK("http://twitter.com","Twitter Web Client")</f>
        <v>Twitter Web Client</v>
      </c>
      <c r="J3170" s="2">
        <v>1</v>
      </c>
      <c r="K3170" s="2">
        <v>8</v>
      </c>
      <c r="L3170" s="2">
        <v>0</v>
      </c>
      <c r="M3170" s="2"/>
      <c r="N3170" s="8">
        <v>43309.653935185182</v>
      </c>
      <c r="O3170" s="4"/>
      <c r="P3170" s="3"/>
      <c r="Q3170" s="4"/>
      <c r="R3170" s="4"/>
      <c r="S3170" s="9" t="str">
        <f>HYPERLINK("https://pbs.twimg.com/profile_images/1026467437196320768/-Ytvr8hI.jpg","View")</f>
        <v>View</v>
      </c>
    </row>
    <row r="3171" spans="1:19" ht="40">
      <c r="A3171" s="8">
        <v>43342.932847222226</v>
      </c>
      <c r="B3171" s="11" t="str">
        <f>HYPERLINK("https://twitter.com/ehsan_ashrafi7","@ehsan_ashrafi7")</f>
        <v>@ehsan_ashrafi7</v>
      </c>
      <c r="C3171" s="6" t="s">
        <v>8652</v>
      </c>
      <c r="D3171" s="5" t="s">
        <v>8651</v>
      </c>
      <c r="E3171" s="9" t="str">
        <f>HYPERLINK("https://twitter.com/ehsan_ashrafi7/status/1035223953382494209","1035223953382494209")</f>
        <v>1035223953382494209</v>
      </c>
      <c r="F3171" s="4"/>
      <c r="G3171" s="4"/>
      <c r="H3171" s="4"/>
      <c r="I3171" s="10" t="str">
        <f>HYPERLINK("http://twitter.com/download/iphone","Twitter for iPhone")</f>
        <v>Twitter for iPhone</v>
      </c>
      <c r="J3171" s="2">
        <v>165</v>
      </c>
      <c r="K3171" s="2">
        <v>267</v>
      </c>
      <c r="L3171" s="2">
        <v>1</v>
      </c>
      <c r="M3171" s="2"/>
      <c r="N3171" s="8">
        <v>42736.943703703699</v>
      </c>
      <c r="O3171" s="4" t="s">
        <v>34</v>
      </c>
      <c r="P3171" s="3" t="s">
        <v>8650</v>
      </c>
      <c r="Q3171" s="10" t="s">
        <v>8649</v>
      </c>
      <c r="R3171" s="4"/>
      <c r="S3171" s="9" t="str">
        <f>HYPERLINK("https://pbs.twimg.com/profile_images/886329562828873728/ZoZVN2tq.jpg","View")</f>
        <v>View</v>
      </c>
    </row>
    <row r="3172" spans="1:19" ht="40">
      <c r="A3172" s="8">
        <v>43342.932037037041</v>
      </c>
      <c r="B3172" s="11" t="str">
        <f>HYPERLINK("https://twitter.com/forestgump70","@forestgump70")</f>
        <v>@forestgump70</v>
      </c>
      <c r="C3172" s="6" t="s">
        <v>4133</v>
      </c>
      <c r="D3172" s="5" t="s">
        <v>8648</v>
      </c>
      <c r="E3172" s="9" t="str">
        <f>HYPERLINK("https://twitter.com/forestgump70/status/1035223660896743424","1035223660896743424")</f>
        <v>1035223660896743424</v>
      </c>
      <c r="F3172" s="4"/>
      <c r="G3172" s="4"/>
      <c r="H3172" s="4"/>
      <c r="I3172" s="10" t="str">
        <f>HYPERLINK("https://mobile.twitter.com","Twitter Lite")</f>
        <v>Twitter Lite</v>
      </c>
      <c r="J3172" s="2">
        <v>5</v>
      </c>
      <c r="K3172" s="2">
        <v>4</v>
      </c>
      <c r="L3172" s="2">
        <v>0</v>
      </c>
      <c r="M3172" s="2"/>
      <c r="N3172" s="8">
        <v>43243.016018518523</v>
      </c>
      <c r="O3172" s="4"/>
      <c r="P3172" s="3" t="s">
        <v>4131</v>
      </c>
      <c r="Q3172" s="4"/>
      <c r="R3172" s="4"/>
      <c r="S3172" s="9" t="str">
        <f>HYPERLINK("https://pbs.twimg.com/profile_images/1014943359117529088/2wQnaJSj.jpg","View")</f>
        <v>View</v>
      </c>
    </row>
    <row r="3173" spans="1:19" ht="50">
      <c r="A3173" s="8">
        <v>43342.931331018517</v>
      </c>
      <c r="B3173" s="11" t="str">
        <f>HYPERLINK("https://twitter.com/Sobidini","@Sobidini")</f>
        <v>@Sobidini</v>
      </c>
      <c r="C3173" s="6" t="s">
        <v>8647</v>
      </c>
      <c r="D3173" s="5" t="s">
        <v>8646</v>
      </c>
      <c r="E3173" s="9" t="str">
        <f>HYPERLINK("https://twitter.com/Sobidini/status/1035223402984951810","1035223402984951810")</f>
        <v>1035223402984951810</v>
      </c>
      <c r="F3173" s="10" t="s">
        <v>8645</v>
      </c>
      <c r="G3173" s="10" t="s">
        <v>8644</v>
      </c>
      <c r="H3173" s="4"/>
      <c r="I3173" s="10" t="str">
        <f>HYPERLINK("http://twitter.com/download/android","Twitter for Android")</f>
        <v>Twitter for Android</v>
      </c>
      <c r="J3173" s="2">
        <v>122</v>
      </c>
      <c r="K3173" s="2">
        <v>168</v>
      </c>
      <c r="L3173" s="2">
        <v>0</v>
      </c>
      <c r="M3173" s="2"/>
      <c r="N3173" s="8">
        <v>41550.87128472222</v>
      </c>
      <c r="O3173" s="4" t="s">
        <v>282</v>
      </c>
      <c r="P3173" s="3" t="s">
        <v>8643</v>
      </c>
      <c r="Q3173" s="4"/>
      <c r="R3173" s="4"/>
      <c r="S3173" s="9" t="str">
        <f>HYPERLINK("https://pbs.twimg.com/profile_images/378800000543589456/cc5bd7f73ccd5cca500123e689dfa480.jpeg","View")</f>
        <v>View</v>
      </c>
    </row>
    <row r="3174" spans="1:19" ht="40">
      <c r="A3174" s="8">
        <v>43342.929108796292</v>
      </c>
      <c r="B3174" s="11" t="str">
        <f>HYPERLINK("https://twitter.com/ramshini_reza","@ramshini_reza")</f>
        <v>@ramshini_reza</v>
      </c>
      <c r="C3174" s="6" t="s">
        <v>8642</v>
      </c>
      <c r="D3174" s="5" t="s">
        <v>8641</v>
      </c>
      <c r="E3174" s="9" t="str">
        <f>HYPERLINK("https://twitter.com/ramshini_reza/status/1035222597380726784","1035222597380726784")</f>
        <v>1035222597380726784</v>
      </c>
      <c r="F3174" s="4"/>
      <c r="G3174" s="4"/>
      <c r="H3174" s="4"/>
      <c r="I3174" s="10" t="str">
        <f>HYPERLINK("http://twitter.com","Twitter Web Client")</f>
        <v>Twitter Web Client</v>
      </c>
      <c r="J3174" s="2">
        <v>2</v>
      </c>
      <c r="K3174" s="2">
        <v>2</v>
      </c>
      <c r="L3174" s="2">
        <v>0</v>
      </c>
      <c r="M3174" s="2"/>
      <c r="N3174" s="8">
        <v>40544.877129629633</v>
      </c>
      <c r="O3174" s="4"/>
      <c r="P3174" s="3"/>
      <c r="Q3174" s="4"/>
      <c r="R3174" s="4"/>
      <c r="S3174" s="2" t="s">
        <v>155</v>
      </c>
    </row>
    <row r="3175" spans="1:19" ht="30">
      <c r="A3175" s="8">
        <v>43342.927581018521</v>
      </c>
      <c r="B3175" s="11" t="str">
        <f>HYPERLINK("https://twitter.com/Humanity_OneBig","@Humanity_OneBig")</f>
        <v>@Humanity_OneBig</v>
      </c>
      <c r="C3175" s="6" t="s">
        <v>8640</v>
      </c>
      <c r="D3175" s="5" t="s">
        <v>8639</v>
      </c>
      <c r="E3175" s="9" t="str">
        <f>HYPERLINK("https://twitter.com/Humanity_OneBig/status/1035222046190399489","1035222046190399489")</f>
        <v>1035222046190399489</v>
      </c>
      <c r="F3175" s="4"/>
      <c r="G3175" s="4"/>
      <c r="H3175" s="4"/>
      <c r="I3175" s="10" t="str">
        <f>HYPERLINK("http://twitter.com/download/iphone","Twitter for iPhone")</f>
        <v>Twitter for iPhone</v>
      </c>
      <c r="J3175" s="2">
        <v>1639</v>
      </c>
      <c r="K3175" s="2">
        <v>589</v>
      </c>
      <c r="L3175" s="2">
        <v>13</v>
      </c>
      <c r="M3175" s="2"/>
      <c r="N3175" s="8">
        <v>42555.29987268518</v>
      </c>
      <c r="O3175" s="4" t="s">
        <v>7139</v>
      </c>
      <c r="P3175" s="14" t="s">
        <v>8638</v>
      </c>
      <c r="Q3175" s="4"/>
      <c r="R3175" s="4"/>
      <c r="S3175" s="9" t="str">
        <f>HYPERLINK("https://pbs.twimg.com/profile_images/790979504256741377/BIa5Ic78.jpg","View")</f>
        <v>View</v>
      </c>
    </row>
    <row r="3176" spans="1:19" ht="30">
      <c r="A3176" s="8">
        <v>43342.926481481481</v>
      </c>
      <c r="B3176" s="11" t="str">
        <f>HYPERLINK("https://twitter.com/Do___while","@Do___while")</f>
        <v>@Do___while</v>
      </c>
      <c r="C3176" s="6" t="s">
        <v>8637</v>
      </c>
      <c r="D3176" s="5" t="s">
        <v>8636</v>
      </c>
      <c r="E3176" s="9" t="str">
        <f>HYPERLINK("https://twitter.com/Do___while/status/1035221645772959746","1035221645772959746")</f>
        <v>1035221645772959746</v>
      </c>
      <c r="F3176" s="4"/>
      <c r="G3176" s="4"/>
      <c r="H3176" s="4"/>
      <c r="I3176" s="10" t="str">
        <f>HYPERLINK("https://mobile.twitter.com","Twitter Lite")</f>
        <v>Twitter Lite</v>
      </c>
      <c r="J3176" s="2">
        <v>1286</v>
      </c>
      <c r="K3176" s="2">
        <v>1283</v>
      </c>
      <c r="L3176" s="2">
        <v>0</v>
      </c>
      <c r="M3176" s="2"/>
      <c r="N3176" s="8">
        <v>42997.370219907403</v>
      </c>
      <c r="O3176" s="4"/>
      <c r="P3176" s="3" t="s">
        <v>8635</v>
      </c>
      <c r="Q3176" s="4"/>
      <c r="R3176" s="4"/>
      <c r="S3176" s="9" t="str">
        <f>HYPERLINK("https://pbs.twimg.com/profile_images/1034159306558656513/3-dEYHnz.jpg","View")</f>
        <v>View</v>
      </c>
    </row>
    <row r="3177" spans="1:19" ht="40">
      <c r="A3177" s="8">
        <v>43342.923981481479</v>
      </c>
      <c r="B3177" s="11" t="str">
        <f>HYPERLINK("https://twitter.com/saeidrazipoor","@saeidrazipoor")</f>
        <v>@saeidrazipoor</v>
      </c>
      <c r="C3177" s="6" t="s">
        <v>8634</v>
      </c>
      <c r="D3177" s="5" t="s">
        <v>8633</v>
      </c>
      <c r="E3177" s="9" t="str">
        <f>HYPERLINK("https://twitter.com/saeidrazipoor/status/1035220739807428609","1035220739807428609")</f>
        <v>1035220739807428609</v>
      </c>
      <c r="F3177" s="4"/>
      <c r="G3177" s="4"/>
      <c r="H3177" s="4"/>
      <c r="I3177" s="10" t="str">
        <f>HYPERLINK("http://twitter.com/download/android","Twitter for Android")</f>
        <v>Twitter for Android</v>
      </c>
      <c r="J3177" s="2">
        <v>1956</v>
      </c>
      <c r="K3177" s="2">
        <v>709</v>
      </c>
      <c r="L3177" s="2">
        <v>7</v>
      </c>
      <c r="M3177" s="2"/>
      <c r="N3177" s="8">
        <v>41456.522847222222</v>
      </c>
      <c r="O3177" s="4" t="s">
        <v>8632</v>
      </c>
      <c r="P3177" s="3"/>
      <c r="Q3177" s="10" t="s">
        <v>8631</v>
      </c>
      <c r="R3177" s="4"/>
      <c r="S3177" s="9" t="str">
        <f>HYPERLINK("https://pbs.twimg.com/profile_images/1028906052274868224/ugMgikFL.jpg","View")</f>
        <v>View</v>
      </c>
    </row>
    <row r="3178" spans="1:19" ht="40">
      <c r="A3178" s="8">
        <v>43342.922812500001</v>
      </c>
      <c r="B3178" s="11" t="str">
        <f>HYPERLINK("https://twitter.com/jafariysaeid","@jafariysaeid")</f>
        <v>@jafariysaeid</v>
      </c>
      <c r="C3178" s="6" t="s">
        <v>8630</v>
      </c>
      <c r="D3178" s="5" t="s">
        <v>8629</v>
      </c>
      <c r="E3178" s="9" t="str">
        <f>HYPERLINK("https://twitter.com/jafariysaeid/status/1035220316115660801","1035220316115660801")</f>
        <v>1035220316115660801</v>
      </c>
      <c r="F3178" s="10" t="s">
        <v>8628</v>
      </c>
      <c r="G3178" s="10" t="s">
        <v>8627</v>
      </c>
      <c r="H3178" s="4"/>
      <c r="I3178" s="10" t="str">
        <f>HYPERLINK("http://twitter.com/download/iphone","Twitter for iPhone")</f>
        <v>Twitter for iPhone</v>
      </c>
      <c r="J3178" s="2">
        <v>5865</v>
      </c>
      <c r="K3178" s="2">
        <v>1023</v>
      </c>
      <c r="L3178" s="2">
        <v>116</v>
      </c>
      <c r="M3178" s="2"/>
      <c r="N3178" s="8">
        <v>41103.010231481479</v>
      </c>
      <c r="O3178" s="4" t="s">
        <v>133</v>
      </c>
      <c r="P3178" s="3" t="s">
        <v>8626</v>
      </c>
      <c r="Q3178" s="10" t="s">
        <v>8625</v>
      </c>
      <c r="R3178" s="4"/>
      <c r="S3178" s="9" t="str">
        <f>HYPERLINK("https://pbs.twimg.com/profile_images/1030615896472121344/UBF7NnW0.jpg","View")</f>
        <v>View</v>
      </c>
    </row>
    <row r="3179" spans="1:19" ht="40">
      <c r="A3179" s="8">
        <v>43342.922430555554</v>
      </c>
      <c r="B3179" s="11" t="str">
        <f>HYPERLINK("https://twitter.com/DrZarshenas","@DrZarshenas")</f>
        <v>@DrZarshenas</v>
      </c>
      <c r="C3179" s="6" t="s">
        <v>3852</v>
      </c>
      <c r="D3179" s="5" t="s">
        <v>8624</v>
      </c>
      <c r="E3179" s="9" t="str">
        <f>HYPERLINK("https://twitter.com/DrZarshenas/status/1035220177904979968","1035220177904979968")</f>
        <v>1035220177904979968</v>
      </c>
      <c r="F3179" s="4"/>
      <c r="G3179" s="4"/>
      <c r="H3179" s="4"/>
      <c r="I3179" s="10" t="str">
        <f>HYPERLINK("http://twitter.com/download/android","Twitter for Android")</f>
        <v>Twitter for Android</v>
      </c>
      <c r="J3179" s="2">
        <v>4809</v>
      </c>
      <c r="K3179" s="2">
        <v>3</v>
      </c>
      <c r="L3179" s="2">
        <v>51</v>
      </c>
      <c r="M3179" s="2"/>
      <c r="N3179" s="8">
        <v>43022.727719907409</v>
      </c>
      <c r="O3179" s="4" t="s">
        <v>17</v>
      </c>
      <c r="P3179" s="3" t="s">
        <v>3850</v>
      </c>
      <c r="Q3179" s="4"/>
      <c r="R3179" s="4"/>
      <c r="S3179" s="9" t="str">
        <f>HYPERLINK("https://pbs.twimg.com/profile_images/919202271799296001/3GYkMP8K.jpg","View")</f>
        <v>View</v>
      </c>
    </row>
    <row r="3180" spans="1:19" ht="60">
      <c r="A3180" s="8">
        <v>43342.922175925924</v>
      </c>
      <c r="B3180" s="11" t="str">
        <f>HYPERLINK("https://twitter.com/ElaheEs","@ElaheEs")</f>
        <v>@ElaheEs</v>
      </c>
      <c r="C3180" s="6" t="s">
        <v>8623</v>
      </c>
      <c r="D3180" s="5" t="s">
        <v>8622</v>
      </c>
      <c r="E3180" s="9" t="str">
        <f>HYPERLINK("https://twitter.com/ElaheEs/status/1035220084212592640","1035220084212592640")</f>
        <v>1035220084212592640</v>
      </c>
      <c r="F3180" s="10" t="s">
        <v>8621</v>
      </c>
      <c r="G3180" s="4"/>
      <c r="H3180" s="4"/>
      <c r="I3180" s="10" t="str">
        <f>HYPERLINK("http://twitter.com/download/iphone","Twitter for iPhone")</f>
        <v>Twitter for iPhone</v>
      </c>
      <c r="J3180" s="2">
        <v>83</v>
      </c>
      <c r="K3180" s="2">
        <v>158</v>
      </c>
      <c r="L3180" s="2">
        <v>0</v>
      </c>
      <c r="M3180" s="2"/>
      <c r="N3180" s="8">
        <v>40731.59211805556</v>
      </c>
      <c r="O3180" s="4"/>
      <c r="P3180" s="3" t="s">
        <v>8620</v>
      </c>
      <c r="Q3180" s="4"/>
      <c r="R3180" s="4"/>
      <c r="S3180" s="9" t="str">
        <f>HYPERLINK("https://pbs.twimg.com/profile_images/1030710816671232000/xQQDdh5h.jpg","View")</f>
        <v>View</v>
      </c>
    </row>
    <row r="3181" spans="1:19" ht="30">
      <c r="A3181" s="8">
        <v>43342.91810185185</v>
      </c>
      <c r="B3181" s="11" t="str">
        <f>HYPERLINK("https://twitter.com/Mnabi_Habibi","@Mnabi_Habibi")</f>
        <v>@Mnabi_Habibi</v>
      </c>
      <c r="C3181" s="6" t="s">
        <v>3844</v>
      </c>
      <c r="D3181" s="5" t="s">
        <v>8619</v>
      </c>
      <c r="E3181" s="9" t="str">
        <f>HYPERLINK("https://twitter.com/Mnabi_Habibi/status/1035218607809208320","1035218607809208320")</f>
        <v>1035218607809208320</v>
      </c>
      <c r="F3181" s="4"/>
      <c r="G3181" s="4"/>
      <c r="H3181" s="4"/>
      <c r="I3181" s="10" t="str">
        <f>HYPERLINK("http://twitter.com/download/android","Twitter for Android")</f>
        <v>Twitter for Android</v>
      </c>
      <c r="J3181" s="2">
        <v>80</v>
      </c>
      <c r="K3181" s="2">
        <v>8</v>
      </c>
      <c r="L3181" s="2">
        <v>2</v>
      </c>
      <c r="M3181" s="2"/>
      <c r="N3181" s="8">
        <v>43283.6637037037</v>
      </c>
      <c r="O3181" s="4"/>
      <c r="P3181" s="3" t="s">
        <v>3842</v>
      </c>
      <c r="Q3181" s="4"/>
      <c r="R3181" s="4"/>
      <c r="S3181" s="9" t="str">
        <f>HYPERLINK("https://pbs.twimg.com/profile_images/1013747517408739328/B4It4wTc.jpg","View")</f>
        <v>View</v>
      </c>
    </row>
    <row r="3182" spans="1:19" ht="40">
      <c r="A3182" s="8">
        <v>43342.916354166664</v>
      </c>
      <c r="B3182" s="11" t="str">
        <f>HYPERLINK("https://twitter.com/SalavatiAlireza","@SalavatiAlireza")</f>
        <v>@SalavatiAlireza</v>
      </c>
      <c r="C3182" s="6" t="s">
        <v>4314</v>
      </c>
      <c r="D3182" s="5" t="s">
        <v>8618</v>
      </c>
      <c r="E3182" s="9" t="str">
        <f>HYPERLINK("https://twitter.com/SalavatiAlireza/status/1035217975333273602","1035217975333273602")</f>
        <v>1035217975333273602</v>
      </c>
      <c r="F3182" s="4" t="s">
        <v>8617</v>
      </c>
      <c r="G3182" s="10" t="s">
        <v>8616</v>
      </c>
      <c r="H3182" s="4"/>
      <c r="I3182" s="10" t="str">
        <f>HYPERLINK("http://twitter.com/download/android","Twitter for Android")</f>
        <v>Twitter for Android</v>
      </c>
      <c r="J3182" s="2">
        <v>405</v>
      </c>
      <c r="K3182" s="2">
        <v>116</v>
      </c>
      <c r="L3182" s="2">
        <v>2</v>
      </c>
      <c r="M3182" s="2"/>
      <c r="N3182" s="8">
        <v>40976.810219907406</v>
      </c>
      <c r="O3182" s="4" t="s">
        <v>460</v>
      </c>
      <c r="P3182" s="3" t="s">
        <v>4312</v>
      </c>
      <c r="Q3182" s="10" t="s">
        <v>4311</v>
      </c>
      <c r="R3182" s="4"/>
      <c r="S3182" s="9" t="str">
        <f>HYPERLINK("https://pbs.twimg.com/profile_images/1033389623978991616/swE62Zz4.jpg","View")</f>
        <v>View</v>
      </c>
    </row>
    <row r="3183" spans="1:19" ht="20">
      <c r="A3183" s="8">
        <v>43342.913761574076</v>
      </c>
      <c r="B3183" s="11" t="str">
        <f>HYPERLINK("https://twitter.com/kasetnews_fa","@kasetnews_fa")</f>
        <v>@kasetnews_fa</v>
      </c>
      <c r="C3183" s="6" t="s">
        <v>8615</v>
      </c>
      <c r="D3183" s="5" t="s">
        <v>8614</v>
      </c>
      <c r="E3183" s="9" t="str">
        <f>HYPERLINK("https://twitter.com/kasetnews_fa/status/1035217035620442113","1035217035620442113")</f>
        <v>1035217035620442113</v>
      </c>
      <c r="F3183" s="4"/>
      <c r="G3183" s="10" t="s">
        <v>8613</v>
      </c>
      <c r="H3183" s="4"/>
      <c r="I3183" s="10" t="str">
        <f>HYPERLINK("http://twitter.com","Twitter Web Client")</f>
        <v>Twitter Web Client</v>
      </c>
      <c r="J3183" s="2">
        <v>6</v>
      </c>
      <c r="K3183" s="2">
        <v>0</v>
      </c>
      <c r="L3183" s="2">
        <v>0</v>
      </c>
      <c r="M3183" s="2"/>
      <c r="N3183" s="8">
        <v>43338.060347222221</v>
      </c>
      <c r="O3183" s="4"/>
      <c r="P3183" s="3"/>
      <c r="Q3183" s="4"/>
      <c r="R3183" s="4"/>
      <c r="S3183" s="9" t="str">
        <f>HYPERLINK("https://pbs.twimg.com/profile_images/1034362717740650496/XIKtSCOR.jpg","View")</f>
        <v>View</v>
      </c>
    </row>
    <row r="3184" spans="1:19" ht="30">
      <c r="A3184" s="8">
        <v>43342.911365740743</v>
      </c>
      <c r="B3184" s="11" t="str">
        <f>HYPERLINK("https://twitter.com/zad89351564","@zad89351564")</f>
        <v>@zad89351564</v>
      </c>
      <c r="C3184" s="6" t="s">
        <v>8612</v>
      </c>
      <c r="D3184" s="5" t="s">
        <v>8611</v>
      </c>
      <c r="E3184" s="9" t="str">
        <f>HYPERLINK("https://twitter.com/zad89351564/status/1035216168351670272","1035216168351670272")</f>
        <v>1035216168351670272</v>
      </c>
      <c r="F3184" s="4"/>
      <c r="G3184" s="4"/>
      <c r="H3184" s="4"/>
      <c r="I3184" s="10" t="str">
        <f>HYPERLINK("http://twitter.com/download/android","Twitter for Android")</f>
        <v>Twitter for Android</v>
      </c>
      <c r="J3184" s="2">
        <v>1</v>
      </c>
      <c r="K3184" s="2">
        <v>9</v>
      </c>
      <c r="L3184" s="2">
        <v>0</v>
      </c>
      <c r="M3184" s="2"/>
      <c r="N3184" s="8">
        <v>43339.987233796295</v>
      </c>
      <c r="O3184" s="4"/>
      <c r="P3184" s="3" t="s">
        <v>8610</v>
      </c>
      <c r="Q3184" s="4"/>
      <c r="R3184" s="4"/>
      <c r="S3184" s="9" t="str">
        <f>HYPERLINK("https://pbs.twimg.com/profile_images/1035217403570008064/qlhUptD-.jpg","View")</f>
        <v>View</v>
      </c>
    </row>
    <row r="3185" spans="1:19" ht="20">
      <c r="A3185" s="8">
        <v>43342.907905092594</v>
      </c>
      <c r="B3185" s="11" t="str">
        <f>HYPERLINK("https://twitter.com/ScriptBab","@ScriptBab")</f>
        <v>@ScriptBab</v>
      </c>
      <c r="C3185" s="6" t="s">
        <v>3044</v>
      </c>
      <c r="D3185" s="5" t="s">
        <v>8609</v>
      </c>
      <c r="E3185" s="9" t="str">
        <f>HYPERLINK("https://twitter.com/ScriptBab/status/1035214915622117378","1035214915622117378")</f>
        <v>1035214915622117378</v>
      </c>
      <c r="F3185" s="4"/>
      <c r="G3185" s="4"/>
      <c r="H3185" s="4"/>
      <c r="I3185" s="10" t="str">
        <f>HYPERLINK("http://twitter.com/download/android","Twitter for Android")</f>
        <v>Twitter for Android</v>
      </c>
      <c r="J3185" s="2">
        <v>3966</v>
      </c>
      <c r="K3185" s="2">
        <v>3648</v>
      </c>
      <c r="L3185" s="2">
        <v>8</v>
      </c>
      <c r="M3185" s="2"/>
      <c r="N3185" s="8">
        <v>40732.73096064815</v>
      </c>
      <c r="O3185" s="4"/>
      <c r="P3185" s="3" t="s">
        <v>3042</v>
      </c>
      <c r="Q3185" s="4"/>
      <c r="R3185" s="4"/>
      <c r="S3185" s="9" t="str">
        <f>HYPERLINK("https://pbs.twimg.com/profile_images/1029594626854985728/VuJgJ670.jpg","View")</f>
        <v>View</v>
      </c>
    </row>
    <row r="3186" spans="1:19" ht="40">
      <c r="A3186" s="8">
        <v>43342.90760416667</v>
      </c>
      <c r="B3186" s="11" t="str">
        <f>HYPERLINK("https://twitter.com/RafatiSiavash","@RafatiSiavash")</f>
        <v>@RafatiSiavash</v>
      </c>
      <c r="C3186" s="6" t="s">
        <v>3226</v>
      </c>
      <c r="D3186" s="5" t="s">
        <v>8608</v>
      </c>
      <c r="E3186" s="9" t="str">
        <f>HYPERLINK("https://twitter.com/RafatiSiavash/status/1035214806582747136","1035214806582747136")</f>
        <v>1035214806582747136</v>
      </c>
      <c r="F3186" s="10" t="s">
        <v>8607</v>
      </c>
      <c r="G3186" s="4"/>
      <c r="H3186" s="4"/>
      <c r="I3186" s="10" t="str">
        <f>HYPERLINK("http://twitter.com","Twitter Web Client")</f>
        <v>Twitter Web Client</v>
      </c>
      <c r="J3186" s="2">
        <v>288</v>
      </c>
      <c r="K3186" s="2">
        <v>230</v>
      </c>
      <c r="L3186" s="2">
        <v>87</v>
      </c>
      <c r="M3186" s="2"/>
      <c r="N3186" s="8">
        <v>41050.769884259258</v>
      </c>
      <c r="O3186" s="4"/>
      <c r="P3186" s="3" t="s">
        <v>3223</v>
      </c>
      <c r="Q3186" s="10" t="s">
        <v>3222</v>
      </c>
      <c r="R3186" s="4"/>
      <c r="S3186" s="9" t="str">
        <f>HYPERLINK("https://pbs.twimg.com/profile_images/821385868690751488/Qqe0I1Bk.jpg","View")</f>
        <v>View</v>
      </c>
    </row>
    <row r="3187" spans="1:19" ht="60">
      <c r="A3187" s="8">
        <v>43342.906296296293</v>
      </c>
      <c r="B3187" s="11" t="str">
        <f>HYPERLINK("https://twitter.com/amiralmasi25","@amiralmasi25")</f>
        <v>@amiralmasi25</v>
      </c>
      <c r="C3187" s="6" t="s">
        <v>8606</v>
      </c>
      <c r="D3187" s="5" t="s">
        <v>8605</v>
      </c>
      <c r="E3187" s="9" t="str">
        <f>HYPERLINK("https://twitter.com/amiralmasi25/status/1035214328931262465","1035214328931262465")</f>
        <v>1035214328931262465</v>
      </c>
      <c r="F3187" s="10" t="s">
        <v>8451</v>
      </c>
      <c r="G3187" s="10" t="s">
        <v>8450</v>
      </c>
      <c r="H3187" s="4"/>
      <c r="I3187" s="10" t="str">
        <f>HYPERLINK("http://twitter.com/download/iphone","Twitter for iPhone")</f>
        <v>Twitter for iPhone</v>
      </c>
      <c r="J3187" s="2">
        <v>321</v>
      </c>
      <c r="K3187" s="2">
        <v>1146</v>
      </c>
      <c r="L3187" s="2">
        <v>0</v>
      </c>
      <c r="M3187" s="2"/>
      <c r="N3187" s="8">
        <v>40975.695300925923</v>
      </c>
      <c r="O3187" s="4" t="s">
        <v>682</v>
      </c>
      <c r="P3187" s="3" t="s">
        <v>8604</v>
      </c>
      <c r="Q3187" s="10" t="s">
        <v>8603</v>
      </c>
      <c r="R3187" s="4"/>
      <c r="S3187" s="9" t="str">
        <f>HYPERLINK("https://pbs.twimg.com/profile_images/975051855683301377/_mPqbFtv.jpg","View")</f>
        <v>View</v>
      </c>
    </row>
    <row r="3188" spans="1:19" ht="30">
      <c r="A3188" s="8">
        <v>43342.90625</v>
      </c>
      <c r="B3188" s="11" t="str">
        <f>HYPERLINK("https://twitter.com/mahdi4012","@mahdi4012")</f>
        <v>@mahdi4012</v>
      </c>
      <c r="C3188" s="6" t="s">
        <v>584</v>
      </c>
      <c r="D3188" s="5" t="s">
        <v>8602</v>
      </c>
      <c r="E3188" s="9" t="str">
        <f>HYPERLINK("https://twitter.com/mahdi4012/status/1035214314997784581","1035214314997784581")</f>
        <v>1035214314997784581</v>
      </c>
      <c r="F3188" s="4"/>
      <c r="G3188" s="4"/>
      <c r="H3188" s="4"/>
      <c r="I3188" s="10" t="str">
        <f>HYPERLINK("http://twitter.com/download/android","Twitter for Android")</f>
        <v>Twitter for Android</v>
      </c>
      <c r="J3188" s="2">
        <v>146</v>
      </c>
      <c r="K3188" s="2">
        <v>529</v>
      </c>
      <c r="L3188" s="2">
        <v>1</v>
      </c>
      <c r="M3188" s="2"/>
      <c r="N3188" s="8">
        <v>42774.680902777778</v>
      </c>
      <c r="O3188" s="4" t="s">
        <v>17</v>
      </c>
      <c r="P3188" s="3" t="s">
        <v>8601</v>
      </c>
      <c r="Q3188" s="4"/>
      <c r="R3188" s="4"/>
      <c r="S3188" s="9" t="str">
        <f>HYPERLINK("https://pbs.twimg.com/profile_images/950213066498723841/bPr232s7.jpg","View")</f>
        <v>View</v>
      </c>
    </row>
    <row r="3189" spans="1:19" ht="40">
      <c r="A3189" s="8">
        <v>43342.904907407406</v>
      </c>
      <c r="B3189" s="11" t="str">
        <f>HYPERLINK("https://twitter.com/ali_pourhashemi","@ali_pourhashemi")</f>
        <v>@ali_pourhashemi</v>
      </c>
      <c r="C3189" s="6" t="s">
        <v>8600</v>
      </c>
      <c r="D3189" s="5" t="s">
        <v>8599</v>
      </c>
      <c r="E3189" s="9" t="str">
        <f>HYPERLINK("https://twitter.com/ali_pourhashemi/status/1035213825551867905","1035213825551867905")</f>
        <v>1035213825551867905</v>
      </c>
      <c r="F3189" s="4"/>
      <c r="G3189" s="10" t="s">
        <v>8598</v>
      </c>
      <c r="H3189" s="4"/>
      <c r="I3189" s="10" t="str">
        <f>HYPERLINK("http://twitter.com/download/android","Twitter for Android")</f>
        <v>Twitter for Android</v>
      </c>
      <c r="J3189" s="2">
        <v>177</v>
      </c>
      <c r="K3189" s="2">
        <v>394</v>
      </c>
      <c r="L3189" s="2">
        <v>0</v>
      </c>
      <c r="M3189" s="2"/>
      <c r="N3189" s="8">
        <v>41942.834502314814</v>
      </c>
      <c r="O3189" s="4"/>
      <c r="P3189" s="3" t="s">
        <v>8597</v>
      </c>
      <c r="Q3189" s="10" t="s">
        <v>8596</v>
      </c>
      <c r="R3189" s="4"/>
      <c r="S3189" s="9" t="str">
        <f>HYPERLINK("https://pbs.twimg.com/profile_images/911651465772531713/sYOJt6IZ.jpg","View")</f>
        <v>View</v>
      </c>
    </row>
    <row r="3190" spans="1:19" ht="12.5">
      <c r="A3190" s="8">
        <v>43342.902847222227</v>
      </c>
      <c r="B3190" s="11" t="str">
        <f>HYPERLINK("https://twitter.com/Aria_Prd","@Aria_Prd")</f>
        <v>@Aria_Prd</v>
      </c>
      <c r="C3190" s="6" t="s">
        <v>4534</v>
      </c>
      <c r="D3190" s="5" t="s">
        <v>8595</v>
      </c>
      <c r="E3190" s="9" t="str">
        <f>HYPERLINK("https://twitter.com/Aria_Prd/status/1035213082417672194","1035213082417672194")</f>
        <v>1035213082417672194</v>
      </c>
      <c r="F3190" s="4"/>
      <c r="G3190" s="10" t="s">
        <v>8594</v>
      </c>
      <c r="H3190" s="4"/>
      <c r="I3190" s="10" t="str">
        <f>HYPERLINK("http://twitter.com/download/android","Twitter for Android")</f>
        <v>Twitter for Android</v>
      </c>
      <c r="J3190" s="2">
        <v>3231</v>
      </c>
      <c r="K3190" s="2">
        <v>2765</v>
      </c>
      <c r="L3190" s="2">
        <v>1</v>
      </c>
      <c r="M3190" s="2"/>
      <c r="N3190" s="8">
        <v>42948.438657407409</v>
      </c>
      <c r="O3190" s="4"/>
      <c r="P3190" s="3" t="s">
        <v>4532</v>
      </c>
      <c r="Q3190" s="4"/>
      <c r="R3190" s="4"/>
      <c r="S3190" s="9" t="str">
        <f>HYPERLINK("https://pbs.twimg.com/profile_images/1032002356299395072/2weycQcH.jpg","View")</f>
        <v>View</v>
      </c>
    </row>
    <row r="3191" spans="1:19" ht="80">
      <c r="A3191" s="8">
        <v>43342.900960648149</v>
      </c>
      <c r="B3191" s="11" t="str">
        <f>HYPERLINK("https://twitter.com/KianpourAlireza","@KianpourAlireza")</f>
        <v>@KianpourAlireza</v>
      </c>
      <c r="C3191" s="6" t="s">
        <v>7343</v>
      </c>
      <c r="D3191" s="5" t="s">
        <v>8593</v>
      </c>
      <c r="E3191" s="9" t="str">
        <f>HYPERLINK("https://twitter.com/KianpourAlireza/status/1035212395914903552","1035212395914903552")</f>
        <v>1035212395914903552</v>
      </c>
      <c r="F3191" s="10" t="s">
        <v>8030</v>
      </c>
      <c r="G3191" s="10" t="s">
        <v>7580</v>
      </c>
      <c r="H3191" s="4"/>
      <c r="I3191" s="10" t="str">
        <f>HYPERLINK("http://twitter.com","Twitter Web Client")</f>
        <v>Twitter Web Client</v>
      </c>
      <c r="J3191" s="2">
        <v>8802</v>
      </c>
      <c r="K3191" s="2">
        <v>1181</v>
      </c>
      <c r="L3191" s="2">
        <v>44</v>
      </c>
      <c r="M3191" s="2"/>
      <c r="N3191" s="8">
        <v>42200.033715277779</v>
      </c>
      <c r="O3191" s="4" t="s">
        <v>133</v>
      </c>
      <c r="P3191" s="3" t="s">
        <v>7339</v>
      </c>
      <c r="Q3191" s="10" t="s">
        <v>7338</v>
      </c>
      <c r="R3191" s="4"/>
      <c r="S3191" s="9" t="str">
        <f>HYPERLINK("https://pbs.twimg.com/profile_images/921850258757431296/8DcEogQz.jpg","View")</f>
        <v>View</v>
      </c>
    </row>
    <row r="3192" spans="1:19" ht="40">
      <c r="A3192" s="8">
        <v>43342.887662037036</v>
      </c>
      <c r="B3192" s="11" t="str">
        <f>HYPERLINK("https://twitter.com/hasanasadiz","@hasanasadiz")</f>
        <v>@hasanasadiz</v>
      </c>
      <c r="C3192" s="6" t="s">
        <v>4572</v>
      </c>
      <c r="D3192" s="5" t="s">
        <v>8592</v>
      </c>
      <c r="E3192" s="9" t="str">
        <f>HYPERLINK("https://twitter.com/hasanasadiz/status/1035207576248614912","1035207576248614912")</f>
        <v>1035207576248614912</v>
      </c>
      <c r="F3192" s="4"/>
      <c r="G3192" s="10" t="s">
        <v>8591</v>
      </c>
      <c r="H3192" s="4"/>
      <c r="I3192" s="10" t="str">
        <f>HYPERLINK("http://twitter.com/download/iphone","Twitter for iPhone")</f>
        <v>Twitter for iPhone</v>
      </c>
      <c r="J3192" s="2">
        <v>22499</v>
      </c>
      <c r="K3192" s="2">
        <v>208</v>
      </c>
      <c r="L3192" s="2">
        <v>90</v>
      </c>
      <c r="M3192" s="2"/>
      <c r="N3192" s="8">
        <v>42248.669837962967</v>
      </c>
      <c r="O3192" s="4" t="s">
        <v>133</v>
      </c>
      <c r="P3192" s="3" t="s">
        <v>4569</v>
      </c>
      <c r="Q3192" s="4"/>
      <c r="R3192" s="4"/>
      <c r="S3192" s="9" t="str">
        <f>HYPERLINK("https://pbs.twimg.com/profile_images/1013062048517902336/7FeFKwKA.jpg","View")</f>
        <v>View</v>
      </c>
    </row>
    <row r="3193" spans="1:19" ht="40">
      <c r="A3193" s="8">
        <v>43342.886053240742</v>
      </c>
      <c r="B3193" s="11" t="str">
        <f>HYPERLINK("https://twitter.com/kaambees","@kaambees")</f>
        <v>@kaambees</v>
      </c>
      <c r="C3193" s="6" t="s">
        <v>1793</v>
      </c>
      <c r="D3193" s="5" t="s">
        <v>8590</v>
      </c>
      <c r="E3193" s="9" t="str">
        <f>HYPERLINK("https://twitter.com/kaambees/status/1035206996633575424","1035206996633575424")</f>
        <v>1035206996633575424</v>
      </c>
      <c r="F3193" s="4"/>
      <c r="G3193" s="4"/>
      <c r="H3193" s="4"/>
      <c r="I3193" s="10" t="str">
        <f>HYPERLINK("http://twitter.com","Twitter Web Client")</f>
        <v>Twitter Web Client</v>
      </c>
      <c r="J3193" s="2">
        <v>403</v>
      </c>
      <c r="K3193" s="2">
        <v>426</v>
      </c>
      <c r="L3193" s="2">
        <v>0</v>
      </c>
      <c r="M3193" s="2"/>
      <c r="N3193" s="8">
        <v>43130.005543981482</v>
      </c>
      <c r="O3193" s="4"/>
      <c r="P3193" s="3" t="s">
        <v>8589</v>
      </c>
      <c r="Q3193" s="4"/>
      <c r="R3193" s="4"/>
      <c r="S3193" s="9" t="str">
        <f>HYPERLINK("https://pbs.twimg.com/profile_images/1034824406323744769/bHeyxCBD.jpg","View")</f>
        <v>View</v>
      </c>
    </row>
    <row r="3194" spans="1:19" ht="40">
      <c r="A3194" s="8">
        <v>43342.885983796295</v>
      </c>
      <c r="B3194" s="11" t="str">
        <f>HYPERLINK("https://twitter.com/mahdii_58","@mahdii_58")</f>
        <v>@mahdii_58</v>
      </c>
      <c r="C3194" s="6" t="s">
        <v>395</v>
      </c>
      <c r="D3194" s="5" t="s">
        <v>8588</v>
      </c>
      <c r="E3194" s="9" t="str">
        <f>HYPERLINK("https://twitter.com/mahdii_58/status/1035206970234400769","1035206970234400769")</f>
        <v>1035206970234400769</v>
      </c>
      <c r="F3194" s="4"/>
      <c r="G3194" s="4"/>
      <c r="H3194" s="4"/>
      <c r="I3194" s="10" t="str">
        <f>HYPERLINK("http://twitter.com","Twitter Web Client")</f>
        <v>Twitter Web Client</v>
      </c>
      <c r="J3194" s="2">
        <v>344</v>
      </c>
      <c r="K3194" s="2">
        <v>640</v>
      </c>
      <c r="L3194" s="2">
        <v>2</v>
      </c>
      <c r="M3194" s="2"/>
      <c r="N3194" s="8">
        <v>42894.222337962958</v>
      </c>
      <c r="O3194" s="4" t="s">
        <v>34</v>
      </c>
      <c r="P3194" s="3"/>
      <c r="Q3194" s="4"/>
      <c r="R3194" s="4"/>
      <c r="S3194" s="9" t="str">
        <f>HYPERLINK("https://pbs.twimg.com/profile_images/948614670155329537/GlFbvBfd.jpg","View")</f>
        <v>View</v>
      </c>
    </row>
    <row r="3195" spans="1:19" ht="40">
      <c r="A3195" s="8">
        <v>43342.879942129628</v>
      </c>
      <c r="B3195" s="11" t="str">
        <f>HYPERLINK("https://twitter.com/RafatiSiavash","@RafatiSiavash")</f>
        <v>@RafatiSiavash</v>
      </c>
      <c r="C3195" s="6" t="s">
        <v>3226</v>
      </c>
      <c r="D3195" s="5" t="s">
        <v>8587</v>
      </c>
      <c r="E3195" s="9" t="str">
        <f>HYPERLINK("https://twitter.com/RafatiSiavash/status/1035204779440529410","1035204779440529410")</f>
        <v>1035204779440529410</v>
      </c>
      <c r="F3195" s="10" t="s">
        <v>8586</v>
      </c>
      <c r="G3195" s="4"/>
      <c r="H3195" s="4"/>
      <c r="I3195" s="10" t="str">
        <f>HYPERLINK("http://twitter.com","Twitter Web Client")</f>
        <v>Twitter Web Client</v>
      </c>
      <c r="J3195" s="2">
        <v>287</v>
      </c>
      <c r="K3195" s="2">
        <v>230</v>
      </c>
      <c r="L3195" s="2">
        <v>87</v>
      </c>
      <c r="M3195" s="2"/>
      <c r="N3195" s="8">
        <v>41050.769884259258</v>
      </c>
      <c r="O3195" s="4"/>
      <c r="P3195" s="3" t="s">
        <v>3223</v>
      </c>
      <c r="Q3195" s="10" t="s">
        <v>3222</v>
      </c>
      <c r="R3195" s="4"/>
      <c r="S3195" s="9" t="str">
        <f>HYPERLINK("https://pbs.twimg.com/profile_images/821385868690751488/Qqe0I1Bk.jpg","View")</f>
        <v>View</v>
      </c>
    </row>
    <row r="3196" spans="1:19" ht="30">
      <c r="A3196" s="8">
        <v>43342.879826388889</v>
      </c>
      <c r="B3196" s="11" t="str">
        <f>HYPERLINK("https://twitter.com/mr_gharesoori","@mr_gharesoori")</f>
        <v>@mr_gharesoori</v>
      </c>
      <c r="C3196" s="6" t="s">
        <v>8585</v>
      </c>
      <c r="D3196" s="5" t="s">
        <v>8584</v>
      </c>
      <c r="E3196" s="9" t="str">
        <f>HYPERLINK("https://twitter.com/mr_gharesoori/status/1035204740244750343","1035204740244750343")</f>
        <v>1035204740244750343</v>
      </c>
      <c r="F3196" s="4"/>
      <c r="G3196" s="4"/>
      <c r="H3196" s="4"/>
      <c r="I3196" s="10" t="str">
        <f>HYPERLINK("http://twitter.com/download/android","Twitter for Android")</f>
        <v>Twitter for Android</v>
      </c>
      <c r="J3196" s="2">
        <v>189</v>
      </c>
      <c r="K3196" s="2">
        <v>240</v>
      </c>
      <c r="L3196" s="2">
        <v>1</v>
      </c>
      <c r="M3196" s="2"/>
      <c r="N3196" s="8">
        <v>43232.903703703705</v>
      </c>
      <c r="O3196" s="4"/>
      <c r="P3196" s="3" t="s">
        <v>8583</v>
      </c>
      <c r="Q3196" s="4"/>
      <c r="R3196" s="4"/>
      <c r="S3196" s="9" t="str">
        <f>HYPERLINK("https://pbs.twimg.com/profile_images/1015927234345959424/g2WP-SDu.jpg","View")</f>
        <v>View</v>
      </c>
    </row>
    <row r="3197" spans="1:19" ht="20">
      <c r="A3197" s="8">
        <v>43342.877766203703</v>
      </c>
      <c r="B3197" s="11" t="str">
        <f>HYPERLINK("https://twitter.com/mrnobodyhastam","@mrnobodyhastam")</f>
        <v>@mrnobodyhastam</v>
      </c>
      <c r="C3197" s="6" t="s">
        <v>8582</v>
      </c>
      <c r="D3197" s="5" t="s">
        <v>8581</v>
      </c>
      <c r="E3197" s="9" t="str">
        <f>HYPERLINK("https://twitter.com/mrnobodyhastam/status/1035203992333168642","1035203992333168642")</f>
        <v>1035203992333168642</v>
      </c>
      <c r="F3197" s="4"/>
      <c r="G3197" s="4"/>
      <c r="H3197" s="4"/>
      <c r="I3197" s="10" t="str">
        <f>HYPERLINK("http://twitter.com/download/iphone","Twitter for iPhone")</f>
        <v>Twitter for iPhone</v>
      </c>
      <c r="J3197" s="2">
        <v>311</v>
      </c>
      <c r="K3197" s="2">
        <v>935</v>
      </c>
      <c r="L3197" s="2">
        <v>0</v>
      </c>
      <c r="M3197" s="2"/>
      <c r="N3197" s="8">
        <v>43103.06858796296</v>
      </c>
      <c r="O3197" s="4" t="s">
        <v>743</v>
      </c>
      <c r="P3197" s="3" t="s">
        <v>7915</v>
      </c>
      <c r="Q3197" s="4"/>
      <c r="R3197" s="4"/>
      <c r="S3197" s="9" t="str">
        <f>HYPERLINK("https://pbs.twimg.com/profile_images/1034296370532737024/_eSdzFh8.jpg","View")</f>
        <v>View</v>
      </c>
    </row>
    <row r="3198" spans="1:19" ht="40">
      <c r="A3198" s="8">
        <v>43342.87222222222</v>
      </c>
      <c r="B3198" s="11" t="str">
        <f>HYPERLINK("https://twitter.com/roushan1355","@roushan1355")</f>
        <v>@roushan1355</v>
      </c>
      <c r="C3198" s="6" t="s">
        <v>3689</v>
      </c>
      <c r="D3198" s="5" t="s">
        <v>8580</v>
      </c>
      <c r="E3198" s="9" t="str">
        <f>HYPERLINK("https://twitter.com/roushan1355/status/1035201983827914753","1035201983827914753")</f>
        <v>1035201983827914753</v>
      </c>
      <c r="F3198" s="4"/>
      <c r="G3198" s="4"/>
      <c r="H3198" s="4"/>
      <c r="I3198" s="10" t="str">
        <f>HYPERLINK("http://twitter.com/download/android","Twitter for Android")</f>
        <v>Twitter for Android</v>
      </c>
      <c r="J3198" s="2">
        <v>28</v>
      </c>
      <c r="K3198" s="2">
        <v>2</v>
      </c>
      <c r="L3198" s="2">
        <v>0</v>
      </c>
      <c r="M3198" s="2"/>
      <c r="N3198" s="8">
        <v>43115.077233796299</v>
      </c>
      <c r="O3198" s="4"/>
      <c r="P3198" s="3" t="s">
        <v>3687</v>
      </c>
      <c r="Q3198" s="4"/>
      <c r="R3198" s="4"/>
      <c r="S3198" s="9" t="str">
        <f>HYPERLINK("https://pbs.twimg.com/profile_images/1011494810727911427/aE8nO6RI.jpg","View")</f>
        <v>View</v>
      </c>
    </row>
    <row r="3199" spans="1:19" ht="30">
      <c r="A3199" s="8">
        <v>43342.871238425927</v>
      </c>
      <c r="B3199" s="11" t="str">
        <f>HYPERLINK("https://twitter.com/SadeghShahmoha1","@SadeghShahmoha1")</f>
        <v>@SadeghShahmoha1</v>
      </c>
      <c r="C3199" s="6" t="s">
        <v>8579</v>
      </c>
      <c r="D3199" s="5" t="s">
        <v>8578</v>
      </c>
      <c r="E3199" s="9" t="str">
        <f>HYPERLINK("https://twitter.com/SadeghShahmoha1/status/1035201627676913664","1035201627676913664")</f>
        <v>1035201627676913664</v>
      </c>
      <c r="F3199" s="4"/>
      <c r="G3199" s="4"/>
      <c r="H3199" s="4"/>
      <c r="I3199" s="10" t="str">
        <f>HYPERLINK("http://twitter.com/download/android","Twitter for Android")</f>
        <v>Twitter for Android</v>
      </c>
      <c r="J3199" s="2">
        <v>204</v>
      </c>
      <c r="K3199" s="2">
        <v>488</v>
      </c>
      <c r="L3199" s="2">
        <v>1</v>
      </c>
      <c r="M3199" s="2"/>
      <c r="N3199" s="8">
        <v>42846.800347222219</v>
      </c>
      <c r="O3199" s="4" t="s">
        <v>8577</v>
      </c>
      <c r="P3199" s="3" t="s">
        <v>8576</v>
      </c>
      <c r="Q3199" s="4"/>
      <c r="R3199" s="4"/>
      <c r="S3199" s="9" t="str">
        <f>HYPERLINK("https://pbs.twimg.com/profile_images/1018993077162299403/SXrDgSn0.jpg","View")</f>
        <v>View</v>
      </c>
    </row>
    <row r="3200" spans="1:19" ht="50">
      <c r="A3200" s="8">
        <v>43342.86513888889</v>
      </c>
      <c r="B3200" s="11" t="str">
        <f>HYPERLINK("https://twitter.com/roushan1355","@roushan1355")</f>
        <v>@roushan1355</v>
      </c>
      <c r="C3200" s="6" t="s">
        <v>3689</v>
      </c>
      <c r="D3200" s="5" t="s">
        <v>8575</v>
      </c>
      <c r="E3200" s="9" t="str">
        <f>HYPERLINK("https://twitter.com/roushan1355/status/1035199414514659328","1035199414514659328")</f>
        <v>1035199414514659328</v>
      </c>
      <c r="F3200" s="4"/>
      <c r="G3200" s="4"/>
      <c r="H3200" s="4"/>
      <c r="I3200" s="10" t="str">
        <f>HYPERLINK("http://twitter.com/download/android","Twitter for Android")</f>
        <v>Twitter for Android</v>
      </c>
      <c r="J3200" s="2">
        <v>28</v>
      </c>
      <c r="K3200" s="2">
        <v>2</v>
      </c>
      <c r="L3200" s="2">
        <v>0</v>
      </c>
      <c r="M3200" s="2"/>
      <c r="N3200" s="8">
        <v>43115.077233796299</v>
      </c>
      <c r="O3200" s="4"/>
      <c r="P3200" s="3" t="s">
        <v>3687</v>
      </c>
      <c r="Q3200" s="4"/>
      <c r="R3200" s="4"/>
      <c r="S3200" s="9" t="str">
        <f>HYPERLINK("https://pbs.twimg.com/profile_images/1011494810727911427/aE8nO6RI.jpg","View")</f>
        <v>View</v>
      </c>
    </row>
    <row r="3201" spans="1:19" ht="60">
      <c r="A3201" s="8">
        <v>43342.862199074079</v>
      </c>
      <c r="B3201" s="11" t="str">
        <f>HYPERLINK("https://twitter.com/yekiroboti","@yekiroboti")</f>
        <v>@yekiroboti</v>
      </c>
      <c r="C3201" s="6" t="s">
        <v>8574</v>
      </c>
      <c r="D3201" s="5" t="s">
        <v>8573</v>
      </c>
      <c r="E3201" s="9" t="str">
        <f>HYPERLINK("https://twitter.com/yekiroboti/status/1035198352672153600","1035198352672153600")</f>
        <v>1035198352672153600</v>
      </c>
      <c r="F3201" s="10" t="s">
        <v>8572</v>
      </c>
      <c r="G3201" s="4"/>
      <c r="H3201" s="4"/>
      <c r="I3201" s="10" t="str">
        <f>HYPERLINK("http://twitter.com/download/iphone","Twitter for iPhone")</f>
        <v>Twitter for iPhone</v>
      </c>
      <c r="J3201" s="2">
        <v>2378</v>
      </c>
      <c r="K3201" s="2">
        <v>406</v>
      </c>
      <c r="L3201" s="2">
        <v>7</v>
      </c>
      <c r="M3201" s="2"/>
      <c r="N3201" s="8">
        <v>43112.524270833332</v>
      </c>
      <c r="O3201" s="4" t="s">
        <v>8571</v>
      </c>
      <c r="P3201" s="3" t="s">
        <v>8570</v>
      </c>
      <c r="Q3201" s="4"/>
      <c r="R3201" s="4"/>
      <c r="S3201" s="9" t="str">
        <f>HYPERLINK("https://pbs.twimg.com/profile_images/1020916416114036736/GabX-UZF.jpg","View")</f>
        <v>View</v>
      </c>
    </row>
    <row r="3202" spans="1:19" ht="20">
      <c r="A3202" s="8">
        <v>43342.858900462961</v>
      </c>
      <c r="B3202" s="11" t="str">
        <f>HYPERLINK("https://twitter.com/SaharGRI","@SaharGRI")</f>
        <v>@SaharGRI</v>
      </c>
      <c r="C3202" s="6" t="s">
        <v>382</v>
      </c>
      <c r="D3202" s="5" t="s">
        <v>8569</v>
      </c>
      <c r="E3202" s="9" t="str">
        <f>HYPERLINK("https://twitter.com/SaharGRI/status/1035197153365446656","1035197153365446656")</f>
        <v>1035197153365446656</v>
      </c>
      <c r="F3202" s="4"/>
      <c r="G3202" s="10" t="s">
        <v>8568</v>
      </c>
      <c r="H3202" s="4"/>
      <c r="I3202" s="10" t="str">
        <f>HYPERLINK("http://twitter.com/download/android","Twitter for Android")</f>
        <v>Twitter for Android</v>
      </c>
      <c r="J3202" s="2">
        <v>1292</v>
      </c>
      <c r="K3202" s="2">
        <v>788</v>
      </c>
      <c r="L3202" s="2">
        <v>3</v>
      </c>
      <c r="M3202" s="2"/>
      <c r="N3202" s="8">
        <v>43276.87164351852</v>
      </c>
      <c r="O3202" s="4" t="s">
        <v>380</v>
      </c>
      <c r="P3202" s="3" t="s">
        <v>379</v>
      </c>
      <c r="Q3202" s="4"/>
      <c r="R3202" s="4"/>
      <c r="S3202" s="9" t="str">
        <f>HYPERLINK("https://pbs.twimg.com/profile_images/1015258182388723712/L63KbuOO.jpg","View")</f>
        <v>View</v>
      </c>
    </row>
    <row r="3203" spans="1:19" ht="30">
      <c r="A3203" s="8">
        <v>43342.855011574073</v>
      </c>
      <c r="B3203" s="11" t="str">
        <f>HYPERLINK("https://twitter.com/AbolfazlNorani","@AbolfazlNorani")</f>
        <v>@AbolfazlNorani</v>
      </c>
      <c r="C3203" s="6" t="s">
        <v>7868</v>
      </c>
      <c r="D3203" s="5" t="s">
        <v>8567</v>
      </c>
      <c r="E3203" s="9" t="str">
        <f>HYPERLINK("https://twitter.com/AbolfazlNorani/status/1035195744184139779","1035195744184139779")</f>
        <v>1035195744184139779</v>
      </c>
      <c r="F3203" s="4"/>
      <c r="G3203" s="4"/>
      <c r="H3203" s="4"/>
      <c r="I3203" s="10" t="str">
        <f>HYPERLINK("http://twitter.com/download/android","Twitter for Android")</f>
        <v>Twitter for Android</v>
      </c>
      <c r="J3203" s="2">
        <v>2548</v>
      </c>
      <c r="K3203" s="2">
        <v>2668</v>
      </c>
      <c r="L3203" s="2">
        <v>2</v>
      </c>
      <c r="M3203" s="2"/>
      <c r="N3203" s="8">
        <v>43026.637858796297</v>
      </c>
      <c r="O3203" s="4" t="s">
        <v>25</v>
      </c>
      <c r="P3203" s="3" t="s">
        <v>7865</v>
      </c>
      <c r="Q3203" s="4"/>
      <c r="R3203" s="4"/>
      <c r="S3203" s="9" t="str">
        <f>HYPERLINK("https://pbs.twimg.com/profile_images/1002500864052023296/pJV9Q-5L.jpg","View")</f>
        <v>View</v>
      </c>
    </row>
    <row r="3204" spans="1:19" ht="20">
      <c r="A3204" s="8">
        <v>43342.852187500001</v>
      </c>
      <c r="B3204" s="11" t="str">
        <f>HYPERLINK("https://twitter.com/SPakroo","@SPakroo")</f>
        <v>@SPakroo</v>
      </c>
      <c r="C3204" s="6" t="s">
        <v>4824</v>
      </c>
      <c r="D3204" s="5" t="s">
        <v>8566</v>
      </c>
      <c r="E3204" s="9" t="str">
        <f>HYPERLINK("https://twitter.com/SPakroo/status/1035194721868468225","1035194721868468225")</f>
        <v>1035194721868468225</v>
      </c>
      <c r="F3204" s="4"/>
      <c r="G3204" s="4"/>
      <c r="H3204" s="4"/>
      <c r="I3204" s="10" t="str">
        <f>HYPERLINK("http://twitter.com","Twitter Web Client")</f>
        <v>Twitter Web Client</v>
      </c>
      <c r="J3204" s="2">
        <v>8</v>
      </c>
      <c r="K3204" s="2">
        <v>25</v>
      </c>
      <c r="L3204" s="2">
        <v>0</v>
      </c>
      <c r="M3204" s="2"/>
      <c r="N3204" s="8">
        <v>43310.822800925926</v>
      </c>
      <c r="O3204" s="4"/>
      <c r="P3204" s="3"/>
      <c r="Q3204" s="4"/>
      <c r="R3204" s="4"/>
      <c r="S3204" s="9" t="str">
        <f>HYPERLINK("https://pbs.twimg.com/profile_images/1026468958969331713/pXihc-bs.jpg","View")</f>
        <v>View</v>
      </c>
    </row>
    <row r="3205" spans="1:19" ht="40">
      <c r="A3205" s="8">
        <v>43342.849976851852</v>
      </c>
      <c r="B3205" s="11" t="str">
        <f>HYPERLINK("https://twitter.com/pahlbod98","@pahlbod98")</f>
        <v>@pahlbod98</v>
      </c>
      <c r="C3205" s="6" t="s">
        <v>8565</v>
      </c>
      <c r="D3205" s="5" t="s">
        <v>8564</v>
      </c>
      <c r="E3205" s="9" t="str">
        <f>HYPERLINK("https://twitter.com/pahlbod98/status/1035193921796591616","1035193921796591616")</f>
        <v>1035193921796591616</v>
      </c>
      <c r="F3205" s="4"/>
      <c r="G3205" s="4"/>
      <c r="H3205" s="4"/>
      <c r="I3205" s="10" t="str">
        <f>HYPERLINK("http://twitter.com/download/iphone","Twitter for iPhone")</f>
        <v>Twitter for iPhone</v>
      </c>
      <c r="J3205" s="2">
        <v>11</v>
      </c>
      <c r="K3205" s="2">
        <v>55</v>
      </c>
      <c r="L3205" s="2">
        <v>0</v>
      </c>
      <c r="M3205" s="2"/>
      <c r="N3205" s="8">
        <v>40253.962500000001</v>
      </c>
      <c r="O3205" s="4" t="s">
        <v>34</v>
      </c>
      <c r="P3205" s="3" t="s">
        <v>8563</v>
      </c>
      <c r="Q3205" s="4"/>
      <c r="R3205" s="4"/>
      <c r="S3205" s="9" t="str">
        <f>HYPERLINK("https://pbs.twimg.com/profile_images/1035099241809694720/yy3TDOJu.jpg","View")</f>
        <v>View</v>
      </c>
    </row>
    <row r="3206" spans="1:19" ht="40">
      <c r="A3206" s="8">
        <v>43342.848090277781</v>
      </c>
      <c r="B3206" s="11" t="str">
        <f>HYPERLINK("https://twitter.com/APourezzat","@APourezzat")</f>
        <v>@APourezzat</v>
      </c>
      <c r="C3206" s="6" t="s">
        <v>8562</v>
      </c>
      <c r="D3206" s="5" t="s">
        <v>8561</v>
      </c>
      <c r="E3206" s="9" t="str">
        <f>HYPERLINK("https://twitter.com/APourezzat/status/1035193236216795136","1035193236216795136")</f>
        <v>1035193236216795136</v>
      </c>
      <c r="F3206" s="4"/>
      <c r="G3206" s="4"/>
      <c r="H3206" s="4"/>
      <c r="I3206" s="10" t="str">
        <f>HYPERLINK("http://twitter.com/download/iphone","Twitter for iPhone")</f>
        <v>Twitter for iPhone</v>
      </c>
      <c r="J3206" s="2">
        <v>27</v>
      </c>
      <c r="K3206" s="2">
        <v>32</v>
      </c>
      <c r="L3206" s="2">
        <v>0</v>
      </c>
      <c r="M3206" s="2"/>
      <c r="N3206" s="8">
        <v>43307.963275462964</v>
      </c>
      <c r="O3206" s="4"/>
      <c r="P3206" s="3" t="s">
        <v>8560</v>
      </c>
      <c r="Q3206" s="4"/>
      <c r="R3206" s="4"/>
      <c r="S3206" s="9" t="str">
        <f>HYPERLINK("https://pbs.twimg.com/profile_images/1030766345653297152/t_OIYE-K.jpg","View")</f>
        <v>View</v>
      </c>
    </row>
    <row r="3207" spans="1:19" ht="30">
      <c r="A3207" s="8">
        <v>43342.844629629632</v>
      </c>
      <c r="B3207" s="11" t="str">
        <f>HYPERLINK("https://twitter.com/AkhbarFori","@AkhbarFori")</f>
        <v>@AkhbarFori</v>
      </c>
      <c r="C3207" s="6" t="s">
        <v>703</v>
      </c>
      <c r="D3207" s="5" t="s">
        <v>8559</v>
      </c>
      <c r="E3207" s="9" t="str">
        <f>HYPERLINK("https://twitter.com/AkhbarFori/status/1035191983168471040","1035191983168471040")</f>
        <v>1035191983168471040</v>
      </c>
      <c r="F3207" s="4"/>
      <c r="G3207" s="4"/>
      <c r="H3207" s="4"/>
      <c r="I3207" s="10" t="str">
        <f>HYPERLINK("http://twitter.com/download/android","Twitter for Android")</f>
        <v>Twitter for Android</v>
      </c>
      <c r="J3207" s="2">
        <v>2280</v>
      </c>
      <c r="K3207" s="2">
        <v>56</v>
      </c>
      <c r="L3207" s="2">
        <v>10</v>
      </c>
      <c r="M3207" s="2"/>
      <c r="N3207" s="8">
        <v>42681.433865740742</v>
      </c>
      <c r="O3207" s="4" t="s">
        <v>34</v>
      </c>
      <c r="P3207" s="3" t="s">
        <v>700</v>
      </c>
      <c r="Q3207" s="10" t="s">
        <v>699</v>
      </c>
      <c r="R3207" s="4"/>
      <c r="S3207" s="9" t="str">
        <f>HYPERLINK("https://pbs.twimg.com/profile_images/966310274599964674/M_bW7CfD.jpg","View")</f>
        <v>View</v>
      </c>
    </row>
    <row r="3208" spans="1:19" ht="30">
      <c r="A3208" s="8">
        <v>43342.827916666662</v>
      </c>
      <c r="B3208" s="11" t="str">
        <f>HYPERLINK("https://twitter.com/sadekk12","@sadekk12")</f>
        <v>@sadekk12</v>
      </c>
      <c r="C3208" s="6" t="s">
        <v>8558</v>
      </c>
      <c r="D3208" s="5" t="s">
        <v>8180</v>
      </c>
      <c r="E3208" s="9" t="str">
        <f>HYPERLINK("https://twitter.com/sadekk12/status/1035185926379585536","1035185926379585536")</f>
        <v>1035185926379585536</v>
      </c>
      <c r="F3208" s="4"/>
      <c r="G3208" s="10" t="s">
        <v>8557</v>
      </c>
      <c r="H3208" s="4"/>
      <c r="I3208" s="10" t="str">
        <f>HYPERLINK("http://twitter.com/download/iphone","Twitter for iPhone")</f>
        <v>Twitter for iPhone</v>
      </c>
      <c r="J3208" s="2">
        <v>1231</v>
      </c>
      <c r="K3208" s="2">
        <v>2517</v>
      </c>
      <c r="L3208" s="2">
        <v>6</v>
      </c>
      <c r="M3208" s="2"/>
      <c r="N3208" s="8">
        <v>42085.653124999997</v>
      </c>
      <c r="O3208" s="4"/>
      <c r="P3208" s="3" t="s">
        <v>8556</v>
      </c>
      <c r="Q3208" s="4"/>
      <c r="R3208" s="4"/>
      <c r="S3208" s="9" t="str">
        <f>HYPERLINK("https://pbs.twimg.com/profile_images/632290067940139008/aku4rn9G.jpg","View")</f>
        <v>View</v>
      </c>
    </row>
    <row r="3209" spans="1:19" ht="20">
      <c r="A3209" s="8">
        <v>43342.827326388884</v>
      </c>
      <c r="B3209" s="11" t="str">
        <f>HYPERLINK("https://twitter.com/cyberman63","@cyberman63")</f>
        <v>@cyberman63</v>
      </c>
      <c r="C3209" s="6" t="s">
        <v>8555</v>
      </c>
      <c r="D3209" s="5" t="s">
        <v>8554</v>
      </c>
      <c r="E3209" s="9" t="str">
        <f>HYPERLINK("https://twitter.com/cyberman63/status/1035185714667900929","1035185714667900929")</f>
        <v>1035185714667900929</v>
      </c>
      <c r="F3209" s="4"/>
      <c r="G3209" s="4"/>
      <c r="H3209" s="4"/>
      <c r="I3209" s="10" t="str">
        <f>HYPERLINK("http://twitter.com/download/android","Twitter for Android")</f>
        <v>Twitter for Android</v>
      </c>
      <c r="J3209" s="2">
        <v>1288</v>
      </c>
      <c r="K3209" s="2">
        <v>3657</v>
      </c>
      <c r="L3209" s="2">
        <v>1</v>
      </c>
      <c r="M3209" s="2"/>
      <c r="N3209" s="8">
        <v>42982.073379629626</v>
      </c>
      <c r="O3209" s="4" t="s">
        <v>8553</v>
      </c>
      <c r="P3209" s="3" t="s">
        <v>8552</v>
      </c>
      <c r="Q3209" s="10" t="s">
        <v>8551</v>
      </c>
      <c r="R3209" s="4"/>
      <c r="S3209" s="9" t="str">
        <f>HYPERLINK("https://pbs.twimg.com/profile_images/1024230137691287552/WpFDNsI-.jpg","View")</f>
        <v>View</v>
      </c>
    </row>
    <row r="3210" spans="1:19" ht="20">
      <c r="A3210" s="8">
        <v>43342.823506944449</v>
      </c>
      <c r="B3210" s="11" t="str">
        <f>HYPERLINK("https://twitter.com/Baharin_777","@Baharin_777")</f>
        <v>@Baharin_777</v>
      </c>
      <c r="C3210" s="6" t="s">
        <v>8550</v>
      </c>
      <c r="D3210" s="5" t="s">
        <v>8549</v>
      </c>
      <c r="E3210" s="9" t="str">
        <f>HYPERLINK("https://twitter.com/Baharin_777/status/1035184327963955200","1035184327963955200")</f>
        <v>1035184327963955200</v>
      </c>
      <c r="F3210" s="4"/>
      <c r="G3210" s="4"/>
      <c r="H3210" s="4"/>
      <c r="I3210" s="10" t="str">
        <f>HYPERLINK("http://twitter.com/download/android","Twitter for Android")</f>
        <v>Twitter for Android</v>
      </c>
      <c r="J3210" s="2">
        <v>7484</v>
      </c>
      <c r="K3210" s="2">
        <v>6375</v>
      </c>
      <c r="L3210" s="2">
        <v>11</v>
      </c>
      <c r="M3210" s="2"/>
      <c r="N3210" s="8">
        <v>43247.579861111109</v>
      </c>
      <c r="O3210" s="4" t="s">
        <v>8548</v>
      </c>
      <c r="P3210" s="3" t="s">
        <v>8547</v>
      </c>
      <c r="Q3210" s="10" t="s">
        <v>8546</v>
      </c>
      <c r="R3210" s="4"/>
      <c r="S3210" s="9" t="str">
        <f>HYPERLINK("https://pbs.twimg.com/profile_images/1002137080812589058/qTytyHlU.jpg","View")</f>
        <v>View</v>
      </c>
    </row>
    <row r="3211" spans="1:19" ht="30">
      <c r="A3211" s="8">
        <v>43342.82094907407</v>
      </c>
      <c r="B3211" s="11" t="str">
        <f>HYPERLINK("https://twitter.com/arbabfereydoun","@arbabfereydoun")</f>
        <v>@arbabfereydoun</v>
      </c>
      <c r="C3211" s="6" t="s">
        <v>8545</v>
      </c>
      <c r="D3211" s="5" t="s">
        <v>8544</v>
      </c>
      <c r="E3211" s="9" t="str">
        <f>HYPERLINK("https://twitter.com/arbabfereydoun/status/1035183402570272769","1035183402570272769")</f>
        <v>1035183402570272769</v>
      </c>
      <c r="F3211" s="4"/>
      <c r="G3211" s="4"/>
      <c r="H3211" s="4"/>
      <c r="I3211" s="10" t="str">
        <f>HYPERLINK("http://twitter.com/download/android","Twitter for Android")</f>
        <v>Twitter for Android</v>
      </c>
      <c r="J3211" s="2">
        <v>8</v>
      </c>
      <c r="K3211" s="2">
        <v>10</v>
      </c>
      <c r="L3211" s="2">
        <v>0</v>
      </c>
      <c r="M3211" s="2"/>
      <c r="N3211" s="8">
        <v>43264.690208333333</v>
      </c>
      <c r="O3211" s="4" t="s">
        <v>133</v>
      </c>
      <c r="P3211" s="3" t="s">
        <v>8543</v>
      </c>
      <c r="Q3211" s="4"/>
      <c r="R3211" s="4"/>
      <c r="S3211" s="9" t="str">
        <f>HYPERLINK("https://pbs.twimg.com/profile_images/1007694558237470720/AI6owJsM.jpg","View")</f>
        <v>View</v>
      </c>
    </row>
    <row r="3212" spans="1:19" ht="12.5">
      <c r="A3212" s="8">
        <v>43342.820509259254</v>
      </c>
      <c r="B3212" s="11" t="str">
        <f>HYPERLINK("https://twitter.com/RAfzal12","@RAfzal12")</f>
        <v>@RAfzal12</v>
      </c>
      <c r="C3212" s="6" t="s">
        <v>3189</v>
      </c>
      <c r="D3212" s="5" t="s">
        <v>8542</v>
      </c>
      <c r="E3212" s="9" t="str">
        <f>HYPERLINK("https://twitter.com/RAfzal12/status/1035183243392413696","1035183243392413696")</f>
        <v>1035183243392413696</v>
      </c>
      <c r="F3212" s="4"/>
      <c r="G3212" s="4"/>
      <c r="H3212" s="4"/>
      <c r="I3212" s="10" t="str">
        <f>HYPERLINK("http://twitter.com/download/android","Twitter for Android")</f>
        <v>Twitter for Android</v>
      </c>
      <c r="J3212" s="2">
        <v>2</v>
      </c>
      <c r="K3212" s="2">
        <v>2</v>
      </c>
      <c r="L3212" s="2">
        <v>0</v>
      </c>
      <c r="M3212" s="2"/>
      <c r="N3212" s="8">
        <v>43317.717499999999</v>
      </c>
      <c r="O3212" s="4"/>
      <c r="P3212" s="3"/>
      <c r="Q3212" s="4"/>
      <c r="R3212" s="4"/>
      <c r="S3212" s="2" t="s">
        <v>155</v>
      </c>
    </row>
    <row r="3213" spans="1:19" ht="40">
      <c r="A3213" s="8">
        <v>43342.818900462968</v>
      </c>
      <c r="B3213" s="11" t="str">
        <f>HYPERLINK("https://twitter.com/RafatiSiavash","@RafatiSiavash")</f>
        <v>@RafatiSiavash</v>
      </c>
      <c r="C3213" s="6" t="s">
        <v>3226</v>
      </c>
      <c r="D3213" s="5" t="s">
        <v>8541</v>
      </c>
      <c r="E3213" s="9" t="str">
        <f>HYPERLINK("https://twitter.com/RafatiSiavash/status/1035182658945540097","1035182658945540097")</f>
        <v>1035182658945540097</v>
      </c>
      <c r="F3213" s="10" t="s">
        <v>8540</v>
      </c>
      <c r="G3213" s="4"/>
      <c r="H3213" s="4"/>
      <c r="I3213" s="10" t="str">
        <f>HYPERLINK("http://twitter.com","Twitter Web Client")</f>
        <v>Twitter Web Client</v>
      </c>
      <c r="J3213" s="2">
        <v>287</v>
      </c>
      <c r="K3213" s="2">
        <v>230</v>
      </c>
      <c r="L3213" s="2">
        <v>87</v>
      </c>
      <c r="M3213" s="2"/>
      <c r="N3213" s="8">
        <v>41050.769884259258</v>
      </c>
      <c r="O3213" s="4"/>
      <c r="P3213" s="3" t="s">
        <v>3223</v>
      </c>
      <c r="Q3213" s="10" t="s">
        <v>3222</v>
      </c>
      <c r="R3213" s="4"/>
      <c r="S3213" s="9" t="str">
        <f>HYPERLINK("https://pbs.twimg.com/profile_images/821385868690751488/Qqe0I1Bk.jpg","View")</f>
        <v>View</v>
      </c>
    </row>
    <row r="3214" spans="1:19" ht="20">
      <c r="A3214" s="8">
        <v>43342.809027777781</v>
      </c>
      <c r="B3214" s="11" t="str">
        <f>HYPERLINK("https://twitter.com/sepahreza55","@sepahreza55")</f>
        <v>@sepahreza55</v>
      </c>
      <c r="C3214" s="6" t="s">
        <v>8539</v>
      </c>
      <c r="D3214" s="5" t="s">
        <v>8538</v>
      </c>
      <c r="E3214" s="9" t="str">
        <f>HYPERLINK("https://twitter.com/sepahreza55/status/1035179080109371397","1035179080109371397")</f>
        <v>1035179080109371397</v>
      </c>
      <c r="F3214" s="10" t="s">
        <v>8537</v>
      </c>
      <c r="G3214" s="4"/>
      <c r="H3214" s="4"/>
      <c r="I3214" s="10" t="str">
        <f>HYPERLINK("http://twitter.com","Twitter Web Client")</f>
        <v>Twitter Web Client</v>
      </c>
      <c r="J3214" s="2">
        <v>168</v>
      </c>
      <c r="K3214" s="2">
        <v>117</v>
      </c>
      <c r="L3214" s="2">
        <v>0</v>
      </c>
      <c r="M3214" s="2"/>
      <c r="N3214" s="8">
        <v>41481.86210648148</v>
      </c>
      <c r="O3214" s="4" t="s">
        <v>8536</v>
      </c>
      <c r="P3214" s="3" t="s">
        <v>8535</v>
      </c>
      <c r="Q3214" s="4"/>
      <c r="R3214" s="4"/>
      <c r="S3214" s="9" t="str">
        <f>HYPERLINK("https://pbs.twimg.com/profile_images/378800000191934823/b863a836a062b3ec9c60ae2266f4156a.jpeg","View")</f>
        <v>View</v>
      </c>
    </row>
    <row r="3215" spans="1:19" ht="40">
      <c r="A3215" s="8">
        <v>43342.801064814819</v>
      </c>
      <c r="B3215" s="11" t="str">
        <f>HYPERLINK("https://twitter.com/RezaNikoomagha2","@RezaNikoomagha2")</f>
        <v>@RezaNikoomagha2</v>
      </c>
      <c r="C3215" s="6" t="s">
        <v>8534</v>
      </c>
      <c r="D3215" s="5" t="s">
        <v>8533</v>
      </c>
      <c r="E3215" s="9" t="str">
        <f>HYPERLINK("https://twitter.com/RezaNikoomagha2/status/1035176194843586560","1035176194843586560")</f>
        <v>1035176194843586560</v>
      </c>
      <c r="F3215" s="4"/>
      <c r="G3215" s="10" t="s">
        <v>8532</v>
      </c>
      <c r="H3215" s="4"/>
      <c r="I3215" s="10" t="str">
        <f>HYPERLINK("http://twitter.com/download/iphone","Twitter for iPhone")</f>
        <v>Twitter for iPhone</v>
      </c>
      <c r="J3215" s="2">
        <v>611</v>
      </c>
      <c r="K3215" s="2">
        <v>315</v>
      </c>
      <c r="L3215" s="2">
        <v>2</v>
      </c>
      <c r="M3215" s="2"/>
      <c r="N3215" s="8">
        <v>43289.739583333328</v>
      </c>
      <c r="O3215" s="4" t="s">
        <v>8531</v>
      </c>
      <c r="P3215" s="3" t="s">
        <v>8530</v>
      </c>
      <c r="Q3215" s="4"/>
      <c r="R3215" s="4"/>
      <c r="S3215" s="9" t="str">
        <f>HYPERLINK("https://pbs.twimg.com/profile_images/1015948379313049600/P09zkAjE.jpg","View")</f>
        <v>View</v>
      </c>
    </row>
    <row r="3216" spans="1:19" ht="20">
      <c r="A3216" s="8">
        <v>43342.799212962964</v>
      </c>
      <c r="B3216" s="11" t="str">
        <f>HYPERLINK("https://twitter.com/FarzanArmiya","@FarzanArmiya")</f>
        <v>@FarzanArmiya</v>
      </c>
      <c r="C3216" s="6" t="s">
        <v>8529</v>
      </c>
      <c r="D3216" s="5" t="s">
        <v>8528</v>
      </c>
      <c r="E3216" s="9" t="str">
        <f>HYPERLINK("https://twitter.com/FarzanArmiya/status/1035175525436805121","1035175525436805121")</f>
        <v>1035175525436805121</v>
      </c>
      <c r="F3216" s="4"/>
      <c r="G3216" s="4"/>
      <c r="H3216" s="4"/>
      <c r="I3216" s="10" t="str">
        <f>HYPERLINK("https://mobile.twitter.com","Twitter Lite")</f>
        <v>Twitter Lite</v>
      </c>
      <c r="J3216" s="2">
        <v>79</v>
      </c>
      <c r="K3216" s="2">
        <v>252</v>
      </c>
      <c r="L3216" s="2">
        <v>0</v>
      </c>
      <c r="M3216" s="2"/>
      <c r="N3216" s="8">
        <v>43078.387731481482</v>
      </c>
      <c r="O3216" s="4"/>
      <c r="P3216" s="3" t="s">
        <v>8527</v>
      </c>
      <c r="Q3216" s="4"/>
      <c r="R3216" s="4"/>
      <c r="S3216" s="9" t="str">
        <f>HYPERLINK("https://pbs.twimg.com/profile_images/996663527405338624/lH6PTAOG.jpg","View")</f>
        <v>View</v>
      </c>
    </row>
    <row r="3217" spans="1:19" ht="30">
      <c r="A3217" s="8">
        <v>43342.79792824074</v>
      </c>
      <c r="B3217" s="11" t="str">
        <f>HYPERLINK("https://twitter.com/Khashinjiz","@Khashinjiz")</f>
        <v>@Khashinjiz</v>
      </c>
      <c r="C3217" s="6" t="s">
        <v>8526</v>
      </c>
      <c r="D3217" s="5" t="s">
        <v>8525</v>
      </c>
      <c r="E3217" s="9" t="str">
        <f>HYPERLINK("https://twitter.com/Khashinjiz/status/1035175059055206400","1035175059055206400")</f>
        <v>1035175059055206400</v>
      </c>
      <c r="F3217" s="4"/>
      <c r="G3217" s="4"/>
      <c r="H3217" s="4"/>
      <c r="I3217" s="10" t="str">
        <f>HYPERLINK("http://twitter.com/download/android","Twitter for Android")</f>
        <v>Twitter for Android</v>
      </c>
      <c r="J3217" s="2">
        <v>11</v>
      </c>
      <c r="K3217" s="2">
        <v>120</v>
      </c>
      <c r="L3217" s="2">
        <v>0</v>
      </c>
      <c r="M3217" s="2"/>
      <c r="N3217" s="8">
        <v>42893.925474537042</v>
      </c>
      <c r="O3217" s="4"/>
      <c r="P3217" s="3" t="s">
        <v>8524</v>
      </c>
      <c r="Q3217" s="4"/>
      <c r="R3217" s="4"/>
      <c r="S3217" s="9" t="str">
        <f>HYPERLINK("https://pbs.twimg.com/profile_images/1035144897852887040/fa67fMud.jpg","View")</f>
        <v>View</v>
      </c>
    </row>
    <row r="3218" spans="1:19" ht="20">
      <c r="A3218" s="8">
        <v>43342.793483796297</v>
      </c>
      <c r="B3218" s="11" t="str">
        <f>HYPERLINK("https://twitter.com/dar_ghobar","@dar_ghobar")</f>
        <v>@dar_ghobar</v>
      </c>
      <c r="C3218" s="6" t="s">
        <v>169</v>
      </c>
      <c r="D3218" s="5" t="s">
        <v>8523</v>
      </c>
      <c r="E3218" s="9" t="str">
        <f>HYPERLINK("https://twitter.com/dar_ghobar/status/1035173448870453248","1035173448870453248")</f>
        <v>1035173448870453248</v>
      </c>
      <c r="F3218" s="4"/>
      <c r="G3218" s="4"/>
      <c r="H3218" s="4"/>
      <c r="I3218" s="10" t="str">
        <f>HYPERLINK("http://twitter.com/download/android","Twitter for Android")</f>
        <v>Twitter for Android</v>
      </c>
      <c r="J3218" s="2">
        <v>1676</v>
      </c>
      <c r="K3218" s="2">
        <v>4940</v>
      </c>
      <c r="L3218" s="2">
        <v>3</v>
      </c>
      <c r="M3218" s="2"/>
      <c r="N3218" s="8">
        <v>42741.720717592594</v>
      </c>
      <c r="O3218" s="4"/>
      <c r="P3218" s="3" t="s">
        <v>8522</v>
      </c>
      <c r="Q3218" s="4"/>
      <c r="R3218" s="4"/>
      <c r="S3218" s="9" t="str">
        <f>HYPERLINK("https://pbs.twimg.com/profile_images/817375473537785856/OkV-SJJ_.jpg","View")</f>
        <v>View</v>
      </c>
    </row>
    <row r="3219" spans="1:19" ht="60">
      <c r="A3219" s="8">
        <v>43342.792453703703</v>
      </c>
      <c r="B3219" s="11" t="str">
        <f>HYPERLINK("https://twitter.com/Freedom_of_IRAN","@Freedom_of_IRAN")</f>
        <v>@Freedom_of_IRAN</v>
      </c>
      <c r="C3219" s="6" t="s">
        <v>8521</v>
      </c>
      <c r="D3219" s="5" t="s">
        <v>8520</v>
      </c>
      <c r="E3219" s="9" t="str">
        <f>HYPERLINK("https://twitter.com/Freedom_of_IRAN/status/1035173076714115082","1035173076714115082")</f>
        <v>1035173076714115082</v>
      </c>
      <c r="F3219" s="10" t="s">
        <v>7079</v>
      </c>
      <c r="G3219" s="10" t="s">
        <v>6824</v>
      </c>
      <c r="H3219" s="4"/>
      <c r="I3219" s="10" t="str">
        <f>HYPERLINK("http://twitter.com","Twitter Web Client")</f>
        <v>Twitter Web Client</v>
      </c>
      <c r="J3219" s="2">
        <v>715</v>
      </c>
      <c r="K3219" s="2">
        <v>1702</v>
      </c>
      <c r="L3219" s="2">
        <v>0</v>
      </c>
      <c r="M3219" s="2"/>
      <c r="N3219" s="8">
        <v>43215.968946759254</v>
      </c>
      <c r="O3219" s="4"/>
      <c r="P3219" s="3" t="s">
        <v>8519</v>
      </c>
      <c r="Q3219" s="4"/>
      <c r="R3219" s="4"/>
      <c r="S3219" s="9" t="str">
        <f>HYPERLINK("https://pbs.twimg.com/profile_images/1013497138133602304/z7pQv_Js.jpg","View")</f>
        <v>View</v>
      </c>
    </row>
    <row r="3220" spans="1:19" ht="40">
      <c r="A3220" s="8">
        <v>43342.787905092591</v>
      </c>
      <c r="B3220" s="11" t="str">
        <f>HYPERLINK("https://twitter.com/hitchslap7","@hitchslap7")</f>
        <v>@hitchslap7</v>
      </c>
      <c r="C3220" s="6" t="s">
        <v>8518</v>
      </c>
      <c r="D3220" s="5" t="s">
        <v>8517</v>
      </c>
      <c r="E3220" s="9" t="str">
        <f>HYPERLINK("https://twitter.com/hitchslap7/status/1035171427987673089","1035171427987673089")</f>
        <v>1035171427987673089</v>
      </c>
      <c r="F3220" s="4"/>
      <c r="G3220" s="4"/>
      <c r="H3220" s="4"/>
      <c r="I3220" s="10" t="str">
        <f>HYPERLINK("http://twitter.com/download/android","Twitter for Android")</f>
        <v>Twitter for Android</v>
      </c>
      <c r="J3220" s="2">
        <v>517</v>
      </c>
      <c r="K3220" s="2">
        <v>501</v>
      </c>
      <c r="L3220" s="2">
        <v>0</v>
      </c>
      <c r="M3220" s="2"/>
      <c r="N3220" s="8">
        <v>42934.632407407407</v>
      </c>
      <c r="O3220" s="4" t="s">
        <v>252</v>
      </c>
      <c r="P3220" s="3" t="s">
        <v>8516</v>
      </c>
      <c r="Q3220" s="4"/>
      <c r="R3220" s="4"/>
      <c r="S3220" s="9" t="str">
        <f>HYPERLINK("https://pbs.twimg.com/profile_images/1013572973717049344/93iIYjvP.jpg","View")</f>
        <v>View</v>
      </c>
    </row>
    <row r="3221" spans="1:19" ht="50">
      <c r="A3221" s="8">
        <v>43342.783819444448</v>
      </c>
      <c r="B3221" s="11" t="str">
        <f>HYPERLINK("https://twitter.com/amidjavaheri","@amidjavaheri")</f>
        <v>@amidjavaheri</v>
      </c>
      <c r="C3221" s="6" t="s">
        <v>8515</v>
      </c>
      <c r="D3221" s="5" t="s">
        <v>8514</v>
      </c>
      <c r="E3221" s="9" t="str">
        <f>HYPERLINK("https://twitter.com/amidjavaheri/status/1035169946156916736","1035169946156916736")</f>
        <v>1035169946156916736</v>
      </c>
      <c r="F3221" s="10" t="s">
        <v>8513</v>
      </c>
      <c r="G3221" s="10" t="s">
        <v>8512</v>
      </c>
      <c r="H3221" s="4"/>
      <c r="I3221" s="10" t="str">
        <f>HYPERLINK("http://twitter.com/download/android","Twitter for Android")</f>
        <v>Twitter for Android</v>
      </c>
      <c r="J3221" s="2">
        <v>242</v>
      </c>
      <c r="K3221" s="2">
        <v>588</v>
      </c>
      <c r="L3221" s="2">
        <v>0</v>
      </c>
      <c r="M3221" s="2"/>
      <c r="N3221" s="8">
        <v>43193.774699074071</v>
      </c>
      <c r="O3221" s="4"/>
      <c r="P3221" s="3" t="s">
        <v>8511</v>
      </c>
      <c r="Q3221" s="4"/>
      <c r="R3221" s="4"/>
      <c r="S3221" s="9" t="str">
        <f>HYPERLINK("https://pbs.twimg.com/profile_images/1028467899982336000/6388x_y_.jpg","View")</f>
        <v>View</v>
      </c>
    </row>
    <row r="3222" spans="1:19" ht="30">
      <c r="A3222" s="8">
        <v>43342.783645833333</v>
      </c>
      <c r="B3222" s="11" t="str">
        <f>HYPERLINK("https://twitter.com/Iranncorg","@Iranncorg")</f>
        <v>@Iranncorg</v>
      </c>
      <c r="C3222" s="6" t="s">
        <v>8510</v>
      </c>
      <c r="D3222" s="5" t="s">
        <v>8509</v>
      </c>
      <c r="E3222" s="9" t="str">
        <f>HYPERLINK("https://twitter.com/Iranncorg/status/1035169883699507202","1035169883699507202")</f>
        <v>1035169883699507202</v>
      </c>
      <c r="F3222" s="4"/>
      <c r="G3222" s="10" t="s">
        <v>8508</v>
      </c>
      <c r="H3222" s="4"/>
      <c r="I3222" s="10" t="str">
        <f>HYPERLINK("http://twitter.com","Twitter Web Client")</f>
        <v>Twitter Web Client</v>
      </c>
      <c r="J3222" s="2">
        <v>11698</v>
      </c>
      <c r="K3222" s="2">
        <v>102</v>
      </c>
      <c r="L3222" s="2">
        <v>38</v>
      </c>
      <c r="M3222" s="2"/>
      <c r="N3222" s="8">
        <v>41487.984131944446</v>
      </c>
      <c r="O3222" s="4" t="s">
        <v>8507</v>
      </c>
      <c r="P3222" s="3" t="s">
        <v>8506</v>
      </c>
      <c r="Q3222" s="10" t="s">
        <v>8505</v>
      </c>
      <c r="R3222" s="4"/>
      <c r="S3222" s="9" t="str">
        <f>HYPERLINK("https://pbs.twimg.com/profile_images/827231822027309058/IKoueJq4.jpg","View")</f>
        <v>View</v>
      </c>
    </row>
    <row r="3223" spans="1:19" ht="20">
      <c r="A3223" s="8">
        <v>43342.782210648147</v>
      </c>
      <c r="B3223" s="11" t="str">
        <f>HYPERLINK("https://twitter.com/ScriptBab","@ScriptBab")</f>
        <v>@ScriptBab</v>
      </c>
      <c r="C3223" s="6" t="s">
        <v>3044</v>
      </c>
      <c r="D3223" s="5" t="s">
        <v>8504</v>
      </c>
      <c r="E3223" s="9" t="str">
        <f>HYPERLINK("https://twitter.com/ScriptBab/status/1035169365208047616","1035169365208047616")</f>
        <v>1035169365208047616</v>
      </c>
      <c r="F3223" s="4"/>
      <c r="G3223" s="4"/>
      <c r="H3223" s="4"/>
      <c r="I3223" s="10" t="str">
        <f>HYPERLINK("http://twitter.com/download/android","Twitter for Android")</f>
        <v>Twitter for Android</v>
      </c>
      <c r="J3223" s="2">
        <v>3962</v>
      </c>
      <c r="K3223" s="2">
        <v>3644</v>
      </c>
      <c r="L3223" s="2">
        <v>8</v>
      </c>
      <c r="M3223" s="2"/>
      <c r="N3223" s="8">
        <v>40732.73096064815</v>
      </c>
      <c r="O3223" s="4"/>
      <c r="P3223" s="3" t="s">
        <v>3042</v>
      </c>
      <c r="Q3223" s="4"/>
      <c r="R3223" s="4"/>
      <c r="S3223" s="9" t="str">
        <f>HYPERLINK("https://pbs.twimg.com/profile_images/1029594626854985728/VuJgJ670.jpg","View")</f>
        <v>View</v>
      </c>
    </row>
    <row r="3224" spans="1:19" ht="30">
      <c r="A3224" s="8">
        <v>43342.781921296293</v>
      </c>
      <c r="B3224" s="11" t="str">
        <f>HYPERLINK("https://twitter.com/mohammadkahouli","@mohammadkahouli")</f>
        <v>@mohammadkahouli</v>
      </c>
      <c r="C3224" s="6" t="s">
        <v>8503</v>
      </c>
      <c r="D3224" s="5" t="s">
        <v>8502</v>
      </c>
      <c r="E3224" s="9" t="str">
        <f>HYPERLINK("https://twitter.com/mohammadkahouli/status/1035169260161654784","1035169260161654784")</f>
        <v>1035169260161654784</v>
      </c>
      <c r="F3224" s="4"/>
      <c r="G3224" s="10" t="s">
        <v>8501</v>
      </c>
      <c r="H3224" s="4"/>
      <c r="I3224" s="10" t="str">
        <f>HYPERLINK("http://twitter.com/download/android","Twitter for Android")</f>
        <v>Twitter for Android</v>
      </c>
      <c r="J3224" s="2">
        <v>481</v>
      </c>
      <c r="K3224" s="2">
        <v>64</v>
      </c>
      <c r="L3224" s="2">
        <v>1</v>
      </c>
      <c r="M3224" s="2"/>
      <c r="N3224" s="8">
        <v>43275.4691087963</v>
      </c>
      <c r="O3224" s="4"/>
      <c r="P3224" s="3" t="s">
        <v>8500</v>
      </c>
      <c r="Q3224" s="4"/>
      <c r="R3224" s="4"/>
      <c r="S3224" s="9" t="str">
        <f>HYPERLINK("https://pbs.twimg.com/profile_images/1010784454179205120/KlpC_AE-.jpg","View")</f>
        <v>View</v>
      </c>
    </row>
    <row r="3225" spans="1:19" ht="30">
      <c r="A3225" s="8">
        <v>43342.779270833329</v>
      </c>
      <c r="B3225" s="11" t="str">
        <f>HYPERLINK("https://twitter.com/MirHuseynMusavi","@MirHuseynMusavi")</f>
        <v>@MirHuseynMusavi</v>
      </c>
      <c r="C3225" s="6" t="s">
        <v>8499</v>
      </c>
      <c r="D3225" s="5" t="s">
        <v>8498</v>
      </c>
      <c r="E3225" s="9" t="str">
        <f>HYPERLINK("https://twitter.com/MirHuseynMusavi/status/1035168299313590273","1035168299313590273")</f>
        <v>1035168299313590273</v>
      </c>
      <c r="F3225" s="4"/>
      <c r="G3225" s="4"/>
      <c r="H3225" s="4"/>
      <c r="I3225" s="10" t="str">
        <f>HYPERLINK("http://twitter.com/download/android","Twitter for Android")</f>
        <v>Twitter for Android</v>
      </c>
      <c r="J3225" s="2">
        <v>38</v>
      </c>
      <c r="K3225" s="2">
        <v>111</v>
      </c>
      <c r="L3225" s="2">
        <v>0</v>
      </c>
      <c r="M3225" s="2"/>
      <c r="N3225" s="8">
        <v>42939.508159722223</v>
      </c>
      <c r="O3225" s="4" t="s">
        <v>8497</v>
      </c>
      <c r="P3225" s="3"/>
      <c r="Q3225" s="4"/>
      <c r="R3225" s="4"/>
      <c r="S3225" s="9" t="str">
        <f>HYPERLINK("https://pbs.twimg.com/profile_images/930361802457800705/21naEjYX.jpg","View")</f>
        <v>View</v>
      </c>
    </row>
    <row r="3226" spans="1:19" ht="70">
      <c r="A3226" s="8">
        <v>43342.778194444443</v>
      </c>
      <c r="B3226" s="11" t="str">
        <f>HYPERLINK("https://twitter.com/alikishizadeh","@alikishizadeh")</f>
        <v>@alikishizadeh</v>
      </c>
      <c r="C3226" s="6" t="s">
        <v>4587</v>
      </c>
      <c r="D3226" s="5" t="s">
        <v>8496</v>
      </c>
      <c r="E3226" s="9" t="str">
        <f>HYPERLINK("https://twitter.com/alikishizadeh/status/1035167907242754054","1035167907242754054")</f>
        <v>1035167907242754054</v>
      </c>
      <c r="F3226" s="10" t="s">
        <v>8451</v>
      </c>
      <c r="G3226" s="10" t="s">
        <v>8450</v>
      </c>
      <c r="H3226" s="4"/>
      <c r="I3226" s="10" t="str">
        <f>HYPERLINK("http://twitter.com/download/android","Twitter for Android")</f>
        <v>Twitter for Android</v>
      </c>
      <c r="J3226" s="2">
        <v>137</v>
      </c>
      <c r="K3226" s="2">
        <v>179</v>
      </c>
      <c r="L3226" s="2">
        <v>0</v>
      </c>
      <c r="M3226" s="2"/>
      <c r="N3226" s="8">
        <v>40593.031782407408</v>
      </c>
      <c r="O3226" s="4" t="s">
        <v>17</v>
      </c>
      <c r="P3226" s="3" t="s">
        <v>4585</v>
      </c>
      <c r="Q3226" s="4"/>
      <c r="R3226" s="4"/>
      <c r="S3226" s="9" t="str">
        <f>HYPERLINK("https://pbs.twimg.com/profile_images/968421759383941120/jFsq1KO5.jpg","View")</f>
        <v>View</v>
      </c>
    </row>
    <row r="3227" spans="1:19" ht="20">
      <c r="A3227" s="8">
        <v>43342.772233796291</v>
      </c>
      <c r="B3227" s="11" t="str">
        <f>HYPERLINK("https://twitter.com/KolahdoozAbbas","@KolahdoozAbbas")</f>
        <v>@KolahdoozAbbas</v>
      </c>
      <c r="C3227" s="6" t="s">
        <v>8495</v>
      </c>
      <c r="D3227" s="5" t="s">
        <v>8494</v>
      </c>
      <c r="E3227" s="9" t="str">
        <f>HYPERLINK("https://twitter.com/KolahdoozAbbas/status/1035165747364995072","1035165747364995072")</f>
        <v>1035165747364995072</v>
      </c>
      <c r="F3227" s="4"/>
      <c r="G3227" s="10" t="s">
        <v>8493</v>
      </c>
      <c r="H3227" s="4"/>
      <c r="I3227" s="10" t="str">
        <f>HYPERLINK("http://twitter.com/download/android","Twitter for Android")</f>
        <v>Twitter for Android</v>
      </c>
      <c r="J3227" s="2">
        <v>4275</v>
      </c>
      <c r="K3227" s="2">
        <v>2090</v>
      </c>
      <c r="L3227" s="2">
        <v>31</v>
      </c>
      <c r="M3227" s="2"/>
      <c r="N3227" s="8">
        <v>42856.792847222227</v>
      </c>
      <c r="O3227" s="4" t="s">
        <v>34</v>
      </c>
      <c r="P3227" s="3" t="s">
        <v>8492</v>
      </c>
      <c r="Q3227" s="10" t="s">
        <v>598</v>
      </c>
      <c r="R3227" s="4"/>
      <c r="S3227" s="9" t="str">
        <f>HYPERLINK("https://pbs.twimg.com/profile_images/986594958999040001/8vzN1DAw.jpg","View")</f>
        <v>View</v>
      </c>
    </row>
    <row r="3228" spans="1:19" ht="40">
      <c r="A3228" s="8">
        <v>43342.771898148145</v>
      </c>
      <c r="B3228" s="11" t="str">
        <f>HYPERLINK("https://twitter.com/FNasim3","@FNasim3")</f>
        <v>@FNasim3</v>
      </c>
      <c r="C3228" s="6" t="s">
        <v>8491</v>
      </c>
      <c r="D3228" s="5" t="s">
        <v>8490</v>
      </c>
      <c r="E3228" s="9" t="str">
        <f>HYPERLINK("https://twitter.com/FNasim3/status/1035165628351610881","1035165628351610881")</f>
        <v>1035165628351610881</v>
      </c>
      <c r="F3228" s="4"/>
      <c r="G3228" s="10" t="s">
        <v>8489</v>
      </c>
      <c r="H3228" s="4"/>
      <c r="I3228" s="10" t="str">
        <f>HYPERLINK("http://twitter.com/download/android","Twitter for Android")</f>
        <v>Twitter for Android</v>
      </c>
      <c r="J3228" s="2">
        <v>67</v>
      </c>
      <c r="K3228" s="2">
        <v>126</v>
      </c>
      <c r="L3228" s="2">
        <v>1</v>
      </c>
      <c r="M3228" s="2"/>
      <c r="N3228" s="8">
        <v>43301.837974537033</v>
      </c>
      <c r="O3228" s="4"/>
      <c r="P3228" s="3"/>
      <c r="Q3228" s="4"/>
      <c r="R3228" s="4"/>
      <c r="S3228" s="9" t="str">
        <f>HYPERLINK("https://pbs.twimg.com/profile_images/1022220584636350464/ipshJVrF.jpg","View")</f>
        <v>View</v>
      </c>
    </row>
    <row r="3229" spans="1:19" ht="40">
      <c r="A3229" s="8">
        <v>43342.768310185187</v>
      </c>
      <c r="B3229" s="11" t="str">
        <f>HYPERLINK("https://twitter.com/alirezaraeisi90","@alirezaraeisi90")</f>
        <v>@alirezaraeisi90</v>
      </c>
      <c r="C3229" s="6" t="s">
        <v>8488</v>
      </c>
      <c r="D3229" s="5" t="s">
        <v>8487</v>
      </c>
      <c r="E3229" s="9" t="str">
        <f>HYPERLINK("https://twitter.com/alirezaraeisi90/status/1035164324673798144","1035164324673798144")</f>
        <v>1035164324673798144</v>
      </c>
      <c r="F3229" s="4"/>
      <c r="G3229" s="4"/>
      <c r="H3229" s="4"/>
      <c r="I3229" s="10" t="str">
        <f>HYPERLINK("http://twitter.com","Twitter Web Client")</f>
        <v>Twitter Web Client</v>
      </c>
      <c r="J3229" s="2">
        <v>15</v>
      </c>
      <c r="K3229" s="2">
        <v>84</v>
      </c>
      <c r="L3229" s="2">
        <v>0</v>
      </c>
      <c r="M3229" s="2"/>
      <c r="N3229" s="8">
        <v>43162.435891203699</v>
      </c>
      <c r="O3229" s="4" t="s">
        <v>34</v>
      </c>
      <c r="P3229" s="3"/>
      <c r="Q3229" s="4"/>
      <c r="R3229" s="4"/>
      <c r="S3229" s="9" t="str">
        <f>HYPERLINK("https://pbs.twimg.com/profile_images/1023225911695601665/P6JGEeAn.jpg","View")</f>
        <v>View</v>
      </c>
    </row>
    <row r="3230" spans="1:19" ht="40">
      <c r="A3230" s="8">
        <v>43342.764131944445</v>
      </c>
      <c r="B3230" s="11" t="str">
        <f>HYPERLINK("https://twitter.com/Forever_Green2","@Forever_Green2")</f>
        <v>@Forever_Green2</v>
      </c>
      <c r="C3230" s="6" t="s">
        <v>8486</v>
      </c>
      <c r="D3230" s="5" t="s">
        <v>8485</v>
      </c>
      <c r="E3230" s="9" t="str">
        <f>HYPERLINK("https://twitter.com/Forever_Green2/status/1035162813684019201","1035162813684019201")</f>
        <v>1035162813684019201</v>
      </c>
      <c r="F3230" s="4"/>
      <c r="G3230" s="4"/>
      <c r="H3230" s="4"/>
      <c r="I3230" s="10" t="str">
        <f>HYPERLINK("http://twitter.com/download/android","Twitter for Android")</f>
        <v>Twitter for Android</v>
      </c>
      <c r="J3230" s="2">
        <v>1660</v>
      </c>
      <c r="K3230" s="2">
        <v>1502</v>
      </c>
      <c r="L3230" s="2">
        <v>2</v>
      </c>
      <c r="M3230" s="2"/>
      <c r="N3230" s="8">
        <v>42108.847280092596</v>
      </c>
      <c r="O3230" s="4" t="s">
        <v>894</v>
      </c>
      <c r="P3230" s="3" t="s">
        <v>8484</v>
      </c>
      <c r="Q3230" s="4"/>
      <c r="R3230" s="4"/>
      <c r="S3230" s="9" t="str">
        <f>HYPERLINK("https://pbs.twimg.com/profile_images/1024283950301073409/ncyT_ngB.jpg","View")</f>
        <v>View</v>
      </c>
    </row>
    <row r="3231" spans="1:19" ht="20">
      <c r="A3231" s="8">
        <v>43342.762962962966</v>
      </c>
      <c r="B3231" s="11" t="str">
        <f>HYPERLINK("https://twitter.com/chakavakTM","@chakavakTM")</f>
        <v>@chakavakTM</v>
      </c>
      <c r="C3231" s="6" t="s">
        <v>8483</v>
      </c>
      <c r="D3231" s="5" t="s">
        <v>8482</v>
      </c>
      <c r="E3231" s="9" t="str">
        <f>HYPERLINK("https://twitter.com/chakavakTM/status/1035162388796981248","1035162388796981248")</f>
        <v>1035162388796981248</v>
      </c>
      <c r="F3231" s="4"/>
      <c r="G3231" s="4"/>
      <c r="H3231" s="4"/>
      <c r="I3231" s="10" t="str">
        <f>HYPERLINK("http://twitter.com/download/android","Twitter for Android")</f>
        <v>Twitter for Android</v>
      </c>
      <c r="J3231" s="2">
        <v>4</v>
      </c>
      <c r="K3231" s="2">
        <v>2</v>
      </c>
      <c r="L3231" s="2">
        <v>0</v>
      </c>
      <c r="M3231" s="2"/>
      <c r="N3231" s="8">
        <v>42460.80333333333</v>
      </c>
      <c r="O3231" s="4"/>
      <c r="P3231" s="3" t="s">
        <v>8481</v>
      </c>
      <c r="Q3231" s="4"/>
      <c r="R3231" s="4"/>
      <c r="S3231" s="9" t="str">
        <f>HYPERLINK("https://pbs.twimg.com/profile_images/1030401833586577408/Ak-EHLt4.jpg","View")</f>
        <v>View</v>
      </c>
    </row>
    <row r="3232" spans="1:19" ht="30">
      <c r="A3232" s="8">
        <v>43342.761076388888</v>
      </c>
      <c r="B3232" s="11" t="str">
        <f>HYPERLINK("https://twitter.com/Saeed82208124","@Saeed82208124")</f>
        <v>@Saeed82208124</v>
      </c>
      <c r="C3232" s="6" t="s">
        <v>8480</v>
      </c>
      <c r="D3232" s="5" t="s">
        <v>8479</v>
      </c>
      <c r="E3232" s="9" t="str">
        <f>HYPERLINK("https://twitter.com/Saeed82208124/status/1035161706270519296","1035161706270519296")</f>
        <v>1035161706270519296</v>
      </c>
      <c r="F3232" s="4"/>
      <c r="G3232" s="4"/>
      <c r="H3232" s="4"/>
      <c r="I3232" s="10" t="str">
        <f>HYPERLINK("https://mobile.twitter.com","Twitter Lite")</f>
        <v>Twitter Lite</v>
      </c>
      <c r="J3232" s="2">
        <v>5</v>
      </c>
      <c r="K3232" s="2">
        <v>8</v>
      </c>
      <c r="L3232" s="2">
        <v>0</v>
      </c>
      <c r="M3232" s="2"/>
      <c r="N3232" s="8">
        <v>43269.539918981478</v>
      </c>
      <c r="O3232" s="4"/>
      <c r="P3232" s="3"/>
      <c r="Q3232" s="4"/>
      <c r="R3232" s="4"/>
      <c r="S3232" s="2" t="s">
        <v>155</v>
      </c>
    </row>
    <row r="3233" spans="1:19" ht="40">
      <c r="A3233" s="8">
        <v>43342.75944444444</v>
      </c>
      <c r="B3233" s="11" t="str">
        <f>HYPERLINK("https://twitter.com/Jefferson_danaa","@Jefferson_danaa")</f>
        <v>@Jefferson_danaa</v>
      </c>
      <c r="C3233" s="6" t="s">
        <v>7920</v>
      </c>
      <c r="D3233" s="5" t="s">
        <v>8478</v>
      </c>
      <c r="E3233" s="9" t="str">
        <f>HYPERLINK("https://twitter.com/Jefferson_danaa/status/1035161113837490176","1035161113837490176")</f>
        <v>1035161113837490176</v>
      </c>
      <c r="F3233" s="4"/>
      <c r="G3233" s="10" t="s">
        <v>8477</v>
      </c>
      <c r="H3233" s="4"/>
      <c r="I3233" s="10" t="str">
        <f>HYPERLINK("http://twitter.com/download/iphone","Twitter for iPhone")</f>
        <v>Twitter for iPhone</v>
      </c>
      <c r="J3233" s="2">
        <v>1</v>
      </c>
      <c r="K3233" s="2">
        <v>4</v>
      </c>
      <c r="L3233" s="2">
        <v>0</v>
      </c>
      <c r="M3233" s="2"/>
      <c r="N3233" s="8">
        <v>43341.882673611108</v>
      </c>
      <c r="O3233" s="4"/>
      <c r="P3233" s="3" t="s">
        <v>7917</v>
      </c>
      <c r="Q3233" s="4"/>
      <c r="R3233" s="4"/>
      <c r="S3233" s="9" t="str">
        <f>HYPERLINK("https://pbs.twimg.com/profile_images/1034845606139899905/_QSuP27P.jpg","View")</f>
        <v>View</v>
      </c>
    </row>
    <row r="3234" spans="1:19" ht="40">
      <c r="A3234" s="8">
        <v>43342.756469907406</v>
      </c>
      <c r="B3234" s="11" t="str">
        <f>HYPERLINK("https://twitter.com/SeyedMajid12","@SeyedMajid12")</f>
        <v>@SeyedMajid12</v>
      </c>
      <c r="C3234" s="6" t="s">
        <v>8476</v>
      </c>
      <c r="D3234" s="5" t="s">
        <v>8475</v>
      </c>
      <c r="E3234" s="9" t="str">
        <f>HYPERLINK("https://twitter.com/SeyedMajid12/status/1035160035427606529","1035160035427606529")</f>
        <v>1035160035427606529</v>
      </c>
      <c r="F3234" s="4"/>
      <c r="G3234" s="4"/>
      <c r="H3234" s="4"/>
      <c r="I3234" s="10" t="str">
        <f>HYPERLINK("https://mobile.twitter.com","Twitter Lite")</f>
        <v>Twitter Lite</v>
      </c>
      <c r="J3234" s="2">
        <v>0</v>
      </c>
      <c r="K3234" s="2">
        <v>0</v>
      </c>
      <c r="L3234" s="2">
        <v>0</v>
      </c>
      <c r="M3234" s="2"/>
      <c r="N3234" s="8">
        <v>43342.729363425926</v>
      </c>
      <c r="O3234" s="4" t="s">
        <v>8474</v>
      </c>
      <c r="P3234" s="3" t="s">
        <v>8473</v>
      </c>
      <c r="Q3234" s="10" t="s">
        <v>8472</v>
      </c>
      <c r="R3234" s="4"/>
      <c r="S3234" s="9" t="str">
        <f>HYPERLINK("https://pbs.twimg.com/profile_images/1035156185324900352/uj1rJYMQ.jpg","View")</f>
        <v>View</v>
      </c>
    </row>
    <row r="3235" spans="1:19" ht="30">
      <c r="A3235" s="8">
        <v>43342.755173611113</v>
      </c>
      <c r="B3235" s="11" t="str">
        <f>HYPERLINK("https://twitter.com/radiozamaneh","@radiozamaneh")</f>
        <v>@radiozamaneh</v>
      </c>
      <c r="C3235" s="6" t="s">
        <v>5731</v>
      </c>
      <c r="D3235" s="5" t="s">
        <v>8471</v>
      </c>
      <c r="E3235" s="9" t="str">
        <f>HYPERLINK("https://twitter.com/radiozamaneh/status/1035159564998594561","1035159564998594561")</f>
        <v>1035159564998594561</v>
      </c>
      <c r="F3235" s="10" t="s">
        <v>8470</v>
      </c>
      <c r="G3235" s="10" t="s">
        <v>8469</v>
      </c>
      <c r="H3235" s="4"/>
      <c r="I3235" s="10" t="str">
        <f>HYPERLINK("https://www.radiozamaneh.com/","RZAutoPosting")</f>
        <v>RZAutoPosting</v>
      </c>
      <c r="J3235" s="2">
        <v>110272</v>
      </c>
      <c r="K3235" s="2">
        <v>837</v>
      </c>
      <c r="L3235" s="2">
        <v>379</v>
      </c>
      <c r="M3235" s="2" t="s">
        <v>80</v>
      </c>
      <c r="N3235" s="8">
        <v>39573.255729166667</v>
      </c>
      <c r="O3235" s="4" t="s">
        <v>5727</v>
      </c>
      <c r="P3235" s="3" t="s">
        <v>5726</v>
      </c>
      <c r="Q3235" s="10" t="s">
        <v>5725</v>
      </c>
      <c r="R3235" s="4"/>
      <c r="S3235" s="9" t="str">
        <f>HYPERLINK("https://pbs.twimg.com/profile_images/990906227256328192/IYPsq9ai.jpg","View")</f>
        <v>View</v>
      </c>
    </row>
    <row r="3236" spans="1:19" ht="40">
      <c r="A3236" s="8">
        <v>43342.752685185187</v>
      </c>
      <c r="B3236" s="11" t="str">
        <f>HYPERLINK("https://twitter.com/nabztabriz","@nabztabriz")</f>
        <v>@nabztabriz</v>
      </c>
      <c r="C3236" s="6" t="s">
        <v>3711</v>
      </c>
      <c r="D3236" s="5" t="s">
        <v>8468</v>
      </c>
      <c r="E3236" s="9" t="str">
        <f>HYPERLINK("https://twitter.com/nabztabriz/status/1035158664187977729","1035158664187977729")</f>
        <v>1035158664187977729</v>
      </c>
      <c r="F3236" s="4"/>
      <c r="G3236" s="10" t="s">
        <v>8467</v>
      </c>
      <c r="H3236" s="4"/>
      <c r="I3236" s="10" t="str">
        <f>HYPERLINK("http://twitter.com","Twitter Web Client")</f>
        <v>Twitter Web Client</v>
      </c>
      <c r="J3236" s="2">
        <v>2863</v>
      </c>
      <c r="K3236" s="2">
        <v>2967</v>
      </c>
      <c r="L3236" s="2">
        <v>6</v>
      </c>
      <c r="M3236" s="2"/>
      <c r="N3236" s="8">
        <v>42812.68644675926</v>
      </c>
      <c r="O3236" s="4" t="s">
        <v>3708</v>
      </c>
      <c r="P3236" s="3" t="s">
        <v>3707</v>
      </c>
      <c r="Q3236" s="10" t="s">
        <v>3706</v>
      </c>
      <c r="R3236" s="4"/>
      <c r="S3236" s="9" t="str">
        <f>HYPERLINK("https://pbs.twimg.com/profile_images/948112265814962176/99Kbe2eP.jpg","View")</f>
        <v>View</v>
      </c>
    </row>
    <row r="3237" spans="1:19" ht="40">
      <c r="A3237" s="8">
        <v>43342.751388888893</v>
      </c>
      <c r="B3237" s="11" t="str">
        <f>HYPERLINK("https://twitter.com/morerami95","@morerami95")</f>
        <v>@morerami95</v>
      </c>
      <c r="C3237" s="6" t="s">
        <v>8466</v>
      </c>
      <c r="D3237" s="5" t="s">
        <v>8465</v>
      </c>
      <c r="E3237" s="9" t="str">
        <f>HYPERLINK("https://twitter.com/morerami95/status/1035158195214450689","1035158195214450689")</f>
        <v>1035158195214450689</v>
      </c>
      <c r="F3237" s="4"/>
      <c r="G3237" s="4"/>
      <c r="H3237" s="4"/>
      <c r="I3237" s="10" t="str">
        <f>HYPERLINK("http://twitter.com/download/iphone","Twitter for iPhone")</f>
        <v>Twitter for iPhone</v>
      </c>
      <c r="J3237" s="2">
        <v>116</v>
      </c>
      <c r="K3237" s="2">
        <v>86</v>
      </c>
      <c r="L3237" s="2">
        <v>0</v>
      </c>
      <c r="M3237" s="2"/>
      <c r="N3237" s="8">
        <v>42674.49600694445</v>
      </c>
      <c r="O3237" s="4" t="s">
        <v>8464</v>
      </c>
      <c r="P3237" s="3" t="s">
        <v>8463</v>
      </c>
      <c r="Q3237" s="4"/>
      <c r="R3237" s="4"/>
      <c r="S3237" s="9" t="str">
        <f>HYPERLINK("https://pbs.twimg.com/profile_images/1010822318862553089/y4o5oJaP.jpg","View")</f>
        <v>View</v>
      </c>
    </row>
    <row r="3238" spans="1:19" ht="30">
      <c r="A3238" s="8">
        <v>43342.750428240739</v>
      </c>
      <c r="B3238" s="11" t="str">
        <f>HYPERLINK("https://twitter.com/khosravifarsani","@khosravifarsani")</f>
        <v>@khosravifarsani</v>
      </c>
      <c r="C3238" s="6" t="s">
        <v>8462</v>
      </c>
      <c r="D3238" s="5" t="s">
        <v>8461</v>
      </c>
      <c r="E3238" s="9" t="str">
        <f>HYPERLINK("https://twitter.com/khosravifarsani/status/1035157844440608768","1035157844440608768")</f>
        <v>1035157844440608768</v>
      </c>
      <c r="F3238" s="4"/>
      <c r="G3238" s="10" t="s">
        <v>8460</v>
      </c>
      <c r="H3238" s="4"/>
      <c r="I3238" s="10" t="str">
        <f>HYPERLINK("http://twitter.com/download/iphone","Twitter for iPhone")</f>
        <v>Twitter for iPhone</v>
      </c>
      <c r="J3238" s="2">
        <v>3960</v>
      </c>
      <c r="K3238" s="2">
        <v>5000</v>
      </c>
      <c r="L3238" s="2">
        <v>15</v>
      </c>
      <c r="M3238" s="2"/>
      <c r="N3238" s="8">
        <v>41668.983159722222</v>
      </c>
      <c r="O3238" s="4" t="s">
        <v>8459</v>
      </c>
      <c r="P3238" s="3" t="s">
        <v>8458</v>
      </c>
      <c r="Q3238" s="10" t="s">
        <v>8457</v>
      </c>
      <c r="R3238" s="4"/>
      <c r="S3238" s="9" t="str">
        <f>HYPERLINK("https://pbs.twimg.com/profile_images/1029367805521657856/hQkYkdWb.jpg","View")</f>
        <v>View</v>
      </c>
    </row>
    <row r="3239" spans="1:19" ht="20">
      <c r="A3239" s="8">
        <v>43342.749328703707</v>
      </c>
      <c r="B3239" s="11" t="str">
        <f>HYPERLINK("https://twitter.com/sheykhnevesht","@sheykhnevesht")</f>
        <v>@sheykhnevesht</v>
      </c>
      <c r="C3239" s="6" t="s">
        <v>8456</v>
      </c>
      <c r="D3239" s="5" t="s">
        <v>8455</v>
      </c>
      <c r="E3239" s="9" t="str">
        <f>HYPERLINK("https://twitter.com/sheykhnevesht/status/1035157446698983424","1035157446698983424")</f>
        <v>1035157446698983424</v>
      </c>
      <c r="F3239" s="4"/>
      <c r="G3239" s="4"/>
      <c r="H3239" s="4"/>
      <c r="I3239" s="10" t="str">
        <f>HYPERLINK("http://twitter.com/download/android","Twitter for Android")</f>
        <v>Twitter for Android</v>
      </c>
      <c r="J3239" s="2">
        <v>143</v>
      </c>
      <c r="K3239" s="2">
        <v>347</v>
      </c>
      <c r="L3239" s="2">
        <v>0</v>
      </c>
      <c r="M3239" s="2"/>
      <c r="N3239" s="8">
        <v>43148.610393518524</v>
      </c>
      <c r="O3239" s="4"/>
      <c r="P3239" s="3" t="s">
        <v>8454</v>
      </c>
      <c r="Q3239" s="4"/>
      <c r="R3239" s="4"/>
      <c r="S3239" s="9" t="str">
        <f>HYPERLINK("https://pbs.twimg.com/profile_images/964873027686105088/qyUmvrg9.jpg","View")</f>
        <v>View</v>
      </c>
    </row>
    <row r="3240" spans="1:19" ht="40">
      <c r="A3240" s="8">
        <v>43342.748900462961</v>
      </c>
      <c r="B3240" s="11" t="str">
        <f>HYPERLINK("https://twitter.com/MissZolim","@MissZolim")</f>
        <v>@MissZolim</v>
      </c>
      <c r="C3240" s="6" t="s">
        <v>8453</v>
      </c>
      <c r="D3240" s="5" t="s">
        <v>8452</v>
      </c>
      <c r="E3240" s="9" t="str">
        <f>HYPERLINK("https://twitter.com/MissZolim/status/1035157290918150145","1035157290918150145")</f>
        <v>1035157290918150145</v>
      </c>
      <c r="F3240" s="10" t="s">
        <v>8451</v>
      </c>
      <c r="G3240" s="10" t="s">
        <v>8450</v>
      </c>
      <c r="H3240" s="4"/>
      <c r="I3240" s="10" t="str">
        <f>HYPERLINK("http://twitter.com/download/iphone","Twitter for iPhone")</f>
        <v>Twitter for iPhone</v>
      </c>
      <c r="J3240" s="2">
        <v>294</v>
      </c>
      <c r="K3240" s="2">
        <v>99</v>
      </c>
      <c r="L3240" s="2">
        <v>3</v>
      </c>
      <c r="M3240" s="2"/>
      <c r="N3240" s="8">
        <v>42299.875902777778</v>
      </c>
      <c r="O3240" s="4" t="s">
        <v>8449</v>
      </c>
      <c r="P3240" s="3" t="s">
        <v>8448</v>
      </c>
      <c r="Q3240" s="4"/>
      <c r="R3240" s="4"/>
      <c r="S3240" s="9" t="str">
        <f>HYPERLINK("https://pbs.twimg.com/profile_images/953019633468100609/vd_VTBDx.jpg","View")</f>
        <v>View</v>
      </c>
    </row>
    <row r="3241" spans="1:19" ht="40">
      <c r="A3241" s="8">
        <v>43342.747615740736</v>
      </c>
      <c r="B3241" s="11" t="str">
        <f>HYPERLINK("https://twitter.com/ahmadreza9001","@ahmadreza9001")</f>
        <v>@ahmadreza9001</v>
      </c>
      <c r="C3241" s="6" t="s">
        <v>8447</v>
      </c>
      <c r="D3241" s="5" t="s">
        <v>8446</v>
      </c>
      <c r="E3241" s="9" t="str">
        <f>HYPERLINK("https://twitter.com/ahmadreza9001/status/1035156826315210752","1035156826315210752")</f>
        <v>1035156826315210752</v>
      </c>
      <c r="F3241" s="4"/>
      <c r="G3241" s="4"/>
      <c r="H3241" s="4"/>
      <c r="I3241" s="10" t="str">
        <f>HYPERLINK("http://twitter.com","Twitter Web Client")</f>
        <v>Twitter Web Client</v>
      </c>
      <c r="J3241" s="2">
        <v>23</v>
      </c>
      <c r="K3241" s="2">
        <v>39</v>
      </c>
      <c r="L3241" s="2">
        <v>1</v>
      </c>
      <c r="M3241" s="2"/>
      <c r="N3241" s="8">
        <v>42838.616319444445</v>
      </c>
      <c r="O3241" s="4" t="s">
        <v>324</v>
      </c>
      <c r="P3241" s="3" t="s">
        <v>8445</v>
      </c>
      <c r="Q3241" s="10" t="s">
        <v>8444</v>
      </c>
      <c r="R3241" s="4"/>
      <c r="S3241" s="9" t="str">
        <f>HYPERLINK("https://pbs.twimg.com/profile_images/979114794316910592/RJApWWtR.jpg","View")</f>
        <v>View</v>
      </c>
    </row>
    <row r="3242" spans="1:19" ht="80">
      <c r="A3242" s="8">
        <v>43342.745740740742</v>
      </c>
      <c r="B3242" s="11" t="str">
        <f>HYPERLINK("https://twitter.com/draliparsaa","@draliparsaa")</f>
        <v>@draliparsaa</v>
      </c>
      <c r="C3242" s="6" t="s">
        <v>8443</v>
      </c>
      <c r="D3242" s="5" t="s">
        <v>8442</v>
      </c>
      <c r="E3242" s="9" t="str">
        <f>HYPERLINK("https://twitter.com/draliparsaa/status/1035156147278372864","1035156147278372864")</f>
        <v>1035156147278372864</v>
      </c>
      <c r="F3242" s="10" t="s">
        <v>8441</v>
      </c>
      <c r="G3242" s="4"/>
      <c r="H3242" s="4"/>
      <c r="I3242" s="10" t="str">
        <f>HYPERLINK("http://twitter.com/download/android","Twitter for Android")</f>
        <v>Twitter for Android</v>
      </c>
      <c r="J3242" s="2">
        <v>116</v>
      </c>
      <c r="K3242" s="2">
        <v>504</v>
      </c>
      <c r="L3242" s="2">
        <v>1</v>
      </c>
      <c r="M3242" s="2"/>
      <c r="N3242" s="8">
        <v>42194.91002314815</v>
      </c>
      <c r="O3242" s="4"/>
      <c r="P3242" s="3" t="s">
        <v>8440</v>
      </c>
      <c r="Q3242" s="4"/>
      <c r="R3242" s="4"/>
      <c r="S3242" s="9" t="str">
        <f>HYPERLINK("https://pbs.twimg.com/profile_images/1027671339736297473/ygsmt0G6.jpg","View")</f>
        <v>View</v>
      </c>
    </row>
    <row r="3243" spans="1:19" ht="20">
      <c r="A3243" s="8">
        <v>43342.745578703703</v>
      </c>
      <c r="B3243" s="11" t="str">
        <f>HYPERLINK("https://twitter.com/Reza31697517","@Reza31697517")</f>
        <v>@Reza31697517</v>
      </c>
      <c r="C3243" s="6" t="s">
        <v>4697</v>
      </c>
      <c r="D3243" s="5" t="s">
        <v>8439</v>
      </c>
      <c r="E3243" s="9" t="str">
        <f>HYPERLINK("https://twitter.com/Reza31697517/status/1035156087178190848","1035156087178190848")</f>
        <v>1035156087178190848</v>
      </c>
      <c r="F3243" s="4"/>
      <c r="G3243" s="4"/>
      <c r="H3243" s="4"/>
      <c r="I3243" s="10" t="str">
        <f>HYPERLINK("http://twitter.com/download/android","Twitter for Android")</f>
        <v>Twitter for Android</v>
      </c>
      <c r="J3243" s="2">
        <v>0</v>
      </c>
      <c r="K3243" s="2">
        <v>0</v>
      </c>
      <c r="L3243" s="2">
        <v>0</v>
      </c>
      <c r="M3243" s="2"/>
      <c r="N3243" s="8">
        <v>43296.726307870369</v>
      </c>
      <c r="O3243" s="4"/>
      <c r="P3243" s="3"/>
      <c r="Q3243" s="4"/>
      <c r="R3243" s="4"/>
      <c r="S3243" s="9" t="str">
        <f>HYPERLINK("https://pbs.twimg.com/profile_images/1018488750253510656/a_TNruhP.jpg","View")</f>
        <v>View</v>
      </c>
    </row>
    <row r="3244" spans="1:19" ht="30">
      <c r="A3244" s="8">
        <v>43342.743738425925</v>
      </c>
      <c r="B3244" s="11" t="str">
        <f>HYPERLINK("https://twitter.com/furest_cum","@furest_cum")</f>
        <v>@furest_cum</v>
      </c>
      <c r="C3244" s="6" t="s">
        <v>8438</v>
      </c>
      <c r="D3244" s="5" t="s">
        <v>8437</v>
      </c>
      <c r="E3244" s="9" t="str">
        <f>HYPERLINK("https://twitter.com/furest_cum/status/1035155420371922945","1035155420371922945")</f>
        <v>1035155420371922945</v>
      </c>
      <c r="F3244" s="4"/>
      <c r="G3244" s="4"/>
      <c r="H3244" s="4"/>
      <c r="I3244" s="10" t="str">
        <f>HYPERLINK("http://twitter.com/download/iphone","Twitter for iPhone")</f>
        <v>Twitter for iPhone</v>
      </c>
      <c r="J3244" s="2">
        <v>410</v>
      </c>
      <c r="K3244" s="2">
        <v>802</v>
      </c>
      <c r="L3244" s="2">
        <v>0</v>
      </c>
      <c r="M3244" s="2"/>
      <c r="N3244" s="8">
        <v>42818.144525462965</v>
      </c>
      <c r="O3244" s="4" t="s">
        <v>682</v>
      </c>
      <c r="P3244" s="3" t="s">
        <v>8436</v>
      </c>
      <c r="Q3244" s="4"/>
      <c r="R3244" s="4"/>
      <c r="S3244" s="9" t="str">
        <f>HYPERLINK("https://pbs.twimg.com/profile_images/994173665662132229/LEsOSG7j.jpg","View")</f>
        <v>View</v>
      </c>
    </row>
    <row r="3245" spans="1:19" ht="20">
      <c r="A3245" s="8">
        <v>43342.743067129632</v>
      </c>
      <c r="B3245" s="11" t="str">
        <f>HYPERLINK("https://twitter.com/Reza31697517","@Reza31697517")</f>
        <v>@Reza31697517</v>
      </c>
      <c r="C3245" s="6" t="s">
        <v>4697</v>
      </c>
      <c r="D3245" s="5" t="s">
        <v>8435</v>
      </c>
      <c r="E3245" s="9" t="str">
        <f>HYPERLINK("https://twitter.com/Reza31697517/status/1035155180621320192","1035155180621320192")</f>
        <v>1035155180621320192</v>
      </c>
      <c r="F3245" s="4"/>
      <c r="G3245" s="4"/>
      <c r="H3245" s="4"/>
      <c r="I3245" s="10" t="str">
        <f>HYPERLINK("http://twitter.com/download/android","Twitter for Android")</f>
        <v>Twitter for Android</v>
      </c>
      <c r="J3245" s="2">
        <v>0</v>
      </c>
      <c r="K3245" s="2">
        <v>0</v>
      </c>
      <c r="L3245" s="2">
        <v>0</v>
      </c>
      <c r="M3245" s="2"/>
      <c r="N3245" s="8">
        <v>43296.726307870369</v>
      </c>
      <c r="O3245" s="4"/>
      <c r="P3245" s="3"/>
      <c r="Q3245" s="4"/>
      <c r="R3245" s="4"/>
      <c r="S3245" s="9" t="str">
        <f>HYPERLINK("https://pbs.twimg.com/profile_images/1018488750253510656/a_TNruhP.jpg","View")</f>
        <v>View</v>
      </c>
    </row>
    <row r="3246" spans="1:19" ht="40">
      <c r="A3246" s="8">
        <v>43342.742361111115</v>
      </c>
      <c r="B3246" s="11" t="str">
        <f>HYPERLINK("https://twitter.com/Roozbeh_rm","@Roozbeh_rm")</f>
        <v>@Roozbeh_rm</v>
      </c>
      <c r="C3246" s="6" t="s">
        <v>1234</v>
      </c>
      <c r="D3246" s="5" t="s">
        <v>8434</v>
      </c>
      <c r="E3246" s="9" t="str">
        <f>HYPERLINK("https://twitter.com/Roozbeh_rm/status/1035154921572597762","1035154921572597762")</f>
        <v>1035154921572597762</v>
      </c>
      <c r="F3246" s="4"/>
      <c r="G3246" s="4"/>
      <c r="H3246" s="4"/>
      <c r="I3246" s="10" t="str">
        <f>HYPERLINK("http://twitter.com/download/android","Twitter for Android")</f>
        <v>Twitter for Android</v>
      </c>
      <c r="J3246" s="2">
        <v>131</v>
      </c>
      <c r="K3246" s="2">
        <v>307</v>
      </c>
      <c r="L3246" s="2">
        <v>0</v>
      </c>
      <c r="M3246" s="2"/>
      <c r="N3246" s="8">
        <v>43262.722303240742</v>
      </c>
      <c r="O3246" s="4" t="s">
        <v>1231</v>
      </c>
      <c r="P3246" s="3" t="s">
        <v>1230</v>
      </c>
      <c r="Q3246" s="4"/>
      <c r="R3246" s="4"/>
      <c r="S3246" s="9" t="str">
        <f>HYPERLINK("https://pbs.twimg.com/profile_images/1034801034844090370/vCcACVWI.jpg","View")</f>
        <v>View</v>
      </c>
    </row>
    <row r="3247" spans="1:19" ht="20">
      <c r="A3247" s="8">
        <v>43342.737187499995</v>
      </c>
      <c r="B3247" s="11" t="str">
        <f>HYPERLINK("https://twitter.com/JyL8RwTUPwW7gRe","@JyL8RwTUPwW7gRe")</f>
        <v>@JyL8RwTUPwW7gRe</v>
      </c>
      <c r="C3247" s="6" t="s">
        <v>8433</v>
      </c>
      <c r="D3247" s="5" t="s">
        <v>8432</v>
      </c>
      <c r="E3247" s="9" t="str">
        <f>HYPERLINK("https://twitter.com/JyL8RwTUPwW7gRe/status/1035153047364796417","1035153047364796417")</f>
        <v>1035153047364796417</v>
      </c>
      <c r="F3247" s="4"/>
      <c r="G3247" s="4" t="s">
        <v>8431</v>
      </c>
      <c r="H3247" s="4"/>
      <c r="I3247" s="10" t="str">
        <f>HYPERLINK("http://twitter.com/download/android","Twitter for Android")</f>
        <v>Twitter for Android</v>
      </c>
      <c r="J3247" s="2">
        <v>305</v>
      </c>
      <c r="K3247" s="2">
        <v>699</v>
      </c>
      <c r="L3247" s="2">
        <v>2</v>
      </c>
      <c r="M3247" s="2"/>
      <c r="N3247" s="8">
        <v>43319.644166666665</v>
      </c>
      <c r="O3247" s="4" t="s">
        <v>2338</v>
      </c>
      <c r="P3247" s="3"/>
      <c r="Q3247" s="4"/>
      <c r="R3247" s="4"/>
      <c r="S3247" s="9" t="str">
        <f>HYPERLINK("https://pbs.twimg.com/profile_images/1026785228558413826/C5are3XL.jpg","View")</f>
        <v>View</v>
      </c>
    </row>
    <row r="3248" spans="1:19" ht="40">
      <c r="A3248" s="8">
        <v>43342.726284722223</v>
      </c>
      <c r="B3248" s="11" t="str">
        <f>HYPERLINK("https://twitter.com/S_Ordibehesht","@S_Ordibehesht")</f>
        <v>@S_Ordibehesht</v>
      </c>
      <c r="C3248" s="6" t="s">
        <v>8430</v>
      </c>
      <c r="D3248" s="5" t="s">
        <v>8429</v>
      </c>
      <c r="E3248" s="9" t="str">
        <f>HYPERLINK("https://twitter.com/S_Ordibehesht/status/1035149095462158336","1035149095462158336")</f>
        <v>1035149095462158336</v>
      </c>
      <c r="F3248" s="10" t="s">
        <v>8428</v>
      </c>
      <c r="G3248" s="4"/>
      <c r="H3248" s="4"/>
      <c r="I3248" s="10" t="str">
        <f>HYPERLINK("http://twitter.com","Twitter Web Client")</f>
        <v>Twitter Web Client</v>
      </c>
      <c r="J3248" s="2">
        <v>750</v>
      </c>
      <c r="K3248" s="2">
        <v>1464</v>
      </c>
      <c r="L3248" s="2">
        <v>51</v>
      </c>
      <c r="M3248" s="2"/>
      <c r="N3248" s="8">
        <v>40331.418564814812</v>
      </c>
      <c r="O3248" s="4" t="s">
        <v>8427</v>
      </c>
      <c r="P3248" s="3" t="s">
        <v>8426</v>
      </c>
      <c r="Q3248" s="4"/>
      <c r="R3248" s="4"/>
      <c r="S3248" s="9" t="str">
        <f>HYPERLINK("https://pbs.twimg.com/profile_images/795745125561434112/LN9pMltV.jpg","View")</f>
        <v>View</v>
      </c>
    </row>
    <row r="3249" spans="1:19" ht="30">
      <c r="A3249" s="8">
        <v>43342.725324074076</v>
      </c>
      <c r="B3249" s="11" t="str">
        <f>HYPERLINK("https://twitter.com/MohammadNemood3","@MohammadNemood3")</f>
        <v>@MohammadNemood3</v>
      </c>
      <c r="C3249" s="6" t="s">
        <v>8425</v>
      </c>
      <c r="D3249" s="5" t="s">
        <v>8424</v>
      </c>
      <c r="E3249" s="9" t="str">
        <f>HYPERLINK("https://twitter.com/MohammadNemood3/status/1035148750602231809","1035148750602231809")</f>
        <v>1035148750602231809</v>
      </c>
      <c r="F3249" s="4"/>
      <c r="G3249" s="10" t="s">
        <v>8423</v>
      </c>
      <c r="H3249" s="4"/>
      <c r="I3249" s="10" t="str">
        <f>HYPERLINK("http://twitter.com/download/android","Twitter for Android")</f>
        <v>Twitter for Android</v>
      </c>
      <c r="J3249" s="2">
        <v>0</v>
      </c>
      <c r="K3249" s="2">
        <v>0</v>
      </c>
      <c r="L3249" s="2">
        <v>0</v>
      </c>
      <c r="M3249" s="2"/>
      <c r="N3249" s="8">
        <v>43293.24627314815</v>
      </c>
      <c r="O3249" s="4" t="s">
        <v>912</v>
      </c>
      <c r="P3249" s="3" t="s">
        <v>8422</v>
      </c>
      <c r="Q3249" s="4"/>
      <c r="R3249" s="4"/>
      <c r="S3249" s="9" t="str">
        <f>HYPERLINK("https://pbs.twimg.com/profile_images/1017224738475794432/YbopN9Id.jpg","View")</f>
        <v>View</v>
      </c>
    </row>
    <row r="3250" spans="1:19" ht="20">
      <c r="A3250" s="8">
        <v>43342.720949074079</v>
      </c>
      <c r="B3250" s="11" t="str">
        <f>HYPERLINK("https://twitter.com/Mali_haeri","@Mali_haeri")</f>
        <v>@Mali_haeri</v>
      </c>
      <c r="C3250" s="6" t="s">
        <v>8421</v>
      </c>
      <c r="D3250" s="5" t="s">
        <v>8420</v>
      </c>
      <c r="E3250" s="9" t="str">
        <f>HYPERLINK("https://twitter.com/Mali_haeri/status/1035147164098473984","1035147164098473984")</f>
        <v>1035147164098473984</v>
      </c>
      <c r="F3250" s="4"/>
      <c r="G3250" s="4"/>
      <c r="H3250" s="4"/>
      <c r="I3250" s="10" t="str">
        <f>HYPERLINK("http://twitter.com/download/android","Twitter for Android")</f>
        <v>Twitter for Android</v>
      </c>
      <c r="J3250" s="2">
        <v>159</v>
      </c>
      <c r="K3250" s="2">
        <v>199</v>
      </c>
      <c r="L3250" s="2">
        <v>2</v>
      </c>
      <c r="M3250" s="2"/>
      <c r="N3250" s="8">
        <v>42918.870624999996</v>
      </c>
      <c r="O3250" s="4" t="s">
        <v>34</v>
      </c>
      <c r="P3250" s="3" t="s">
        <v>8419</v>
      </c>
      <c r="Q3250" s="4"/>
      <c r="R3250" s="4"/>
      <c r="S3250" s="9" t="str">
        <f>HYPERLINK("https://pbs.twimg.com/profile_images/888054895303118848/CvYQwoCL.jpg","View")</f>
        <v>View</v>
      </c>
    </row>
    <row r="3251" spans="1:19" ht="20">
      <c r="A3251" s="8">
        <v>43342.716157407413</v>
      </c>
      <c r="B3251" s="11" t="str">
        <f>HYPERLINK("https://twitter.com/Geevshay","@Geevshay")</f>
        <v>@Geevshay</v>
      </c>
      <c r="C3251" s="6" t="s">
        <v>8418</v>
      </c>
      <c r="D3251" s="5" t="s">
        <v>8417</v>
      </c>
      <c r="E3251" s="9" t="str">
        <f>HYPERLINK("https://twitter.com/Geevshay/status/1035145426188423168","1035145426188423168")</f>
        <v>1035145426188423168</v>
      </c>
      <c r="F3251" s="4"/>
      <c r="G3251" s="10" t="s">
        <v>8416</v>
      </c>
      <c r="H3251" s="4"/>
      <c r="I3251" s="10" t="str">
        <f>HYPERLINK("http://twitter.com/download/android","Twitter for Android")</f>
        <v>Twitter for Android</v>
      </c>
      <c r="J3251" s="2">
        <v>30</v>
      </c>
      <c r="K3251" s="2">
        <v>48</v>
      </c>
      <c r="L3251" s="2">
        <v>0</v>
      </c>
      <c r="M3251" s="2"/>
      <c r="N3251" s="8">
        <v>43163.731585648144</v>
      </c>
      <c r="O3251" s="4" t="s">
        <v>133</v>
      </c>
      <c r="P3251" s="3" t="s">
        <v>8415</v>
      </c>
      <c r="Q3251" s="4"/>
      <c r="R3251" s="4"/>
      <c r="S3251" s="9" t="str">
        <f>HYPERLINK("https://pbs.twimg.com/profile_images/1009828669446082560/wfIcXKCi.jpg","View")</f>
        <v>View</v>
      </c>
    </row>
    <row r="3252" spans="1:19" ht="20">
      <c r="A3252" s="8">
        <v>43342.710694444446</v>
      </c>
      <c r="B3252" s="11" t="str">
        <f>HYPERLINK("https://twitter.com/Masoud569","@Masoud569")</f>
        <v>@Masoud569</v>
      </c>
      <c r="C3252" s="6" t="s">
        <v>8414</v>
      </c>
      <c r="D3252" s="5" t="s">
        <v>8413</v>
      </c>
      <c r="E3252" s="9" t="str">
        <f>HYPERLINK("https://twitter.com/Masoud569/status/1035143445617303552","1035143445617303552")</f>
        <v>1035143445617303552</v>
      </c>
      <c r="F3252" s="4"/>
      <c r="G3252" s="4"/>
      <c r="H3252" s="4"/>
      <c r="I3252" s="10" t="str">
        <f>HYPERLINK("http://twitter.com/download/android","Twitter for Android")</f>
        <v>Twitter for Android</v>
      </c>
      <c r="J3252" s="2">
        <v>103</v>
      </c>
      <c r="K3252" s="2">
        <v>86</v>
      </c>
      <c r="L3252" s="2">
        <v>1</v>
      </c>
      <c r="M3252" s="2"/>
      <c r="N3252" s="8">
        <v>39570.623611111107</v>
      </c>
      <c r="O3252" s="4" t="s">
        <v>1183</v>
      </c>
      <c r="P3252" s="3"/>
      <c r="Q3252" s="4"/>
      <c r="R3252" s="4"/>
      <c r="S3252" s="9" t="str">
        <f>HYPERLINK("https://pbs.twimg.com/profile_images/978882286644056065/e_0a8_oU.jpg","View")</f>
        <v>View</v>
      </c>
    </row>
    <row r="3253" spans="1:19" ht="20">
      <c r="A3253" s="8">
        <v>43342.710011574076</v>
      </c>
      <c r="B3253" s="11" t="str">
        <f>HYPERLINK("https://twitter.com/mehdimahmudi","@mehdimahmudi")</f>
        <v>@mehdimahmudi</v>
      </c>
      <c r="C3253" s="6" t="s">
        <v>8112</v>
      </c>
      <c r="D3253" s="5" t="s">
        <v>8412</v>
      </c>
      <c r="E3253" s="9" t="str">
        <f>HYPERLINK("https://twitter.com/mehdimahmudi/status/1035143199747198976","1035143199747198976")</f>
        <v>1035143199747198976</v>
      </c>
      <c r="F3253" s="4"/>
      <c r="G3253" s="10" t="s">
        <v>8411</v>
      </c>
      <c r="H3253" s="4"/>
      <c r="I3253" s="10" t="str">
        <f>HYPERLINK("http://twitter.com","Twitter Web Client")</f>
        <v>Twitter Web Client</v>
      </c>
      <c r="J3253" s="2">
        <v>7249</v>
      </c>
      <c r="K3253" s="2">
        <v>1468</v>
      </c>
      <c r="L3253" s="2">
        <v>193</v>
      </c>
      <c r="M3253" s="2"/>
      <c r="N3253" s="8">
        <v>41103.549502314811</v>
      </c>
      <c r="O3253" s="4" t="s">
        <v>145</v>
      </c>
      <c r="P3253" s="3" t="s">
        <v>8110</v>
      </c>
      <c r="Q3253" s="10" t="s">
        <v>8109</v>
      </c>
      <c r="R3253" s="4"/>
      <c r="S3253" s="9" t="str">
        <f>HYPERLINK("https://pbs.twimg.com/profile_images/995934693949362176/J0z1knpD.jpg","View")</f>
        <v>View</v>
      </c>
    </row>
    <row r="3254" spans="1:19" ht="30">
      <c r="A3254" s="8">
        <v>43342.708449074074</v>
      </c>
      <c r="B3254" s="11" t="str">
        <f>HYPERLINK("https://twitter.com/RoshaAhmadi","@RoshaAhmadi")</f>
        <v>@RoshaAhmadi</v>
      </c>
      <c r="C3254" s="6" t="s">
        <v>8401</v>
      </c>
      <c r="D3254" s="5" t="s">
        <v>8410</v>
      </c>
      <c r="E3254" s="9" t="str">
        <f>HYPERLINK("https://twitter.com/RoshaAhmadi/status/1035142635470704641","1035142635470704641")</f>
        <v>1035142635470704641</v>
      </c>
      <c r="F3254" s="4"/>
      <c r="G3254" s="10" t="s">
        <v>8409</v>
      </c>
      <c r="H3254" s="4"/>
      <c r="I3254" s="10" t="str">
        <f>HYPERLINK("http://twitter.com/download/iphone","Twitter for iPhone")</f>
        <v>Twitter for iPhone</v>
      </c>
      <c r="J3254" s="2">
        <v>15</v>
      </c>
      <c r="K3254" s="2">
        <v>37</v>
      </c>
      <c r="L3254" s="2">
        <v>0</v>
      </c>
      <c r="M3254" s="2"/>
      <c r="N3254" s="8">
        <v>43305.090937500005</v>
      </c>
      <c r="O3254" s="4"/>
      <c r="P3254" s="3"/>
      <c r="Q3254" s="4"/>
      <c r="R3254" s="4"/>
      <c r="S3254" s="9" t="str">
        <f>HYPERLINK("https://pbs.twimg.com/profile_images/1023611962918416387/ZWaAggQa.jpg","View")</f>
        <v>View</v>
      </c>
    </row>
    <row r="3255" spans="1:19" ht="40">
      <c r="A3255" s="8">
        <v>43342.706307870365</v>
      </c>
      <c r="B3255" s="11" t="str">
        <f>HYPERLINK("https://twitter.com/mohamadmirazadi","@mohamadmirazadi")</f>
        <v>@mohamadmirazadi</v>
      </c>
      <c r="C3255" s="6" t="s">
        <v>8408</v>
      </c>
      <c r="D3255" s="5" t="s">
        <v>8407</v>
      </c>
      <c r="E3255" s="9" t="str">
        <f>HYPERLINK("https://twitter.com/mohamadmirazadi/status/1035141857494355968","1035141857494355968")</f>
        <v>1035141857494355968</v>
      </c>
      <c r="F3255" s="4"/>
      <c r="G3255" s="10" t="s">
        <v>8406</v>
      </c>
      <c r="H3255" s="4"/>
      <c r="I3255" s="10" t="str">
        <f>HYPERLINK("http://twitter.com/download/android","Twitter for Android")</f>
        <v>Twitter for Android</v>
      </c>
      <c r="J3255" s="2">
        <v>10</v>
      </c>
      <c r="K3255" s="2">
        <v>63</v>
      </c>
      <c r="L3255" s="2">
        <v>0</v>
      </c>
      <c r="M3255" s="2"/>
      <c r="N3255" s="8">
        <v>42794.355740740742</v>
      </c>
      <c r="O3255" s="4" t="s">
        <v>682</v>
      </c>
      <c r="P3255" s="3"/>
      <c r="Q3255" s="4"/>
      <c r="R3255" s="4"/>
      <c r="S3255" s="9" t="str">
        <f>HYPERLINK("https://pbs.twimg.com/profile_images/1029027070372925440/obqLNpMD.jpg","View")</f>
        <v>View</v>
      </c>
    </row>
    <row r="3256" spans="1:19" ht="20">
      <c r="A3256" s="8">
        <v>43342.702418981484</v>
      </c>
      <c r="B3256" s="11" t="str">
        <f>HYPERLINK("https://twitter.com/mmohammadii61","@mmohammadii61")</f>
        <v>@mmohammadii61</v>
      </c>
      <c r="C3256" s="6" t="s">
        <v>8405</v>
      </c>
      <c r="D3256" s="5" t="s">
        <v>8404</v>
      </c>
      <c r="E3256" s="9" t="str">
        <f>HYPERLINK("https://twitter.com/mmohammadii61/status/1035140449521033217","1035140449521033217")</f>
        <v>1035140449521033217</v>
      </c>
      <c r="F3256" s="4"/>
      <c r="G3256" s="4"/>
      <c r="H3256" s="4"/>
      <c r="I3256" s="10" t="str">
        <f>HYPERLINK("http://twitter.com/download/iphone","Twitter for iPhone")</f>
        <v>Twitter for iPhone</v>
      </c>
      <c r="J3256" s="2">
        <v>22863</v>
      </c>
      <c r="K3256" s="2">
        <v>120</v>
      </c>
      <c r="L3256" s="2">
        <v>124</v>
      </c>
      <c r="M3256" s="2"/>
      <c r="N3256" s="8">
        <v>42372.980671296296</v>
      </c>
      <c r="O3256" s="4" t="s">
        <v>133</v>
      </c>
      <c r="P3256" s="3" t="s">
        <v>8403</v>
      </c>
      <c r="Q3256" s="10" t="s">
        <v>8402</v>
      </c>
      <c r="R3256" s="4"/>
      <c r="S3256" s="9" t="str">
        <f>HYPERLINK("https://pbs.twimg.com/profile_images/1034942026507333637/-sJtN-BY.jpg","View")</f>
        <v>View</v>
      </c>
    </row>
    <row r="3257" spans="1:19" ht="30">
      <c r="A3257" s="8">
        <v>43342.702314814815</v>
      </c>
      <c r="B3257" s="11" t="str">
        <f>HYPERLINK("https://twitter.com/RoshaAhmadi","@RoshaAhmadi")</f>
        <v>@RoshaAhmadi</v>
      </c>
      <c r="C3257" s="6" t="s">
        <v>8401</v>
      </c>
      <c r="D3257" s="5" t="s">
        <v>8400</v>
      </c>
      <c r="E3257" s="9" t="str">
        <f>HYPERLINK("https://twitter.com/RoshaAhmadi/status/1035140410384019456","1035140410384019456")</f>
        <v>1035140410384019456</v>
      </c>
      <c r="F3257" s="4"/>
      <c r="G3257" s="10" t="s">
        <v>8399</v>
      </c>
      <c r="H3257" s="4"/>
      <c r="I3257" s="10" t="str">
        <f>HYPERLINK("http://twitter.com/download/iphone","Twitter for iPhone")</f>
        <v>Twitter for iPhone</v>
      </c>
      <c r="J3257" s="2">
        <v>15</v>
      </c>
      <c r="K3257" s="2">
        <v>37</v>
      </c>
      <c r="L3257" s="2">
        <v>0</v>
      </c>
      <c r="M3257" s="2"/>
      <c r="N3257" s="8">
        <v>43305.090937500005</v>
      </c>
      <c r="O3257" s="4"/>
      <c r="P3257" s="3"/>
      <c r="Q3257" s="4"/>
      <c r="R3257" s="4"/>
      <c r="S3257" s="9" t="str">
        <f>HYPERLINK("https://pbs.twimg.com/profile_images/1023611962918416387/ZWaAggQa.jpg","View")</f>
        <v>View</v>
      </c>
    </row>
    <row r="3258" spans="1:19" ht="40">
      <c r="A3258" s="8">
        <v>43342.70144675926</v>
      </c>
      <c r="B3258" s="11" t="str">
        <f>HYPERLINK("https://twitter.com/HomayonShirazi","@HomayonShirazi")</f>
        <v>@HomayonShirazi</v>
      </c>
      <c r="C3258" s="6" t="s">
        <v>8398</v>
      </c>
      <c r="D3258" s="5" t="s">
        <v>8397</v>
      </c>
      <c r="E3258" s="9" t="str">
        <f>HYPERLINK("https://twitter.com/HomayonShirazi/status/1035140097073655808","1035140097073655808")</f>
        <v>1035140097073655808</v>
      </c>
      <c r="F3258" s="4"/>
      <c r="G3258" s="4"/>
      <c r="H3258" s="4"/>
      <c r="I3258" s="10" t="str">
        <f>HYPERLINK("http://twitter.com","Twitter Web Client")</f>
        <v>Twitter Web Client</v>
      </c>
      <c r="J3258" s="2">
        <v>7</v>
      </c>
      <c r="K3258" s="2">
        <v>83</v>
      </c>
      <c r="L3258" s="2">
        <v>0</v>
      </c>
      <c r="M3258" s="2"/>
      <c r="N3258" s="8">
        <v>43314.79006944444</v>
      </c>
      <c r="O3258" s="4" t="s">
        <v>1415</v>
      </c>
      <c r="P3258" s="3" t="s">
        <v>8396</v>
      </c>
      <c r="Q3258" s="4"/>
      <c r="R3258" s="4"/>
      <c r="S3258" s="9" t="str">
        <f>HYPERLINK("https://pbs.twimg.com/profile_images/1025908919036768256/2zRsV17r.jpg","View")</f>
        <v>View</v>
      </c>
    </row>
    <row r="3259" spans="1:19" ht="40">
      <c r="A3259" s="8">
        <v>43342.697337962964</v>
      </c>
      <c r="B3259" s="11" t="str">
        <f>HYPERLINK("https://twitter.com/Sodabeh_Rodaki4","@Sodabeh_Rodaki4")</f>
        <v>@Sodabeh_Rodaki4</v>
      </c>
      <c r="C3259" s="6" t="s">
        <v>8395</v>
      </c>
      <c r="D3259" s="5" t="s">
        <v>8394</v>
      </c>
      <c r="E3259" s="9" t="str">
        <f>HYPERLINK("https://twitter.com/Sodabeh_Rodaki4/status/1035138605780480000","1035138605780480000")</f>
        <v>1035138605780480000</v>
      </c>
      <c r="F3259" s="10" t="s">
        <v>6457</v>
      </c>
      <c r="G3259" s="10" t="s">
        <v>6456</v>
      </c>
      <c r="H3259" s="4"/>
      <c r="I3259" s="10" t="str">
        <f>HYPERLINK("http://twitter.com","Twitter Web Client")</f>
        <v>Twitter Web Client</v>
      </c>
      <c r="J3259" s="2">
        <v>368</v>
      </c>
      <c r="K3259" s="2">
        <v>538</v>
      </c>
      <c r="L3259" s="2">
        <v>2</v>
      </c>
      <c r="M3259" s="2"/>
      <c r="N3259" s="8">
        <v>42355.996111111112</v>
      </c>
      <c r="O3259" s="4"/>
      <c r="P3259" s="3" t="s">
        <v>8393</v>
      </c>
      <c r="Q3259" s="4"/>
      <c r="R3259" s="4"/>
      <c r="S3259" s="9" t="str">
        <f>HYPERLINK("https://pbs.twimg.com/profile_images/1032621478725013510/fpmm5Dzi.jpg","View")</f>
        <v>View</v>
      </c>
    </row>
    <row r="3260" spans="1:19" ht="40">
      <c r="A3260" s="8">
        <v>43342.695902777778</v>
      </c>
      <c r="B3260" s="11" t="str">
        <f>HYPERLINK("https://twitter.com/SabaRasane","@SabaRasane")</f>
        <v>@SabaRasane</v>
      </c>
      <c r="C3260" s="6" t="s">
        <v>2497</v>
      </c>
      <c r="D3260" s="5" t="s">
        <v>8392</v>
      </c>
      <c r="E3260" s="9" t="str">
        <f>HYPERLINK("https://twitter.com/SabaRasane/status/1035138087360364545","1035138087360364545")</f>
        <v>1035138087360364545</v>
      </c>
      <c r="F3260" s="4"/>
      <c r="G3260" s="10" t="s">
        <v>8391</v>
      </c>
      <c r="H3260" s="4"/>
      <c r="I3260" s="10" t="str">
        <f>HYPERLINK("https://sabamedia.info","sabamediabot")</f>
        <v>sabamediabot</v>
      </c>
      <c r="J3260" s="2">
        <v>844</v>
      </c>
      <c r="K3260" s="2">
        <v>360</v>
      </c>
      <c r="L3260" s="2">
        <v>3</v>
      </c>
      <c r="M3260" s="2"/>
      <c r="N3260" s="8">
        <v>43079.744155092594</v>
      </c>
      <c r="O3260" s="4" t="s">
        <v>34</v>
      </c>
      <c r="P3260" s="3" t="s">
        <v>2494</v>
      </c>
      <c r="Q3260" s="10" t="s">
        <v>2493</v>
      </c>
      <c r="R3260" s="4"/>
      <c r="S3260" s="9" t="str">
        <f>HYPERLINK("https://pbs.twimg.com/profile_images/961293475831599104/gCXPDkFe.jpg","View")</f>
        <v>View</v>
      </c>
    </row>
    <row r="3261" spans="1:19" ht="30">
      <c r="A3261" s="8">
        <v>43342.692743055552</v>
      </c>
      <c r="B3261" s="11" t="str">
        <f>HYPERLINK("https://twitter.com/hrajaee62","@hrajaee62")</f>
        <v>@hrajaee62</v>
      </c>
      <c r="C3261" s="6" t="s">
        <v>8390</v>
      </c>
      <c r="D3261" s="5" t="s">
        <v>8389</v>
      </c>
      <c r="E3261" s="9" t="str">
        <f>HYPERLINK("https://twitter.com/hrajaee62/status/1035136940427943942","1035136940427943942")</f>
        <v>1035136940427943942</v>
      </c>
      <c r="F3261" s="4"/>
      <c r="G3261" s="4"/>
      <c r="H3261" s="4"/>
      <c r="I3261" s="10" t="str">
        <f>HYPERLINK("http://twitter.com/download/iphone","Twitter for iPhone")</f>
        <v>Twitter for iPhone</v>
      </c>
      <c r="J3261" s="2">
        <v>1127</v>
      </c>
      <c r="K3261" s="2">
        <v>983</v>
      </c>
      <c r="L3261" s="2">
        <v>4</v>
      </c>
      <c r="M3261" s="2"/>
      <c r="N3261" s="8">
        <v>42689.966145833328</v>
      </c>
      <c r="O3261" s="4"/>
      <c r="P3261" s="3" t="s">
        <v>8388</v>
      </c>
      <c r="Q3261" s="4"/>
      <c r="R3261" s="4"/>
      <c r="S3261" s="9" t="str">
        <f>HYPERLINK("https://pbs.twimg.com/profile_images/810957726943744000/d9mcCRH-.jpg","View")</f>
        <v>View</v>
      </c>
    </row>
    <row r="3262" spans="1:19" ht="40">
      <c r="A3262" s="8">
        <v>43342.69027777778</v>
      </c>
      <c r="B3262" s="11" t="str">
        <f>HYPERLINK("https://twitter.com/sambouseh","@sambouseh")</f>
        <v>@sambouseh</v>
      </c>
      <c r="C3262" s="6" t="s">
        <v>8387</v>
      </c>
      <c r="D3262" s="5" t="s">
        <v>8386</v>
      </c>
      <c r="E3262" s="9" t="str">
        <f>HYPERLINK("https://twitter.com/sambouseh/status/1035136049494806534","1035136049494806534")</f>
        <v>1035136049494806534</v>
      </c>
      <c r="F3262" s="4"/>
      <c r="G3262" s="10" t="s">
        <v>8385</v>
      </c>
      <c r="H3262" s="4"/>
      <c r="I3262" s="10" t="str">
        <f>HYPERLINK("http://twitter.com/download/android","Twitter for Android")</f>
        <v>Twitter for Android</v>
      </c>
      <c r="J3262" s="2">
        <v>2651</v>
      </c>
      <c r="K3262" s="2">
        <v>383</v>
      </c>
      <c r="L3262" s="2">
        <v>30</v>
      </c>
      <c r="M3262" s="2"/>
      <c r="N3262" s="8">
        <v>42494.449108796296</v>
      </c>
      <c r="O3262" s="4" t="s">
        <v>104</v>
      </c>
      <c r="P3262" s="3" t="s">
        <v>8384</v>
      </c>
      <c r="Q3262" s="4"/>
      <c r="R3262" s="4"/>
      <c r="S3262" s="9" t="str">
        <f>HYPERLINK("https://pbs.twimg.com/profile_images/940666090593685507/yiDWhUfK.jpg","View")</f>
        <v>View</v>
      </c>
    </row>
    <row r="3263" spans="1:19" ht="30">
      <c r="A3263" s="8">
        <v>43342.688032407408</v>
      </c>
      <c r="B3263" s="11" t="str">
        <f>HYPERLINK("https://twitter.com/m_ghaedi","@m_ghaedi")</f>
        <v>@m_ghaedi</v>
      </c>
      <c r="C3263" s="6" t="s">
        <v>3418</v>
      </c>
      <c r="D3263" s="5" t="s">
        <v>8383</v>
      </c>
      <c r="E3263" s="9" t="str">
        <f>HYPERLINK("https://twitter.com/m_ghaedi/status/1035135236458405888","1035135236458405888")</f>
        <v>1035135236458405888</v>
      </c>
      <c r="F3263" s="4"/>
      <c r="G3263" s="10" t="s">
        <v>8382</v>
      </c>
      <c r="H3263" s="4"/>
      <c r="I3263" s="10" t="str">
        <f>HYPERLINK("http://twitter.com/download/android","Twitter for Android")</f>
        <v>Twitter for Android</v>
      </c>
      <c r="J3263" s="2">
        <v>5123</v>
      </c>
      <c r="K3263" s="2">
        <v>3061</v>
      </c>
      <c r="L3263" s="2">
        <v>13</v>
      </c>
      <c r="M3263" s="2"/>
      <c r="N3263" s="8">
        <v>42742.733136574076</v>
      </c>
      <c r="O3263" s="4" t="s">
        <v>310</v>
      </c>
      <c r="P3263" s="3" t="s">
        <v>3416</v>
      </c>
      <c r="Q3263" s="4"/>
      <c r="R3263" s="4"/>
      <c r="S3263" s="9" t="str">
        <f>HYPERLINK("https://pbs.twimg.com/profile_images/1021356154029518848/T8pKb5xe.jpg","View")</f>
        <v>View</v>
      </c>
    </row>
    <row r="3264" spans="1:19" ht="12.5">
      <c r="A3264" s="8">
        <v>43342.68586805556</v>
      </c>
      <c r="B3264" s="11" t="str">
        <f>HYPERLINK("https://twitter.com/rezak1346","@rezak1346")</f>
        <v>@rezak1346</v>
      </c>
      <c r="C3264" s="6" t="s">
        <v>2398</v>
      </c>
      <c r="D3264" s="5" t="s">
        <v>8381</v>
      </c>
      <c r="E3264" s="9" t="str">
        <f>HYPERLINK("https://twitter.com/rezak1346/status/1035134450093490177","1035134450093490177")</f>
        <v>1035134450093490177</v>
      </c>
      <c r="F3264" s="4"/>
      <c r="G3264" s="4"/>
      <c r="H3264" s="4"/>
      <c r="I3264" s="10" t="str">
        <f>HYPERLINK("http://twitter.com/download/android","Twitter for Android")</f>
        <v>Twitter for Android</v>
      </c>
      <c r="J3264" s="2">
        <v>54</v>
      </c>
      <c r="K3264" s="2">
        <v>127</v>
      </c>
      <c r="L3264" s="2">
        <v>0</v>
      </c>
      <c r="M3264" s="2"/>
      <c r="N3264" s="8">
        <v>42930.728749999995</v>
      </c>
      <c r="O3264" s="4" t="s">
        <v>324</v>
      </c>
      <c r="P3264" s="3"/>
      <c r="Q3264" s="4"/>
      <c r="R3264" s="4"/>
      <c r="S3264" s="9" t="str">
        <f>HYPERLINK("https://pbs.twimg.com/profile_images/1030528112453410822/1dXapEKK.jpg","View")</f>
        <v>View</v>
      </c>
    </row>
    <row r="3265" spans="1:19" ht="40">
      <c r="A3265" s="8">
        <v>43342.680925925924</v>
      </c>
      <c r="B3265" s="11" t="str">
        <f>HYPERLINK("https://twitter.com/simayazaditv","@simayazaditv")</f>
        <v>@simayazaditv</v>
      </c>
      <c r="C3265" s="6" t="s">
        <v>1758</v>
      </c>
      <c r="D3265" s="5" t="s">
        <v>8380</v>
      </c>
      <c r="E3265" s="9" t="str">
        <f>HYPERLINK("https://twitter.com/simayazaditv/status/1035132658194554884","1035132658194554884")</f>
        <v>1035132658194554884</v>
      </c>
      <c r="F3265" s="4"/>
      <c r="G3265" s="10" t="s">
        <v>8379</v>
      </c>
      <c r="H3265" s="4"/>
      <c r="I3265" s="10" t="str">
        <f>HYPERLINK("http://twitter.com","Twitter Web Client")</f>
        <v>Twitter Web Client</v>
      </c>
      <c r="J3265" s="2">
        <v>6031</v>
      </c>
      <c r="K3265" s="2">
        <v>1</v>
      </c>
      <c r="L3265" s="2">
        <v>100</v>
      </c>
      <c r="M3265" s="2"/>
      <c r="N3265" s="8">
        <v>42209.662442129629</v>
      </c>
      <c r="O3265" s="4" t="s">
        <v>252</v>
      </c>
      <c r="P3265" s="3"/>
      <c r="Q3265" s="10" t="s">
        <v>1755</v>
      </c>
      <c r="R3265" s="4"/>
      <c r="S3265" s="9" t="str">
        <f>HYPERLINK("https://pbs.twimg.com/profile_images/624546008937144321/5aqccHix.png","View")</f>
        <v>View</v>
      </c>
    </row>
    <row r="3266" spans="1:19" ht="30">
      <c r="A3266" s="8">
        <v>43342.676030092596</v>
      </c>
      <c r="B3266" s="11" t="str">
        <f>HYPERLINK("https://twitter.com/vahidkamali8","@vahidkamali8")</f>
        <v>@vahidkamali8</v>
      </c>
      <c r="C3266" s="6" t="s">
        <v>8378</v>
      </c>
      <c r="D3266" s="5" t="s">
        <v>8377</v>
      </c>
      <c r="E3266" s="9" t="str">
        <f>HYPERLINK("https://twitter.com/vahidkamali8/status/1035130887162212352","1035130887162212352")</f>
        <v>1035130887162212352</v>
      </c>
      <c r="F3266" s="4"/>
      <c r="G3266" s="4"/>
      <c r="H3266" s="4"/>
      <c r="I3266" s="10" t="str">
        <f>HYPERLINK("http://twitter.com/download/android","Twitter for Android")</f>
        <v>Twitter for Android</v>
      </c>
      <c r="J3266" s="2">
        <v>767</v>
      </c>
      <c r="K3266" s="2">
        <v>515</v>
      </c>
      <c r="L3266" s="2">
        <v>3</v>
      </c>
      <c r="M3266" s="2"/>
      <c r="N3266" s="8">
        <v>43014.959097222221</v>
      </c>
      <c r="O3266" s="4" t="s">
        <v>8376</v>
      </c>
      <c r="P3266" s="3" t="s">
        <v>8375</v>
      </c>
      <c r="Q3266" s="4"/>
      <c r="R3266" s="4"/>
      <c r="S3266" s="9" t="str">
        <f>HYPERLINK("https://pbs.twimg.com/profile_images/1024308506319572992/23oQl2_f.jpg","View")</f>
        <v>View</v>
      </c>
    </row>
    <row r="3267" spans="1:19" ht="30">
      <c r="A3267" s="8">
        <v>43342.674398148149</v>
      </c>
      <c r="B3267" s="11" t="str">
        <f>HYPERLINK("https://twitter.com/meraatnews_com","@meraatnews_com")</f>
        <v>@meraatnews_com</v>
      </c>
      <c r="C3267" s="6" t="s">
        <v>8374</v>
      </c>
      <c r="D3267" s="5" t="s">
        <v>8373</v>
      </c>
      <c r="E3267" s="9" t="str">
        <f>HYPERLINK("https://twitter.com/meraatnews_com/status/1035130294171521024","1035130294171521024")</f>
        <v>1035130294171521024</v>
      </c>
      <c r="F3267" s="10" t="s">
        <v>8372</v>
      </c>
      <c r="G3267" s="4"/>
      <c r="H3267" s="4"/>
      <c r="I3267" s="10" t="str">
        <f>HYPERLINK("http://twitter.com/download/android","Twitter for Android")</f>
        <v>Twitter for Android</v>
      </c>
      <c r="J3267" s="2">
        <v>1020</v>
      </c>
      <c r="K3267" s="2">
        <v>1472</v>
      </c>
      <c r="L3267" s="2">
        <v>0</v>
      </c>
      <c r="M3267" s="2"/>
      <c r="N3267" s="8">
        <v>42930.739502314813</v>
      </c>
      <c r="O3267" s="4" t="s">
        <v>8371</v>
      </c>
      <c r="P3267" s="3" t="s">
        <v>8370</v>
      </c>
      <c r="Q3267" s="10" t="s">
        <v>8369</v>
      </c>
      <c r="R3267" s="4"/>
      <c r="S3267" s="9" t="str">
        <f>HYPERLINK("https://pbs.twimg.com/profile_images/892648321663336448/UAOdufFq.jpg","View")</f>
        <v>View</v>
      </c>
    </row>
    <row r="3268" spans="1:19" ht="40">
      <c r="A3268" s="8">
        <v>43342.671828703707</v>
      </c>
      <c r="B3268" s="11" t="str">
        <f>HYPERLINK("https://twitter.com/khabaredagh1","@khabaredagh1")</f>
        <v>@khabaredagh1</v>
      </c>
      <c r="C3268" s="6" t="s">
        <v>8368</v>
      </c>
      <c r="D3268" s="5" t="s">
        <v>8367</v>
      </c>
      <c r="E3268" s="9" t="str">
        <f>HYPERLINK("https://twitter.com/khabaredagh1/status/1035129364608954371","1035129364608954371")</f>
        <v>1035129364608954371</v>
      </c>
      <c r="F3268" s="4"/>
      <c r="G3268" s="10" t="s">
        <v>8366</v>
      </c>
      <c r="H3268" s="4"/>
      <c r="I3268" s="10" t="str">
        <f>HYPERLINK("http://twitter.com/download/iphone","Twitter for iPhone")</f>
        <v>Twitter for iPhone</v>
      </c>
      <c r="J3268" s="2">
        <v>21</v>
      </c>
      <c r="K3268" s="2">
        <v>38</v>
      </c>
      <c r="L3268" s="2">
        <v>1</v>
      </c>
      <c r="M3268" s="2"/>
      <c r="N3268" s="8">
        <v>42969.041435185187</v>
      </c>
      <c r="O3268" s="4" t="s">
        <v>34</v>
      </c>
      <c r="P3268" s="3" t="s">
        <v>8365</v>
      </c>
      <c r="Q3268" s="4"/>
      <c r="R3268" s="4"/>
      <c r="S3268" s="9" t="str">
        <f>HYPERLINK("https://pbs.twimg.com/profile_images/944273090221166592/_pa5BB-v.jpg","View")</f>
        <v>View</v>
      </c>
    </row>
    <row r="3269" spans="1:19" ht="40">
      <c r="A3269" s="8">
        <v>43342.668344907404</v>
      </c>
      <c r="B3269" s="11" t="str">
        <f>HYPERLINK("https://twitter.com/ANourbakhsh","@ANourbakhsh")</f>
        <v>@ANourbakhsh</v>
      </c>
      <c r="C3269" s="6" t="s">
        <v>3624</v>
      </c>
      <c r="D3269" s="5" t="s">
        <v>8364</v>
      </c>
      <c r="E3269" s="9" t="str">
        <f>HYPERLINK("https://twitter.com/ANourbakhsh/status/1035128100609294337","1035128100609294337")</f>
        <v>1035128100609294337</v>
      </c>
      <c r="F3269" s="4"/>
      <c r="G3269" s="10" t="s">
        <v>8363</v>
      </c>
      <c r="H3269" s="4"/>
      <c r="I3269" s="10" t="str">
        <f>HYPERLINK("http://twitter.com/download/android","Twitter for Android")</f>
        <v>Twitter for Android</v>
      </c>
      <c r="J3269" s="2">
        <v>5</v>
      </c>
      <c r="K3269" s="2">
        <v>46</v>
      </c>
      <c r="L3269" s="2">
        <v>0</v>
      </c>
      <c r="M3269" s="2"/>
      <c r="N3269" s="8">
        <v>41276.867280092592</v>
      </c>
      <c r="O3269" s="4" t="s">
        <v>3622</v>
      </c>
      <c r="P3269" s="3"/>
      <c r="Q3269" s="4"/>
      <c r="R3269" s="4"/>
      <c r="S3269" s="9" t="str">
        <f>HYPERLINK("https://pbs.twimg.com/profile_images/616333446974205955/qDnKWjat.jpg","View")</f>
        <v>View</v>
      </c>
    </row>
    <row r="3270" spans="1:19" ht="20">
      <c r="A3270" s="8">
        <v>43342.664988425924</v>
      </c>
      <c r="B3270" s="11" t="str">
        <f>HYPERLINK("https://twitter.com/Javadrahimi123","@Javadrahimi123")</f>
        <v>@Javadrahimi123</v>
      </c>
      <c r="C3270" s="6" t="s">
        <v>6813</v>
      </c>
      <c r="D3270" s="5" t="s">
        <v>8362</v>
      </c>
      <c r="E3270" s="9" t="str">
        <f>HYPERLINK("https://twitter.com/Javadrahimi123/status/1035126885888471041","1035126885888471041")</f>
        <v>1035126885888471041</v>
      </c>
      <c r="F3270" s="4"/>
      <c r="G3270" s="4"/>
      <c r="H3270" s="4"/>
      <c r="I3270" s="10" t="str">
        <f>HYPERLINK("https://mobile.twitter.com","Twitter Lite")</f>
        <v>Twitter Lite</v>
      </c>
      <c r="J3270" s="2">
        <v>0</v>
      </c>
      <c r="K3270" s="2">
        <v>6</v>
      </c>
      <c r="L3270" s="2">
        <v>0</v>
      </c>
      <c r="M3270" s="2"/>
      <c r="N3270" s="8">
        <v>43340.648541666669</v>
      </c>
      <c r="O3270" s="4"/>
      <c r="P3270" s="3"/>
      <c r="Q3270" s="4"/>
      <c r="R3270" s="4"/>
      <c r="S3270" s="9" t="str">
        <f>HYPERLINK("https://pbs.twimg.com/profile_images/1034648705603915778/-48-rHy6.jpg","View")</f>
        <v>View</v>
      </c>
    </row>
    <row r="3271" spans="1:19" ht="40">
      <c r="A3271" s="8">
        <v>43342.659826388888</v>
      </c>
      <c r="B3271" s="11" t="str">
        <f>HYPERLINK("https://twitter.com/siamak087","@siamak087")</f>
        <v>@siamak087</v>
      </c>
      <c r="C3271" s="6" t="s">
        <v>8361</v>
      </c>
      <c r="D3271" s="5" t="s">
        <v>8360</v>
      </c>
      <c r="E3271" s="9" t="str">
        <f>HYPERLINK("https://twitter.com/siamak087/status/1035125011386912771","1035125011386912771")</f>
        <v>1035125011386912771</v>
      </c>
      <c r="F3271" s="4"/>
      <c r="G3271" s="4"/>
      <c r="H3271" s="4"/>
      <c r="I3271" s="10" t="str">
        <f>HYPERLINK("http://twitter.com/download/android","Twitter for Android")</f>
        <v>Twitter for Android</v>
      </c>
      <c r="J3271" s="2">
        <v>1250</v>
      </c>
      <c r="K3271" s="2">
        <v>1270</v>
      </c>
      <c r="L3271" s="2">
        <v>1</v>
      </c>
      <c r="M3271" s="2"/>
      <c r="N3271" s="8">
        <v>43104.948321759264</v>
      </c>
      <c r="O3271" s="4"/>
      <c r="P3271" s="3" t="s">
        <v>8359</v>
      </c>
      <c r="Q3271" s="4"/>
      <c r="R3271" s="4"/>
      <c r="S3271" s="9" t="str">
        <f>HYPERLINK("https://pbs.twimg.com/profile_images/1019576662428700673/ZoVeWo8o.jpg","View")</f>
        <v>View</v>
      </c>
    </row>
    <row r="3272" spans="1:19" ht="40">
      <c r="A3272" s="8">
        <v>43342.657557870371</v>
      </c>
      <c r="B3272" s="11" t="str">
        <f>HYPERLINK("https://twitter.com/SiasatZadegan","@SiasatZadegan")</f>
        <v>@SiasatZadegan</v>
      </c>
      <c r="C3272" s="6" t="s">
        <v>8358</v>
      </c>
      <c r="D3272" s="5" t="s">
        <v>8357</v>
      </c>
      <c r="E3272" s="9" t="str">
        <f>HYPERLINK("https://twitter.com/SiasatZadegan/status/1035124193065623554","1035124193065623554")</f>
        <v>1035124193065623554</v>
      </c>
      <c r="F3272" s="4"/>
      <c r="G3272" s="4"/>
      <c r="H3272" s="4"/>
      <c r="I3272" s="10" t="str">
        <f>HYPERLINK("http://twitter.com","Twitter Web Client")</f>
        <v>Twitter Web Client</v>
      </c>
      <c r="J3272" s="2">
        <v>1702</v>
      </c>
      <c r="K3272" s="2">
        <v>1202</v>
      </c>
      <c r="L3272" s="2">
        <v>5</v>
      </c>
      <c r="M3272" s="2"/>
      <c r="N3272" s="8">
        <v>40878.299791666665</v>
      </c>
      <c r="O3272" s="4" t="s">
        <v>282</v>
      </c>
      <c r="P3272" s="3" t="s">
        <v>8356</v>
      </c>
      <c r="Q3272" s="10" t="s">
        <v>8355</v>
      </c>
      <c r="R3272" s="4"/>
      <c r="S3272" s="9" t="str">
        <f>HYPERLINK("https://pbs.twimg.com/profile_images/1011245422688526337/0J6hVbZu.jpg","View")</f>
        <v>View</v>
      </c>
    </row>
    <row r="3273" spans="1:19" ht="50">
      <c r="A3273" s="8">
        <v>43342.655451388884</v>
      </c>
      <c r="B3273" s="11" t="str">
        <f>HYPERLINK("https://twitter.com/Farrokh631","@Farrokh631")</f>
        <v>@Farrokh631</v>
      </c>
      <c r="C3273" s="6" t="s">
        <v>2714</v>
      </c>
      <c r="D3273" s="5" t="s">
        <v>8354</v>
      </c>
      <c r="E3273" s="9" t="str">
        <f>HYPERLINK("https://twitter.com/Farrokh631/status/1035123426497712128","1035123426497712128")</f>
        <v>1035123426497712128</v>
      </c>
      <c r="F3273" s="4"/>
      <c r="G3273" s="10" t="s">
        <v>8353</v>
      </c>
      <c r="H3273" s="4"/>
      <c r="I3273" s="10" t="str">
        <f>HYPERLINK("http://twitter.com","Twitter Web Client")</f>
        <v>Twitter Web Client</v>
      </c>
      <c r="J3273" s="2">
        <v>87</v>
      </c>
      <c r="K3273" s="2">
        <v>80</v>
      </c>
      <c r="L3273" s="2">
        <v>0</v>
      </c>
      <c r="M3273" s="2"/>
      <c r="N3273" s="8">
        <v>43069.015092592592</v>
      </c>
      <c r="O3273" s="4" t="s">
        <v>34</v>
      </c>
      <c r="P3273" s="3" t="s">
        <v>2712</v>
      </c>
      <c r="Q3273" s="4"/>
      <c r="R3273" s="4"/>
      <c r="S3273" s="9" t="str">
        <f>HYPERLINK("https://pbs.twimg.com/profile_images/944317757448949760/Lvj8icjq.jpg","View")</f>
        <v>View</v>
      </c>
    </row>
    <row r="3274" spans="1:19" ht="20">
      <c r="A3274" s="8">
        <v>43342.653240740736</v>
      </c>
      <c r="B3274" s="11" t="str">
        <f>HYPERLINK("https://twitter.com/AliKhoshNazarr","@AliKhoshNazarr")</f>
        <v>@AliKhoshNazarr</v>
      </c>
      <c r="C3274" s="6" t="s">
        <v>8352</v>
      </c>
      <c r="D3274" s="5" t="s">
        <v>8351</v>
      </c>
      <c r="E3274" s="9" t="str">
        <f>HYPERLINK("https://twitter.com/AliKhoshNazarr/status/1035122627642306560","1035122627642306560")</f>
        <v>1035122627642306560</v>
      </c>
      <c r="F3274" s="4"/>
      <c r="G3274" s="10" t="s">
        <v>8350</v>
      </c>
      <c r="H3274" s="4"/>
      <c r="I3274" s="10" t="str">
        <f>HYPERLINK("http://twitter.com/download/android","Twitter for Android")</f>
        <v>Twitter for Android</v>
      </c>
      <c r="J3274" s="2">
        <v>1749</v>
      </c>
      <c r="K3274" s="2">
        <v>1704</v>
      </c>
      <c r="L3274" s="2">
        <v>2</v>
      </c>
      <c r="M3274" s="2"/>
      <c r="N3274" s="8">
        <v>43101.006018518514</v>
      </c>
      <c r="O3274" s="4" t="s">
        <v>8349</v>
      </c>
      <c r="P3274" s="3" t="s">
        <v>8348</v>
      </c>
      <c r="Q3274" s="4"/>
      <c r="R3274" s="4"/>
      <c r="S3274" s="9" t="str">
        <f>HYPERLINK("https://pbs.twimg.com/profile_images/1024950205035307008/FS2QO1pA.jpg","View")</f>
        <v>View</v>
      </c>
    </row>
    <row r="3275" spans="1:19" ht="20">
      <c r="A3275" s="8">
        <v>43342.650243055556</v>
      </c>
      <c r="B3275" s="11" t="str">
        <f>HYPERLINK("https://twitter.com/mansooroola","@mansooroola")</f>
        <v>@mansooroola</v>
      </c>
      <c r="C3275" s="6" t="s">
        <v>620</v>
      </c>
      <c r="D3275" s="5" t="s">
        <v>8347</v>
      </c>
      <c r="E3275" s="9" t="str">
        <f>HYPERLINK("https://twitter.com/mansooroola/status/1035121539795087360","1035121539795087360")</f>
        <v>1035121539795087360</v>
      </c>
      <c r="F3275" s="4"/>
      <c r="G3275" s="10" t="s">
        <v>8346</v>
      </c>
      <c r="H3275" s="4"/>
      <c r="I3275" s="10" t="str">
        <f>HYPERLINK("http://twitter.com/download/android","Twitter for Android")</f>
        <v>Twitter for Android</v>
      </c>
      <c r="J3275" s="2">
        <v>2113</v>
      </c>
      <c r="K3275" s="2">
        <v>1974</v>
      </c>
      <c r="L3275" s="2">
        <v>21</v>
      </c>
      <c r="M3275" s="2"/>
      <c r="N3275" s="8">
        <v>42213.823923611111</v>
      </c>
      <c r="O3275" s="4"/>
      <c r="P3275" s="3" t="s">
        <v>618</v>
      </c>
      <c r="Q3275" s="4"/>
      <c r="R3275" s="4"/>
      <c r="S3275" s="9" t="str">
        <f>HYPERLINK("https://pbs.twimg.com/profile_images/856157384066072577/GmKN4v8j.jpg","View")</f>
        <v>View</v>
      </c>
    </row>
    <row r="3276" spans="1:19" ht="30">
      <c r="A3276" s="8">
        <v>43342.646585648152</v>
      </c>
      <c r="B3276" s="11" t="str">
        <f>HYPERLINK("https://twitter.com/Zvy2xXgVT60iu3v","@Zvy2xXgVT60iu3v")</f>
        <v>@Zvy2xXgVT60iu3v</v>
      </c>
      <c r="C3276" s="6" t="s">
        <v>4790</v>
      </c>
      <c r="D3276" s="5" t="s">
        <v>8345</v>
      </c>
      <c r="E3276" s="9" t="str">
        <f>HYPERLINK("https://twitter.com/Zvy2xXgVT60iu3v/status/1035120213900111872","1035120213900111872")</f>
        <v>1035120213900111872</v>
      </c>
      <c r="F3276" s="4"/>
      <c r="G3276" s="4"/>
      <c r="H3276" s="4"/>
      <c r="I3276" s="10" t="str">
        <f>HYPERLINK("http://twitter.com/download/android","Twitter for Android")</f>
        <v>Twitter for Android</v>
      </c>
      <c r="J3276" s="2">
        <v>313</v>
      </c>
      <c r="K3276" s="2">
        <v>463</v>
      </c>
      <c r="L3276" s="2">
        <v>1</v>
      </c>
      <c r="M3276" s="2"/>
      <c r="N3276" s="8">
        <v>42927.924907407403</v>
      </c>
      <c r="O3276" s="4"/>
      <c r="P3276" s="3" t="s">
        <v>4788</v>
      </c>
      <c r="Q3276" s="4"/>
      <c r="R3276" s="4"/>
      <c r="S3276" s="9" t="str">
        <f>HYPERLINK("https://pbs.twimg.com/profile_images/885243982648881152/8Xgxbt0p.jpg","View")</f>
        <v>View</v>
      </c>
    </row>
    <row r="3277" spans="1:19" ht="50">
      <c r="A3277" s="8">
        <v>43342.643287037034</v>
      </c>
      <c r="B3277" s="11" t="str">
        <f>HYPERLINK("https://twitter.com/elhamyazdiha","@elhamyazdiha")</f>
        <v>@elhamyazdiha</v>
      </c>
      <c r="C3277" s="6" t="s">
        <v>1554</v>
      </c>
      <c r="D3277" s="5" t="s">
        <v>8344</v>
      </c>
      <c r="E3277" s="9" t="str">
        <f>HYPERLINK("https://twitter.com/elhamyazdiha/status/1035119020998094851","1035119020998094851")</f>
        <v>1035119020998094851</v>
      </c>
      <c r="F3277" s="10" t="s">
        <v>8030</v>
      </c>
      <c r="G3277" s="10" t="s">
        <v>7580</v>
      </c>
      <c r="H3277" s="4"/>
      <c r="I3277" s="10" t="str">
        <f>HYPERLINK("http://twitter.com","Twitter Web Client")</f>
        <v>Twitter Web Client</v>
      </c>
      <c r="J3277" s="2">
        <v>1806</v>
      </c>
      <c r="K3277" s="2">
        <v>982</v>
      </c>
      <c r="L3277" s="2">
        <v>16</v>
      </c>
      <c r="M3277" s="2"/>
      <c r="N3277" s="8">
        <v>41753.356377314813</v>
      </c>
      <c r="O3277" s="4"/>
      <c r="P3277" s="3" t="s">
        <v>1550</v>
      </c>
      <c r="Q3277" s="10" t="s">
        <v>1549</v>
      </c>
      <c r="R3277" s="4"/>
      <c r="S3277" s="9" t="str">
        <f>HYPERLINK("https://pbs.twimg.com/profile_images/1030795426189008896/OTPgne61.jpg","View")</f>
        <v>View</v>
      </c>
    </row>
    <row r="3278" spans="1:19" ht="50">
      <c r="A3278" s="8">
        <v>43342.638599537036</v>
      </c>
      <c r="B3278" s="11" t="str">
        <f>HYPERLINK("https://twitter.com/manOfMistakes","@manOfMistakes")</f>
        <v>@manOfMistakes</v>
      </c>
      <c r="C3278" s="6" t="s">
        <v>368</v>
      </c>
      <c r="D3278" s="5" t="s">
        <v>8343</v>
      </c>
      <c r="E3278" s="9" t="str">
        <f>HYPERLINK("https://twitter.com/manOfMistakes/status/1035117320786468864","1035117320786468864")</f>
        <v>1035117320786468864</v>
      </c>
      <c r="F3278" s="4"/>
      <c r="G3278" s="4"/>
      <c r="H3278" s="4"/>
      <c r="I3278" s="10" t="str">
        <f>HYPERLINK("http://twitter.com/download/iphone","Twitter for iPhone")</f>
        <v>Twitter for iPhone</v>
      </c>
      <c r="J3278" s="2">
        <v>148</v>
      </c>
      <c r="K3278" s="2">
        <v>285</v>
      </c>
      <c r="L3278" s="2">
        <v>0</v>
      </c>
      <c r="M3278" s="2"/>
      <c r="N3278" s="8">
        <v>43304.329965277779</v>
      </c>
      <c r="O3278" s="4" t="s">
        <v>34</v>
      </c>
      <c r="P3278" s="3" t="s">
        <v>366</v>
      </c>
      <c r="Q3278" s="4"/>
      <c r="R3278" s="4"/>
      <c r="S3278" s="9" t="str">
        <f>HYPERLINK("https://pbs.twimg.com/profile_images/1028755362831204352/MbdRKhM9.jpg","View")</f>
        <v>View</v>
      </c>
    </row>
    <row r="3279" spans="1:19" ht="40">
      <c r="A3279" s="8">
        <v>43342.632303240738</v>
      </c>
      <c r="B3279" s="11" t="str">
        <f>HYPERLINK("https://twitter.com/iMarketor_com","@iMarketor_com")</f>
        <v>@iMarketor_com</v>
      </c>
      <c r="C3279" s="6" t="s">
        <v>8342</v>
      </c>
      <c r="D3279" s="5" t="s">
        <v>8341</v>
      </c>
      <c r="E3279" s="9" t="str">
        <f>HYPERLINK("https://twitter.com/iMarketor_com/status/1035115039936655365","1035115039936655365")</f>
        <v>1035115039936655365</v>
      </c>
      <c r="F3279" s="4"/>
      <c r="G3279" s="4"/>
      <c r="H3279" s="4"/>
      <c r="I3279" s="10" t="str">
        <f>HYPERLINK("http://twitter.com/download/iphone","Twitter for iPhone")</f>
        <v>Twitter for iPhone</v>
      </c>
      <c r="J3279" s="2">
        <v>278</v>
      </c>
      <c r="K3279" s="2">
        <v>148</v>
      </c>
      <c r="L3279" s="2">
        <v>1</v>
      </c>
      <c r="M3279" s="2"/>
      <c r="N3279" s="8">
        <v>41650.919768518521</v>
      </c>
      <c r="O3279" s="4" t="s">
        <v>34</v>
      </c>
      <c r="P3279" s="3" t="s">
        <v>8340</v>
      </c>
      <c r="Q3279" s="10" t="s">
        <v>8339</v>
      </c>
      <c r="R3279" s="4"/>
      <c r="S3279" s="9" t="str">
        <f>HYPERLINK("https://pbs.twimg.com/profile_images/422077250628907008/g2JPCVcd.png","View")</f>
        <v>View</v>
      </c>
    </row>
    <row r="3280" spans="1:19" ht="20">
      <c r="A3280" s="8">
        <v>43342.630972222221</v>
      </c>
      <c r="B3280" s="11" t="str">
        <f>HYPERLINK("https://twitter.com/ali_abedi_","@ali_abedi_")</f>
        <v>@ali_abedi_</v>
      </c>
      <c r="C3280" s="6" t="s">
        <v>8338</v>
      </c>
      <c r="D3280" s="5" t="s">
        <v>8337</v>
      </c>
      <c r="E3280" s="9" t="str">
        <f>HYPERLINK("https://twitter.com/ali_abedi_/status/1035114557679775744","1035114557679775744")</f>
        <v>1035114557679775744</v>
      </c>
      <c r="F3280" s="4"/>
      <c r="G3280" s="4"/>
      <c r="H3280" s="4"/>
      <c r="I3280" s="10" t="str">
        <f>HYPERLINK("http://twitter.com/download/android","Twitter for Android")</f>
        <v>Twitter for Android</v>
      </c>
      <c r="J3280" s="2">
        <v>34</v>
      </c>
      <c r="K3280" s="2">
        <v>11</v>
      </c>
      <c r="L3280" s="2">
        <v>0</v>
      </c>
      <c r="M3280" s="2"/>
      <c r="N3280" s="8">
        <v>43228.919282407413</v>
      </c>
      <c r="O3280" s="4" t="s">
        <v>34</v>
      </c>
      <c r="P3280" s="3" t="s">
        <v>8336</v>
      </c>
      <c r="Q3280" s="4"/>
      <c r="R3280" s="4"/>
      <c r="S3280" s="9" t="str">
        <f>HYPERLINK("https://pbs.twimg.com/profile_images/993909465505288192/vkgwJrPF.jpg","View")</f>
        <v>View</v>
      </c>
    </row>
    <row r="3281" spans="1:19" ht="40">
      <c r="A3281" s="8">
        <v>43342.628668981481</v>
      </c>
      <c r="B3281" s="11" t="str">
        <f>HYPERLINK("https://twitter.com/ASadighha","@ASadighha")</f>
        <v>@ASadighha</v>
      </c>
      <c r="C3281" s="6" t="s">
        <v>7199</v>
      </c>
      <c r="D3281" s="5" t="s">
        <v>8335</v>
      </c>
      <c r="E3281" s="9" t="str">
        <f>HYPERLINK("https://twitter.com/ASadighha/status/1035113720408465408","1035113720408465408")</f>
        <v>1035113720408465408</v>
      </c>
      <c r="F3281" s="4"/>
      <c r="G3281" s="4"/>
      <c r="H3281" s="4"/>
      <c r="I3281" s="10" t="str">
        <f>HYPERLINK("http://twitter.com/#!/download/ipad","Twitter for iPad")</f>
        <v>Twitter for iPad</v>
      </c>
      <c r="J3281" s="2">
        <v>4</v>
      </c>
      <c r="K3281" s="2">
        <v>31</v>
      </c>
      <c r="L3281" s="2">
        <v>0</v>
      </c>
      <c r="M3281" s="2"/>
      <c r="N3281" s="8">
        <v>43332.686087962968</v>
      </c>
      <c r="O3281" s="4"/>
      <c r="P3281" s="3" t="s">
        <v>7197</v>
      </c>
      <c r="Q3281" s="4"/>
      <c r="R3281" s="4"/>
      <c r="S3281" s="2" t="s">
        <v>155</v>
      </c>
    </row>
    <row r="3282" spans="1:19" ht="30">
      <c r="A3282" s="8">
        <v>43342.627789351856</v>
      </c>
      <c r="B3282" s="11" t="str">
        <f>HYPERLINK("https://twitter.com/saeidk222","@saeidk222")</f>
        <v>@saeidk222</v>
      </c>
      <c r="C3282" s="6" t="s">
        <v>914</v>
      </c>
      <c r="D3282" s="5" t="s">
        <v>8334</v>
      </c>
      <c r="E3282" s="9" t="str">
        <f>HYPERLINK("https://twitter.com/saeidk222/status/1035113405282172929","1035113405282172929")</f>
        <v>1035113405282172929</v>
      </c>
      <c r="F3282" s="4"/>
      <c r="G3282" s="4"/>
      <c r="H3282" s="4"/>
      <c r="I3282" s="10" t="str">
        <f>HYPERLINK("http://twitter.com/download/android","Twitter for Android")</f>
        <v>Twitter for Android</v>
      </c>
      <c r="J3282" s="2">
        <v>570</v>
      </c>
      <c r="K3282" s="2">
        <v>562</v>
      </c>
      <c r="L3282" s="2">
        <v>0</v>
      </c>
      <c r="M3282" s="2"/>
      <c r="N3282" s="8">
        <v>42821.603009259255</v>
      </c>
      <c r="O3282" s="4" t="s">
        <v>912</v>
      </c>
      <c r="P3282" s="3" t="s">
        <v>911</v>
      </c>
      <c r="Q3282" s="4"/>
      <c r="R3282" s="4"/>
      <c r="S3282" s="9" t="str">
        <f>HYPERLINK("https://pbs.twimg.com/profile_images/1032620243796074496/DjHk4cpf.jpg","View")</f>
        <v>View</v>
      </c>
    </row>
    <row r="3283" spans="1:19" ht="30">
      <c r="A3283" s="8">
        <v>43342.627337962964</v>
      </c>
      <c r="B3283" s="11" t="str">
        <f>HYPERLINK("https://twitter.com/Masoudahmadi73","@Masoudahmadi73")</f>
        <v>@Masoudahmadi73</v>
      </c>
      <c r="C3283" s="6" t="s">
        <v>8333</v>
      </c>
      <c r="D3283" s="5" t="s">
        <v>8332</v>
      </c>
      <c r="E3283" s="9" t="str">
        <f>HYPERLINK("https://twitter.com/Masoudahmadi73/status/1035113238629896192","1035113238629896192")</f>
        <v>1035113238629896192</v>
      </c>
      <c r="F3283" s="4"/>
      <c r="G3283" s="4"/>
      <c r="H3283" s="4"/>
      <c r="I3283" s="10" t="str">
        <f>HYPERLINK("http://twitter.com","Twitter Web Client")</f>
        <v>Twitter Web Client</v>
      </c>
      <c r="J3283" s="2">
        <v>30</v>
      </c>
      <c r="K3283" s="2">
        <v>144</v>
      </c>
      <c r="L3283" s="2">
        <v>0</v>
      </c>
      <c r="M3283" s="2"/>
      <c r="N3283" s="8">
        <v>42766.589097222226</v>
      </c>
      <c r="O3283" s="4" t="s">
        <v>34</v>
      </c>
      <c r="P3283" s="3" t="s">
        <v>8331</v>
      </c>
      <c r="Q3283" s="4"/>
      <c r="R3283" s="4"/>
      <c r="S3283" s="9" t="str">
        <f>HYPERLINK("https://pbs.twimg.com/profile_images/1035115177694388224/UG0QWoFx.jpg","View")</f>
        <v>View</v>
      </c>
    </row>
    <row r="3284" spans="1:19" ht="40">
      <c r="A3284" s="8">
        <v>43342.625219907408</v>
      </c>
      <c r="B3284" s="11" t="str">
        <f>HYPERLINK("https://twitter.com/Jefferson_danaa","@Jefferson_danaa")</f>
        <v>@Jefferson_danaa</v>
      </c>
      <c r="C3284" s="6" t="s">
        <v>7920</v>
      </c>
      <c r="D3284" s="5" t="s">
        <v>8330</v>
      </c>
      <c r="E3284" s="9" t="str">
        <f>HYPERLINK("https://twitter.com/Jefferson_danaa/status/1035112470187147265","1035112470187147265")</f>
        <v>1035112470187147265</v>
      </c>
      <c r="F3284" s="4"/>
      <c r="G3284" s="4"/>
      <c r="H3284" s="4"/>
      <c r="I3284" s="10" t="str">
        <f>HYPERLINK("http://twitter.com/download/iphone","Twitter for iPhone")</f>
        <v>Twitter for iPhone</v>
      </c>
      <c r="J3284" s="2">
        <v>0</v>
      </c>
      <c r="K3284" s="2">
        <v>4</v>
      </c>
      <c r="L3284" s="2">
        <v>0</v>
      </c>
      <c r="M3284" s="2"/>
      <c r="N3284" s="8">
        <v>43341.882673611108</v>
      </c>
      <c r="O3284" s="4"/>
      <c r="P3284" s="3" t="s">
        <v>7917</v>
      </c>
      <c r="Q3284" s="4"/>
      <c r="R3284" s="4"/>
      <c r="S3284" s="9" t="str">
        <f>HYPERLINK("https://pbs.twimg.com/profile_images/1034845606139899905/_QSuP27P.jpg","View")</f>
        <v>View</v>
      </c>
    </row>
    <row r="3285" spans="1:19" ht="30">
      <c r="A3285" s="8">
        <v>43342.622499999998</v>
      </c>
      <c r="B3285" s="11" t="str">
        <f>HYPERLINK("https://twitter.com/MARTYR_MAN3","@MARTYR_MAN3")</f>
        <v>@MARTYR_MAN3</v>
      </c>
      <c r="C3285" s="6" t="s">
        <v>8329</v>
      </c>
      <c r="D3285" s="5" t="s">
        <v>8328</v>
      </c>
      <c r="E3285" s="9" t="str">
        <f>HYPERLINK("https://twitter.com/MARTYR_MAN3/status/1035111484773294080","1035111484773294080")</f>
        <v>1035111484773294080</v>
      </c>
      <c r="F3285" s="4"/>
      <c r="G3285" s="10" t="s">
        <v>8327</v>
      </c>
      <c r="H3285" s="4"/>
      <c r="I3285" s="10" t="str">
        <f>HYPERLINK("http://twitter.com/download/android","Twitter for Android")</f>
        <v>Twitter for Android</v>
      </c>
      <c r="J3285" s="2">
        <v>299</v>
      </c>
      <c r="K3285" s="2">
        <v>345</v>
      </c>
      <c r="L3285" s="2">
        <v>1</v>
      </c>
      <c r="M3285" s="2"/>
      <c r="N3285" s="8">
        <v>43306.760046296295</v>
      </c>
      <c r="O3285" s="4" t="s">
        <v>17</v>
      </c>
      <c r="P3285" s="3" t="s">
        <v>8326</v>
      </c>
      <c r="Q3285" s="4"/>
      <c r="R3285" s="4"/>
      <c r="S3285" s="9" t="str">
        <f>HYPERLINK("https://pbs.twimg.com/profile_images/1026385923548880896/4ZtoRRR2.jpg","View")</f>
        <v>View</v>
      </c>
    </row>
    <row r="3286" spans="1:19" ht="30">
      <c r="A3286" s="8">
        <v>43342.618784722217</v>
      </c>
      <c r="B3286" s="11" t="str">
        <f>HYPERLINK("https://twitter.com/ahmad_mazaheri","@ahmad_mazaheri")</f>
        <v>@ahmad_mazaheri</v>
      </c>
      <c r="C3286" s="6" t="s">
        <v>6889</v>
      </c>
      <c r="D3286" s="5" t="s">
        <v>8325</v>
      </c>
      <c r="E3286" s="9" t="str">
        <f>HYPERLINK("https://twitter.com/ahmad_mazaheri/status/1035110141174194178","1035110141174194178")</f>
        <v>1035110141174194178</v>
      </c>
      <c r="F3286" s="4"/>
      <c r="G3286" s="10" t="s">
        <v>8324</v>
      </c>
      <c r="H3286" s="4"/>
      <c r="I3286" s="10" t="str">
        <f>HYPERLINK("http://twitter.com/download/iphone","Twitter for iPhone")</f>
        <v>Twitter for iPhone</v>
      </c>
      <c r="J3286" s="2">
        <v>137</v>
      </c>
      <c r="K3286" s="2">
        <v>194</v>
      </c>
      <c r="L3286" s="2">
        <v>1</v>
      </c>
      <c r="M3286" s="2"/>
      <c r="N3286" s="8">
        <v>40002.683124999996</v>
      </c>
      <c r="O3286" s="4" t="s">
        <v>682</v>
      </c>
      <c r="P3286" s="3" t="s">
        <v>6887</v>
      </c>
      <c r="Q3286" s="10" t="s">
        <v>6886</v>
      </c>
      <c r="R3286" s="4"/>
      <c r="S3286" s="9" t="str">
        <f>HYPERLINK("https://pbs.twimg.com/profile_images/1023269195906252800/niEu4ewO.jpg","View")</f>
        <v>View</v>
      </c>
    </row>
    <row r="3287" spans="1:19" ht="20">
      <c r="A3287" s="8">
        <v>43342.618668981479</v>
      </c>
      <c r="B3287" s="11" t="str">
        <f>HYPERLINK("https://twitter.com/1fateemeeh","@1fateemeeh")</f>
        <v>@1fateemeeh</v>
      </c>
      <c r="C3287" s="6" t="s">
        <v>8323</v>
      </c>
      <c r="D3287" s="5" t="s">
        <v>8322</v>
      </c>
      <c r="E3287" s="9" t="str">
        <f>HYPERLINK("https://twitter.com/1fateemeeh/status/1035110098950135813","1035110098950135813")</f>
        <v>1035110098950135813</v>
      </c>
      <c r="F3287" s="4"/>
      <c r="G3287" s="4"/>
      <c r="H3287" s="4"/>
      <c r="I3287" s="10" t="str">
        <f>HYPERLINK("http://twitter.com/download/android","Twitter for Android")</f>
        <v>Twitter for Android</v>
      </c>
      <c r="J3287" s="2">
        <v>1367</v>
      </c>
      <c r="K3287" s="2">
        <v>1073</v>
      </c>
      <c r="L3287" s="2">
        <v>13</v>
      </c>
      <c r="M3287" s="2"/>
      <c r="N3287" s="8">
        <v>42909.929884259254</v>
      </c>
      <c r="O3287" s="4" t="s">
        <v>6163</v>
      </c>
      <c r="P3287" s="3" t="s">
        <v>8321</v>
      </c>
      <c r="Q3287" s="4"/>
      <c r="R3287" s="4"/>
      <c r="S3287" s="9" t="str">
        <f>HYPERLINK("https://pbs.twimg.com/profile_images/1034573151370469376/dd9t6fQO.jpg","View")</f>
        <v>View</v>
      </c>
    </row>
    <row r="3288" spans="1:19" ht="30">
      <c r="A3288" s="8">
        <v>43342.616087962961</v>
      </c>
      <c r="B3288" s="11" t="str">
        <f>HYPERLINK("https://twitter.com/pasgahemarzi","@pasgahemarzi")</f>
        <v>@pasgahemarzi</v>
      </c>
      <c r="C3288" s="6" t="s">
        <v>4136</v>
      </c>
      <c r="D3288" s="5" t="s">
        <v>8320</v>
      </c>
      <c r="E3288" s="9" t="str">
        <f>HYPERLINK("https://twitter.com/pasgahemarzi/status/1035109161409949697","1035109161409949697")</f>
        <v>1035109161409949697</v>
      </c>
      <c r="F3288" s="4"/>
      <c r="G3288" s="10" t="s">
        <v>8319</v>
      </c>
      <c r="H3288" s="4"/>
      <c r="I3288" s="10" t="str">
        <f>HYPERLINK("http://twitter.com/download/android","Twitter for Android")</f>
        <v>Twitter for Android</v>
      </c>
      <c r="J3288" s="2">
        <v>1639</v>
      </c>
      <c r="K3288" s="2">
        <v>4246</v>
      </c>
      <c r="L3288" s="2">
        <v>0</v>
      </c>
      <c r="M3288" s="2"/>
      <c r="N3288" s="8">
        <v>43257.238888888889</v>
      </c>
      <c r="O3288" s="4"/>
      <c r="P3288" s="3" t="s">
        <v>4134</v>
      </c>
      <c r="Q3288" s="4"/>
      <c r="R3288" s="4"/>
      <c r="S3288" s="9" t="str">
        <f>HYPERLINK("https://pbs.twimg.com/profile_images/1004175711958196226/6zCfdXb4.jpg","View")</f>
        <v>View</v>
      </c>
    </row>
    <row r="3289" spans="1:19" ht="40">
      <c r="A3289" s="8">
        <v>43342.611400462964</v>
      </c>
      <c r="B3289" s="11" t="str">
        <f>HYPERLINK("https://twitter.com/pejman2017","@pejman2017")</f>
        <v>@pejman2017</v>
      </c>
      <c r="C3289" s="6" t="s">
        <v>8318</v>
      </c>
      <c r="D3289" s="5" t="s">
        <v>8317</v>
      </c>
      <c r="E3289" s="9" t="str">
        <f>HYPERLINK("https://twitter.com/pejman2017/status/1035107466294390784","1035107466294390784")</f>
        <v>1035107466294390784</v>
      </c>
      <c r="F3289" s="4"/>
      <c r="G3289" s="4"/>
      <c r="H3289" s="4"/>
      <c r="I3289" s="10" t="str">
        <f>HYPERLINK("http://twitter.com","Twitter Web Client")</f>
        <v>Twitter Web Client</v>
      </c>
      <c r="J3289" s="2">
        <v>433</v>
      </c>
      <c r="K3289" s="2">
        <v>392</v>
      </c>
      <c r="L3289" s="2">
        <v>3</v>
      </c>
      <c r="M3289" s="2"/>
      <c r="N3289" s="8">
        <v>41579.720405092594</v>
      </c>
      <c r="O3289" s="4" t="s">
        <v>8316</v>
      </c>
      <c r="P3289" s="3" t="s">
        <v>8315</v>
      </c>
      <c r="Q3289" s="10" t="s">
        <v>8314</v>
      </c>
      <c r="R3289" s="4"/>
      <c r="S3289" s="9" t="str">
        <f>HYPERLINK("https://pbs.twimg.com/profile_images/769891262124089345/dUN7qnNj.jpg","View")</f>
        <v>View</v>
      </c>
    </row>
    <row r="3290" spans="1:19" ht="40">
      <c r="A3290" s="8">
        <v>43342.609907407408</v>
      </c>
      <c r="B3290" s="11" t="str">
        <f>HYPERLINK("https://twitter.com/Mehrimani1","@Mehrimani1")</f>
        <v>@Mehrimani1</v>
      </c>
      <c r="C3290" s="6" t="s">
        <v>8313</v>
      </c>
      <c r="D3290" s="5" t="s">
        <v>8312</v>
      </c>
      <c r="E3290" s="9" t="str">
        <f>HYPERLINK("https://twitter.com/Mehrimani1/status/1035106922008125440","1035106922008125440")</f>
        <v>1035106922008125440</v>
      </c>
      <c r="F3290" s="4"/>
      <c r="G3290" s="10" t="s">
        <v>8311</v>
      </c>
      <c r="H3290" s="4"/>
      <c r="I3290" s="10" t="str">
        <f>HYPERLINK("http://twitter.com/download/iphone","Twitter for iPhone")</f>
        <v>Twitter for iPhone</v>
      </c>
      <c r="J3290" s="2">
        <v>65</v>
      </c>
      <c r="K3290" s="2">
        <v>175</v>
      </c>
      <c r="L3290" s="2">
        <v>0</v>
      </c>
      <c r="M3290" s="2"/>
      <c r="N3290" s="8">
        <v>42298.156388888892</v>
      </c>
      <c r="O3290" s="4" t="s">
        <v>8310</v>
      </c>
      <c r="P3290" s="3" t="s">
        <v>8309</v>
      </c>
      <c r="Q3290" s="4"/>
      <c r="R3290" s="4"/>
      <c r="S3290" s="9" t="str">
        <f>HYPERLINK("https://pbs.twimg.com/profile_images/1033011977264799747/adHHEzG9.jpg","View")</f>
        <v>View</v>
      </c>
    </row>
    <row r="3291" spans="1:19" ht="30">
      <c r="A3291" s="8">
        <v>43342.604745370365</v>
      </c>
      <c r="B3291" s="11" t="str">
        <f>HYPERLINK("https://twitter.com/faranakjavaheri","@faranakjavaheri")</f>
        <v>@faranakjavaheri</v>
      </c>
      <c r="C3291" s="6" t="s">
        <v>8308</v>
      </c>
      <c r="D3291" s="5" t="s">
        <v>8307</v>
      </c>
      <c r="E3291" s="9" t="str">
        <f>HYPERLINK("https://twitter.com/faranakjavaheri/status/1035105052296404992","1035105052296404992")</f>
        <v>1035105052296404992</v>
      </c>
      <c r="F3291" s="4"/>
      <c r="G3291" s="4"/>
      <c r="H3291" s="4"/>
      <c r="I3291" s="10" t="str">
        <f>HYPERLINK("http://twitter.com/download/android","Twitter for Android")</f>
        <v>Twitter for Android</v>
      </c>
      <c r="J3291" s="2">
        <v>1413</v>
      </c>
      <c r="K3291" s="2">
        <v>975</v>
      </c>
      <c r="L3291" s="2">
        <v>13</v>
      </c>
      <c r="M3291" s="2"/>
      <c r="N3291" s="8">
        <v>42609.017384259263</v>
      </c>
      <c r="O3291" s="4" t="s">
        <v>34</v>
      </c>
      <c r="P3291" s="3" t="s">
        <v>8306</v>
      </c>
      <c r="Q3291" s="4"/>
      <c r="R3291" s="4"/>
      <c r="S3291" s="9" t="str">
        <f>HYPERLINK("https://pbs.twimg.com/profile_images/1027997248901328897/iD7AEDCp.jpg","View")</f>
        <v>View</v>
      </c>
    </row>
    <row r="3292" spans="1:19" ht="20">
      <c r="A3292" s="8">
        <v>43342.604733796295</v>
      </c>
      <c r="B3292" s="11" t="str">
        <f>HYPERLINK("https://twitter.com/AUrIHU1__Asi","@AUrIHU1__Asi")</f>
        <v>@AUrIHU1__Asi</v>
      </c>
      <c r="C3292" s="6" t="s">
        <v>8305</v>
      </c>
      <c r="D3292" s="5" t="s">
        <v>8304</v>
      </c>
      <c r="E3292" s="9" t="str">
        <f>HYPERLINK("https://twitter.com/AUrIHU1__Asi/status/1035105046952923136","1035105046952923136")</f>
        <v>1035105046952923136</v>
      </c>
      <c r="F3292" s="4"/>
      <c r="G3292" s="4"/>
      <c r="H3292" s="4"/>
      <c r="I3292" s="10" t="str">
        <f>HYPERLINK("http://twitter.com/download/android","Twitter for Android")</f>
        <v>Twitter for Android</v>
      </c>
      <c r="J3292" s="2">
        <v>1502</v>
      </c>
      <c r="K3292" s="2">
        <v>141</v>
      </c>
      <c r="L3292" s="2">
        <v>8</v>
      </c>
      <c r="M3292" s="2"/>
      <c r="N3292" s="8">
        <v>42364.251469907409</v>
      </c>
      <c r="O3292" s="4" t="s">
        <v>8303</v>
      </c>
      <c r="P3292" s="3" t="s">
        <v>8302</v>
      </c>
      <c r="Q3292" s="4"/>
      <c r="R3292" s="4"/>
      <c r="S3292" s="9" t="str">
        <f>HYPERLINK("https://pbs.twimg.com/profile_images/1027537332491173888/FNc_8pxm.jpg","View")</f>
        <v>View</v>
      </c>
    </row>
    <row r="3293" spans="1:19" ht="40">
      <c r="A3293" s="8">
        <v>43342.603680555556</v>
      </c>
      <c r="B3293" s="11" t="str">
        <f>HYPERLINK("https://twitter.com/Omid68793217","@Omid68793217")</f>
        <v>@Omid68793217</v>
      </c>
      <c r="C3293" s="6" t="s">
        <v>8301</v>
      </c>
      <c r="D3293" s="5" t="s">
        <v>8300</v>
      </c>
      <c r="E3293" s="9" t="str">
        <f>HYPERLINK("https://twitter.com/Omid68793217/status/1035104665619390464","1035104665619390464")</f>
        <v>1035104665619390464</v>
      </c>
      <c r="F3293" s="4"/>
      <c r="G3293" s="4"/>
      <c r="H3293" s="4"/>
      <c r="I3293" s="10" t="str">
        <f>HYPERLINK("http://twitter.com/download/android","Twitter for Android")</f>
        <v>Twitter for Android</v>
      </c>
      <c r="J3293" s="2">
        <v>2</v>
      </c>
      <c r="K3293" s="2">
        <v>17</v>
      </c>
      <c r="L3293" s="2">
        <v>0</v>
      </c>
      <c r="M3293" s="2"/>
      <c r="N3293" s="8">
        <v>43330.93644675926</v>
      </c>
      <c r="O3293" s="4"/>
      <c r="P3293" s="3" t="s">
        <v>8299</v>
      </c>
      <c r="Q3293" s="4"/>
      <c r="R3293" s="4"/>
      <c r="S3293" s="2" t="s">
        <v>155</v>
      </c>
    </row>
    <row r="3294" spans="1:19" ht="20">
      <c r="A3294" s="8">
        <v>43342.600868055553</v>
      </c>
      <c r="B3294" s="11" t="str">
        <f>HYPERLINK("https://twitter.com/Fnews_Persian","@Fnews_Persian")</f>
        <v>@Fnews_Persian</v>
      </c>
      <c r="C3294" s="6" t="s">
        <v>919</v>
      </c>
      <c r="D3294" s="5" t="s">
        <v>8298</v>
      </c>
      <c r="E3294" s="9" t="str">
        <f>HYPERLINK("https://twitter.com/Fnews_Persian/status/1035103646021763073","1035103646021763073")</f>
        <v>1035103646021763073</v>
      </c>
      <c r="F3294" s="4"/>
      <c r="G3294" s="10" t="s">
        <v>8297</v>
      </c>
      <c r="H3294" s="4"/>
      <c r="I3294" s="10" t="str">
        <f>HYPERLINK("http://twitter.com","Twitter Web Client")</f>
        <v>Twitter Web Client</v>
      </c>
      <c r="J3294" s="2">
        <v>58362</v>
      </c>
      <c r="K3294" s="2">
        <v>8</v>
      </c>
      <c r="L3294" s="2">
        <v>8</v>
      </c>
      <c r="M3294" s="2"/>
      <c r="N3294" s="8">
        <v>42445.668726851851</v>
      </c>
      <c r="O3294" s="4" t="s">
        <v>916</v>
      </c>
      <c r="P3294" s="3" t="s">
        <v>915</v>
      </c>
      <c r="Q3294" s="4"/>
      <c r="R3294" s="4"/>
      <c r="S3294" s="9" t="str">
        <f>HYPERLINK("https://pbs.twimg.com/profile_images/962248284151734272/-yEY7hhB.jpg","View")</f>
        <v>View</v>
      </c>
    </row>
    <row r="3295" spans="1:19" ht="30">
      <c r="A3295" s="8">
        <v>43342.600648148145</v>
      </c>
      <c r="B3295" s="11" t="str">
        <f>HYPERLINK("https://twitter.com/Alitaheripak","@Alitaheripak")</f>
        <v>@Alitaheripak</v>
      </c>
      <c r="C3295" s="6" t="s">
        <v>5390</v>
      </c>
      <c r="D3295" s="5" t="s">
        <v>8296</v>
      </c>
      <c r="E3295" s="9" t="str">
        <f>HYPERLINK("https://twitter.com/Alitaheripak/status/1035103565847699456","1035103565847699456")</f>
        <v>1035103565847699456</v>
      </c>
      <c r="F3295" s="10" t="s">
        <v>8295</v>
      </c>
      <c r="G3295" s="10" t="s">
        <v>8294</v>
      </c>
      <c r="H3295" s="4"/>
      <c r="I3295" s="10" t="str">
        <f>HYPERLINK("https://mobile.twitter.com","Twitter Lite")</f>
        <v>Twitter Lite</v>
      </c>
      <c r="J3295" s="2">
        <v>1681</v>
      </c>
      <c r="K3295" s="2">
        <v>1661</v>
      </c>
      <c r="L3295" s="2">
        <v>2</v>
      </c>
      <c r="M3295" s="2"/>
      <c r="N3295" s="8">
        <v>43085.646944444445</v>
      </c>
      <c r="O3295" s="4" t="s">
        <v>5388</v>
      </c>
      <c r="P3295" s="3"/>
      <c r="Q3295" s="4"/>
      <c r="R3295" s="4"/>
      <c r="S3295" s="9" t="str">
        <f>HYPERLINK("https://pbs.twimg.com/profile_images/942673249711935488/s3W6LBul.jpg","View")</f>
        <v>View</v>
      </c>
    </row>
    <row r="3296" spans="1:19" ht="30">
      <c r="A3296" s="8">
        <v>43342.599062499998</v>
      </c>
      <c r="B3296" s="11" t="str">
        <f>HYPERLINK("https://twitter.com/makhavan_tv","@makhavan_tv")</f>
        <v>@makhavan_tv</v>
      </c>
      <c r="C3296" s="6" t="s">
        <v>7568</v>
      </c>
      <c r="D3296" s="5" t="s">
        <v>8293</v>
      </c>
      <c r="E3296" s="9" t="str">
        <f>HYPERLINK("https://twitter.com/makhavan_tv/status/1035102994390568960","1035102994390568960")</f>
        <v>1035102994390568960</v>
      </c>
      <c r="F3296" s="4"/>
      <c r="G3296" s="4"/>
      <c r="H3296" s="4"/>
      <c r="I3296" s="10" t="str">
        <f>HYPERLINK("http://twitter.com/download/iphone","Twitter for iPhone")</f>
        <v>Twitter for iPhone</v>
      </c>
      <c r="J3296" s="2">
        <v>244</v>
      </c>
      <c r="K3296" s="2">
        <v>94</v>
      </c>
      <c r="L3296" s="2">
        <v>5</v>
      </c>
      <c r="M3296" s="2"/>
      <c r="N3296" s="8">
        <v>39966.71261574074</v>
      </c>
      <c r="O3296" s="4" t="s">
        <v>8292</v>
      </c>
      <c r="P3296" s="3" t="s">
        <v>8291</v>
      </c>
      <c r="Q3296" s="4"/>
      <c r="R3296" s="4"/>
      <c r="S3296" s="9" t="str">
        <f>HYPERLINK("https://pbs.twimg.com/profile_images/987369363295686656/Uvz9ahpe.jpg","View")</f>
        <v>View</v>
      </c>
    </row>
    <row r="3297" spans="1:19" ht="20">
      <c r="A3297" s="8">
        <v>43342.594629629632</v>
      </c>
      <c r="B3297" s="11" t="str">
        <f>HYPERLINK("https://twitter.com/_yotab","@_yotab")</f>
        <v>@_yotab</v>
      </c>
      <c r="C3297" s="6" t="s">
        <v>8290</v>
      </c>
      <c r="D3297" s="5" t="s">
        <v>8289</v>
      </c>
      <c r="E3297" s="9" t="str">
        <f>HYPERLINK("https://twitter.com/_yotab/status/1035101387510738945","1035101387510738945")</f>
        <v>1035101387510738945</v>
      </c>
      <c r="F3297" s="4"/>
      <c r="G3297" s="4"/>
      <c r="H3297" s="4"/>
      <c r="I3297" s="10" t="str">
        <f>HYPERLINK("http://twitter.com/download/iphone","Twitter for iPhone")</f>
        <v>Twitter for iPhone</v>
      </c>
      <c r="J3297" s="2">
        <v>851</v>
      </c>
      <c r="K3297" s="2">
        <v>656</v>
      </c>
      <c r="L3297" s="2">
        <v>5</v>
      </c>
      <c r="M3297" s="2"/>
      <c r="N3297" s="8">
        <v>40657.902372685188</v>
      </c>
      <c r="O3297" s="4" t="s">
        <v>3589</v>
      </c>
      <c r="P3297" s="3" t="s">
        <v>8288</v>
      </c>
      <c r="Q3297" s="4"/>
      <c r="R3297" s="4"/>
      <c r="S3297" s="9" t="str">
        <f>HYPERLINK("https://pbs.twimg.com/profile_images/1021475912955699200/b6VkK_Xq.jpg","View")</f>
        <v>View</v>
      </c>
    </row>
    <row r="3298" spans="1:19" ht="40">
      <c r="A3298" s="8">
        <v>43342.591585648144</v>
      </c>
      <c r="B3298" s="11" t="str">
        <f>HYPERLINK("https://twitter.com/theguyufallfor","@theguyufallfor")</f>
        <v>@theguyufallfor</v>
      </c>
      <c r="C3298" s="6" t="s">
        <v>2304</v>
      </c>
      <c r="D3298" s="5" t="s">
        <v>8287</v>
      </c>
      <c r="E3298" s="9" t="str">
        <f>HYPERLINK("https://twitter.com/theguyufallfor/status/1035100282093543424","1035100282093543424")</f>
        <v>1035100282093543424</v>
      </c>
      <c r="F3298" s="4"/>
      <c r="G3298" s="4"/>
      <c r="H3298" s="4"/>
      <c r="I3298" s="10" t="str">
        <f>HYPERLINK("http://twitter.com/download/iphone","Twitter for iPhone")</f>
        <v>Twitter for iPhone</v>
      </c>
      <c r="J3298" s="2">
        <v>75</v>
      </c>
      <c r="K3298" s="2">
        <v>295</v>
      </c>
      <c r="L3298" s="2">
        <v>0</v>
      </c>
      <c r="M3298" s="2"/>
      <c r="N3298" s="8">
        <v>43230.389803240745</v>
      </c>
      <c r="O3298" s="4" t="s">
        <v>2302</v>
      </c>
      <c r="P3298" s="3" t="s">
        <v>2301</v>
      </c>
      <c r="Q3298" s="4"/>
      <c r="R3298" s="4"/>
      <c r="S3298" s="9" t="str">
        <f>HYPERLINK("https://pbs.twimg.com/profile_images/1023784748135731200/DsKD--p6.jpg","View")</f>
        <v>View</v>
      </c>
    </row>
    <row r="3299" spans="1:19" ht="40">
      <c r="A3299" s="8">
        <v>43342.59</v>
      </c>
      <c r="B3299" s="11" t="str">
        <f>HYPERLINK("https://twitter.com/SoodabehRadfard","@SoodabehRadfard")</f>
        <v>@SoodabehRadfard</v>
      </c>
      <c r="C3299" s="6" t="s">
        <v>8286</v>
      </c>
      <c r="D3299" s="5" t="s">
        <v>8285</v>
      </c>
      <c r="E3299" s="9" t="str">
        <f>HYPERLINK("https://twitter.com/SoodabehRadfard/status/1035099708883173378","1035099708883173378")</f>
        <v>1035099708883173378</v>
      </c>
      <c r="F3299" s="4"/>
      <c r="G3299" s="4"/>
      <c r="H3299" s="4"/>
      <c r="I3299" s="10" t="str">
        <f>HYPERLINK("http://twitter.com/download/android","Twitter for Android")</f>
        <v>Twitter for Android</v>
      </c>
      <c r="J3299" s="2">
        <v>633</v>
      </c>
      <c r="K3299" s="2">
        <v>348</v>
      </c>
      <c r="L3299" s="2">
        <v>3</v>
      </c>
      <c r="M3299" s="2"/>
      <c r="N3299" s="8">
        <v>42859.030833333338</v>
      </c>
      <c r="O3299" s="4" t="s">
        <v>34</v>
      </c>
      <c r="P3299" s="3" t="s">
        <v>8284</v>
      </c>
      <c r="Q3299" s="4"/>
      <c r="R3299" s="4"/>
      <c r="S3299" s="9" t="str">
        <f>HYPERLINK("https://pbs.twimg.com/profile_images/862190876952592384/vVUfH6Lh.jpg","View")</f>
        <v>View</v>
      </c>
    </row>
    <row r="3300" spans="1:19" ht="30">
      <c r="A3300" s="8">
        <v>43342.587453703702</v>
      </c>
      <c r="B3300" s="11" t="str">
        <f>HYPERLINK("https://twitter.com/amirhd_","@amirhd_")</f>
        <v>@amirhd_</v>
      </c>
      <c r="C3300" s="6" t="s">
        <v>7984</v>
      </c>
      <c r="D3300" s="5" t="s">
        <v>8283</v>
      </c>
      <c r="E3300" s="9" t="str">
        <f>HYPERLINK("https://twitter.com/amirhd_/status/1035098786631180288","1035098786631180288")</f>
        <v>1035098786631180288</v>
      </c>
      <c r="F3300" s="4"/>
      <c r="G3300" s="4"/>
      <c r="H3300" s="4"/>
      <c r="I3300" s="10" t="str">
        <f>HYPERLINK("http://twitter.com/download/android","Twitter for Android")</f>
        <v>Twitter for Android</v>
      </c>
      <c r="J3300" s="2">
        <v>105</v>
      </c>
      <c r="K3300" s="2">
        <v>81</v>
      </c>
      <c r="L3300" s="2">
        <v>1</v>
      </c>
      <c r="M3300" s="2"/>
      <c r="N3300" s="8">
        <v>42158.654745370368</v>
      </c>
      <c r="O3300" s="4" t="s">
        <v>2059</v>
      </c>
      <c r="P3300" s="3" t="s">
        <v>8282</v>
      </c>
      <c r="Q3300" s="4"/>
      <c r="R3300" s="4"/>
      <c r="S3300" s="9" t="str">
        <f>HYPERLINK("https://pbs.twimg.com/profile_images/1033402090352205824/AqKED67n.jpg","View")</f>
        <v>View</v>
      </c>
    </row>
    <row r="3301" spans="1:19" ht="20">
      <c r="A3301" s="8">
        <v>43342.58084490741</v>
      </c>
      <c r="B3301" s="11" t="str">
        <f>HYPERLINK("https://twitter.com/haj_Einstein","@haj_Einstein")</f>
        <v>@haj_Einstein</v>
      </c>
      <c r="C3301" s="6" t="s">
        <v>1350</v>
      </c>
      <c r="D3301" s="12" t="s">
        <v>8281</v>
      </c>
      <c r="E3301" s="9" t="str">
        <f>HYPERLINK("https://twitter.com/haj_Einstein/status/1035096393009061890","1035096393009061890")</f>
        <v>1035096393009061890</v>
      </c>
      <c r="F3301" s="4"/>
      <c r="G3301" s="10" t="s">
        <v>8280</v>
      </c>
      <c r="H3301" s="4"/>
      <c r="I3301" s="10" t="str">
        <f>HYPERLINK("http://twitter.com/download/android","Twitter for Android")</f>
        <v>Twitter for Android</v>
      </c>
      <c r="J3301" s="2">
        <v>1178</v>
      </c>
      <c r="K3301" s="2">
        <v>915</v>
      </c>
      <c r="L3301" s="2">
        <v>0</v>
      </c>
      <c r="M3301" s="2"/>
      <c r="N3301" s="8">
        <v>42513.552152777775</v>
      </c>
      <c r="O3301" s="4" t="s">
        <v>1348</v>
      </c>
      <c r="P3301" s="3" t="s">
        <v>1347</v>
      </c>
      <c r="Q3301" s="4"/>
      <c r="R3301" s="4"/>
      <c r="S3301" s="9" t="str">
        <f>HYPERLINK("https://pbs.twimg.com/profile_images/1026355675037921280/znaIjDgn.jpg","View")</f>
        <v>View</v>
      </c>
    </row>
    <row r="3302" spans="1:19" ht="12.5">
      <c r="A3302" s="8">
        <v>43342.580694444448</v>
      </c>
      <c r="B3302" s="11" t="str">
        <f>HYPERLINK("https://twitter.com/nagootangam","@nagootangam")</f>
        <v>@nagootangam</v>
      </c>
      <c r="C3302" s="6" t="s">
        <v>8279</v>
      </c>
      <c r="D3302" s="5" t="s">
        <v>8278</v>
      </c>
      <c r="E3302" s="9" t="str">
        <f>HYPERLINK("https://twitter.com/nagootangam/status/1035096337426128897","1035096337426128897")</f>
        <v>1035096337426128897</v>
      </c>
      <c r="F3302" s="4"/>
      <c r="G3302" s="10" t="s">
        <v>8277</v>
      </c>
      <c r="H3302" s="4"/>
      <c r="I3302" s="10" t="str">
        <f>HYPERLINK("http://twitter.com/download/android","Twitter for Android")</f>
        <v>Twitter for Android</v>
      </c>
      <c r="J3302" s="2">
        <v>25</v>
      </c>
      <c r="K3302" s="2">
        <v>35</v>
      </c>
      <c r="L3302" s="2">
        <v>0</v>
      </c>
      <c r="M3302" s="2"/>
      <c r="N3302" s="8">
        <v>43185.864016203705</v>
      </c>
      <c r="O3302" s="4" t="s">
        <v>8276</v>
      </c>
      <c r="P3302" s="3" t="s">
        <v>8275</v>
      </c>
      <c r="Q3302" s="4"/>
      <c r="R3302" s="4"/>
      <c r="S3302" s="9" t="str">
        <f>HYPERLINK("https://pbs.twimg.com/profile_images/1032592722031529984/CfIW1-2l.jpg","View")</f>
        <v>View</v>
      </c>
    </row>
    <row r="3303" spans="1:19" ht="20">
      <c r="A3303" s="8">
        <v>43342.577326388884</v>
      </c>
      <c r="B3303" s="11" t="str">
        <f>HYPERLINK("https://twitter.com/SepehrHadaegh","@SepehrHadaegh")</f>
        <v>@SepehrHadaegh</v>
      </c>
      <c r="C3303" s="6" t="s">
        <v>8274</v>
      </c>
      <c r="D3303" s="5" t="s">
        <v>8273</v>
      </c>
      <c r="E3303" s="9" t="str">
        <f>HYPERLINK("https://twitter.com/SepehrHadaegh/status/1035095117433057280","1035095117433057280")</f>
        <v>1035095117433057280</v>
      </c>
      <c r="F3303" s="4"/>
      <c r="G3303" s="4"/>
      <c r="H3303" s="4"/>
      <c r="I3303" s="10" t="str">
        <f>HYPERLINK("http://twitter.com","Twitter Web Client")</f>
        <v>Twitter Web Client</v>
      </c>
      <c r="J3303" s="2">
        <v>30</v>
      </c>
      <c r="K3303" s="2">
        <v>47</v>
      </c>
      <c r="L3303" s="2">
        <v>0</v>
      </c>
      <c r="M3303" s="2"/>
      <c r="N3303" s="8">
        <v>43083.917939814812</v>
      </c>
      <c r="O3303" s="4" t="s">
        <v>8272</v>
      </c>
      <c r="P3303" s="3"/>
      <c r="Q3303" s="10" t="s">
        <v>8271</v>
      </c>
      <c r="R3303" s="4"/>
      <c r="S3303" s="9" t="str">
        <f>HYPERLINK("https://pbs.twimg.com/profile_images/991043759038255105/htGWZFTe.jpg","View")</f>
        <v>View</v>
      </c>
    </row>
    <row r="3304" spans="1:19" ht="20">
      <c r="A3304" s="8">
        <v>43342.576261574075</v>
      </c>
      <c r="B3304" s="11" t="str">
        <f>HYPERLINK("https://twitter.com/Fnews_Persian","@Fnews_Persian")</f>
        <v>@Fnews_Persian</v>
      </c>
      <c r="C3304" s="6" t="s">
        <v>919</v>
      </c>
      <c r="D3304" s="5" t="s">
        <v>8270</v>
      </c>
      <c r="E3304" s="9" t="str">
        <f>HYPERLINK("https://twitter.com/Fnews_Persian/status/1035094729531305984","1035094729531305984")</f>
        <v>1035094729531305984</v>
      </c>
      <c r="F3304" s="4"/>
      <c r="G3304" s="10" t="s">
        <v>8269</v>
      </c>
      <c r="H3304" s="4"/>
      <c r="I3304" s="10" t="str">
        <f>HYPERLINK("http://twitter.com","Twitter Web Client")</f>
        <v>Twitter Web Client</v>
      </c>
      <c r="J3304" s="2">
        <v>58362</v>
      </c>
      <c r="K3304" s="2">
        <v>8</v>
      </c>
      <c r="L3304" s="2">
        <v>8</v>
      </c>
      <c r="M3304" s="2"/>
      <c r="N3304" s="8">
        <v>42445.668726851851</v>
      </c>
      <c r="O3304" s="4" t="s">
        <v>916</v>
      </c>
      <c r="P3304" s="3" t="s">
        <v>915</v>
      </c>
      <c r="Q3304" s="4"/>
      <c r="R3304" s="4"/>
      <c r="S3304" s="9" t="str">
        <f>HYPERLINK("https://pbs.twimg.com/profile_images/962248284151734272/-yEY7hhB.jpg","View")</f>
        <v>View</v>
      </c>
    </row>
    <row r="3305" spans="1:19" ht="40">
      <c r="A3305" s="8">
        <v>43342.569120370375</v>
      </c>
      <c r="B3305" s="11" t="str">
        <f>HYPERLINK("https://twitter.com/mehrdadbehrad2","@mehrdadbehrad2")</f>
        <v>@mehrdadbehrad2</v>
      </c>
      <c r="C3305" s="6" t="s">
        <v>8268</v>
      </c>
      <c r="D3305" s="5" t="s">
        <v>8267</v>
      </c>
      <c r="E3305" s="9" t="str">
        <f>HYPERLINK("https://twitter.com/mehrdadbehrad2/status/1035092144296550400","1035092144296550400")</f>
        <v>1035092144296550400</v>
      </c>
      <c r="F3305" s="4"/>
      <c r="G3305" s="4"/>
      <c r="H3305" s="4"/>
      <c r="I3305" s="10" t="str">
        <f>HYPERLINK("http://twitter.com/download/android","Twitter for Android")</f>
        <v>Twitter for Android</v>
      </c>
      <c r="J3305" s="2">
        <v>157</v>
      </c>
      <c r="K3305" s="2">
        <v>217</v>
      </c>
      <c r="L3305" s="2">
        <v>0</v>
      </c>
      <c r="M3305" s="2"/>
      <c r="N3305" s="8">
        <v>42764.807499999995</v>
      </c>
      <c r="O3305" s="4" t="s">
        <v>17</v>
      </c>
      <c r="P3305" s="3" t="s">
        <v>8266</v>
      </c>
      <c r="Q3305" s="4"/>
      <c r="R3305" s="4"/>
      <c r="S3305" s="9" t="str">
        <f>HYPERLINK("https://pbs.twimg.com/profile_images/1028809423567953920/RfRmWFF2.jpg","View")</f>
        <v>View</v>
      </c>
    </row>
    <row r="3306" spans="1:19" ht="30">
      <c r="A3306" s="8">
        <v>43342.568206018521</v>
      </c>
      <c r="B3306" s="11" t="str">
        <f>HYPERLINK("https://twitter.com/yarashna7","@yarashna7")</f>
        <v>@yarashna7</v>
      </c>
      <c r="C3306" s="6" t="s">
        <v>8265</v>
      </c>
      <c r="D3306" s="5" t="s">
        <v>8264</v>
      </c>
      <c r="E3306" s="9" t="str">
        <f>HYPERLINK("https://twitter.com/yarashna7/status/1035091812124446720","1035091812124446720")</f>
        <v>1035091812124446720</v>
      </c>
      <c r="F3306" s="4"/>
      <c r="G3306" s="10" t="s">
        <v>8263</v>
      </c>
      <c r="H3306" s="4"/>
      <c r="I3306" s="10" t="str">
        <f>HYPERLINK("http://twitter.com","Twitter Web Client")</f>
        <v>Twitter Web Client</v>
      </c>
      <c r="J3306" s="2">
        <v>3060</v>
      </c>
      <c r="K3306" s="2">
        <v>2349</v>
      </c>
      <c r="L3306" s="2">
        <v>7</v>
      </c>
      <c r="M3306" s="2"/>
      <c r="N3306" s="8">
        <v>42815.055312500001</v>
      </c>
      <c r="O3306" s="4" t="s">
        <v>8262</v>
      </c>
      <c r="P3306" s="3" t="s">
        <v>8261</v>
      </c>
      <c r="Q3306" s="10" t="s">
        <v>8260</v>
      </c>
      <c r="R3306" s="4"/>
      <c r="S3306" s="9" t="str">
        <f>HYPERLINK("https://pbs.twimg.com/profile_images/1033704693891907584/WhFlEfu-.jpg","View")</f>
        <v>View</v>
      </c>
    </row>
    <row r="3307" spans="1:19" ht="20">
      <c r="A3307" s="8">
        <v>43342.563773148147</v>
      </c>
      <c r="B3307" s="11" t="str">
        <f>HYPERLINK("https://twitter.com/moh_aghasi","@moh_aghasi")</f>
        <v>@moh_aghasi</v>
      </c>
      <c r="C3307" s="6" t="s">
        <v>8259</v>
      </c>
      <c r="D3307" s="5" t="s">
        <v>8258</v>
      </c>
      <c r="E3307" s="9" t="str">
        <f>HYPERLINK("https://twitter.com/moh_aghasi/status/1035090203428499457","1035090203428499457")</f>
        <v>1035090203428499457</v>
      </c>
      <c r="F3307" s="4"/>
      <c r="G3307" s="4"/>
      <c r="H3307" s="4"/>
      <c r="I3307" s="10" t="str">
        <f>HYPERLINK("http://twitter.com/download/iphone","Twitter for iPhone")</f>
        <v>Twitter for iPhone</v>
      </c>
      <c r="J3307" s="2">
        <v>172</v>
      </c>
      <c r="K3307" s="2">
        <v>83</v>
      </c>
      <c r="L3307" s="2">
        <v>0</v>
      </c>
      <c r="M3307" s="2"/>
      <c r="N3307" s="8">
        <v>43124.004513888889</v>
      </c>
      <c r="O3307" s="4" t="s">
        <v>133</v>
      </c>
      <c r="P3307" s="3" t="s">
        <v>8257</v>
      </c>
      <c r="Q3307" s="10" t="s">
        <v>8256</v>
      </c>
      <c r="R3307" s="4"/>
      <c r="S3307" s="9" t="str">
        <f>HYPERLINK("https://pbs.twimg.com/profile_images/955904908674453505/TMt63qwg.jpg","View")</f>
        <v>View</v>
      </c>
    </row>
    <row r="3308" spans="1:19" ht="30">
      <c r="A3308" s="8">
        <v>43342.563194444447</v>
      </c>
      <c r="B3308" s="11" t="str">
        <f>HYPERLINK("https://twitter.com/smostafa1992","@smostafa1992")</f>
        <v>@smostafa1992</v>
      </c>
      <c r="C3308" s="6" t="s">
        <v>1076</v>
      </c>
      <c r="D3308" s="5" t="s">
        <v>8255</v>
      </c>
      <c r="E3308" s="9" t="str">
        <f>HYPERLINK("https://twitter.com/smostafa1992/status/1035089993402916864","1035089993402916864")</f>
        <v>1035089993402916864</v>
      </c>
      <c r="F3308" s="4"/>
      <c r="G3308" s="4"/>
      <c r="H3308" s="4"/>
      <c r="I3308" s="10" t="str">
        <f>HYPERLINK("http://twitter.com/download/iphone","Twitter for iPhone")</f>
        <v>Twitter for iPhone</v>
      </c>
      <c r="J3308" s="2">
        <v>10</v>
      </c>
      <c r="K3308" s="2">
        <v>33</v>
      </c>
      <c r="L3308" s="2">
        <v>0</v>
      </c>
      <c r="M3308" s="2"/>
      <c r="N3308" s="8">
        <v>43326.545289351852</v>
      </c>
      <c r="O3308" s="4" t="s">
        <v>1074</v>
      </c>
      <c r="P3308" s="3" t="s">
        <v>1073</v>
      </c>
      <c r="Q3308" s="10" t="s">
        <v>1072</v>
      </c>
      <c r="R3308" s="4"/>
      <c r="S3308" s="9" t="str">
        <f>HYPERLINK("https://pbs.twimg.com/profile_images/1029287491138990083/OQSkcKdz.jpg","View")</f>
        <v>View</v>
      </c>
    </row>
    <row r="3309" spans="1:19" ht="40">
      <c r="A3309" s="8">
        <v>43342.5628587963</v>
      </c>
      <c r="B3309" s="11" t="str">
        <f>HYPERLINK("https://twitter.com/ojan_akbari","@ojan_akbari")</f>
        <v>@ojan_akbari</v>
      </c>
      <c r="C3309" s="6" t="s">
        <v>5611</v>
      </c>
      <c r="D3309" s="5" t="s">
        <v>8254</v>
      </c>
      <c r="E3309" s="9" t="str">
        <f>HYPERLINK("https://twitter.com/ojan_akbari/status/1035089871902142465","1035089871902142465")</f>
        <v>1035089871902142465</v>
      </c>
      <c r="F3309" s="4"/>
      <c r="G3309" s="4"/>
      <c r="H3309" s="4"/>
      <c r="I3309" s="10" t="str">
        <f>HYPERLINK("http://twitter.com/download/android","Twitter for Android")</f>
        <v>Twitter for Android</v>
      </c>
      <c r="J3309" s="2">
        <v>71</v>
      </c>
      <c r="K3309" s="2">
        <v>229</v>
      </c>
      <c r="L3309" s="2">
        <v>0</v>
      </c>
      <c r="M3309" s="2"/>
      <c r="N3309" s="8">
        <v>43189.757523148146</v>
      </c>
      <c r="O3309" s="4"/>
      <c r="P3309" s="3"/>
      <c r="Q3309" s="4"/>
      <c r="R3309" s="4"/>
      <c r="S3309" s="2" t="s">
        <v>155</v>
      </c>
    </row>
    <row r="3310" spans="1:19" ht="30">
      <c r="A3310" s="8">
        <v>43342.559814814813</v>
      </c>
      <c r="B3310" s="11" t="str">
        <f>HYPERLINK("https://twitter.com/siavashpourali","@siavashpourali")</f>
        <v>@siavashpourali</v>
      </c>
      <c r="C3310" s="6" t="s">
        <v>8253</v>
      </c>
      <c r="D3310" s="5" t="s">
        <v>8252</v>
      </c>
      <c r="E3310" s="9" t="str">
        <f>HYPERLINK("https://twitter.com/siavashpourali/status/1035088771157553153","1035088771157553153")</f>
        <v>1035088771157553153</v>
      </c>
      <c r="F3310" s="4"/>
      <c r="G3310" s="4"/>
      <c r="H3310" s="4"/>
      <c r="I3310" s="10" t="str">
        <f>HYPERLINK("http://twitter.com/download/iphone","Twitter for iPhone")</f>
        <v>Twitter for iPhone</v>
      </c>
      <c r="J3310" s="2">
        <v>211</v>
      </c>
      <c r="K3310" s="2">
        <v>63</v>
      </c>
      <c r="L3310" s="2">
        <v>0</v>
      </c>
      <c r="M3310" s="2"/>
      <c r="N3310" s="8">
        <v>41541.130393518521</v>
      </c>
      <c r="O3310" s="4" t="s">
        <v>8251</v>
      </c>
      <c r="P3310" s="3" t="s">
        <v>8250</v>
      </c>
      <c r="Q3310" s="4"/>
      <c r="R3310" s="4"/>
      <c r="S3310" s="9" t="str">
        <f>HYPERLINK("https://pbs.twimg.com/profile_images/991070228695175168/4VVzdgej.jpg","View")</f>
        <v>View</v>
      </c>
    </row>
    <row r="3311" spans="1:19" ht="40">
      <c r="A3311" s="8">
        <v>43342.558252314819</v>
      </c>
      <c r="B3311" s="11" t="str">
        <f>HYPERLINK("https://twitter.com/arian1333","@arian1333")</f>
        <v>@arian1333</v>
      </c>
      <c r="C3311" s="6" t="s">
        <v>8249</v>
      </c>
      <c r="D3311" s="5" t="s">
        <v>8248</v>
      </c>
      <c r="E3311" s="9" t="str">
        <f>HYPERLINK("https://twitter.com/arian1333/status/1035088206079963136","1035088206079963136")</f>
        <v>1035088206079963136</v>
      </c>
      <c r="F3311" s="4"/>
      <c r="G3311" s="4"/>
      <c r="H3311" s="4"/>
      <c r="I3311" s="10" t="str">
        <f>HYPERLINK("http://twitter.com/download/android","Twitter for Android")</f>
        <v>Twitter for Android</v>
      </c>
      <c r="J3311" s="2">
        <v>736</v>
      </c>
      <c r="K3311" s="2">
        <v>1874</v>
      </c>
      <c r="L3311" s="2">
        <v>1</v>
      </c>
      <c r="M3311" s="2"/>
      <c r="N3311" s="8">
        <v>43101.599826388891</v>
      </c>
      <c r="O3311" s="4" t="s">
        <v>8247</v>
      </c>
      <c r="P3311" s="3" t="s">
        <v>8246</v>
      </c>
      <c r="Q3311" s="4"/>
      <c r="R3311" s="4"/>
      <c r="S3311" s="9" t="str">
        <f>HYPERLINK("https://pbs.twimg.com/profile_images/1034309381662359552/JE3s9gRj.jpg","View")</f>
        <v>View</v>
      </c>
    </row>
    <row r="3312" spans="1:19" ht="30">
      <c r="A3312" s="8">
        <v>43342.557094907403</v>
      </c>
      <c r="B3312" s="11" t="str">
        <f>HYPERLINK("https://twitter.com/radmehr_mehrad","@radmehr_mehrad")</f>
        <v>@radmehr_mehrad</v>
      </c>
      <c r="C3312" s="6" t="s">
        <v>8245</v>
      </c>
      <c r="D3312" s="5" t="s">
        <v>8244</v>
      </c>
      <c r="E3312" s="9" t="str">
        <f>HYPERLINK("https://twitter.com/radmehr_mehrad/status/1035087784409804800","1035087784409804800")</f>
        <v>1035087784409804800</v>
      </c>
      <c r="F3312" s="4"/>
      <c r="G3312" s="4"/>
      <c r="H3312" s="4"/>
      <c r="I3312" s="10" t="str">
        <f>HYPERLINK("http://twitter.com/download/android","Twitter for Android")</f>
        <v>Twitter for Android</v>
      </c>
      <c r="J3312" s="2">
        <v>501</v>
      </c>
      <c r="K3312" s="2">
        <v>427</v>
      </c>
      <c r="L3312" s="2">
        <v>0</v>
      </c>
      <c r="M3312" s="2"/>
      <c r="N3312" s="8">
        <v>43088.008125</v>
      </c>
      <c r="O3312" s="4" t="s">
        <v>8243</v>
      </c>
      <c r="P3312" s="3" t="s">
        <v>8242</v>
      </c>
      <c r="Q3312" s="4"/>
      <c r="R3312" s="4"/>
      <c r="S3312" s="9" t="str">
        <f>HYPERLINK("https://pbs.twimg.com/profile_images/986668271079309312/qx8Or3X-.jpg","View")</f>
        <v>View</v>
      </c>
    </row>
    <row r="3313" spans="1:19" ht="20">
      <c r="A3313" s="8">
        <v>43342.552881944444</v>
      </c>
      <c r="B3313" s="11" t="str">
        <f>HYPERLINK("https://twitter.com/ata_afs","@ata_afs")</f>
        <v>@ata_afs</v>
      </c>
      <c r="C3313" s="6" t="s">
        <v>1217</v>
      </c>
      <c r="D3313" s="5" t="s">
        <v>8241</v>
      </c>
      <c r="E3313" s="9" t="str">
        <f>HYPERLINK("https://twitter.com/ata_afs/status/1035086258236616704","1035086258236616704")</f>
        <v>1035086258236616704</v>
      </c>
      <c r="F3313" s="4"/>
      <c r="G3313" s="4"/>
      <c r="H3313" s="4"/>
      <c r="I3313" s="10" t="str">
        <f>HYPERLINK("http://twitter.com/download/iphone","Twitter for iPhone")</f>
        <v>Twitter for iPhone</v>
      </c>
      <c r="J3313" s="2">
        <v>367</v>
      </c>
      <c r="K3313" s="2">
        <v>692</v>
      </c>
      <c r="L3313" s="2">
        <v>0</v>
      </c>
      <c r="M3313" s="2"/>
      <c r="N3313" s="8">
        <v>41833.536099537036</v>
      </c>
      <c r="O3313" s="4" t="s">
        <v>34</v>
      </c>
      <c r="P3313" s="3" t="s">
        <v>1213</v>
      </c>
      <c r="Q3313" s="4"/>
      <c r="R3313" s="4"/>
      <c r="S3313" s="9" t="str">
        <f>HYPERLINK("https://pbs.twimg.com/profile_images/958374868008960000/IRXSv5-C.jpg","View")</f>
        <v>View</v>
      </c>
    </row>
    <row r="3314" spans="1:19" ht="40">
      <c r="A3314" s="8">
        <v>43342.548310185186</v>
      </c>
      <c r="B3314" s="11" t="str">
        <f>HYPERLINK("https://twitter.com/Carl1261","@Carl1261")</f>
        <v>@Carl1261</v>
      </c>
      <c r="C3314" s="6" t="s">
        <v>8240</v>
      </c>
      <c r="D3314" s="5" t="s">
        <v>8239</v>
      </c>
      <c r="E3314" s="9" t="str">
        <f>HYPERLINK("https://twitter.com/Carl1261/status/1035084601796911104","1035084601796911104")</f>
        <v>1035084601796911104</v>
      </c>
      <c r="F3314" s="4"/>
      <c r="G3314" s="4"/>
      <c r="H3314" s="4"/>
      <c r="I3314" s="10" t="str">
        <f>HYPERLINK("http://twitter.com/download/android","Twitter for Android")</f>
        <v>Twitter for Android</v>
      </c>
      <c r="J3314" s="2">
        <v>246</v>
      </c>
      <c r="K3314" s="2">
        <v>144</v>
      </c>
      <c r="L3314" s="2">
        <v>1</v>
      </c>
      <c r="M3314" s="2"/>
      <c r="N3314" s="8">
        <v>40528.734490740739</v>
      </c>
      <c r="O3314" s="4"/>
      <c r="P3314" s="3" t="s">
        <v>8238</v>
      </c>
      <c r="Q3314" s="4"/>
      <c r="R3314" s="4"/>
      <c r="S3314" s="9" t="str">
        <f>HYPERLINK("https://pbs.twimg.com/profile_images/1030789494704877568/DYh9cV_L.jpg","View")</f>
        <v>View</v>
      </c>
    </row>
    <row r="3315" spans="1:19" ht="20">
      <c r="A3315" s="8">
        <v>43342.547164351854</v>
      </c>
      <c r="B3315" s="11" t="str">
        <f>HYPERLINK("https://twitter.com/SPakroo","@SPakroo")</f>
        <v>@SPakroo</v>
      </c>
      <c r="C3315" s="6" t="s">
        <v>4824</v>
      </c>
      <c r="D3315" s="5" t="s">
        <v>8237</v>
      </c>
      <c r="E3315" s="9" t="str">
        <f>HYPERLINK("https://twitter.com/SPakroo/status/1035084183830319104","1035084183830319104")</f>
        <v>1035084183830319104</v>
      </c>
      <c r="F3315" s="4"/>
      <c r="G3315" s="4"/>
      <c r="H3315" s="4"/>
      <c r="I3315" s="10" t="str">
        <f>HYPERLINK("http://twitter.com","Twitter Web Client")</f>
        <v>Twitter Web Client</v>
      </c>
      <c r="J3315" s="2">
        <v>8</v>
      </c>
      <c r="K3315" s="2">
        <v>25</v>
      </c>
      <c r="L3315" s="2">
        <v>0</v>
      </c>
      <c r="M3315" s="2"/>
      <c r="N3315" s="8">
        <v>43310.822800925926</v>
      </c>
      <c r="O3315" s="4"/>
      <c r="P3315" s="3"/>
      <c r="Q3315" s="4"/>
      <c r="R3315" s="4"/>
      <c r="S3315" s="9" t="str">
        <f>HYPERLINK("https://pbs.twimg.com/profile_images/1026468958969331713/pXihc-bs.jpg","View")</f>
        <v>View</v>
      </c>
    </row>
    <row r="3316" spans="1:19" ht="12.5">
      <c r="A3316" s="8">
        <v>43342.543842592597</v>
      </c>
      <c r="B3316" s="11" t="str">
        <f>HYPERLINK("https://twitter.com/Reza31697517","@Reza31697517")</f>
        <v>@Reza31697517</v>
      </c>
      <c r="C3316" s="6" t="s">
        <v>4697</v>
      </c>
      <c r="D3316" s="5" t="s">
        <v>8236</v>
      </c>
      <c r="E3316" s="9" t="str">
        <f>HYPERLINK("https://twitter.com/Reza31697517/status/1035082980585340929","1035082980585340929")</f>
        <v>1035082980585340929</v>
      </c>
      <c r="F3316" s="4"/>
      <c r="G3316" s="4"/>
      <c r="H3316" s="4"/>
      <c r="I3316" s="10" t="str">
        <f>HYPERLINK("http://twitter.com/download/android","Twitter for Android")</f>
        <v>Twitter for Android</v>
      </c>
      <c r="J3316" s="2">
        <v>0</v>
      </c>
      <c r="K3316" s="2">
        <v>0</v>
      </c>
      <c r="L3316" s="2">
        <v>0</v>
      </c>
      <c r="M3316" s="2"/>
      <c r="N3316" s="8">
        <v>43296.726307870369</v>
      </c>
      <c r="O3316" s="4"/>
      <c r="P3316" s="3"/>
      <c r="Q3316" s="4"/>
      <c r="R3316" s="4"/>
      <c r="S3316" s="9" t="str">
        <f>HYPERLINK("https://pbs.twimg.com/profile_images/1018488750253510656/a_TNruhP.jpg","View")</f>
        <v>View</v>
      </c>
    </row>
    <row r="3317" spans="1:19" ht="20">
      <c r="A3317" s="8">
        <v>43342.541597222225</v>
      </c>
      <c r="B3317" s="11" t="str">
        <f>HYPERLINK("https://twitter.com/Farshid_beyran","@Farshid_beyran")</f>
        <v>@Farshid_beyran</v>
      </c>
      <c r="C3317" s="6" t="s">
        <v>8235</v>
      </c>
      <c r="D3317" s="5" t="s">
        <v>8234</v>
      </c>
      <c r="E3317" s="9" t="str">
        <f>HYPERLINK("https://twitter.com/Farshid_beyran/status/1035082167188180993","1035082167188180993")</f>
        <v>1035082167188180993</v>
      </c>
      <c r="F3317" s="4"/>
      <c r="G3317" s="4"/>
      <c r="H3317" s="4"/>
      <c r="I3317" s="10" t="str">
        <f>HYPERLINK("http://t.me/RetweetBot","HsinBot")</f>
        <v>HsinBot</v>
      </c>
      <c r="J3317" s="2">
        <v>814</v>
      </c>
      <c r="K3317" s="2">
        <v>1387</v>
      </c>
      <c r="L3317" s="2">
        <v>1</v>
      </c>
      <c r="M3317" s="2"/>
      <c r="N3317" s="8">
        <v>42885.15788194444</v>
      </c>
      <c r="O3317" s="4" t="s">
        <v>17</v>
      </c>
      <c r="P3317" s="3" t="s">
        <v>8233</v>
      </c>
      <c r="Q3317" s="10" t="s">
        <v>8232</v>
      </c>
      <c r="R3317" s="4"/>
      <c r="S3317" s="9" t="str">
        <f>HYPERLINK("https://pbs.twimg.com/profile_images/988098560624398337/Jedr0ys2.jpg","View")</f>
        <v>View</v>
      </c>
    </row>
    <row r="3318" spans="1:19" ht="30">
      <c r="A3318" s="8">
        <v>43342.540613425925</v>
      </c>
      <c r="B3318" s="11" t="str">
        <f>HYPERLINK("https://twitter.com/2wZBX5ZjIXuUUjp","@2wZBX5ZjIXuUUjp")</f>
        <v>@2wZBX5ZjIXuUUjp</v>
      </c>
      <c r="C3318" s="6" t="s">
        <v>7193</v>
      </c>
      <c r="D3318" s="5" t="s">
        <v>8231</v>
      </c>
      <c r="E3318" s="9" t="str">
        <f>HYPERLINK("https://twitter.com/2wZBX5ZjIXuUUjp/status/1035081810319998976","1035081810319998976")</f>
        <v>1035081810319998976</v>
      </c>
      <c r="F3318" s="4"/>
      <c r="G3318" s="10" t="s">
        <v>8230</v>
      </c>
      <c r="H3318" s="4"/>
      <c r="I3318" s="10" t="str">
        <f>HYPERLINK("http://twitter.com/download/android","Twitter for Android")</f>
        <v>Twitter for Android</v>
      </c>
      <c r="J3318" s="2">
        <v>18</v>
      </c>
      <c r="K3318" s="2">
        <v>20</v>
      </c>
      <c r="L3318" s="2">
        <v>0</v>
      </c>
      <c r="M3318" s="2"/>
      <c r="N3318" s="8">
        <v>43329.861805555556</v>
      </c>
      <c r="O3318" s="4"/>
      <c r="P3318" s="3" t="s">
        <v>7190</v>
      </c>
      <c r="Q3318" s="4"/>
      <c r="R3318" s="4"/>
      <c r="S3318" s="9" t="str">
        <f>HYPERLINK("https://pbs.twimg.com/profile_images/1030522263362318336/Bp9iLWPi.jpg","View")</f>
        <v>View</v>
      </c>
    </row>
    <row r="3319" spans="1:19" ht="70">
      <c r="A3319" s="8">
        <v>43342.539618055554</v>
      </c>
      <c r="B3319" s="11" t="str">
        <f>HYPERLINK("https://twitter.com/d17UNeN3sS3Xv5V","@d17UNeN3sS3Xv5V")</f>
        <v>@d17UNeN3sS3Xv5V</v>
      </c>
      <c r="C3319" s="6" t="s">
        <v>7604</v>
      </c>
      <c r="D3319" s="5" t="s">
        <v>8229</v>
      </c>
      <c r="E3319" s="9" t="str">
        <f>HYPERLINK("https://twitter.com/d17UNeN3sS3Xv5V/status/1035081451740520449","1035081451740520449")</f>
        <v>1035081451740520449</v>
      </c>
      <c r="F3319" s="10" t="s">
        <v>8228</v>
      </c>
      <c r="G3319" s="4"/>
      <c r="H3319" s="4"/>
      <c r="I3319" s="10" t="str">
        <f>HYPERLINK("http://twitter.com/download/android","Twitter for Android")</f>
        <v>Twitter for Android</v>
      </c>
      <c r="J3319" s="2">
        <v>34</v>
      </c>
      <c r="K3319" s="2">
        <v>80</v>
      </c>
      <c r="L3319" s="2">
        <v>0</v>
      </c>
      <c r="M3319" s="2"/>
      <c r="N3319" s="8">
        <v>43313.791655092587</v>
      </c>
      <c r="O3319" s="4"/>
      <c r="P3319" s="3"/>
      <c r="Q3319" s="4"/>
      <c r="R3319" s="4"/>
      <c r="S3319" s="2" t="s">
        <v>155</v>
      </c>
    </row>
    <row r="3320" spans="1:19" ht="20">
      <c r="A3320" s="8">
        <v>43342.537164351852</v>
      </c>
      <c r="B3320" s="11" t="str">
        <f>HYPERLINK("https://twitter.com/RJ2573","@RJ2573")</f>
        <v>@RJ2573</v>
      </c>
      <c r="C3320" s="6" t="s">
        <v>3438</v>
      </c>
      <c r="D3320" s="5" t="s">
        <v>8227</v>
      </c>
      <c r="E3320" s="9" t="str">
        <f>HYPERLINK("https://twitter.com/RJ2573/status/1035080560794849280","1035080560794849280")</f>
        <v>1035080560794849280</v>
      </c>
      <c r="F3320" s="4"/>
      <c r="G3320" s="4"/>
      <c r="H3320" s="4"/>
      <c r="I3320" s="10" t="str">
        <f>HYPERLINK("http://twitter.com/download/android","Twitter for Android")</f>
        <v>Twitter for Android</v>
      </c>
      <c r="J3320" s="2">
        <v>1186</v>
      </c>
      <c r="K3320" s="2">
        <v>3751</v>
      </c>
      <c r="L3320" s="2">
        <v>2</v>
      </c>
      <c r="M3320" s="2"/>
      <c r="N3320" s="8">
        <v>41715.04074074074</v>
      </c>
      <c r="O3320" s="4"/>
      <c r="P3320" s="3" t="s">
        <v>8226</v>
      </c>
      <c r="Q3320" s="4"/>
      <c r="R3320" s="4"/>
      <c r="S3320" s="9" t="str">
        <f>HYPERLINK("https://pbs.twimg.com/profile_images/878467856987541504/Kx-MmUku.jpg","View")</f>
        <v>View</v>
      </c>
    </row>
    <row r="3321" spans="1:19" ht="30">
      <c r="A3321" s="8">
        <v>43342.534421296295</v>
      </c>
      <c r="B3321" s="11" t="str">
        <f>HYPERLINK("https://twitter.com/NazarySajjad","@NazarySajjad")</f>
        <v>@NazarySajjad</v>
      </c>
      <c r="C3321" s="6" t="s">
        <v>8225</v>
      </c>
      <c r="D3321" s="5" t="s">
        <v>8224</v>
      </c>
      <c r="E3321" s="9" t="str">
        <f>HYPERLINK("https://twitter.com/NazarySajjad/status/1035079567369756673","1035079567369756673")</f>
        <v>1035079567369756673</v>
      </c>
      <c r="F3321" s="4"/>
      <c r="G3321" s="4"/>
      <c r="H3321" s="4"/>
      <c r="I3321" s="10" t="str">
        <f>HYPERLINK("https://mobile.twitter.com","Twitter Lite")</f>
        <v>Twitter Lite</v>
      </c>
      <c r="J3321" s="2">
        <v>1</v>
      </c>
      <c r="K3321" s="2">
        <v>0</v>
      </c>
      <c r="L3321" s="2">
        <v>0</v>
      </c>
      <c r="M3321" s="2"/>
      <c r="N3321" s="8">
        <v>43330.868587962963</v>
      </c>
      <c r="O3321" s="4"/>
      <c r="P3321" s="3"/>
      <c r="Q3321" s="4"/>
      <c r="R3321" s="4"/>
      <c r="S3321" s="9" t="str">
        <f>HYPERLINK("https://pbs.twimg.com/profile_images/1031509904232722434/6BIu1TgL.jpg","View")</f>
        <v>View</v>
      </c>
    </row>
    <row r="3322" spans="1:19" ht="50">
      <c r="A3322" s="8">
        <v>43342.534097222218</v>
      </c>
      <c r="B3322" s="11" t="str">
        <f>HYPERLINK("https://twitter.com/DOUSTKHAH_M","@DOUSTKHAH_M")</f>
        <v>@DOUSTKHAH_M</v>
      </c>
      <c r="C3322" s="6" t="s">
        <v>8223</v>
      </c>
      <c r="D3322" s="5" t="s">
        <v>8222</v>
      </c>
      <c r="E3322" s="9" t="str">
        <f>HYPERLINK("https://twitter.com/DOUSTKHAH_M/status/1035079451858685953","1035079451858685953")</f>
        <v>1035079451858685953</v>
      </c>
      <c r="F3322" s="10" t="s">
        <v>7883</v>
      </c>
      <c r="G3322" s="4"/>
      <c r="H3322" s="4"/>
      <c r="I3322" s="10" t="str">
        <f>HYPERLINK("http://twitter.com/download/iphone","Twitter for iPhone")</f>
        <v>Twitter for iPhone</v>
      </c>
      <c r="J3322" s="2">
        <v>132</v>
      </c>
      <c r="K3322" s="2">
        <v>288</v>
      </c>
      <c r="L3322" s="2">
        <v>0</v>
      </c>
      <c r="M3322" s="2"/>
      <c r="N3322" s="8">
        <v>42704.540682870371</v>
      </c>
      <c r="O3322" s="4" t="s">
        <v>34</v>
      </c>
      <c r="P3322" s="3" t="s">
        <v>8221</v>
      </c>
      <c r="Q3322" s="4"/>
      <c r="R3322" s="4"/>
      <c r="S3322" s="9" t="str">
        <f>HYPERLINK("https://pbs.twimg.com/profile_images/1005939453255405569/Ii8AwOoN.jpg","View")</f>
        <v>View</v>
      </c>
    </row>
    <row r="3323" spans="1:19" ht="40">
      <c r="A3323" s="8">
        <v>43342.532048611116</v>
      </c>
      <c r="B3323" s="11" t="str">
        <f>HYPERLINK("https://twitter.com/azar_mansoori","@azar_mansoori")</f>
        <v>@azar_mansoori</v>
      </c>
      <c r="C3323" s="6" t="s">
        <v>8220</v>
      </c>
      <c r="D3323" s="5" t="s">
        <v>8219</v>
      </c>
      <c r="E3323" s="9" t="str">
        <f>HYPERLINK("https://twitter.com/azar_mansoori/status/1035078707260661760","1035078707260661760")</f>
        <v>1035078707260661760</v>
      </c>
      <c r="F3323" s="4"/>
      <c r="G3323" s="4"/>
      <c r="H3323" s="4"/>
      <c r="I3323" s="10" t="str">
        <f>HYPERLINK("http://twitter.com/download/iphone","Twitter for iPhone")</f>
        <v>Twitter for iPhone</v>
      </c>
      <c r="J3323" s="2">
        <v>18873</v>
      </c>
      <c r="K3323" s="2">
        <v>215</v>
      </c>
      <c r="L3323" s="2">
        <v>76</v>
      </c>
      <c r="M3323" s="2"/>
      <c r="N3323" s="8">
        <v>42721.758263888885</v>
      </c>
      <c r="O3323" s="4"/>
      <c r="P3323" s="3" t="s">
        <v>8218</v>
      </c>
      <c r="Q3323" s="10" t="s">
        <v>8217</v>
      </c>
      <c r="R3323" s="4"/>
      <c r="S3323" s="9" t="str">
        <f>HYPERLINK("https://pbs.twimg.com/profile_images/810140200638775296/JtUabc0w.jpg","View")</f>
        <v>View</v>
      </c>
    </row>
    <row r="3324" spans="1:19" ht="40">
      <c r="A3324" s="8">
        <v>43342.531793981485</v>
      </c>
      <c r="B3324" s="11" t="str">
        <f>HYPERLINK("https://twitter.com/rez65bah","@rez65bah")</f>
        <v>@rez65bah</v>
      </c>
      <c r="C3324" s="6" t="s">
        <v>6804</v>
      </c>
      <c r="D3324" s="5" t="s">
        <v>8216</v>
      </c>
      <c r="E3324" s="9" t="str">
        <f>HYPERLINK("https://twitter.com/rez65bah/status/1035078615468257280","1035078615468257280")</f>
        <v>1035078615468257280</v>
      </c>
      <c r="F3324" s="4"/>
      <c r="G3324" s="10" t="s">
        <v>8215</v>
      </c>
      <c r="H3324" s="4"/>
      <c r="I3324" s="10" t="str">
        <f>HYPERLINK("https://mobile.twitter.com","Twitter Lite")</f>
        <v>Twitter Lite</v>
      </c>
      <c r="J3324" s="2">
        <v>1772</v>
      </c>
      <c r="K3324" s="2">
        <v>368</v>
      </c>
      <c r="L3324" s="2">
        <v>6</v>
      </c>
      <c r="M3324" s="2"/>
      <c r="N3324" s="8">
        <v>42815.058252314819</v>
      </c>
      <c r="O3324" s="4"/>
      <c r="P3324" s="3" t="s">
        <v>6801</v>
      </c>
      <c r="Q3324" s="4"/>
      <c r="R3324" s="4"/>
      <c r="S3324" s="9" t="str">
        <f>HYPERLINK("https://pbs.twimg.com/profile_images/1017918964406673410/fbzsZBq-.jpg","View")</f>
        <v>View</v>
      </c>
    </row>
    <row r="3325" spans="1:19" ht="40">
      <c r="A3325" s="8">
        <v>43342.526273148149</v>
      </c>
      <c r="B3325" s="11" t="str">
        <f>HYPERLINK("https://twitter.com/MehranRomena","@MehranRomena")</f>
        <v>@MehranRomena</v>
      </c>
      <c r="C3325" s="6" t="s">
        <v>8214</v>
      </c>
      <c r="D3325" s="5" t="s">
        <v>8213</v>
      </c>
      <c r="E3325" s="9" t="str">
        <f>HYPERLINK("https://twitter.com/MehranRomena/status/1035076615921958914","1035076615921958914")</f>
        <v>1035076615921958914</v>
      </c>
      <c r="F3325" s="4"/>
      <c r="G3325" s="4"/>
      <c r="H3325" s="4"/>
      <c r="I3325" s="10" t="str">
        <f>HYPERLINK("http://twitter.com/download/android","Twitter for Android")</f>
        <v>Twitter for Android</v>
      </c>
      <c r="J3325" s="2">
        <v>2883</v>
      </c>
      <c r="K3325" s="2">
        <v>2503</v>
      </c>
      <c r="L3325" s="2">
        <v>3</v>
      </c>
      <c r="M3325" s="2"/>
      <c r="N3325" s="8">
        <v>43115.818368055552</v>
      </c>
      <c r="O3325" s="4" t="s">
        <v>17</v>
      </c>
      <c r="P3325" s="3" t="s">
        <v>8212</v>
      </c>
      <c r="Q3325" s="4"/>
      <c r="R3325" s="4"/>
      <c r="S3325" s="9" t="str">
        <f>HYPERLINK("https://pbs.twimg.com/profile_images/1031230985231327235/VlrunTC5.jpg","View")</f>
        <v>View</v>
      </c>
    </row>
    <row r="3326" spans="1:19" ht="30">
      <c r="A3326" s="8">
        <v>43342.52134259259</v>
      </c>
      <c r="B3326" s="11" t="str">
        <f>HYPERLINK("https://twitter.com/SamaTaran","@SamaTaran")</f>
        <v>@SamaTaran</v>
      </c>
      <c r="C3326" s="6" t="s">
        <v>8211</v>
      </c>
      <c r="D3326" s="5" t="s">
        <v>8210</v>
      </c>
      <c r="E3326" s="9" t="str">
        <f>HYPERLINK("https://twitter.com/SamaTaran/status/1035074827567226880","1035074827567226880")</f>
        <v>1035074827567226880</v>
      </c>
      <c r="F3326" s="4"/>
      <c r="G3326" s="10" t="s">
        <v>8209</v>
      </c>
      <c r="H3326" s="4"/>
      <c r="I3326" s="10" t="str">
        <f>HYPERLINK("http://twitter.com","Twitter Web Client")</f>
        <v>Twitter Web Client</v>
      </c>
      <c r="J3326" s="2">
        <v>182</v>
      </c>
      <c r="K3326" s="2">
        <v>782</v>
      </c>
      <c r="L3326" s="2">
        <v>1</v>
      </c>
      <c r="M3326" s="2"/>
      <c r="N3326" s="8">
        <v>42594.037361111114</v>
      </c>
      <c r="O3326" s="4"/>
      <c r="P3326" s="3"/>
      <c r="Q3326" s="4"/>
      <c r="R3326" s="4"/>
      <c r="S3326" s="9" t="str">
        <f>HYPERLINK("https://pbs.twimg.com/profile_images/1002897210151845893/bfCCBDE3.jpg","View")</f>
        <v>View</v>
      </c>
    </row>
    <row r="3327" spans="1:19" ht="20">
      <c r="A3327" s="8">
        <v>43342.519166666665</v>
      </c>
      <c r="B3327" s="11" t="str">
        <f>HYPERLINK("https://twitter.com/Reza31697517","@Reza31697517")</f>
        <v>@Reza31697517</v>
      </c>
      <c r="C3327" s="6" t="s">
        <v>4697</v>
      </c>
      <c r="D3327" s="5" t="s">
        <v>8208</v>
      </c>
      <c r="E3327" s="9" t="str">
        <f>HYPERLINK("https://twitter.com/Reza31697517/status/1035074038182420480","1035074038182420480")</f>
        <v>1035074038182420480</v>
      </c>
      <c r="F3327" s="4"/>
      <c r="G3327" s="4"/>
      <c r="H3327" s="4"/>
      <c r="I3327" s="10" t="str">
        <f>HYPERLINK("http://twitter.com/download/android","Twitter for Android")</f>
        <v>Twitter for Android</v>
      </c>
      <c r="J3327" s="2">
        <v>0</v>
      </c>
      <c r="K3327" s="2">
        <v>0</v>
      </c>
      <c r="L3327" s="2">
        <v>0</v>
      </c>
      <c r="M3327" s="2"/>
      <c r="N3327" s="8">
        <v>43296.726307870369</v>
      </c>
      <c r="O3327" s="4"/>
      <c r="P3327" s="3"/>
      <c r="Q3327" s="4"/>
      <c r="R3327" s="4"/>
      <c r="S3327" s="9" t="str">
        <f>HYPERLINK("https://pbs.twimg.com/profile_images/1018488750253510656/a_TNruhP.jpg","View")</f>
        <v>View</v>
      </c>
    </row>
    <row r="3328" spans="1:19" ht="40">
      <c r="A3328" s="8">
        <v>43342.517453703702</v>
      </c>
      <c r="B3328" s="11" t="str">
        <f>HYPERLINK("https://twitter.com/behroozkaveh44","@behroozkaveh44")</f>
        <v>@behroozkaveh44</v>
      </c>
      <c r="C3328" s="6" t="s">
        <v>6443</v>
      </c>
      <c r="D3328" s="5" t="s">
        <v>8207</v>
      </c>
      <c r="E3328" s="9" t="str">
        <f>HYPERLINK("https://twitter.com/behroozkaveh44/status/1035073419090571264","1035073419090571264")</f>
        <v>1035073419090571264</v>
      </c>
      <c r="F3328" s="4"/>
      <c r="G3328" s="4"/>
      <c r="H3328" s="4"/>
      <c r="I3328" s="10" t="str">
        <f>HYPERLINK("http://twitter.com","Twitter Web Client")</f>
        <v>Twitter Web Client</v>
      </c>
      <c r="J3328" s="2">
        <v>1329</v>
      </c>
      <c r="K3328" s="2">
        <v>1205</v>
      </c>
      <c r="L3328" s="2">
        <v>2</v>
      </c>
      <c r="M3328" s="2"/>
      <c r="N3328" s="8">
        <v>42890.814270833333</v>
      </c>
      <c r="O3328" s="4"/>
      <c r="P3328" s="3" t="s">
        <v>6440</v>
      </c>
      <c r="Q3328" s="10" t="s">
        <v>4392</v>
      </c>
      <c r="R3328" s="4"/>
      <c r="S3328" s="9" t="str">
        <f>HYPERLINK("https://pbs.twimg.com/profile_images/1026430347377033221/Bv5XrI2M.jpg","View")</f>
        <v>View</v>
      </c>
    </row>
    <row r="3329" spans="1:19" ht="20">
      <c r="A3329" s="8">
        <v>43342.515960648147</v>
      </c>
      <c r="B3329" s="11" t="str">
        <f>HYPERLINK("https://twitter.com/Abrahamjport","@Abrahamjport")</f>
        <v>@Abrahamjport</v>
      </c>
      <c r="C3329" s="6" t="s">
        <v>8206</v>
      </c>
      <c r="D3329" s="5" t="s">
        <v>8205</v>
      </c>
      <c r="E3329" s="9" t="str">
        <f>HYPERLINK("https://twitter.com/Abrahamjport/status/1035072878876737538","1035072878876737538")</f>
        <v>1035072878876737538</v>
      </c>
      <c r="F3329" s="4"/>
      <c r="G3329" s="4"/>
      <c r="H3329" s="4"/>
      <c r="I3329" s="10" t="str">
        <f>HYPERLINK("http://twitter.com/download/android","Twitter for Android")</f>
        <v>Twitter for Android</v>
      </c>
      <c r="J3329" s="2">
        <v>669</v>
      </c>
      <c r="K3329" s="2">
        <v>1206</v>
      </c>
      <c r="L3329" s="2">
        <v>1</v>
      </c>
      <c r="M3329" s="2"/>
      <c r="N3329" s="8">
        <v>43277.515543981484</v>
      </c>
      <c r="O3329" s="4" t="s">
        <v>8204</v>
      </c>
      <c r="P3329" s="3" t="s">
        <v>8203</v>
      </c>
      <c r="Q3329" s="4"/>
      <c r="R3329" s="4"/>
      <c r="S3329" s="9" t="str">
        <f>HYPERLINK("https://pbs.twimg.com/profile_images/1011521394453176320/gAOyvoOj.jpg","View")</f>
        <v>View</v>
      </c>
    </row>
    <row r="3330" spans="1:19" ht="40">
      <c r="A3330" s="8">
        <v>43342.511215277773</v>
      </c>
      <c r="B3330" s="11" t="str">
        <f>HYPERLINK("https://twitter.com/szfaegh","@szfaegh")</f>
        <v>@szfaegh</v>
      </c>
      <c r="C3330" s="6" t="s">
        <v>8089</v>
      </c>
      <c r="D3330" s="5" t="s">
        <v>8202</v>
      </c>
      <c r="E3330" s="9" t="str">
        <f>HYPERLINK("https://twitter.com/szfaegh/status/1035071156603236352","1035071156603236352")</f>
        <v>1035071156603236352</v>
      </c>
      <c r="F3330" s="4"/>
      <c r="G3330" s="4"/>
      <c r="H3330" s="4"/>
      <c r="I3330" s="10" t="str">
        <f>HYPERLINK("http://twitter.com/#!/download/ipad","Twitter for iPad")</f>
        <v>Twitter for iPad</v>
      </c>
      <c r="J3330" s="2">
        <v>1021</v>
      </c>
      <c r="K3330" s="2">
        <v>4996</v>
      </c>
      <c r="L3330" s="2">
        <v>6</v>
      </c>
      <c r="M3330" s="2"/>
      <c r="N3330" s="8">
        <v>40623.490451388891</v>
      </c>
      <c r="O3330" s="4"/>
      <c r="P3330" s="3" t="s">
        <v>8087</v>
      </c>
      <c r="Q3330" s="4"/>
      <c r="R3330" s="4"/>
      <c r="S3330" s="9" t="str">
        <f>HYPERLINK("https://pbs.twimg.com/profile_images/1034056417555177537/qhlAiqrF.jpg","View")</f>
        <v>View</v>
      </c>
    </row>
    <row r="3331" spans="1:19" ht="40">
      <c r="A3331" s="8">
        <v>43342.510138888887</v>
      </c>
      <c r="B3331" s="11" t="str">
        <f>HYPERLINK("https://twitter.com/karezma_ezadi","@karezma_ezadi")</f>
        <v>@karezma_ezadi</v>
      </c>
      <c r="C3331" s="6" t="s">
        <v>6625</v>
      </c>
      <c r="D3331" s="5" t="s">
        <v>8201</v>
      </c>
      <c r="E3331" s="9" t="str">
        <f>HYPERLINK("https://twitter.com/karezma_ezadi/status/1035070767120179200","1035070767120179200")</f>
        <v>1035070767120179200</v>
      </c>
      <c r="F3331" s="10" t="s">
        <v>8200</v>
      </c>
      <c r="G3331" s="10" t="s">
        <v>8199</v>
      </c>
      <c r="H3331" s="4"/>
      <c r="I3331" s="10" t="str">
        <f>HYPERLINK("http://twitter.com","Twitter Web Client")</f>
        <v>Twitter Web Client</v>
      </c>
      <c r="J3331" s="2">
        <v>414</v>
      </c>
      <c r="K3331" s="2">
        <v>547</v>
      </c>
      <c r="L3331" s="2">
        <v>2</v>
      </c>
      <c r="M3331" s="2"/>
      <c r="N3331" s="8">
        <v>42810.081145833334</v>
      </c>
      <c r="O3331" s="4"/>
      <c r="P3331" s="3"/>
      <c r="Q3331" s="4"/>
      <c r="R3331" s="4"/>
      <c r="S3331" s="9" t="str">
        <f>HYPERLINK("https://pbs.twimg.com/profile_images/887931349054754817/A7VMTu7x.jpg","View")</f>
        <v>View</v>
      </c>
    </row>
    <row r="3332" spans="1:19" ht="40">
      <c r="A3332" s="8">
        <v>43342.510011574079</v>
      </c>
      <c r="B3332" s="11" t="str">
        <f>HYPERLINK("https://twitter.com/imHe87886352","@imHe87886352")</f>
        <v>@imHe87886352</v>
      </c>
      <c r="C3332" s="6" t="s">
        <v>8198</v>
      </c>
      <c r="D3332" s="5" t="s">
        <v>8197</v>
      </c>
      <c r="E3332" s="9" t="str">
        <f>HYPERLINK("https://twitter.com/imHe87886352/status/1035070723025510401","1035070723025510401")</f>
        <v>1035070723025510401</v>
      </c>
      <c r="F3332" s="4"/>
      <c r="G3332" s="4"/>
      <c r="H3332" s="4"/>
      <c r="I3332" s="10" t="str">
        <f>HYPERLINK("http://twitter.com/download/iphone","Twitter for iPhone")</f>
        <v>Twitter for iPhone</v>
      </c>
      <c r="J3332" s="2">
        <v>16</v>
      </c>
      <c r="K3332" s="2">
        <v>20</v>
      </c>
      <c r="L3332" s="2">
        <v>0</v>
      </c>
      <c r="M3332" s="2"/>
      <c r="N3332" s="8">
        <v>43284.707789351851</v>
      </c>
      <c r="O3332" s="4"/>
      <c r="P3332" s="3" t="s">
        <v>8196</v>
      </c>
      <c r="Q3332" s="4"/>
      <c r="R3332" s="4"/>
      <c r="S3332" s="9" t="str">
        <f>HYPERLINK("https://pbs.twimg.com/profile_images/1014127257961541637/xKyXnAwf.jpg","View")</f>
        <v>View</v>
      </c>
    </row>
    <row r="3333" spans="1:19" ht="40">
      <c r="A3333" s="8">
        <v>43342.508240740739</v>
      </c>
      <c r="B3333" s="11" t="str">
        <f>HYPERLINK("https://twitter.com/AliMalekli","@AliMalekli")</f>
        <v>@AliMalekli</v>
      </c>
      <c r="C3333" s="6" t="s">
        <v>8195</v>
      </c>
      <c r="D3333" s="5" t="s">
        <v>8194</v>
      </c>
      <c r="E3333" s="9" t="str">
        <f>HYPERLINK("https://twitter.com/AliMalekli/status/1035070079011045376","1035070079011045376")</f>
        <v>1035070079011045376</v>
      </c>
      <c r="F3333" s="4"/>
      <c r="G3333" s="4"/>
      <c r="H3333" s="4"/>
      <c r="I3333" s="10" t="str">
        <f>HYPERLINK("http://twitter.com/download/android","Twitter for Android")</f>
        <v>Twitter for Android</v>
      </c>
      <c r="J3333" s="2">
        <v>1199</v>
      </c>
      <c r="K3333" s="2">
        <v>864</v>
      </c>
      <c r="L3333" s="2">
        <v>2</v>
      </c>
      <c r="M3333" s="2"/>
      <c r="N3333" s="8">
        <v>42736.941875000004</v>
      </c>
      <c r="O3333" s="4" t="s">
        <v>34</v>
      </c>
      <c r="P3333" s="3" t="s">
        <v>8193</v>
      </c>
      <c r="Q3333" s="10" t="s">
        <v>8192</v>
      </c>
      <c r="R3333" s="4"/>
      <c r="S3333" s="9" t="str">
        <f>HYPERLINK("https://pbs.twimg.com/profile_images/1008788384935014400/JniqeFVP.jpg","View")</f>
        <v>View</v>
      </c>
    </row>
    <row r="3334" spans="1:19" ht="20">
      <c r="A3334" s="8">
        <v>43342.505937499998</v>
      </c>
      <c r="B3334" s="11" t="str">
        <f>HYPERLINK("https://twitter.com/saeidk222","@saeidk222")</f>
        <v>@saeidk222</v>
      </c>
      <c r="C3334" s="6" t="s">
        <v>914</v>
      </c>
      <c r="D3334" s="5" t="s">
        <v>8191</v>
      </c>
      <c r="E3334" s="9" t="str">
        <f>HYPERLINK("https://twitter.com/saeidk222/status/1035069245816807424","1035069245816807424")</f>
        <v>1035069245816807424</v>
      </c>
      <c r="F3334" s="4"/>
      <c r="G3334" s="4"/>
      <c r="H3334" s="4"/>
      <c r="I3334" s="10" t="str">
        <f>HYPERLINK("http://twitter.com/download/android","Twitter for Android")</f>
        <v>Twitter for Android</v>
      </c>
      <c r="J3334" s="2">
        <v>568</v>
      </c>
      <c r="K3334" s="2">
        <v>561</v>
      </c>
      <c r="L3334" s="2">
        <v>0</v>
      </c>
      <c r="M3334" s="2"/>
      <c r="N3334" s="8">
        <v>42821.603009259255</v>
      </c>
      <c r="O3334" s="4" t="s">
        <v>912</v>
      </c>
      <c r="P3334" s="3" t="s">
        <v>911</v>
      </c>
      <c r="Q3334" s="4"/>
      <c r="R3334" s="4"/>
      <c r="S3334" s="9" t="str">
        <f>HYPERLINK("https://pbs.twimg.com/profile_images/1032620243796074496/DjHk4cpf.jpg","View")</f>
        <v>View</v>
      </c>
    </row>
    <row r="3335" spans="1:19" ht="30">
      <c r="A3335" s="8">
        <v>43342.504432870366</v>
      </c>
      <c r="B3335" s="11" t="str">
        <f>HYPERLINK("https://twitter.com/hosi_kalan","@hosi_kalan")</f>
        <v>@hosi_kalan</v>
      </c>
      <c r="C3335" s="6" t="s">
        <v>8190</v>
      </c>
      <c r="D3335" s="5" t="s">
        <v>8189</v>
      </c>
      <c r="E3335" s="9" t="str">
        <f>HYPERLINK("https://twitter.com/hosi_kalan/status/1035068702473895936","1035068702473895936")</f>
        <v>1035068702473895936</v>
      </c>
      <c r="F3335" s="4"/>
      <c r="G3335" s="4"/>
      <c r="H3335" s="4"/>
      <c r="I3335" s="10" t="str">
        <f>HYPERLINK("http://twitter.com/download/android","Twitter for Android")</f>
        <v>Twitter for Android</v>
      </c>
      <c r="J3335" s="2">
        <v>773</v>
      </c>
      <c r="K3335" s="2">
        <v>453</v>
      </c>
      <c r="L3335" s="2">
        <v>3</v>
      </c>
      <c r="M3335" s="2"/>
      <c r="N3335" s="8">
        <v>42785.657858796301</v>
      </c>
      <c r="O3335" s="4"/>
      <c r="P3335" s="3" t="s">
        <v>8188</v>
      </c>
      <c r="Q3335" s="4"/>
      <c r="R3335" s="4"/>
      <c r="S3335" s="9" t="str">
        <f>HYPERLINK("https://pbs.twimg.com/profile_images/833309575809998848/lFwUc36_.jpg","View")</f>
        <v>View</v>
      </c>
    </row>
    <row r="3336" spans="1:19" ht="40">
      <c r="A3336" s="8">
        <v>43342.498020833329</v>
      </c>
      <c r="B3336" s="11" t="str">
        <f>HYPERLINK("https://twitter.com/SabaRasane","@SabaRasane")</f>
        <v>@SabaRasane</v>
      </c>
      <c r="C3336" s="6" t="s">
        <v>2497</v>
      </c>
      <c r="D3336" s="5" t="s">
        <v>8187</v>
      </c>
      <c r="E3336" s="9" t="str">
        <f>HYPERLINK("https://twitter.com/SabaRasane/status/1035066377017675776","1035066377017675776")</f>
        <v>1035066377017675776</v>
      </c>
      <c r="F3336" s="4"/>
      <c r="G3336" s="10" t="s">
        <v>8186</v>
      </c>
      <c r="H3336" s="4"/>
      <c r="I3336" s="10" t="str">
        <f>HYPERLINK("https://sabamedia.info","sabamediabot")</f>
        <v>sabamediabot</v>
      </c>
      <c r="J3336" s="2">
        <v>834</v>
      </c>
      <c r="K3336" s="2">
        <v>355</v>
      </c>
      <c r="L3336" s="2">
        <v>3</v>
      </c>
      <c r="M3336" s="2"/>
      <c r="N3336" s="8">
        <v>43079.744155092594</v>
      </c>
      <c r="O3336" s="4" t="s">
        <v>34</v>
      </c>
      <c r="P3336" s="3" t="s">
        <v>2494</v>
      </c>
      <c r="Q3336" s="10" t="s">
        <v>2493</v>
      </c>
      <c r="R3336" s="4"/>
      <c r="S3336" s="9" t="str">
        <f>HYPERLINK("https://pbs.twimg.com/profile_images/961293475831599104/gCXPDkFe.jpg","View")</f>
        <v>View</v>
      </c>
    </row>
    <row r="3337" spans="1:19" ht="50">
      <c r="A3337" s="8">
        <v>43342.497523148151</v>
      </c>
      <c r="B3337" s="11" t="str">
        <f>HYPERLINK("https://twitter.com/nima59","@nima59")</f>
        <v>@nima59</v>
      </c>
      <c r="C3337" s="6" t="s">
        <v>8185</v>
      </c>
      <c r="D3337" s="5" t="s">
        <v>8184</v>
      </c>
      <c r="E3337" s="9" t="str">
        <f>HYPERLINK("https://twitter.com/nima59/status/1035066194640818176","1035066194640818176")</f>
        <v>1035066194640818176</v>
      </c>
      <c r="F3337" s="4" t="s">
        <v>8183</v>
      </c>
      <c r="G3337" s="4"/>
      <c r="H3337" s="4"/>
      <c r="I3337" s="10" t="str">
        <f>HYPERLINK("http://twitter.com/download/android","Twitter for Android")</f>
        <v>Twitter for Android</v>
      </c>
      <c r="J3337" s="2">
        <v>393</v>
      </c>
      <c r="K3337" s="2">
        <v>407</v>
      </c>
      <c r="L3337" s="2">
        <v>7</v>
      </c>
      <c r="M3337" s="2"/>
      <c r="N3337" s="8">
        <v>39555.42659722222</v>
      </c>
      <c r="O3337" s="4" t="s">
        <v>133</v>
      </c>
      <c r="P3337" s="3" t="s">
        <v>8182</v>
      </c>
      <c r="Q3337" s="4"/>
      <c r="R3337" s="4"/>
      <c r="S3337" s="9" t="str">
        <f>HYPERLINK("https://pbs.twimg.com/profile_images/874877026708205568/-HSyo0SC.jpg","View")</f>
        <v>View</v>
      </c>
    </row>
    <row r="3338" spans="1:19" ht="30">
      <c r="A3338" s="8">
        <v>43342.495150462964</v>
      </c>
      <c r="B3338" s="11" t="str">
        <f>HYPERLINK("https://twitter.com/MortezaGasemi66","@MortezaGasemi66")</f>
        <v>@MortezaGasemi66</v>
      </c>
      <c r="C3338" s="6" t="s">
        <v>6088</v>
      </c>
      <c r="D3338" s="5" t="s">
        <v>8181</v>
      </c>
      <c r="E3338" s="9" t="str">
        <f>HYPERLINK("https://twitter.com/MortezaGasemi66/status/1035065336318570496","1035065336318570496")</f>
        <v>1035065336318570496</v>
      </c>
      <c r="F3338" s="4"/>
      <c r="G3338" s="4"/>
      <c r="H3338" s="4"/>
      <c r="I3338" s="10" t="str">
        <f>HYPERLINK("http://twitter.com","Twitter Web Client")</f>
        <v>Twitter Web Client</v>
      </c>
      <c r="J3338" s="2">
        <v>298</v>
      </c>
      <c r="K3338" s="2">
        <v>70</v>
      </c>
      <c r="L3338" s="2">
        <v>2</v>
      </c>
      <c r="M3338" s="2"/>
      <c r="N3338" s="8">
        <v>43171.879444444443</v>
      </c>
      <c r="O3338" s="4"/>
      <c r="P3338" s="3" t="s">
        <v>6086</v>
      </c>
      <c r="Q3338" s="4"/>
      <c r="R3338" s="4"/>
      <c r="S3338" s="9" t="str">
        <f>HYPERLINK("https://pbs.twimg.com/profile_images/973258282994487296/py6bItR_.jpg","View")</f>
        <v>View</v>
      </c>
    </row>
    <row r="3339" spans="1:19" ht="30">
      <c r="A3339" s="8">
        <v>43342.49418981481</v>
      </c>
      <c r="B3339" s="11" t="str">
        <f>HYPERLINK("https://twitter.com/FreeIran93","@FreeIran93")</f>
        <v>@FreeIran93</v>
      </c>
      <c r="C3339" s="6" t="s">
        <v>8043</v>
      </c>
      <c r="D3339" s="5" t="s">
        <v>8180</v>
      </c>
      <c r="E3339" s="9" t="str">
        <f>HYPERLINK("https://twitter.com/FreeIran93/status/1035064989160284160","1035064989160284160")</f>
        <v>1035064989160284160</v>
      </c>
      <c r="F3339" s="4"/>
      <c r="G3339" s="10" t="s">
        <v>8179</v>
      </c>
      <c r="H3339" s="4"/>
      <c r="I3339" s="10" t="str">
        <f>HYPERLINK("http://twitter.com","Twitter Web Client")</f>
        <v>Twitter Web Client</v>
      </c>
      <c r="J3339" s="2">
        <v>3025</v>
      </c>
      <c r="K3339" s="2">
        <v>3344</v>
      </c>
      <c r="L3339" s="2">
        <v>15</v>
      </c>
      <c r="M3339" s="2"/>
      <c r="N3339" s="8">
        <v>41623.839467592596</v>
      </c>
      <c r="O3339" s="10" t="s">
        <v>8178</v>
      </c>
      <c r="P3339" s="3" t="s">
        <v>8177</v>
      </c>
      <c r="Q3339" s="4"/>
      <c r="R3339" s="4"/>
      <c r="S3339" s="9" t="str">
        <f>HYPERLINK("https://pbs.twimg.com/profile_images/1007597081698099201/JO9Po2Sj.jpg","View")</f>
        <v>View</v>
      </c>
    </row>
    <row r="3340" spans="1:19" ht="30">
      <c r="A3340" s="8">
        <v>43342.49219907407</v>
      </c>
      <c r="B3340" s="11" t="str">
        <f>HYPERLINK("https://twitter.com/CafeChy","@CafeChy")</f>
        <v>@CafeChy</v>
      </c>
      <c r="C3340" s="6" t="s">
        <v>8176</v>
      </c>
      <c r="D3340" s="5" t="s">
        <v>8175</v>
      </c>
      <c r="E3340" s="9" t="str">
        <f>HYPERLINK("https://twitter.com/CafeChy/status/1035064265605033986","1035064265605033986")</f>
        <v>1035064265605033986</v>
      </c>
      <c r="F3340" s="4"/>
      <c r="G3340" s="4"/>
      <c r="H3340" s="4"/>
      <c r="I3340" s="10" t="str">
        <f>HYPERLINK("http://twitter.com/download/iphone","Twitter for iPhone")</f>
        <v>Twitter for iPhone</v>
      </c>
      <c r="J3340" s="2">
        <v>410</v>
      </c>
      <c r="K3340" s="2">
        <v>149</v>
      </c>
      <c r="L3340" s="2">
        <v>5</v>
      </c>
      <c r="M3340" s="2"/>
      <c r="N3340" s="8">
        <v>39994.765775462962</v>
      </c>
      <c r="O3340" s="4" t="s">
        <v>894</v>
      </c>
      <c r="P3340" s="3" t="s">
        <v>8174</v>
      </c>
      <c r="Q3340" s="10" t="s">
        <v>8173</v>
      </c>
      <c r="R3340" s="4"/>
      <c r="S3340" s="9" t="str">
        <f>HYPERLINK("https://pbs.twimg.com/profile_images/561620834435883008/qkdFicEK.jpeg","View")</f>
        <v>View</v>
      </c>
    </row>
    <row r="3341" spans="1:19" ht="30">
      <c r="A3341" s="8">
        <v>43342.490451388891</v>
      </c>
      <c r="B3341" s="11" t="str">
        <f>HYPERLINK("https://twitter.com/SepehrAzadi4","@SepehrAzadi4")</f>
        <v>@SepehrAzadi4</v>
      </c>
      <c r="C3341" s="6" t="s">
        <v>8172</v>
      </c>
      <c r="D3341" s="5" t="s">
        <v>8171</v>
      </c>
      <c r="E3341" s="9" t="str">
        <f>HYPERLINK("https://twitter.com/SepehrAzadi4/status/1035063635452805120","1035063635452805120")</f>
        <v>1035063635452805120</v>
      </c>
      <c r="F3341" s="4"/>
      <c r="G3341" s="10" t="s">
        <v>8170</v>
      </c>
      <c r="H3341" s="4"/>
      <c r="I3341" s="10" t="str">
        <f>HYPERLINK("http://twitter.com","Twitter Web Client")</f>
        <v>Twitter Web Client</v>
      </c>
      <c r="J3341" s="2">
        <v>44</v>
      </c>
      <c r="K3341" s="2">
        <v>33</v>
      </c>
      <c r="L3341" s="2">
        <v>0</v>
      </c>
      <c r="M3341" s="2"/>
      <c r="N3341" s="8">
        <v>41736.839525462965</v>
      </c>
      <c r="O3341" s="4" t="s">
        <v>145</v>
      </c>
      <c r="P3341" s="3"/>
      <c r="Q3341" s="10" t="s">
        <v>8169</v>
      </c>
      <c r="R3341" s="4"/>
      <c r="S3341" s="9" t="str">
        <f>HYPERLINK("https://pbs.twimg.com/profile_images/453197761773465601/t7Un_fXf.jpeg","View")</f>
        <v>View</v>
      </c>
    </row>
    <row r="3342" spans="1:19" ht="40">
      <c r="A3342" s="8">
        <v>43342.487604166672</v>
      </c>
      <c r="B3342" s="11" t="str">
        <f>HYPERLINK("https://twitter.com/ESMAEELZAMANI1","@ESMAEELZAMANI1")</f>
        <v>@ESMAEELZAMANI1</v>
      </c>
      <c r="C3342" s="6" t="s">
        <v>8068</v>
      </c>
      <c r="D3342" s="5" t="s">
        <v>8168</v>
      </c>
      <c r="E3342" s="9" t="str">
        <f>HYPERLINK("https://twitter.com/ESMAEELZAMANI1/status/1035062603628851205","1035062603628851205")</f>
        <v>1035062603628851205</v>
      </c>
      <c r="F3342" s="4"/>
      <c r="G3342" s="4"/>
      <c r="H3342" s="4"/>
      <c r="I3342" s="10" t="str">
        <f>HYPERLINK("http://twitter.com","Twitter Web Client")</f>
        <v>Twitter Web Client</v>
      </c>
      <c r="J3342" s="2">
        <v>0</v>
      </c>
      <c r="K3342" s="2">
        <v>2</v>
      </c>
      <c r="L3342" s="2">
        <v>0</v>
      </c>
      <c r="M3342" s="2"/>
      <c r="N3342" s="8">
        <v>43327.992314814815</v>
      </c>
      <c r="O3342" s="4"/>
      <c r="P3342" s="3"/>
      <c r="Q3342" s="4"/>
      <c r="R3342" s="4"/>
      <c r="S3342" s="9" t="str">
        <f>HYPERLINK("https://pbs.twimg.com/profile_images/1031256571446054912/pOHI-dEc.jpg","View")</f>
        <v>View</v>
      </c>
    </row>
    <row r="3343" spans="1:19" ht="40">
      <c r="A3343" s="8">
        <v>43342.486597222218</v>
      </c>
      <c r="B3343" s="11" t="str">
        <f>HYPERLINK("https://twitter.com/mossaf732","@mossaf732")</f>
        <v>@mossaf732</v>
      </c>
      <c r="C3343" s="6" t="s">
        <v>479</v>
      </c>
      <c r="D3343" s="5" t="s">
        <v>8167</v>
      </c>
      <c r="E3343" s="9" t="str">
        <f>HYPERLINK("https://twitter.com/mossaf732/status/1035062235268362241","1035062235268362241")</f>
        <v>1035062235268362241</v>
      </c>
      <c r="F3343" s="4"/>
      <c r="G3343" s="4"/>
      <c r="H3343" s="4"/>
      <c r="I3343" s="10" t="str">
        <f>HYPERLINK("http://twitter.com","Twitter Web Client")</f>
        <v>Twitter Web Client</v>
      </c>
      <c r="J3343" s="2">
        <v>2822</v>
      </c>
      <c r="K3343" s="2">
        <v>2035</v>
      </c>
      <c r="L3343" s="2">
        <v>7</v>
      </c>
      <c r="M3343" s="2"/>
      <c r="N3343" s="8">
        <v>42837.494085648148</v>
      </c>
      <c r="O3343" s="4"/>
      <c r="P3343" s="3" t="s">
        <v>477</v>
      </c>
      <c r="Q3343" s="4"/>
      <c r="R3343" s="4"/>
      <c r="S3343" s="9" t="str">
        <f>HYPERLINK("https://pbs.twimg.com/profile_images/956813144797495296/-FVW-CF4.jpg","View")</f>
        <v>View</v>
      </c>
    </row>
    <row r="3344" spans="1:19" ht="60">
      <c r="A3344" s="8">
        <v>43342.483935185184</v>
      </c>
      <c r="B3344" s="11" t="str">
        <f>HYPERLINK("https://twitter.com/aboozar_g","@aboozar_g")</f>
        <v>@aboozar_g</v>
      </c>
      <c r="C3344" s="6" t="s">
        <v>8166</v>
      </c>
      <c r="D3344" s="5" t="s">
        <v>8165</v>
      </c>
      <c r="E3344" s="9" t="str">
        <f>HYPERLINK("https://twitter.com/aboozar_g/status/1035061274198110208","1035061274198110208")</f>
        <v>1035061274198110208</v>
      </c>
      <c r="F3344" s="10" t="s">
        <v>7205</v>
      </c>
      <c r="G3344" s="10" t="s">
        <v>6950</v>
      </c>
      <c r="H3344" s="4"/>
      <c r="I3344" s="10" t="str">
        <f>HYPERLINK("http://twitter.com/download/android","Twitter for Android")</f>
        <v>Twitter for Android</v>
      </c>
      <c r="J3344" s="2">
        <v>900</v>
      </c>
      <c r="K3344" s="2">
        <v>951</v>
      </c>
      <c r="L3344" s="2">
        <v>0</v>
      </c>
      <c r="M3344" s="2"/>
      <c r="N3344" s="8">
        <v>42739.30467592593</v>
      </c>
      <c r="O3344" s="4" t="s">
        <v>25</v>
      </c>
      <c r="P3344" s="3" t="s">
        <v>8164</v>
      </c>
      <c r="Q3344" s="4"/>
      <c r="R3344" s="4"/>
      <c r="S3344" s="9" t="str">
        <f>HYPERLINK("https://pbs.twimg.com/profile_images/1021671152236867585/GzDcG0jH.jpg","View")</f>
        <v>View</v>
      </c>
    </row>
    <row r="3345" spans="1:19" ht="40">
      <c r="A3345" s="8">
        <v>43342.482488425929</v>
      </c>
      <c r="B3345" s="11" t="str">
        <f>HYPERLINK("https://twitter.com/R_goleyas","@R_goleyas")</f>
        <v>@R_goleyas</v>
      </c>
      <c r="C3345" s="6" t="s">
        <v>8163</v>
      </c>
      <c r="D3345" s="5" t="s">
        <v>8162</v>
      </c>
      <c r="E3345" s="9" t="str">
        <f>HYPERLINK("https://twitter.com/R_goleyas/status/1035060748509224960","1035060748509224960")</f>
        <v>1035060748509224960</v>
      </c>
      <c r="F3345" s="4"/>
      <c r="G3345" s="4"/>
      <c r="H3345" s="4"/>
      <c r="I3345" s="10" t="str">
        <f>HYPERLINK("http://twitter.com/download/android","Twitter for Android")</f>
        <v>Twitter for Android</v>
      </c>
      <c r="J3345" s="2">
        <v>17</v>
      </c>
      <c r="K3345" s="2">
        <v>21</v>
      </c>
      <c r="L3345" s="2">
        <v>0</v>
      </c>
      <c r="M3345" s="2"/>
      <c r="N3345" s="8">
        <v>43327.801840277782</v>
      </c>
      <c r="O3345" s="4"/>
      <c r="P3345" s="3" t="s">
        <v>8161</v>
      </c>
      <c r="Q3345" s="4"/>
      <c r="R3345" s="4"/>
      <c r="S3345" s="9" t="str">
        <f>HYPERLINK("https://pbs.twimg.com/profile_images/1030107337548357634/pWHlO4mB.jpg","View")</f>
        <v>View</v>
      </c>
    </row>
    <row r="3346" spans="1:19" ht="40">
      <c r="A3346" s="8">
        <v>43342.48065972222</v>
      </c>
      <c r="B3346" s="11" t="str">
        <f>HYPERLINK("https://twitter.com/msfenderski","@msfenderski")</f>
        <v>@msfenderski</v>
      </c>
      <c r="C3346" s="6" t="s">
        <v>8160</v>
      </c>
      <c r="D3346" s="5" t="s">
        <v>8159</v>
      </c>
      <c r="E3346" s="9" t="str">
        <f>HYPERLINK("https://twitter.com/msfenderski/status/1035060084148187136","1035060084148187136")</f>
        <v>1035060084148187136</v>
      </c>
      <c r="F3346" s="4"/>
      <c r="G3346" s="4"/>
      <c r="H3346" s="4"/>
      <c r="I3346" s="10" t="str">
        <f>HYPERLINK("http://twitter.com/download/iphone","Twitter for iPhone")</f>
        <v>Twitter for iPhone</v>
      </c>
      <c r="J3346" s="2">
        <v>771</v>
      </c>
      <c r="K3346" s="2">
        <v>338</v>
      </c>
      <c r="L3346" s="2">
        <v>8</v>
      </c>
      <c r="M3346" s="2"/>
      <c r="N3346" s="8">
        <v>42386.412974537037</v>
      </c>
      <c r="O3346" s="4"/>
      <c r="P3346" s="3" t="s">
        <v>8158</v>
      </c>
      <c r="Q3346" s="4"/>
      <c r="R3346" s="4"/>
      <c r="S3346" s="9" t="str">
        <f>HYPERLINK("https://pbs.twimg.com/profile_images/1013904783596507137/kd9JyRrR.jpg","View")</f>
        <v>View</v>
      </c>
    </row>
    <row r="3347" spans="1:19" ht="20">
      <c r="A3347" s="8">
        <v>43342.471759259264</v>
      </c>
      <c r="B3347" s="11" t="str">
        <f>HYPERLINK("https://twitter.com/q_m_asl","@q_m_asl")</f>
        <v>@q_m_asl</v>
      </c>
      <c r="C3347" s="6" t="s">
        <v>2700</v>
      </c>
      <c r="D3347" s="5" t="s">
        <v>8157</v>
      </c>
      <c r="E3347" s="9" t="str">
        <f>HYPERLINK("https://twitter.com/q_m_asl/status/1035056861492465664","1035056861492465664")</f>
        <v>1035056861492465664</v>
      </c>
      <c r="F3347" s="4"/>
      <c r="G3347" s="4"/>
      <c r="H3347" s="4"/>
      <c r="I3347" s="10" t="str">
        <f>HYPERLINK("http://twitter.com/download/android","Twitter for Android")</f>
        <v>Twitter for Android</v>
      </c>
      <c r="J3347" s="2">
        <v>1310</v>
      </c>
      <c r="K3347" s="2">
        <v>1221</v>
      </c>
      <c r="L3347" s="2">
        <v>1</v>
      </c>
      <c r="M3347" s="2"/>
      <c r="N3347" s="8">
        <v>43142.699965277774</v>
      </c>
      <c r="O3347" s="4" t="s">
        <v>2193</v>
      </c>
      <c r="P3347" s="3" t="s">
        <v>2698</v>
      </c>
      <c r="Q3347" s="10" t="s">
        <v>2697</v>
      </c>
      <c r="R3347" s="4"/>
      <c r="S3347" s="9" t="str">
        <f>HYPERLINK("https://pbs.twimg.com/profile_images/1007351441080676352/IKnd1H_R.jpg","View")</f>
        <v>View</v>
      </c>
    </row>
    <row r="3348" spans="1:19" ht="12.5">
      <c r="A3348" s="8">
        <v>43342.469317129631</v>
      </c>
      <c r="B3348" s="11" t="str">
        <f>HYPERLINK("https://twitter.com/irantv","@irantv")</f>
        <v>@irantv</v>
      </c>
      <c r="C3348" s="6" t="s">
        <v>8156</v>
      </c>
      <c r="D3348" s="5" t="s">
        <v>8155</v>
      </c>
      <c r="E3348" s="9" t="str">
        <f>HYPERLINK("https://twitter.com/irantv/status/1035055976410427392","1035055976410427392")</f>
        <v>1035055976410427392</v>
      </c>
      <c r="F3348" s="4"/>
      <c r="G3348" s="10" t="s">
        <v>8154</v>
      </c>
      <c r="H3348" s="4"/>
      <c r="I3348" s="10" t="str">
        <f>HYPERLINK("http://twitter.com","Twitter Web Client")</f>
        <v>Twitter Web Client</v>
      </c>
      <c r="J3348" s="2">
        <v>1260</v>
      </c>
      <c r="K3348" s="2">
        <v>47</v>
      </c>
      <c r="L3348" s="2">
        <v>70</v>
      </c>
      <c r="M3348" s="2"/>
      <c r="N3348" s="8">
        <v>39939.871655092589</v>
      </c>
      <c r="O3348" s="4"/>
      <c r="P3348" s="3"/>
      <c r="Q3348" s="4"/>
      <c r="R3348" s="4"/>
      <c r="S3348" s="9" t="str">
        <f>HYPERLINK("https://pbs.twimg.com/profile_images/1222940312/Copy-of-imagesCAPJQVE6_bigg_bigger.gif","View")</f>
        <v>View</v>
      </c>
    </row>
    <row r="3349" spans="1:19" ht="40">
      <c r="A3349" s="8">
        <v>43342.468819444446</v>
      </c>
      <c r="B3349" s="11" t="str">
        <f>HYPERLINK("https://twitter.com/farid_vk","@farid_vk")</f>
        <v>@farid_vk</v>
      </c>
      <c r="C3349" s="6" t="s">
        <v>8153</v>
      </c>
      <c r="D3349" s="5" t="s">
        <v>8152</v>
      </c>
      <c r="E3349" s="9" t="str">
        <f>HYPERLINK("https://twitter.com/farid_vk/status/1035055795841445888","1035055795841445888")</f>
        <v>1035055795841445888</v>
      </c>
      <c r="F3349" s="4"/>
      <c r="G3349" s="4"/>
      <c r="H3349" s="4"/>
      <c r="I3349" s="10" t="str">
        <f>HYPERLINK("http://twitter.com","Twitter Web Client")</f>
        <v>Twitter Web Client</v>
      </c>
      <c r="J3349" s="2">
        <v>127</v>
      </c>
      <c r="K3349" s="2">
        <v>771</v>
      </c>
      <c r="L3349" s="2">
        <v>0</v>
      </c>
      <c r="M3349" s="2"/>
      <c r="N3349" s="8">
        <v>43209.084780092591</v>
      </c>
      <c r="O3349" s="4"/>
      <c r="P3349" s="3" t="s">
        <v>8151</v>
      </c>
      <c r="Q3349" s="4"/>
      <c r="R3349" s="4"/>
      <c r="S3349" s="9" t="str">
        <f>HYPERLINK("https://pbs.twimg.com/profile_images/1016623699691175936/aJsehUvu.jpg","View")</f>
        <v>View</v>
      </c>
    </row>
    <row r="3350" spans="1:19" ht="60">
      <c r="A3350" s="8">
        <v>43342.466886574075</v>
      </c>
      <c r="B3350" s="11" t="str">
        <f>HYPERLINK("https://twitter.com/HashemiVaDustan","@HashemiVaDustan")</f>
        <v>@HashemiVaDustan</v>
      </c>
      <c r="C3350" s="6" t="s">
        <v>3591</v>
      </c>
      <c r="D3350" s="5" t="s">
        <v>8150</v>
      </c>
      <c r="E3350" s="9" t="str">
        <f>HYPERLINK("https://twitter.com/HashemiVaDustan/status/1035055094700621824","1035055094700621824")</f>
        <v>1035055094700621824</v>
      </c>
      <c r="F3350" s="10" t="s">
        <v>8149</v>
      </c>
      <c r="G3350" s="10" t="s">
        <v>8148</v>
      </c>
      <c r="H3350" s="4"/>
      <c r="I3350" s="10" t="str">
        <f>HYPERLINK("http://twitter.com/download/android","Twitter for Android")</f>
        <v>Twitter for Android</v>
      </c>
      <c r="J3350" s="2">
        <v>107</v>
      </c>
      <c r="K3350" s="2">
        <v>116</v>
      </c>
      <c r="L3350" s="2">
        <v>0</v>
      </c>
      <c r="M3350" s="2"/>
      <c r="N3350" s="8">
        <v>43050.518969907411</v>
      </c>
      <c r="O3350" s="4" t="s">
        <v>3589</v>
      </c>
      <c r="P3350" s="3" t="s">
        <v>3588</v>
      </c>
      <c r="Q3350" s="4"/>
      <c r="R3350" s="4"/>
      <c r="S3350" s="9" t="str">
        <f>HYPERLINK("https://pbs.twimg.com/profile_images/1031827415214030849/ZPHG-OBn.jpg","View")</f>
        <v>View</v>
      </c>
    </row>
    <row r="3351" spans="1:19" ht="20">
      <c r="A3351" s="8">
        <v>43342.466284722221</v>
      </c>
      <c r="B3351" s="11" t="str">
        <f>HYPERLINK("https://twitter.com/Hasas53098073","@Hasas53098073")</f>
        <v>@Hasas53098073</v>
      </c>
      <c r="C3351" s="6" t="s">
        <v>8147</v>
      </c>
      <c r="D3351" s="5" t="s">
        <v>8146</v>
      </c>
      <c r="E3351" s="9" t="str">
        <f>HYPERLINK("https://twitter.com/Hasas53098073/status/1035054875170750465","1035054875170750465")</f>
        <v>1035054875170750465</v>
      </c>
      <c r="F3351" s="4"/>
      <c r="G3351" s="10" t="s">
        <v>8145</v>
      </c>
      <c r="H3351" s="4"/>
      <c r="I3351" s="10" t="str">
        <f>HYPERLINK("http://twitter.com/download/android","Twitter for Android")</f>
        <v>Twitter for Android</v>
      </c>
      <c r="J3351" s="2">
        <v>25</v>
      </c>
      <c r="K3351" s="2">
        <v>117</v>
      </c>
      <c r="L3351" s="2">
        <v>0</v>
      </c>
      <c r="M3351" s="2"/>
      <c r="N3351" s="8">
        <v>43333.280868055561</v>
      </c>
      <c r="O3351" s="4"/>
      <c r="P3351" s="3" t="s">
        <v>8144</v>
      </c>
      <c r="Q3351" s="4"/>
      <c r="R3351" s="4"/>
      <c r="S3351" s="9" t="str">
        <f>HYPERLINK("https://pbs.twimg.com/profile_images/1031777903690833921/J_J3737a.jpg","View")</f>
        <v>View</v>
      </c>
    </row>
    <row r="3352" spans="1:19" ht="30">
      <c r="A3352" s="8">
        <v>43342.462951388894</v>
      </c>
      <c r="B3352" s="11" t="str">
        <f>HYPERLINK("https://twitter.com/dr_moosavi","@dr_moosavi")</f>
        <v>@dr_moosavi</v>
      </c>
      <c r="C3352" s="6" t="s">
        <v>8143</v>
      </c>
      <c r="D3352" s="5" t="s">
        <v>8142</v>
      </c>
      <c r="E3352" s="9" t="str">
        <f>HYPERLINK("https://twitter.com/dr_moosavi/status/1035053666510794752","1035053666510794752")</f>
        <v>1035053666510794752</v>
      </c>
      <c r="F3352" s="4"/>
      <c r="G3352" s="4"/>
      <c r="H3352" s="4"/>
      <c r="I3352" s="10" t="str">
        <f>HYPERLINK("http://twitter.com/download/iphone","Twitter for iPhone")</f>
        <v>Twitter for iPhone</v>
      </c>
      <c r="J3352" s="2">
        <v>3966</v>
      </c>
      <c r="K3352" s="2">
        <v>364</v>
      </c>
      <c r="L3352" s="2">
        <v>42</v>
      </c>
      <c r="M3352" s="2"/>
      <c r="N3352" s="8">
        <v>39935.090844907405</v>
      </c>
      <c r="O3352" s="4" t="s">
        <v>8141</v>
      </c>
      <c r="P3352" s="3" t="s">
        <v>8140</v>
      </c>
      <c r="Q3352" s="10" t="s">
        <v>8139</v>
      </c>
      <c r="R3352" s="4"/>
      <c r="S3352" s="9" t="str">
        <f>HYPERLINK("https://pbs.twimg.com/profile_images/906801285889970177/qnc7ydWX.jpg","View")</f>
        <v>View</v>
      </c>
    </row>
    <row r="3353" spans="1:19" ht="30">
      <c r="A3353" s="8">
        <v>43342.462592592594</v>
      </c>
      <c r="B3353" s="11" t="str">
        <f>HYPERLINK("https://twitter.com/FSeyedali","@FSeyedali")</f>
        <v>@FSeyedali</v>
      </c>
      <c r="C3353" s="6" t="s">
        <v>8138</v>
      </c>
      <c r="D3353" s="5" t="s">
        <v>8137</v>
      </c>
      <c r="E3353" s="9" t="str">
        <f>HYPERLINK("https://twitter.com/FSeyedali/status/1035053539331125248","1035053539331125248")</f>
        <v>1035053539331125248</v>
      </c>
      <c r="F3353" s="4"/>
      <c r="G3353" s="4"/>
      <c r="H3353" s="4"/>
      <c r="I3353" s="10" t="str">
        <f>HYPERLINK("http://twitter.com/download/android","Twitter for Android")</f>
        <v>Twitter for Android</v>
      </c>
      <c r="J3353" s="2">
        <v>65</v>
      </c>
      <c r="K3353" s="2">
        <v>109</v>
      </c>
      <c r="L3353" s="2">
        <v>0</v>
      </c>
      <c r="M3353" s="2"/>
      <c r="N3353" s="8">
        <v>43328.680243055554</v>
      </c>
      <c r="O3353" s="4" t="s">
        <v>2193</v>
      </c>
      <c r="P3353" s="3" t="s">
        <v>8136</v>
      </c>
      <c r="Q3353" s="4"/>
      <c r="R3353" s="4"/>
      <c r="S3353" s="9" t="str">
        <f>HYPERLINK("https://pbs.twimg.com/profile_images/1030061575024066561/H5AUVdu_.jpg","View")</f>
        <v>View</v>
      </c>
    </row>
    <row r="3354" spans="1:19" ht="30">
      <c r="A3354" s="8">
        <v>43342.460486111115</v>
      </c>
      <c r="B3354" s="11" t="str">
        <f>HYPERLINK("https://twitter.com/MehdiMehrandish","@MehdiMehrandish")</f>
        <v>@MehdiMehrandish</v>
      </c>
      <c r="C3354" s="6" t="s">
        <v>8135</v>
      </c>
      <c r="D3354" s="5" t="s">
        <v>8134</v>
      </c>
      <c r="E3354" s="9" t="str">
        <f>HYPERLINK("https://twitter.com/MehdiMehrandish/status/1035052776160731136","1035052776160731136")</f>
        <v>1035052776160731136</v>
      </c>
      <c r="F3354" s="4"/>
      <c r="G3354" s="10" t="s">
        <v>8133</v>
      </c>
      <c r="H3354" s="4"/>
      <c r="I3354" s="10" t="str">
        <f>HYPERLINK("http://twitter.com/download/android","Twitter for Android")</f>
        <v>Twitter for Android</v>
      </c>
      <c r="J3354" s="2">
        <v>159</v>
      </c>
      <c r="K3354" s="2">
        <v>348</v>
      </c>
      <c r="L3354" s="2">
        <v>1</v>
      </c>
      <c r="M3354" s="2"/>
      <c r="N3354" s="8">
        <v>42465.669328703705</v>
      </c>
      <c r="O3354" s="4" t="s">
        <v>748</v>
      </c>
      <c r="P3354" s="3" t="s">
        <v>8132</v>
      </c>
      <c r="Q3354" s="10" t="s">
        <v>8131</v>
      </c>
      <c r="R3354" s="4"/>
      <c r="S3354" s="9" t="str">
        <f>HYPERLINK("https://pbs.twimg.com/profile_images/907467456792469504/m58F3qub.jpg","View")</f>
        <v>View</v>
      </c>
    </row>
    <row r="3355" spans="1:19" ht="40">
      <c r="A3355" s="8">
        <v>43342.456967592589</v>
      </c>
      <c r="B3355" s="11" t="str">
        <f>HYPERLINK("https://twitter.com/iranazadi1395","@iranazadi1395")</f>
        <v>@iranazadi1395</v>
      </c>
      <c r="C3355" s="6" t="s">
        <v>6787</v>
      </c>
      <c r="D3355" s="5" t="s">
        <v>8130</v>
      </c>
      <c r="E3355" s="9" t="str">
        <f>HYPERLINK("https://twitter.com/iranazadi1395/status/1035051501025148928","1035051501025148928")</f>
        <v>1035051501025148928</v>
      </c>
      <c r="F3355" s="4"/>
      <c r="G3355" s="4"/>
      <c r="H3355" s="4"/>
      <c r="I3355" s="10" t="str">
        <f>HYPERLINK("http://twitter.com","Twitter Web Client")</f>
        <v>Twitter Web Client</v>
      </c>
      <c r="J3355" s="2">
        <v>11225</v>
      </c>
      <c r="K3355" s="2">
        <v>544</v>
      </c>
      <c r="L3355" s="2">
        <v>217</v>
      </c>
      <c r="M3355" s="2"/>
      <c r="N3355" s="8">
        <v>42252.595034722224</v>
      </c>
      <c r="O3355" s="4" t="s">
        <v>6784</v>
      </c>
      <c r="P3355" s="3" t="s">
        <v>6783</v>
      </c>
      <c r="Q3355" s="10" t="s">
        <v>6782</v>
      </c>
      <c r="R3355" s="4"/>
      <c r="S3355" s="9" t="str">
        <f>HYPERLINK("https://pbs.twimg.com/profile_images/963509098812600322/Te7cW6h8.jpg","View")</f>
        <v>View</v>
      </c>
    </row>
    <row r="3356" spans="1:19" ht="40">
      <c r="A3356" s="8">
        <v>43342.455810185187</v>
      </c>
      <c r="B3356" s="11" t="str">
        <f>HYPERLINK("https://twitter.com/ata_afs","@ata_afs")</f>
        <v>@ata_afs</v>
      </c>
      <c r="C3356" s="6" t="s">
        <v>1217</v>
      </c>
      <c r="D3356" s="5" t="s">
        <v>8129</v>
      </c>
      <c r="E3356" s="9" t="str">
        <f>HYPERLINK("https://twitter.com/ata_afs/status/1035051078641799168","1035051078641799168")</f>
        <v>1035051078641799168</v>
      </c>
      <c r="F3356" s="4"/>
      <c r="G3356" s="4"/>
      <c r="H3356" s="4"/>
      <c r="I3356" s="10" t="str">
        <f>HYPERLINK("http://twitter.com/download/iphone","Twitter for iPhone")</f>
        <v>Twitter for iPhone</v>
      </c>
      <c r="J3356" s="2">
        <v>367</v>
      </c>
      <c r="K3356" s="2">
        <v>693</v>
      </c>
      <c r="L3356" s="2">
        <v>0</v>
      </c>
      <c r="M3356" s="2"/>
      <c r="N3356" s="8">
        <v>41833.536099537036</v>
      </c>
      <c r="O3356" s="4" t="s">
        <v>34</v>
      </c>
      <c r="P3356" s="3" t="s">
        <v>1213</v>
      </c>
      <c r="Q3356" s="4"/>
      <c r="R3356" s="4"/>
      <c r="S3356" s="9" t="str">
        <f>HYPERLINK("https://pbs.twimg.com/profile_images/958374868008960000/IRXSv5-C.jpg","View")</f>
        <v>View</v>
      </c>
    </row>
    <row r="3357" spans="1:19" ht="40">
      <c r="A3357" s="8">
        <v>43342.452627314815</v>
      </c>
      <c r="B3357" s="11" t="str">
        <f>HYPERLINK("https://twitter.com/MasoudFadak","@MasoudFadak")</f>
        <v>@MasoudFadak</v>
      </c>
      <c r="C3357" s="6" t="s">
        <v>2958</v>
      </c>
      <c r="D3357" s="5" t="s">
        <v>8128</v>
      </c>
      <c r="E3357" s="9" t="str">
        <f>HYPERLINK("https://twitter.com/MasoudFadak/status/1035049927775281153","1035049927775281153")</f>
        <v>1035049927775281153</v>
      </c>
      <c r="F3357" s="4"/>
      <c r="G3357" s="4"/>
      <c r="H3357" s="4"/>
      <c r="I3357" s="10" t="str">
        <f>HYPERLINK("http://twitter.com/download/android","Twitter for Android")</f>
        <v>Twitter for Android</v>
      </c>
      <c r="J3357" s="2">
        <v>7159</v>
      </c>
      <c r="K3357" s="2">
        <v>6175</v>
      </c>
      <c r="L3357" s="2">
        <v>30</v>
      </c>
      <c r="M3357" s="2"/>
      <c r="N3357" s="8">
        <v>42854.617997685185</v>
      </c>
      <c r="O3357" s="4" t="s">
        <v>2956</v>
      </c>
      <c r="P3357" s="3" t="s">
        <v>2955</v>
      </c>
      <c r="Q3357" s="4"/>
      <c r="R3357" s="4"/>
      <c r="S3357" s="9" t="str">
        <f>HYPERLINK("https://pbs.twimg.com/profile_images/1034849195172261890/IgdhE8vA.jpg","View")</f>
        <v>View</v>
      </c>
    </row>
    <row r="3358" spans="1:19" ht="30">
      <c r="A3358" s="8">
        <v>43342.450879629629</v>
      </c>
      <c r="B3358" s="11" t="str">
        <f>HYPERLINK("https://twitter.com/farzadk42431488","@farzadk42431488")</f>
        <v>@farzadk42431488</v>
      </c>
      <c r="C3358" s="6" t="s">
        <v>8127</v>
      </c>
      <c r="D3358" s="5" t="s">
        <v>8126</v>
      </c>
      <c r="E3358" s="9" t="str">
        <f>HYPERLINK("https://twitter.com/farzadk42431488/status/1035049293542031360","1035049293542031360")</f>
        <v>1035049293542031360</v>
      </c>
      <c r="F3358" s="4"/>
      <c r="G3358" s="4"/>
      <c r="H3358" s="4"/>
      <c r="I3358" s="10" t="str">
        <f>HYPERLINK("http://twitter.com/#!/download/ipad","Twitter for iPad")</f>
        <v>Twitter for iPad</v>
      </c>
      <c r="J3358" s="2">
        <v>29</v>
      </c>
      <c r="K3358" s="2">
        <v>155</v>
      </c>
      <c r="L3358" s="2">
        <v>0</v>
      </c>
      <c r="M3358" s="2"/>
      <c r="N3358" s="8">
        <v>43215.941979166666</v>
      </c>
      <c r="O3358" s="4"/>
      <c r="P3358" s="3"/>
      <c r="Q3358" s="4"/>
      <c r="R3358" s="4"/>
      <c r="S3358" s="9" t="str">
        <f>HYPERLINK("https://pbs.twimg.com/profile_images/989205323222274048/lEjmSkft.jpg","View")</f>
        <v>View</v>
      </c>
    </row>
    <row r="3359" spans="1:19" ht="40">
      <c r="A3359" s="8">
        <v>43342.447534722218</v>
      </c>
      <c r="B3359" s="11" t="str">
        <f>HYPERLINK("https://twitter.com/azadikhahi","@azadikhahi")</f>
        <v>@azadikhahi</v>
      </c>
      <c r="C3359" s="6" t="s">
        <v>8125</v>
      </c>
      <c r="D3359" s="5" t="s">
        <v>8124</v>
      </c>
      <c r="E3359" s="9" t="str">
        <f>HYPERLINK("https://twitter.com/azadikhahi/status/1035048082621091840","1035048082621091840")</f>
        <v>1035048082621091840</v>
      </c>
      <c r="F3359" s="4"/>
      <c r="G3359" s="4"/>
      <c r="H3359" s="4"/>
      <c r="I3359" s="10" t="str">
        <f>HYPERLINK("http://twitter.com","Twitter Web Client")</f>
        <v>Twitter Web Client</v>
      </c>
      <c r="J3359" s="2">
        <v>512</v>
      </c>
      <c r="K3359" s="2">
        <v>1101</v>
      </c>
      <c r="L3359" s="2">
        <v>1</v>
      </c>
      <c r="M3359" s="2"/>
      <c r="N3359" s="8">
        <v>42991.380370370374</v>
      </c>
      <c r="O3359" s="4"/>
      <c r="P3359" s="3" t="s">
        <v>8123</v>
      </c>
      <c r="Q3359" s="4"/>
      <c r="R3359" s="4"/>
      <c r="S3359" s="9" t="str">
        <f>HYPERLINK("https://pbs.twimg.com/profile_images/1030447321123708928/meu38MIg.jpg","View")</f>
        <v>View</v>
      </c>
    </row>
    <row r="3360" spans="1:19" ht="70">
      <c r="A3360" s="8">
        <v>43342.446562500001</v>
      </c>
      <c r="B3360" s="11" t="str">
        <f>HYPERLINK("https://twitter.com/SajjadShool","@SajjadShool")</f>
        <v>@SajjadShool</v>
      </c>
      <c r="C3360" s="6" t="s">
        <v>6140</v>
      </c>
      <c r="D3360" s="5" t="s">
        <v>8122</v>
      </c>
      <c r="E3360" s="9" t="str">
        <f>HYPERLINK("https://twitter.com/SajjadShool/status/1035047728831549441","1035047728831549441")</f>
        <v>1035047728831549441</v>
      </c>
      <c r="F3360" s="10" t="s">
        <v>7779</v>
      </c>
      <c r="G3360" s="10" t="s">
        <v>7539</v>
      </c>
      <c r="H3360" s="4"/>
      <c r="I3360" s="10" t="str">
        <f>HYPERLINK("http://twitter.com/download/android","Twitter for Android")</f>
        <v>Twitter for Android</v>
      </c>
      <c r="J3360" s="2">
        <v>74</v>
      </c>
      <c r="K3360" s="2">
        <v>78</v>
      </c>
      <c r="L3360" s="2">
        <v>0</v>
      </c>
      <c r="M3360" s="2"/>
      <c r="N3360" s="8">
        <v>42702.729027777779</v>
      </c>
      <c r="O3360" s="4"/>
      <c r="P3360" s="3" t="s">
        <v>6138</v>
      </c>
      <c r="Q3360" s="4"/>
      <c r="R3360" s="4"/>
      <c r="S3360" s="9" t="str">
        <f>HYPERLINK("https://pbs.twimg.com/profile_images/1013424421615349764/9xRQjtp8.jpg","View")</f>
        <v>View</v>
      </c>
    </row>
    <row r="3361" spans="1:19" ht="40">
      <c r="A3361" s="8">
        <v>43342.445636574077</v>
      </c>
      <c r="B3361" s="11" t="str">
        <f>HYPERLINK("https://twitter.com/MahdiDavatgari","@MahdiDavatgari")</f>
        <v>@MahdiDavatgari</v>
      </c>
      <c r="C3361" s="6" t="s">
        <v>8121</v>
      </c>
      <c r="D3361" s="5" t="s">
        <v>8120</v>
      </c>
      <c r="E3361" s="9" t="str">
        <f>HYPERLINK("https://twitter.com/MahdiDavatgari/status/1035047392683339776","1035047392683339776")</f>
        <v>1035047392683339776</v>
      </c>
      <c r="F3361" s="4"/>
      <c r="G3361" s="4"/>
      <c r="H3361" s="4"/>
      <c r="I3361" s="10" t="str">
        <f>HYPERLINK("http://twitter.com/download/iphone","Twitter for iPhone")</f>
        <v>Twitter for iPhone</v>
      </c>
      <c r="J3361" s="2">
        <v>40</v>
      </c>
      <c r="K3361" s="2">
        <v>109</v>
      </c>
      <c r="L3361" s="2">
        <v>0</v>
      </c>
      <c r="M3361" s="2"/>
      <c r="N3361" s="8">
        <v>43215.84306712963</v>
      </c>
      <c r="O3361" s="4"/>
      <c r="P3361" s="3" t="s">
        <v>8119</v>
      </c>
      <c r="Q3361" s="4"/>
      <c r="R3361" s="4"/>
      <c r="S3361" s="9" t="str">
        <f>HYPERLINK("https://pbs.twimg.com/profile_images/989174497713549312/alAON7PH.jpg","View")</f>
        <v>View</v>
      </c>
    </row>
    <row r="3362" spans="1:19" ht="40">
      <c r="A3362" s="8">
        <v>43342.444074074076</v>
      </c>
      <c r="B3362" s="11" t="str">
        <f>HYPERLINK("https://twitter.com/mostafa_zaheri_","@mostafa_zaheri_")</f>
        <v>@mostafa_zaheri_</v>
      </c>
      <c r="C3362" s="6" t="s">
        <v>8118</v>
      </c>
      <c r="D3362" s="5" t="s">
        <v>8117</v>
      </c>
      <c r="E3362" s="9" t="str">
        <f>HYPERLINK("https://twitter.com/mostafa_zaheri_/status/1035046827819712513","1035046827819712513")</f>
        <v>1035046827819712513</v>
      </c>
      <c r="F3362" s="4"/>
      <c r="G3362" s="4"/>
      <c r="H3362" s="4"/>
      <c r="I3362" s="10" t="str">
        <f>HYPERLINK("http://twitter.com/download/android","Twitter for Android")</f>
        <v>Twitter for Android</v>
      </c>
      <c r="J3362" s="2">
        <v>5882</v>
      </c>
      <c r="K3362" s="2">
        <v>134</v>
      </c>
      <c r="L3362" s="2">
        <v>9</v>
      </c>
      <c r="M3362" s="2"/>
      <c r="N3362" s="8">
        <v>42726.055289351847</v>
      </c>
      <c r="O3362" s="4" t="s">
        <v>34</v>
      </c>
      <c r="P3362" s="3" t="s">
        <v>8116</v>
      </c>
      <c r="Q3362" s="4"/>
      <c r="R3362" s="4"/>
      <c r="S3362" s="9" t="str">
        <f>HYPERLINK("https://pbs.twimg.com/profile_images/942153668681400320/EvkIA47X.jpg","View")</f>
        <v>View</v>
      </c>
    </row>
    <row r="3363" spans="1:19" ht="40">
      <c r="A3363" s="8">
        <v>43342.438611111109</v>
      </c>
      <c r="B3363" s="11" t="str">
        <f>HYPERLINK("https://twitter.com/ata_afs","@ata_afs")</f>
        <v>@ata_afs</v>
      </c>
      <c r="C3363" s="6" t="s">
        <v>1217</v>
      </c>
      <c r="D3363" s="5" t="s">
        <v>8115</v>
      </c>
      <c r="E3363" s="9" t="str">
        <f>HYPERLINK("https://twitter.com/ata_afs/status/1035044846107426817","1035044846107426817")</f>
        <v>1035044846107426817</v>
      </c>
      <c r="F3363" s="4"/>
      <c r="G3363" s="4"/>
      <c r="H3363" s="4"/>
      <c r="I3363" s="10" t="str">
        <f>HYPERLINK("http://twitter.com/download/iphone","Twitter for iPhone")</f>
        <v>Twitter for iPhone</v>
      </c>
      <c r="J3363" s="2">
        <v>367</v>
      </c>
      <c r="K3363" s="2">
        <v>693</v>
      </c>
      <c r="L3363" s="2">
        <v>0</v>
      </c>
      <c r="M3363" s="2"/>
      <c r="N3363" s="8">
        <v>41833.536099537036</v>
      </c>
      <c r="O3363" s="4" t="s">
        <v>34</v>
      </c>
      <c r="P3363" s="3" t="s">
        <v>1213</v>
      </c>
      <c r="Q3363" s="4"/>
      <c r="R3363" s="4"/>
      <c r="S3363" s="9" t="str">
        <f>HYPERLINK("https://pbs.twimg.com/profile_images/958374868008960000/IRXSv5-C.jpg","View")</f>
        <v>View</v>
      </c>
    </row>
    <row r="3364" spans="1:19" ht="20">
      <c r="A3364" s="8">
        <v>43342.437303240746</v>
      </c>
      <c r="B3364" s="11" t="str">
        <f>HYPERLINK("https://twitter.com/ESMAEELZAMANI1","@ESMAEELZAMANI1")</f>
        <v>@ESMAEELZAMANI1</v>
      </c>
      <c r="C3364" s="6" t="s">
        <v>8068</v>
      </c>
      <c r="D3364" s="5" t="s">
        <v>8114</v>
      </c>
      <c r="E3364" s="9" t="str">
        <f>HYPERLINK("https://twitter.com/ESMAEELZAMANI1/status/1035044372629385216","1035044372629385216")</f>
        <v>1035044372629385216</v>
      </c>
      <c r="F3364" s="4"/>
      <c r="G3364" s="4"/>
      <c r="H3364" s="4"/>
      <c r="I3364" s="10" t="str">
        <f>HYPERLINK("http://twitter.com","Twitter Web Client")</f>
        <v>Twitter Web Client</v>
      </c>
      <c r="J3364" s="2">
        <v>0</v>
      </c>
      <c r="K3364" s="2">
        <v>1</v>
      </c>
      <c r="L3364" s="2">
        <v>0</v>
      </c>
      <c r="M3364" s="2"/>
      <c r="N3364" s="8">
        <v>43327.992314814815</v>
      </c>
      <c r="O3364" s="4"/>
      <c r="P3364" s="3"/>
      <c r="Q3364" s="4"/>
      <c r="R3364" s="4"/>
      <c r="S3364" s="9" t="str">
        <f>HYPERLINK("https://pbs.twimg.com/profile_images/1031256571446054912/pOHI-dEc.jpg","View")</f>
        <v>View</v>
      </c>
    </row>
    <row r="3365" spans="1:19" ht="40">
      <c r="A3365" s="8">
        <v>43342.436898148153</v>
      </c>
      <c r="B3365" s="11" t="str">
        <f>HYPERLINK("https://twitter.com/mdrshhn","@mdrshhn")</f>
        <v>@mdrshhn</v>
      </c>
      <c r="C3365" s="6" t="s">
        <v>1854</v>
      </c>
      <c r="D3365" s="5" t="s">
        <v>8113</v>
      </c>
      <c r="E3365" s="9" t="str">
        <f>HYPERLINK("https://twitter.com/mdrshhn/status/1035044228408045568","1035044228408045568")</f>
        <v>1035044228408045568</v>
      </c>
      <c r="F3365" s="4"/>
      <c r="G3365" s="4"/>
      <c r="H3365" s="4"/>
      <c r="I3365" s="10" t="str">
        <f>HYPERLINK("http://twitter.com/download/iphone","Twitter for iPhone")</f>
        <v>Twitter for iPhone</v>
      </c>
      <c r="J3365" s="2">
        <v>48</v>
      </c>
      <c r="K3365" s="2">
        <v>242</v>
      </c>
      <c r="L3365" s="2">
        <v>0</v>
      </c>
      <c r="M3365" s="2"/>
      <c r="N3365" s="8">
        <v>41381.973715277782</v>
      </c>
      <c r="O3365" s="4" t="s">
        <v>1852</v>
      </c>
      <c r="P3365" s="3" t="s">
        <v>1851</v>
      </c>
      <c r="Q3365" s="10" t="s">
        <v>1850</v>
      </c>
      <c r="R3365" s="4"/>
      <c r="S3365" s="9" t="str">
        <f>HYPERLINK("https://pbs.twimg.com/profile_images/960723872734633986/5CXC2K8w.jpg","View")</f>
        <v>View</v>
      </c>
    </row>
    <row r="3366" spans="1:19" ht="30">
      <c r="A3366" s="8">
        <v>43342.436030092591</v>
      </c>
      <c r="B3366" s="11" t="str">
        <f>HYPERLINK("https://twitter.com/mehdimahmudi","@mehdimahmudi")</f>
        <v>@mehdimahmudi</v>
      </c>
      <c r="C3366" s="6" t="s">
        <v>8112</v>
      </c>
      <c r="D3366" s="5" t="s">
        <v>8111</v>
      </c>
      <c r="E3366" s="9" t="str">
        <f>HYPERLINK("https://twitter.com/mehdimahmudi/status/1035043913130749953","1035043913130749953")</f>
        <v>1035043913130749953</v>
      </c>
      <c r="F3366" s="4"/>
      <c r="G3366" s="4"/>
      <c r="H3366" s="4"/>
      <c r="I3366" s="10" t="str">
        <f>HYPERLINK("http://twitter.com","Twitter Web Client")</f>
        <v>Twitter Web Client</v>
      </c>
      <c r="J3366" s="2">
        <v>7248</v>
      </c>
      <c r="K3366" s="2">
        <v>1467</v>
      </c>
      <c r="L3366" s="2">
        <v>193</v>
      </c>
      <c r="M3366" s="2"/>
      <c r="N3366" s="8">
        <v>41103.549502314811</v>
      </c>
      <c r="O3366" s="4" t="s">
        <v>145</v>
      </c>
      <c r="P3366" s="3" t="s">
        <v>8110</v>
      </c>
      <c r="Q3366" s="10" t="s">
        <v>8109</v>
      </c>
      <c r="R3366" s="4"/>
      <c r="S3366" s="9" t="str">
        <f>HYPERLINK("https://pbs.twimg.com/profile_images/995934693949362176/J0z1knpD.jpg","View")</f>
        <v>View</v>
      </c>
    </row>
    <row r="3367" spans="1:19" ht="30">
      <c r="A3367" s="8">
        <v>43342.432986111111</v>
      </c>
      <c r="B3367" s="11" t="str">
        <f>HYPERLINK("https://twitter.com/revo_lution_ary","@revo_lution_ary")</f>
        <v>@revo_lution_ary</v>
      </c>
      <c r="C3367" s="6" t="s">
        <v>3398</v>
      </c>
      <c r="D3367" s="5" t="s">
        <v>8108</v>
      </c>
      <c r="E3367" s="9" t="str">
        <f>HYPERLINK("https://twitter.com/revo_lution_ary/status/1035042810301505541","1035042810301505541")</f>
        <v>1035042810301505541</v>
      </c>
      <c r="F3367" s="4"/>
      <c r="G3367" s="10" t="s">
        <v>8107</v>
      </c>
      <c r="H3367" s="4"/>
      <c r="I3367" s="10" t="str">
        <f>HYPERLINK("http://twitter.com/download/android","Twitter for Android")</f>
        <v>Twitter for Android</v>
      </c>
      <c r="J3367" s="2">
        <v>2689</v>
      </c>
      <c r="K3367" s="2">
        <v>2723</v>
      </c>
      <c r="L3367" s="2">
        <v>3</v>
      </c>
      <c r="M3367" s="2"/>
      <c r="N3367" s="8">
        <v>42690.570266203707</v>
      </c>
      <c r="O3367" s="4" t="s">
        <v>3396</v>
      </c>
      <c r="P3367" s="3" t="s">
        <v>3395</v>
      </c>
      <c r="Q3367" s="4"/>
      <c r="R3367" s="4"/>
      <c r="S3367" s="9" t="str">
        <f>HYPERLINK("https://pbs.twimg.com/profile_images/1032265801393418242/b7XeMsRu.jpg","View")</f>
        <v>View</v>
      </c>
    </row>
    <row r="3368" spans="1:19" ht="30">
      <c r="A3368" s="8">
        <v>43342.430266203708</v>
      </c>
      <c r="B3368" s="11" t="str">
        <f>HYPERLINK("https://twitter.com/yjcagency","@yjcagency")</f>
        <v>@yjcagency</v>
      </c>
      <c r="C3368" s="6" t="s">
        <v>3511</v>
      </c>
      <c r="D3368" s="5" t="s">
        <v>8106</v>
      </c>
      <c r="E3368" s="9" t="str">
        <f>HYPERLINK("https://twitter.com/yjcagency/status/1035041821901156353","1035041821901156353")</f>
        <v>1035041821901156353</v>
      </c>
      <c r="F3368" s="10" t="s">
        <v>8105</v>
      </c>
      <c r="G3368" s="10" t="s">
        <v>8104</v>
      </c>
      <c r="H3368" s="4"/>
      <c r="I3368" s="10" t="str">
        <f>HYPERLINK("http://twitter.com/download/android","Twitter for Android")</f>
        <v>Twitter for Android</v>
      </c>
      <c r="J3368" s="2">
        <v>10739</v>
      </c>
      <c r="K3368" s="2">
        <v>3</v>
      </c>
      <c r="L3368" s="2">
        <v>55</v>
      </c>
      <c r="M3368" s="2"/>
      <c r="N3368" s="8">
        <v>42691.645821759259</v>
      </c>
      <c r="O3368" s="4" t="s">
        <v>3508</v>
      </c>
      <c r="P3368" s="3" t="s">
        <v>3507</v>
      </c>
      <c r="Q3368" s="10" t="s">
        <v>3506</v>
      </c>
      <c r="R3368" s="4"/>
      <c r="S3368" s="9" t="str">
        <f>HYPERLINK("https://pbs.twimg.com/profile_images/1016530264250568704/lVYN9g8h.jpg","View")</f>
        <v>View</v>
      </c>
    </row>
    <row r="3369" spans="1:19" ht="20">
      <c r="A3369" s="8">
        <v>43342.428368055553</v>
      </c>
      <c r="B3369" s="11" t="str">
        <f>HYPERLINK("https://twitter.com/Mm_jalali","@Mm_jalali")</f>
        <v>@Mm_jalali</v>
      </c>
      <c r="C3369" s="6" t="s">
        <v>8103</v>
      </c>
      <c r="D3369" s="5" t="s">
        <v>8102</v>
      </c>
      <c r="E3369" s="9" t="str">
        <f>HYPERLINK("https://twitter.com/Mm_jalali/status/1035041133800448001","1035041133800448001")</f>
        <v>1035041133800448001</v>
      </c>
      <c r="F3369" s="4"/>
      <c r="G3369" s="4"/>
      <c r="H3369" s="4"/>
      <c r="I3369" s="10" t="str">
        <f>HYPERLINK("http://twitter.com/download/android","Twitter for Android")</f>
        <v>Twitter for Android</v>
      </c>
      <c r="J3369" s="2">
        <v>70</v>
      </c>
      <c r="K3369" s="2">
        <v>60</v>
      </c>
      <c r="L3369" s="2">
        <v>1</v>
      </c>
      <c r="M3369" s="2"/>
      <c r="N3369" s="8">
        <v>43130.584965277776</v>
      </c>
      <c r="O3369" s="4" t="s">
        <v>17</v>
      </c>
      <c r="P3369" s="3" t="s">
        <v>8101</v>
      </c>
      <c r="Q3369" s="4"/>
      <c r="R3369" s="4"/>
      <c r="S3369" s="9" t="str">
        <f>HYPERLINK("https://pbs.twimg.com/profile_images/1022868859412533248/fwODpaPl.jpg","View")</f>
        <v>View</v>
      </c>
    </row>
    <row r="3370" spans="1:19" ht="20">
      <c r="A3370" s="8">
        <v>43342.42832175926</v>
      </c>
      <c r="B3370" s="11" t="str">
        <f>HYPERLINK("https://twitter.com/Pire_pashmakmoy","@Pire_pashmakmoy")</f>
        <v>@Pire_pashmakmoy</v>
      </c>
      <c r="C3370" s="6" t="s">
        <v>8100</v>
      </c>
      <c r="D3370" s="5" t="s">
        <v>8099</v>
      </c>
      <c r="E3370" s="9" t="str">
        <f>HYPERLINK("https://twitter.com/Pire_pashmakmoy/status/1035041117522337793","1035041117522337793")</f>
        <v>1035041117522337793</v>
      </c>
      <c r="F3370" s="4"/>
      <c r="G3370" s="4"/>
      <c r="H3370" s="4"/>
      <c r="I3370" s="10" t="str">
        <f>HYPERLINK("http://twitter.com/download/android","Twitter for Android")</f>
        <v>Twitter for Android</v>
      </c>
      <c r="J3370" s="2">
        <v>1059</v>
      </c>
      <c r="K3370" s="2">
        <v>292</v>
      </c>
      <c r="L3370" s="2">
        <v>14</v>
      </c>
      <c r="M3370" s="2"/>
      <c r="N3370" s="8">
        <v>42723.0231712963</v>
      </c>
      <c r="O3370" s="4" t="s">
        <v>8098</v>
      </c>
      <c r="P3370" s="3" t="s">
        <v>8097</v>
      </c>
      <c r="Q3370" s="4"/>
      <c r="R3370" s="4"/>
      <c r="S3370" s="9" t="str">
        <f>HYPERLINK("https://pbs.twimg.com/profile_images/866679480030552064/gzTwjEEq.jpg","View")</f>
        <v>View</v>
      </c>
    </row>
    <row r="3371" spans="1:19" ht="30">
      <c r="A3371" s="8">
        <v>43342.426365740743</v>
      </c>
      <c r="B3371" s="11" t="str">
        <f>HYPERLINK("https://twitter.com/yasayyedalkarim","@yasayyedalkarim")</f>
        <v>@yasayyedalkarim</v>
      </c>
      <c r="C3371" s="6" t="s">
        <v>8096</v>
      </c>
      <c r="D3371" s="5" t="s">
        <v>8095</v>
      </c>
      <c r="E3371" s="9" t="str">
        <f>HYPERLINK("https://twitter.com/yasayyedalkarim/status/1035040408353554434","1035040408353554434")</f>
        <v>1035040408353554434</v>
      </c>
      <c r="F3371" s="10" t="s">
        <v>8094</v>
      </c>
      <c r="G3371" s="10" t="s">
        <v>8093</v>
      </c>
      <c r="H3371" s="4"/>
      <c r="I3371" s="10" t="str">
        <f>HYPERLINK("http://twitter.com","Twitter Web Client")</f>
        <v>Twitter Web Client</v>
      </c>
      <c r="J3371" s="2">
        <v>4297</v>
      </c>
      <c r="K3371" s="2">
        <v>2555</v>
      </c>
      <c r="L3371" s="2">
        <v>28</v>
      </c>
      <c r="M3371" s="2"/>
      <c r="N3371" s="8">
        <v>41659.573125000003</v>
      </c>
      <c r="O3371" s="4" t="s">
        <v>8092</v>
      </c>
      <c r="P3371" s="3" t="s">
        <v>8091</v>
      </c>
      <c r="Q3371" s="10" t="s">
        <v>8090</v>
      </c>
      <c r="R3371" s="4"/>
      <c r="S3371" s="9" t="str">
        <f>HYPERLINK("https://pbs.twimg.com/profile_images/913708842759761921/HF_JhUVa.jpg","View")</f>
        <v>View</v>
      </c>
    </row>
    <row r="3372" spans="1:19" ht="40">
      <c r="A3372" s="8">
        <v>43342.424027777779</v>
      </c>
      <c r="B3372" s="11" t="str">
        <f>HYPERLINK("https://twitter.com/szfaegh","@szfaegh")</f>
        <v>@szfaegh</v>
      </c>
      <c r="C3372" s="6" t="s">
        <v>8089</v>
      </c>
      <c r="D3372" s="5" t="s">
        <v>8088</v>
      </c>
      <c r="E3372" s="9" t="str">
        <f>HYPERLINK("https://twitter.com/szfaegh/status/1035039564728074240","1035039564728074240")</f>
        <v>1035039564728074240</v>
      </c>
      <c r="F3372" s="4"/>
      <c r="G3372" s="4"/>
      <c r="H3372" s="4"/>
      <c r="I3372" s="10" t="str">
        <f>HYPERLINK("http://twitter.com/#!/download/ipad","Twitter for iPad")</f>
        <v>Twitter for iPad</v>
      </c>
      <c r="J3372" s="2">
        <v>1021</v>
      </c>
      <c r="K3372" s="2">
        <v>4995</v>
      </c>
      <c r="L3372" s="2">
        <v>6</v>
      </c>
      <c r="M3372" s="2"/>
      <c r="N3372" s="8">
        <v>40623.490451388891</v>
      </c>
      <c r="O3372" s="4"/>
      <c r="P3372" s="3" t="s">
        <v>8087</v>
      </c>
      <c r="Q3372" s="4"/>
      <c r="R3372" s="4"/>
      <c r="S3372" s="9" t="str">
        <f>HYPERLINK("https://pbs.twimg.com/profile_images/1034056417555177537/qhlAiqrF.jpg","View")</f>
        <v>View</v>
      </c>
    </row>
    <row r="3373" spans="1:19" ht="40">
      <c r="A3373" s="8">
        <v>43342.422974537039</v>
      </c>
      <c r="B3373" s="11" t="str">
        <f>HYPERLINK("https://twitter.com/saeedmaaleki","@saeedmaaleki")</f>
        <v>@saeedmaaleki</v>
      </c>
      <c r="C3373" s="6" t="s">
        <v>4231</v>
      </c>
      <c r="D3373" s="5" t="s">
        <v>8086</v>
      </c>
      <c r="E3373" s="9" t="str">
        <f>HYPERLINK("https://twitter.com/saeedmaaleki/status/1035039181020520448","1035039181020520448")</f>
        <v>1035039181020520448</v>
      </c>
      <c r="F3373" s="4"/>
      <c r="G3373" s="4"/>
      <c r="H3373" s="4"/>
      <c r="I3373" s="10" t="str">
        <f>HYPERLINK("http://twitter.com/download/android","Twitter for Android")</f>
        <v>Twitter for Android</v>
      </c>
      <c r="J3373" s="2">
        <v>336</v>
      </c>
      <c r="K3373" s="2">
        <v>634</v>
      </c>
      <c r="L3373" s="2">
        <v>0</v>
      </c>
      <c r="M3373" s="2"/>
      <c r="N3373" s="8">
        <v>43104.887372685189</v>
      </c>
      <c r="O3373" s="4" t="s">
        <v>4229</v>
      </c>
      <c r="P3373" s="3" t="s">
        <v>4228</v>
      </c>
      <c r="Q3373" s="4"/>
      <c r="R3373" s="4"/>
      <c r="S3373" s="9" t="str">
        <f>HYPERLINK("https://pbs.twimg.com/profile_images/948985484637765633/Hd90JAIx.jpg","View")</f>
        <v>View</v>
      </c>
    </row>
    <row r="3374" spans="1:19" ht="20">
      <c r="A3374" s="8">
        <v>43342.418287037042</v>
      </c>
      <c r="B3374" s="11" t="str">
        <f>HYPERLINK("https://twitter.com/faghatkhodaa","@faghatkhodaa")</f>
        <v>@faghatkhodaa</v>
      </c>
      <c r="C3374" s="6" t="s">
        <v>4323</v>
      </c>
      <c r="D3374" s="5" t="s">
        <v>8085</v>
      </c>
      <c r="E3374" s="9" t="str">
        <f>HYPERLINK("https://twitter.com/faghatkhodaa/status/1035037484269416448","1035037484269416448")</f>
        <v>1035037484269416448</v>
      </c>
      <c r="F3374" s="4"/>
      <c r="G3374" s="10" t="s">
        <v>8084</v>
      </c>
      <c r="H3374" s="4"/>
      <c r="I3374" s="10" t="str">
        <f>HYPERLINK("http://twitter.com/download/android","Twitter for Android")</f>
        <v>Twitter for Android</v>
      </c>
      <c r="J3374" s="2">
        <v>8783</v>
      </c>
      <c r="K3374" s="2">
        <v>8936</v>
      </c>
      <c r="L3374" s="2">
        <v>23</v>
      </c>
      <c r="M3374" s="2"/>
      <c r="N3374" s="8">
        <v>43126.628379629634</v>
      </c>
      <c r="O3374" s="4" t="s">
        <v>34</v>
      </c>
      <c r="P3374" s="3" t="s">
        <v>4321</v>
      </c>
      <c r="Q3374" s="4"/>
      <c r="R3374" s="4"/>
      <c r="S3374" s="9" t="str">
        <f>HYPERLINK("https://pbs.twimg.com/profile_images/1027942473103040514/73l8O29B.jpg","View")</f>
        <v>View</v>
      </c>
    </row>
    <row r="3375" spans="1:19" ht="50">
      <c r="A3375" s="8">
        <v>43342.418275462958</v>
      </c>
      <c r="B3375" s="11" t="str">
        <f>HYPERLINK("https://twitter.com/pasdariranshahr","@pasdariranshahr")</f>
        <v>@pasdariranshahr</v>
      </c>
      <c r="C3375" s="6" t="s">
        <v>3574</v>
      </c>
      <c r="D3375" s="5" t="s">
        <v>8083</v>
      </c>
      <c r="E3375" s="9" t="str">
        <f>HYPERLINK("https://twitter.com/pasdariranshahr/status/1035037476275007489","1035037476275007489")</f>
        <v>1035037476275007489</v>
      </c>
      <c r="F3375" s="4"/>
      <c r="G3375" s="10" t="s">
        <v>8082</v>
      </c>
      <c r="H3375" s="4"/>
      <c r="I3375" s="10" t="str">
        <f>HYPERLINK("http://twitter.com/download/android","Twitter for Android")</f>
        <v>Twitter for Android</v>
      </c>
      <c r="J3375" s="2">
        <v>44</v>
      </c>
      <c r="K3375" s="2">
        <v>10</v>
      </c>
      <c r="L3375" s="2">
        <v>2</v>
      </c>
      <c r="M3375" s="2"/>
      <c r="N3375" s="8">
        <v>42574.885347222225</v>
      </c>
      <c r="O3375" s="4" t="s">
        <v>25</v>
      </c>
      <c r="P3375" s="3" t="s">
        <v>3571</v>
      </c>
      <c r="Q3375" s="4"/>
      <c r="R3375" s="4"/>
      <c r="S3375" s="9" t="str">
        <f>HYPERLINK("https://pbs.twimg.com/profile_images/974545942090141696/nli9_hon.jpg","View")</f>
        <v>View</v>
      </c>
    </row>
    <row r="3376" spans="1:19" ht="30">
      <c r="A3376" s="8">
        <v>43342.417951388888</v>
      </c>
      <c r="B3376" s="11" t="str">
        <f>HYPERLINK("https://twitter.com/Khanbagi","@Khanbagi")</f>
        <v>@Khanbagi</v>
      </c>
      <c r="C3376" s="6" t="s">
        <v>8081</v>
      </c>
      <c r="D3376" s="5" t="s">
        <v>8080</v>
      </c>
      <c r="E3376" s="9" t="str">
        <f>HYPERLINK("https://twitter.com/Khanbagi/status/1035037360520540160","1035037360520540160")</f>
        <v>1035037360520540160</v>
      </c>
      <c r="F3376" s="4"/>
      <c r="G3376" s="4"/>
      <c r="H3376" s="4"/>
      <c r="I3376" s="10" t="str">
        <f>HYPERLINK("http://twitter.com","Twitter Web Client")</f>
        <v>Twitter Web Client</v>
      </c>
      <c r="J3376" s="2">
        <v>1893</v>
      </c>
      <c r="K3376" s="2">
        <v>1383</v>
      </c>
      <c r="L3376" s="2">
        <v>4</v>
      </c>
      <c r="M3376" s="2"/>
      <c r="N3376" s="8">
        <v>41055.697222222225</v>
      </c>
      <c r="O3376" s="4"/>
      <c r="P3376" s="3" t="s">
        <v>8079</v>
      </c>
      <c r="Q3376" s="4"/>
      <c r="R3376" s="4"/>
      <c r="S3376" s="9" t="str">
        <f>HYPERLINK("https://pbs.twimg.com/profile_images/1034719613131665413/6EcStBj1.jpg","View")</f>
        <v>View</v>
      </c>
    </row>
    <row r="3377" spans="1:19" ht="12.5">
      <c r="A3377" s="8">
        <v>43342.417071759264</v>
      </c>
      <c r="B3377" s="11" t="str">
        <f>HYPERLINK("https://twitter.com/Trendfa","@Trendfa")</f>
        <v>@Trendfa</v>
      </c>
      <c r="C3377" s="6" t="s">
        <v>1847</v>
      </c>
      <c r="D3377" s="5" t="s">
        <v>8078</v>
      </c>
      <c r="E3377" s="9" t="str">
        <f>HYPERLINK("https://twitter.com/Trendfa/status/1035037040809664513","1035037040809664513")</f>
        <v>1035037040809664513</v>
      </c>
      <c r="F3377" s="4"/>
      <c r="G3377" s="4"/>
      <c r="H3377" s="4"/>
      <c r="I3377" s="10" t="str">
        <f>HYPERLINK("http://trendfa.mostafar.com","TrendFa")</f>
        <v>TrendFa</v>
      </c>
      <c r="J3377" s="2">
        <v>1256</v>
      </c>
      <c r="K3377" s="2">
        <v>638</v>
      </c>
      <c r="L3377" s="2">
        <v>10</v>
      </c>
      <c r="M3377" s="2"/>
      <c r="N3377" s="8">
        <v>42854.236793981487</v>
      </c>
      <c r="O3377" s="4" t="s">
        <v>1770</v>
      </c>
      <c r="P3377" s="3" t="s">
        <v>1845</v>
      </c>
      <c r="Q3377" s="4"/>
      <c r="R3377" s="4"/>
      <c r="S3377" s="9" t="str">
        <f>HYPERLINK("https://pbs.twimg.com/profile_images/861706286957682689/0zDr9duE.jpg","View")</f>
        <v>View</v>
      </c>
    </row>
    <row r="3378" spans="1:19" ht="20">
      <c r="A3378" s="8">
        <v>43342.412465277783</v>
      </c>
      <c r="B3378" s="11" t="str">
        <f>HYPERLINK("https://twitter.com/rwWjVm2WpuF8s4Z","@rwWjVm2WpuF8s4Z")</f>
        <v>@rwWjVm2WpuF8s4Z</v>
      </c>
      <c r="C3378" s="6" t="s">
        <v>8077</v>
      </c>
      <c r="D3378" s="5" t="s">
        <v>7728</v>
      </c>
      <c r="E3378" s="9" t="str">
        <f>HYPERLINK("https://twitter.com/rwWjVm2WpuF8s4Z/status/1035035373137739777","1035035373137739777")</f>
        <v>1035035373137739777</v>
      </c>
      <c r="F3378" s="4"/>
      <c r="G3378" s="4"/>
      <c r="H3378" s="4"/>
      <c r="I3378" s="10" t="str">
        <f>HYPERLINK("http://twitter.com/download/android","Twitter for Android")</f>
        <v>Twitter for Android</v>
      </c>
      <c r="J3378" s="2">
        <v>2</v>
      </c>
      <c r="K3378" s="2">
        <v>58</v>
      </c>
      <c r="L3378" s="2">
        <v>0</v>
      </c>
      <c r="M3378" s="2"/>
      <c r="N3378" s="8">
        <v>43342.328368055554</v>
      </c>
      <c r="O3378" s="4"/>
      <c r="P3378" s="3"/>
      <c r="Q3378" s="4"/>
      <c r="R3378" s="4"/>
      <c r="S3378" s="9" t="str">
        <f>HYPERLINK("https://pbs.twimg.com/profile_images/1035006809315127296/Rmuum5kx.jpg","View")</f>
        <v>View</v>
      </c>
    </row>
    <row r="3379" spans="1:19" ht="20">
      <c r="A3379" s="8">
        <v>43342.404004629629</v>
      </c>
      <c r="B3379" s="11" t="str">
        <f>HYPERLINK("https://twitter.com/enfetar78","@enfetar78")</f>
        <v>@enfetar78</v>
      </c>
      <c r="C3379" s="6" t="s">
        <v>8076</v>
      </c>
      <c r="D3379" s="5" t="s">
        <v>8075</v>
      </c>
      <c r="E3379" s="9" t="str">
        <f>HYPERLINK("https://twitter.com/enfetar78/status/1035032304492707841","1035032304492707841")</f>
        <v>1035032304492707841</v>
      </c>
      <c r="F3379" s="4"/>
      <c r="G3379" s="4"/>
      <c r="H3379" s="4"/>
      <c r="I3379" s="10" t="str">
        <f>HYPERLINK("http://twitter.com/download/android","Twitter for Android")</f>
        <v>Twitter for Android</v>
      </c>
      <c r="J3379" s="2">
        <v>1</v>
      </c>
      <c r="K3379" s="2">
        <v>16</v>
      </c>
      <c r="L3379" s="2">
        <v>0</v>
      </c>
      <c r="M3379" s="2"/>
      <c r="N3379" s="8">
        <v>43341.9065162037</v>
      </c>
      <c r="O3379" s="4" t="s">
        <v>8074</v>
      </c>
      <c r="P3379" s="3" t="s">
        <v>8073</v>
      </c>
      <c r="Q3379" s="4"/>
      <c r="R3379" s="4"/>
      <c r="S3379" s="9" t="str">
        <f>HYPERLINK("https://pbs.twimg.com/profile_images/1034864546064855042/kO8Js4OZ.jpg","View")</f>
        <v>View</v>
      </c>
    </row>
    <row r="3380" spans="1:19" ht="30">
      <c r="A3380" s="8">
        <v>43342.393634259264</v>
      </c>
      <c r="B3380" s="11" t="str">
        <f>HYPERLINK("https://twitter.com/fightername","@fightername")</f>
        <v>@fightername</v>
      </c>
      <c r="C3380" s="6" t="s">
        <v>8072</v>
      </c>
      <c r="D3380" s="5" t="s">
        <v>8071</v>
      </c>
      <c r="E3380" s="9" t="str">
        <f>HYPERLINK("https://twitter.com/fightername/status/1035028546811506689","1035028546811506689")</f>
        <v>1035028546811506689</v>
      </c>
      <c r="F3380" s="4"/>
      <c r="G3380" s="4"/>
      <c r="H3380" s="4"/>
      <c r="I3380" s="10" t="str">
        <f>HYPERLINK("http://twitter.com/download/iphone","Twitter for iPhone")</f>
        <v>Twitter for iPhone</v>
      </c>
      <c r="J3380" s="2">
        <v>12858</v>
      </c>
      <c r="K3380" s="2">
        <v>2460</v>
      </c>
      <c r="L3380" s="2">
        <v>18</v>
      </c>
      <c r="M3380" s="2"/>
      <c r="N3380" s="8">
        <v>43037.359259259261</v>
      </c>
      <c r="O3380" s="4" t="s">
        <v>8070</v>
      </c>
      <c r="P3380" s="3" t="s">
        <v>8069</v>
      </c>
      <c r="Q3380" s="4"/>
      <c r="R3380" s="4"/>
      <c r="S3380" s="9" t="str">
        <f>HYPERLINK("https://pbs.twimg.com/profile_images/1027252210219057152/fIg9vk2t.jpg","View")</f>
        <v>View</v>
      </c>
    </row>
    <row r="3381" spans="1:19" ht="40">
      <c r="A3381" s="8">
        <v>43342.391365740739</v>
      </c>
      <c r="B3381" s="11" t="str">
        <f>HYPERLINK("https://twitter.com/ESMAEELZAMANI1","@ESMAEELZAMANI1")</f>
        <v>@ESMAEELZAMANI1</v>
      </c>
      <c r="C3381" s="6" t="s">
        <v>8068</v>
      </c>
      <c r="D3381" s="5" t="s">
        <v>8067</v>
      </c>
      <c r="E3381" s="9" t="str">
        <f>HYPERLINK("https://twitter.com/ESMAEELZAMANI1/status/1035027728167305216","1035027728167305216")</f>
        <v>1035027728167305216</v>
      </c>
      <c r="F3381" s="4"/>
      <c r="G3381" s="4"/>
      <c r="H3381" s="4"/>
      <c r="I3381" s="10" t="str">
        <f>HYPERLINK("http://twitter.com","Twitter Web Client")</f>
        <v>Twitter Web Client</v>
      </c>
      <c r="J3381" s="2">
        <v>0</v>
      </c>
      <c r="K3381" s="2">
        <v>1</v>
      </c>
      <c r="L3381" s="2">
        <v>0</v>
      </c>
      <c r="M3381" s="2"/>
      <c r="N3381" s="8">
        <v>43327.992314814815</v>
      </c>
      <c r="O3381" s="4"/>
      <c r="P3381" s="3"/>
      <c r="Q3381" s="4"/>
      <c r="R3381" s="4"/>
      <c r="S3381" s="9" t="str">
        <f>HYPERLINK("https://pbs.twimg.com/profile_images/1031256571446054912/pOHI-dEc.jpg","View")</f>
        <v>View</v>
      </c>
    </row>
    <row r="3382" spans="1:19" ht="12.5">
      <c r="A3382" s="8">
        <v>43342.38962962963</v>
      </c>
      <c r="B3382" s="11" t="str">
        <f>HYPERLINK("https://twitter.com/as68683587","@as68683587")</f>
        <v>@as68683587</v>
      </c>
      <c r="C3382" s="6" t="s">
        <v>8066</v>
      </c>
      <c r="D3382" s="5" t="s">
        <v>8065</v>
      </c>
      <c r="E3382" s="9" t="str">
        <f>HYPERLINK("https://twitter.com/as68683587/status/1035027095167135744","1035027095167135744")</f>
        <v>1035027095167135744</v>
      </c>
      <c r="F3382" s="4"/>
      <c r="G3382" s="4"/>
      <c r="H3382" s="4"/>
      <c r="I3382" s="10" t="str">
        <f>HYPERLINK("http://twitter.com/download/android","Twitter for Android")</f>
        <v>Twitter for Android</v>
      </c>
      <c r="J3382" s="2">
        <v>5</v>
      </c>
      <c r="K3382" s="2">
        <v>103</v>
      </c>
      <c r="L3382" s="2">
        <v>0</v>
      </c>
      <c r="M3382" s="2"/>
      <c r="N3382" s="8">
        <v>43100.96938657407</v>
      </c>
      <c r="O3382" s="4"/>
      <c r="P3382" s="3"/>
      <c r="Q3382" s="4"/>
      <c r="R3382" s="4"/>
      <c r="S3382" s="2" t="s">
        <v>155</v>
      </c>
    </row>
    <row r="3383" spans="1:19" ht="12.5">
      <c r="A3383" s="8">
        <v>43342.377430555556</v>
      </c>
      <c r="B3383" s="11" t="str">
        <f>HYPERLINK("https://twitter.com/hisitirk","@hisitirk")</f>
        <v>@hisitirk</v>
      </c>
      <c r="C3383" s="6" t="s">
        <v>8064</v>
      </c>
      <c r="D3383" s="5" t="s">
        <v>8063</v>
      </c>
      <c r="E3383" s="9" t="str">
        <f>HYPERLINK("https://twitter.com/hisitirk/status/1035022678296588288","1035022678296588288")</f>
        <v>1035022678296588288</v>
      </c>
      <c r="F3383" s="4"/>
      <c r="G3383" s="4"/>
      <c r="H3383" s="4"/>
      <c r="I3383" s="10" t="str">
        <f>HYPERLINK("http://twitter.com/download/android","Twitter for Android")</f>
        <v>Twitter for Android</v>
      </c>
      <c r="J3383" s="2">
        <v>10</v>
      </c>
      <c r="K3383" s="2">
        <v>71</v>
      </c>
      <c r="L3383" s="2">
        <v>0</v>
      </c>
      <c r="M3383" s="2"/>
      <c r="N3383" s="8">
        <v>42226.675358796296</v>
      </c>
      <c r="O3383" s="4"/>
      <c r="P3383" s="3" t="s">
        <v>8062</v>
      </c>
      <c r="Q3383" s="4"/>
      <c r="R3383" s="4"/>
      <c r="S3383" s="9" t="str">
        <f>HYPERLINK("https://pbs.twimg.com/profile_images/1034111205512830977/fEYyX7uC.jpg","View")</f>
        <v>View</v>
      </c>
    </row>
    <row r="3384" spans="1:19" ht="30">
      <c r="A3384" s="8">
        <v>43342.376527777778</v>
      </c>
      <c r="B3384" s="11" t="str">
        <f>HYPERLINK("https://twitter.com/Guidance_Free","@Guidance_Free")</f>
        <v>@Guidance_Free</v>
      </c>
      <c r="C3384" s="6" t="s">
        <v>8061</v>
      </c>
      <c r="D3384" s="5" t="s">
        <v>8060</v>
      </c>
      <c r="E3384" s="9" t="str">
        <f>HYPERLINK("https://twitter.com/Guidance_Free/status/1035022349987454978","1035022349987454978")</f>
        <v>1035022349987454978</v>
      </c>
      <c r="F3384" s="4"/>
      <c r="G3384" s="4"/>
      <c r="H3384" s="4"/>
      <c r="I3384" s="10" t="str">
        <f>HYPERLINK("http://twitter.com/download/iphone","Twitter for iPhone")</f>
        <v>Twitter for iPhone</v>
      </c>
      <c r="J3384" s="2">
        <v>901</v>
      </c>
      <c r="K3384" s="2">
        <v>437</v>
      </c>
      <c r="L3384" s="2">
        <v>6</v>
      </c>
      <c r="M3384" s="2"/>
      <c r="N3384" s="8">
        <v>41806.012245370366</v>
      </c>
      <c r="O3384" s="4"/>
      <c r="P3384" s="3" t="s">
        <v>8059</v>
      </c>
      <c r="Q3384" s="4"/>
      <c r="R3384" s="4"/>
      <c r="S3384" s="9" t="str">
        <f>HYPERLINK("https://pbs.twimg.com/profile_images/996352688618115073/2KlskZ4w.jpg","View")</f>
        <v>View</v>
      </c>
    </row>
    <row r="3385" spans="1:19" ht="12.5">
      <c r="A3385" s="8">
        <v>43342.374074074076</v>
      </c>
      <c r="B3385" s="11" t="str">
        <f>HYPERLINK("https://twitter.com/targetman77","@targetman77")</f>
        <v>@targetman77</v>
      </c>
      <c r="C3385" s="6" t="s">
        <v>8058</v>
      </c>
      <c r="D3385" s="5" t="s">
        <v>8057</v>
      </c>
      <c r="E3385" s="9" t="str">
        <f>HYPERLINK("https://twitter.com/targetman77/status/1035021461386350592","1035021461386350592")</f>
        <v>1035021461386350592</v>
      </c>
      <c r="F3385" s="4"/>
      <c r="G3385" s="10" t="s">
        <v>8056</v>
      </c>
      <c r="H3385" s="4"/>
      <c r="I3385" s="10" t="str">
        <f>HYPERLINK("http://twitter.com/download/android","Twitter for Android")</f>
        <v>Twitter for Android</v>
      </c>
      <c r="J3385" s="2">
        <v>269</v>
      </c>
      <c r="K3385" s="2">
        <v>518</v>
      </c>
      <c r="L3385" s="2">
        <v>0</v>
      </c>
      <c r="M3385" s="2"/>
      <c r="N3385" s="8">
        <v>42704.392789351856</v>
      </c>
      <c r="O3385" s="4" t="s">
        <v>8055</v>
      </c>
      <c r="P3385" s="3" t="s">
        <v>8054</v>
      </c>
      <c r="Q3385" s="4"/>
      <c r="R3385" s="4"/>
      <c r="S3385" s="9" t="str">
        <f>HYPERLINK("https://pbs.twimg.com/profile_images/1004375683206991872/T-h63g7P.jpg","View")</f>
        <v>View</v>
      </c>
    </row>
    <row r="3386" spans="1:19" ht="40">
      <c r="A3386" s="8">
        <v>43342.370636574073</v>
      </c>
      <c r="B3386" s="11" t="str">
        <f>HYPERLINK("https://twitter.com/HT_Felani","@HT_Felani")</f>
        <v>@HT_Felani</v>
      </c>
      <c r="C3386" s="6" t="s">
        <v>6934</v>
      </c>
      <c r="D3386" s="5" t="s">
        <v>8053</v>
      </c>
      <c r="E3386" s="9" t="str">
        <f>HYPERLINK("https://twitter.com/HT_Felani/status/1035020213467721728","1035020213467721728")</f>
        <v>1035020213467721728</v>
      </c>
      <c r="F3386" s="4"/>
      <c r="G3386" s="4"/>
      <c r="H3386" s="4"/>
      <c r="I3386" s="10" t="str">
        <f>HYPERLINK("http://twitter.com","Twitter Web Client")</f>
        <v>Twitter Web Client</v>
      </c>
      <c r="J3386" s="2">
        <v>3</v>
      </c>
      <c r="K3386" s="2">
        <v>1</v>
      </c>
      <c r="L3386" s="2">
        <v>0</v>
      </c>
      <c r="M3386" s="2"/>
      <c r="N3386" s="8">
        <v>43201.369537037041</v>
      </c>
      <c r="O3386" s="4"/>
      <c r="P3386" s="3" t="s">
        <v>6932</v>
      </c>
      <c r="Q3386" s="10" t="s">
        <v>6931</v>
      </c>
      <c r="R3386" s="4"/>
      <c r="S3386" s="9" t="str">
        <f>HYPERLINK("https://pbs.twimg.com/profile_images/988250221938388992/eZW63C48.jpg","View")</f>
        <v>View</v>
      </c>
    </row>
    <row r="3387" spans="1:19" ht="40">
      <c r="A3387" s="8">
        <v>43342.369606481487</v>
      </c>
      <c r="B3387" s="11" t="str">
        <f>HYPERLINK("https://twitter.com/PSlovesNH","@PSlovesNH")</f>
        <v>@PSlovesNH</v>
      </c>
      <c r="C3387" s="6" t="s">
        <v>8052</v>
      </c>
      <c r="D3387" s="5" t="s">
        <v>8051</v>
      </c>
      <c r="E3387" s="9" t="str">
        <f>HYPERLINK("https://twitter.com/PSlovesNH/status/1035019842028560384","1035019842028560384")</f>
        <v>1035019842028560384</v>
      </c>
      <c r="F3387" s="4"/>
      <c r="G3387" s="4"/>
      <c r="H3387" s="4"/>
      <c r="I3387" s="10" t="str">
        <f>HYPERLINK("http://twitter.com/download/android","Twitter for Android")</f>
        <v>Twitter for Android</v>
      </c>
      <c r="J3387" s="2">
        <v>70</v>
      </c>
      <c r="K3387" s="2">
        <v>77</v>
      </c>
      <c r="L3387" s="2">
        <v>0</v>
      </c>
      <c r="M3387" s="2"/>
      <c r="N3387" s="8">
        <v>42799.955717592587</v>
      </c>
      <c r="O3387" s="4" t="s">
        <v>17</v>
      </c>
      <c r="P3387" s="3" t="s">
        <v>8050</v>
      </c>
      <c r="Q3387" s="4"/>
      <c r="R3387" s="4"/>
      <c r="S3387" s="9" t="str">
        <f>HYPERLINK("https://pbs.twimg.com/profile_images/966766951816101889/c16XW9aP.jpg","View")</f>
        <v>View</v>
      </c>
    </row>
    <row r="3388" spans="1:19" ht="20">
      <c r="A3388" s="8">
        <v>43342.366979166662</v>
      </c>
      <c r="B3388" s="11" t="str">
        <f>HYPERLINK("https://twitter.com/Jj2JWMulvWL0NFP","@Jj2JWMulvWL0NFP")</f>
        <v>@Jj2JWMulvWL0NFP</v>
      </c>
      <c r="C3388" s="6" t="s">
        <v>7850</v>
      </c>
      <c r="D3388" s="5" t="s">
        <v>8049</v>
      </c>
      <c r="E3388" s="9" t="str">
        <f>HYPERLINK("https://twitter.com/Jj2JWMulvWL0NFP/status/1035018888541601793","1035018888541601793")</f>
        <v>1035018888541601793</v>
      </c>
      <c r="F3388" s="4"/>
      <c r="G3388" s="4"/>
      <c r="H3388" s="4"/>
      <c r="I3388" s="10" t="str">
        <f>HYPERLINK("http://twitter.com/download/android","Twitter for Android")</f>
        <v>Twitter for Android</v>
      </c>
      <c r="J3388" s="2">
        <v>10</v>
      </c>
      <c r="K3388" s="2">
        <v>34</v>
      </c>
      <c r="L3388" s="2">
        <v>0</v>
      </c>
      <c r="M3388" s="2"/>
      <c r="N3388" s="8">
        <v>43336.507245370369</v>
      </c>
      <c r="O3388" s="4"/>
      <c r="P3388" s="3"/>
      <c r="Q3388" s="4"/>
      <c r="R3388" s="4"/>
      <c r="S3388" s="9" t="str">
        <f>HYPERLINK("https://pbs.twimg.com/profile_images/1032896898468913152/fhYCnz49.jpg","View")</f>
        <v>View</v>
      </c>
    </row>
    <row r="3389" spans="1:19" ht="40">
      <c r="A3389" s="8">
        <v>43342.366655092592</v>
      </c>
      <c r="B3389" s="11" t="str">
        <f>HYPERLINK("https://twitter.com/2510roshanaa","@2510roshanaa")</f>
        <v>@2510roshanaa</v>
      </c>
      <c r="C3389" s="6" t="s">
        <v>8048</v>
      </c>
      <c r="D3389" s="5" t="s">
        <v>8047</v>
      </c>
      <c r="E3389" s="9" t="str">
        <f>HYPERLINK("https://twitter.com/2510roshanaa/status/1035018771738583040","1035018771738583040")</f>
        <v>1035018771738583040</v>
      </c>
      <c r="F3389" s="4"/>
      <c r="G3389" s="4"/>
      <c r="H3389" s="4"/>
      <c r="I3389" s="10" t="str">
        <f>HYPERLINK("http://twitter.com/download/iphone","Twitter for iPhone")</f>
        <v>Twitter for iPhone</v>
      </c>
      <c r="J3389" s="2">
        <v>608</v>
      </c>
      <c r="K3389" s="2">
        <v>432</v>
      </c>
      <c r="L3389" s="2">
        <v>5</v>
      </c>
      <c r="M3389" s="2"/>
      <c r="N3389" s="8">
        <v>42908.662824074076</v>
      </c>
      <c r="O3389" s="4" t="s">
        <v>324</v>
      </c>
      <c r="P3389" s="3" t="s">
        <v>8046</v>
      </c>
      <c r="Q3389" s="4"/>
      <c r="R3389" s="4"/>
      <c r="S3389" s="9" t="str">
        <f>HYPERLINK("https://pbs.twimg.com/profile_images/1026912734758293505/cREtrFXv.jpg","View")</f>
        <v>View</v>
      </c>
    </row>
    <row r="3390" spans="1:19" ht="20">
      <c r="A3390" s="8">
        <v>43342.362812499996</v>
      </c>
      <c r="B3390" s="11" t="str">
        <f>HYPERLINK("https://twitter.com/Arshavin_max7","@Arshavin_max7")</f>
        <v>@Arshavin_max7</v>
      </c>
      <c r="C3390" s="6" t="s">
        <v>8045</v>
      </c>
      <c r="D3390" s="5" t="s">
        <v>8044</v>
      </c>
      <c r="E3390" s="9" t="str">
        <f>HYPERLINK("https://twitter.com/Arshavin_max7/status/1035017378415955969","1035017378415955969")</f>
        <v>1035017378415955969</v>
      </c>
      <c r="F3390" s="4"/>
      <c r="G3390" s="4"/>
      <c r="H3390" s="4"/>
      <c r="I3390" s="10" t="str">
        <f>HYPERLINK("http://twitter.com/download/iphone","Twitter for iPhone")</f>
        <v>Twitter for iPhone</v>
      </c>
      <c r="J3390" s="2">
        <v>143</v>
      </c>
      <c r="K3390" s="2">
        <v>107</v>
      </c>
      <c r="L3390" s="2">
        <v>0</v>
      </c>
      <c r="M3390" s="2"/>
      <c r="N3390" s="8">
        <v>42582.726469907408</v>
      </c>
      <c r="O3390" s="4" t="s">
        <v>8043</v>
      </c>
      <c r="P3390" s="3" t="s">
        <v>8042</v>
      </c>
      <c r="Q3390" s="4"/>
      <c r="R3390" s="4"/>
      <c r="S3390" s="9" t="str">
        <f>HYPERLINK("https://pbs.twimg.com/profile_images/966441564640825345/AwYxSWet.jpg","View")</f>
        <v>View</v>
      </c>
    </row>
    <row r="3391" spans="1:19" ht="30">
      <c r="A3391" s="8">
        <v>43342.360694444447</v>
      </c>
      <c r="B3391" s="11" t="str">
        <f>HYPERLINK("https://twitter.com/Sadegh_Asadi66","@Sadegh_Asadi66")</f>
        <v>@Sadegh_Asadi66</v>
      </c>
      <c r="C3391" s="6" t="s">
        <v>8041</v>
      </c>
      <c r="D3391" s="5" t="s">
        <v>8040</v>
      </c>
      <c r="E3391" s="9" t="str">
        <f>HYPERLINK("https://twitter.com/Sadegh_Asadi66/status/1035016611135217664","1035016611135217664")</f>
        <v>1035016611135217664</v>
      </c>
      <c r="F3391" s="4"/>
      <c r="G3391" s="4"/>
      <c r="H3391" s="4"/>
      <c r="I3391" s="10" t="str">
        <f>HYPERLINK("http://twitter.com/download/iphone","Twitter for iPhone")</f>
        <v>Twitter for iPhone</v>
      </c>
      <c r="J3391" s="2">
        <v>26</v>
      </c>
      <c r="K3391" s="2">
        <v>76</v>
      </c>
      <c r="L3391" s="2">
        <v>0</v>
      </c>
      <c r="M3391" s="2"/>
      <c r="N3391" s="8">
        <v>43025.622060185182</v>
      </c>
      <c r="O3391" s="4" t="s">
        <v>8039</v>
      </c>
      <c r="P3391" s="3" t="s">
        <v>8038</v>
      </c>
      <c r="Q3391" s="4"/>
      <c r="R3391" s="4"/>
      <c r="S3391" s="9" t="str">
        <f>HYPERLINK("https://pbs.twimg.com/profile_images/1024220816098172928/pwKiqjnb.jpg","View")</f>
        <v>View</v>
      </c>
    </row>
    <row r="3392" spans="1:19" ht="30">
      <c r="A3392" s="8">
        <v>43342.360520833332</v>
      </c>
      <c r="B3392" s="11" t="str">
        <f>HYPERLINK("https://twitter.com/mr_mizrabenvis","@mr_mizrabenvis")</f>
        <v>@mr_mizrabenvis</v>
      </c>
      <c r="C3392" s="6" t="s">
        <v>8037</v>
      </c>
      <c r="D3392" s="5" t="s">
        <v>8036</v>
      </c>
      <c r="E3392" s="9" t="str">
        <f>HYPERLINK("https://twitter.com/mr_mizrabenvis/status/1035016546459045888","1035016546459045888")</f>
        <v>1035016546459045888</v>
      </c>
      <c r="F3392" s="10" t="s">
        <v>6454</v>
      </c>
      <c r="G3392" s="10" t="s">
        <v>6453</v>
      </c>
      <c r="H3392" s="4"/>
      <c r="I3392" s="10" t="str">
        <f>HYPERLINK("http://twitter.com/download/iphone","Twitter for iPhone")</f>
        <v>Twitter for iPhone</v>
      </c>
      <c r="J3392" s="2">
        <v>286</v>
      </c>
      <c r="K3392" s="2">
        <v>195</v>
      </c>
      <c r="L3392" s="2">
        <v>0</v>
      </c>
      <c r="M3392" s="2"/>
      <c r="N3392" s="8">
        <v>42799.919930555552</v>
      </c>
      <c r="O3392" s="4" t="s">
        <v>1770</v>
      </c>
      <c r="P3392" s="3" t="s">
        <v>8035</v>
      </c>
      <c r="Q3392" s="4"/>
      <c r="R3392" s="4"/>
      <c r="S3392" s="9" t="str">
        <f>HYPERLINK("https://pbs.twimg.com/profile_images/1006502811473981440/BkRclgmi.jpg","View")</f>
        <v>View</v>
      </c>
    </row>
    <row r="3393" spans="1:19" ht="40">
      <c r="A3393" s="8">
        <v>43342.358425925922</v>
      </c>
      <c r="B3393" s="11" t="str">
        <f>HYPERLINK("https://twitter.com/moslehi_ir","@moslehi_ir")</f>
        <v>@moslehi_ir</v>
      </c>
      <c r="C3393" s="6" t="s">
        <v>4492</v>
      </c>
      <c r="D3393" s="5" t="s">
        <v>8034</v>
      </c>
      <c r="E3393" s="9" t="str">
        <f>HYPERLINK("https://twitter.com/moslehi_ir/status/1035015789038981121","1035015789038981121")</f>
        <v>1035015789038981121</v>
      </c>
      <c r="F3393" s="4"/>
      <c r="G3393" s="10" t="s">
        <v>8033</v>
      </c>
      <c r="H3393" s="4"/>
      <c r="I3393" s="10" t="str">
        <f>HYPERLINK("http://twitter.com/download/android","Twitter for Android")</f>
        <v>Twitter for Android</v>
      </c>
      <c r="J3393" s="2">
        <v>11</v>
      </c>
      <c r="K3393" s="2">
        <v>53</v>
      </c>
      <c r="L3393" s="2">
        <v>0</v>
      </c>
      <c r="M3393" s="2"/>
      <c r="N3393" s="8">
        <v>42512.966817129629</v>
      </c>
      <c r="O3393" s="4"/>
      <c r="P3393" s="3" t="s">
        <v>4489</v>
      </c>
      <c r="Q3393" s="10" t="s">
        <v>4488</v>
      </c>
      <c r="R3393" s="4"/>
      <c r="S3393" s="9" t="str">
        <f>HYPERLINK("https://pbs.twimg.com/profile_images/1033291050885042176/L41hsYqf.jpg","View")</f>
        <v>View</v>
      </c>
    </row>
    <row r="3394" spans="1:19" ht="50">
      <c r="A3394" s="8">
        <v>43342.357037037036</v>
      </c>
      <c r="B3394" s="11" t="str">
        <f>HYPERLINK("https://twitter.com/HadiAbbassy","@HadiAbbassy")</f>
        <v>@HadiAbbassy</v>
      </c>
      <c r="C3394" s="6" t="s">
        <v>8032</v>
      </c>
      <c r="D3394" s="5" t="s">
        <v>8031</v>
      </c>
      <c r="E3394" s="9" t="str">
        <f>HYPERLINK("https://twitter.com/HadiAbbassy/status/1035015287572242437","1035015287572242437")</f>
        <v>1035015287572242437</v>
      </c>
      <c r="F3394" s="10" t="s">
        <v>8030</v>
      </c>
      <c r="G3394" s="10" t="s">
        <v>7580</v>
      </c>
      <c r="H3394" s="4"/>
      <c r="I3394" s="10" t="str">
        <f>HYPERLINK("http://twitter.com/download/android","Twitter for Android")</f>
        <v>Twitter for Android</v>
      </c>
      <c r="J3394" s="2">
        <v>79</v>
      </c>
      <c r="K3394" s="2">
        <v>152</v>
      </c>
      <c r="L3394" s="2">
        <v>0</v>
      </c>
      <c r="M3394" s="2"/>
      <c r="N3394" s="8">
        <v>41628.810254629629</v>
      </c>
      <c r="O3394" s="4" t="s">
        <v>133</v>
      </c>
      <c r="P3394" s="3" t="s">
        <v>8029</v>
      </c>
      <c r="Q3394" s="4"/>
      <c r="R3394" s="4"/>
      <c r="S3394" s="9" t="str">
        <f>HYPERLINK("https://pbs.twimg.com/profile_images/956925208010657792/3F2HDOM3.jpg","View")</f>
        <v>View</v>
      </c>
    </row>
    <row r="3395" spans="1:19" ht="40">
      <c r="A3395" s="8">
        <v>43342.350798611107</v>
      </c>
      <c r="B3395" s="11" t="str">
        <f>HYPERLINK("https://twitter.com/amirsayah1","@amirsayah1")</f>
        <v>@amirsayah1</v>
      </c>
      <c r="C3395" s="6" t="s">
        <v>332</v>
      </c>
      <c r="D3395" s="5" t="s">
        <v>8028</v>
      </c>
      <c r="E3395" s="9" t="str">
        <f>HYPERLINK("https://twitter.com/amirsayah1/status/1035013026506657792","1035013026506657792")</f>
        <v>1035013026506657792</v>
      </c>
      <c r="F3395" s="4"/>
      <c r="G3395" s="10" t="s">
        <v>8027</v>
      </c>
      <c r="H3395" s="4"/>
      <c r="I3395" s="10" t="str">
        <f>HYPERLINK("http://twitter.com/download/android","Twitter for Android")</f>
        <v>Twitter for Android</v>
      </c>
      <c r="J3395" s="2">
        <v>1840</v>
      </c>
      <c r="K3395" s="2">
        <v>127</v>
      </c>
      <c r="L3395" s="2">
        <v>14</v>
      </c>
      <c r="M3395" s="2"/>
      <c r="N3395" s="8">
        <v>43297.851585648154</v>
      </c>
      <c r="O3395" s="4"/>
      <c r="P3395" s="3" t="s">
        <v>330</v>
      </c>
      <c r="Q3395" s="4"/>
      <c r="R3395" s="4"/>
      <c r="S3395" s="9" t="str">
        <f>HYPERLINK("https://pbs.twimg.com/profile_images/1031588127075434496/8SFrshob.jpg","View")</f>
        <v>View</v>
      </c>
    </row>
    <row r="3396" spans="1:19" ht="40">
      <c r="A3396" s="8">
        <v>43342.336724537032</v>
      </c>
      <c r="B3396" s="11" t="str">
        <f>HYPERLINK("https://twitter.com/ehsan_rastgar","@ehsan_rastgar")</f>
        <v>@ehsan_rastgar</v>
      </c>
      <c r="C3396" s="6" t="s">
        <v>7946</v>
      </c>
      <c r="D3396" s="5" t="s">
        <v>8026</v>
      </c>
      <c r="E3396" s="9" t="str">
        <f>HYPERLINK("https://twitter.com/ehsan_rastgar/status/1035007925062971392","1035007925062971392")</f>
        <v>1035007925062971392</v>
      </c>
      <c r="F3396" s="4"/>
      <c r="G3396" s="4"/>
      <c r="H3396" s="4"/>
      <c r="I3396" s="10" t="str">
        <f>HYPERLINK("http://twitter.com/download/android","Twitter for Android")</f>
        <v>Twitter for Android</v>
      </c>
      <c r="J3396" s="2">
        <v>24626</v>
      </c>
      <c r="K3396" s="2">
        <v>12527</v>
      </c>
      <c r="L3396" s="2">
        <v>85</v>
      </c>
      <c r="M3396" s="2"/>
      <c r="N3396" s="8">
        <v>41924.946435185186</v>
      </c>
      <c r="O3396" s="4" t="s">
        <v>133</v>
      </c>
      <c r="P3396" s="3" t="s">
        <v>7944</v>
      </c>
      <c r="Q3396" s="10" t="s">
        <v>7943</v>
      </c>
      <c r="R3396" s="4"/>
      <c r="S3396" s="9" t="str">
        <f>HYPERLINK("https://pbs.twimg.com/profile_images/864110040806035457/JAqs6HgK.jpg","View")</f>
        <v>View</v>
      </c>
    </row>
    <row r="3397" spans="1:19" ht="40">
      <c r="A3397" s="8">
        <v>43342.321111111116</v>
      </c>
      <c r="B3397" s="11" t="str">
        <f>HYPERLINK("https://twitter.com/ekenghelabi","@ekenghelabi")</f>
        <v>@ekenghelabi</v>
      </c>
      <c r="C3397" s="6" t="s">
        <v>6551</v>
      </c>
      <c r="D3397" s="5" t="s">
        <v>8025</v>
      </c>
      <c r="E3397" s="9" t="str">
        <f>HYPERLINK("https://twitter.com/ekenghelabi/status/1035002266682634240","1035002266682634240")</f>
        <v>1035002266682634240</v>
      </c>
      <c r="F3397" s="4"/>
      <c r="G3397" s="10" t="s">
        <v>8024</v>
      </c>
      <c r="H3397" s="4"/>
      <c r="I3397" s="10" t="str">
        <f>HYPERLINK("http://twitter.com","Twitter Web Client")</f>
        <v>Twitter Web Client</v>
      </c>
      <c r="J3397" s="2">
        <v>0</v>
      </c>
      <c r="K3397" s="2">
        <v>2</v>
      </c>
      <c r="L3397" s="2">
        <v>0</v>
      </c>
      <c r="M3397" s="2"/>
      <c r="N3397" s="8">
        <v>43341.571886574078</v>
      </c>
      <c r="O3397" s="4"/>
      <c r="P3397" s="3" t="s">
        <v>8023</v>
      </c>
      <c r="Q3397" s="4"/>
      <c r="R3397" s="4"/>
      <c r="S3397" s="9" t="str">
        <f>HYPERLINK("https://pbs.twimg.com/profile_images/1034734065235189760/lgS9arTQ.jpg","View")</f>
        <v>View</v>
      </c>
    </row>
    <row r="3398" spans="1:19" ht="40">
      <c r="A3398" s="8">
        <v>43342.312638888892</v>
      </c>
      <c r="B3398" s="11" t="str">
        <f>HYPERLINK("https://twitter.com/Rahyab4","@Rahyab4")</f>
        <v>@Rahyab4</v>
      </c>
      <c r="C3398" s="6" t="s">
        <v>8022</v>
      </c>
      <c r="D3398" s="5" t="s">
        <v>8021</v>
      </c>
      <c r="E3398" s="9" t="str">
        <f>HYPERLINK("https://twitter.com/Rahyab4/status/1034999195898458113","1034999195898458113")</f>
        <v>1034999195898458113</v>
      </c>
      <c r="F3398" s="4"/>
      <c r="G3398" s="4"/>
      <c r="H3398" s="4"/>
      <c r="I3398" s="10" t="str">
        <f>HYPERLINK("http://twitter.com/download/android","Twitter for Android")</f>
        <v>Twitter for Android</v>
      </c>
      <c r="J3398" s="2">
        <v>6</v>
      </c>
      <c r="K3398" s="2">
        <v>0</v>
      </c>
      <c r="L3398" s="2">
        <v>0</v>
      </c>
      <c r="M3398" s="2"/>
      <c r="N3398" s="8">
        <v>43305.187916666662</v>
      </c>
      <c r="O3398" s="4" t="s">
        <v>8020</v>
      </c>
      <c r="P3398" s="3" t="s">
        <v>8019</v>
      </c>
      <c r="Q3398" s="4"/>
      <c r="R3398" s="4"/>
      <c r="S3398" s="9" t="str">
        <f>HYPERLINK("https://pbs.twimg.com/profile_images/1021976213911429121/HAaqoYjp.jpg","View")</f>
        <v>View</v>
      </c>
    </row>
    <row r="3399" spans="1:19" ht="30">
      <c r="A3399" s="8">
        <v>43342.308263888888</v>
      </c>
      <c r="B3399" s="11" t="str">
        <f>HYPERLINK("https://twitter.com/mohamaddallak","@mohamaddallak")</f>
        <v>@mohamaddallak</v>
      </c>
      <c r="C3399" s="6" t="s">
        <v>2763</v>
      </c>
      <c r="D3399" s="5" t="s">
        <v>8018</v>
      </c>
      <c r="E3399" s="9" t="str">
        <f>HYPERLINK("https://twitter.com/mohamaddallak/status/1034997611726610432","1034997611726610432")</f>
        <v>1034997611726610432</v>
      </c>
      <c r="F3399" s="4"/>
      <c r="G3399" s="10" t="s">
        <v>8017</v>
      </c>
      <c r="H3399" s="4"/>
      <c r="I3399" s="10" t="str">
        <f>HYPERLINK("http://twitter.com/download/android","Twitter for Android")</f>
        <v>Twitter for Android</v>
      </c>
      <c r="J3399" s="2">
        <v>285</v>
      </c>
      <c r="K3399" s="2">
        <v>349</v>
      </c>
      <c r="L3399" s="2">
        <v>0</v>
      </c>
      <c r="M3399" s="2"/>
      <c r="N3399" s="8">
        <v>43151.850729166668</v>
      </c>
      <c r="O3399" s="4" t="s">
        <v>17</v>
      </c>
      <c r="P3399" s="3" t="s">
        <v>2761</v>
      </c>
      <c r="Q3399" s="4"/>
      <c r="R3399" s="4"/>
      <c r="S3399" s="9" t="str">
        <f>HYPERLINK("https://pbs.twimg.com/profile_images/999937688471031810/W01Zbp0c.jpg","View")</f>
        <v>View</v>
      </c>
    </row>
    <row r="3400" spans="1:19" ht="20">
      <c r="A3400" s="8">
        <v>43342.298738425925</v>
      </c>
      <c r="B3400" s="11" t="str">
        <f>HYPERLINK("https://twitter.com/MehsanGanjoei","@MehsanGanjoei")</f>
        <v>@MehsanGanjoei</v>
      </c>
      <c r="C3400" s="6" t="s">
        <v>8016</v>
      </c>
      <c r="D3400" s="5" t="s">
        <v>8015</v>
      </c>
      <c r="E3400" s="9" t="str">
        <f>HYPERLINK("https://twitter.com/MehsanGanjoei/status/1034994159067770880","1034994159067770880")</f>
        <v>1034994159067770880</v>
      </c>
      <c r="F3400" s="4"/>
      <c r="G3400" s="10" t="s">
        <v>8014</v>
      </c>
      <c r="H3400" s="4"/>
      <c r="I3400" s="10" t="str">
        <f>HYPERLINK("http://twitter.com/download/android","Twitter for Android")</f>
        <v>Twitter for Android</v>
      </c>
      <c r="J3400" s="2">
        <v>51</v>
      </c>
      <c r="K3400" s="2">
        <v>102</v>
      </c>
      <c r="L3400" s="2">
        <v>0</v>
      </c>
      <c r="M3400" s="2"/>
      <c r="N3400" s="8">
        <v>41615.242395833331</v>
      </c>
      <c r="O3400" s="4"/>
      <c r="P3400" s="3" t="s">
        <v>8013</v>
      </c>
      <c r="Q3400" s="4"/>
      <c r="R3400" s="4"/>
      <c r="S3400" s="9" t="str">
        <f>HYPERLINK("https://pbs.twimg.com/profile_images/1033226141715361792/jc3wbp-7.jpg","View")</f>
        <v>View</v>
      </c>
    </row>
    <row r="3401" spans="1:19" ht="50">
      <c r="A3401" s="8">
        <v>43342.29184027778</v>
      </c>
      <c r="B3401" s="11" t="str">
        <f>HYPERLINK("https://twitter.com/pesteradicator6","@pesteradicator6")</f>
        <v>@pesteradicator6</v>
      </c>
      <c r="C3401" s="6" t="s">
        <v>8012</v>
      </c>
      <c r="D3401" s="5" t="s">
        <v>8011</v>
      </c>
      <c r="E3401" s="9" t="str">
        <f>HYPERLINK("https://twitter.com/pesteradicator6/status/1034991659505733632","1034991659505733632")</f>
        <v>1034991659505733632</v>
      </c>
      <c r="F3401" s="10" t="s">
        <v>4514</v>
      </c>
      <c r="G3401" s="10" t="s">
        <v>4354</v>
      </c>
      <c r="H3401" s="4"/>
      <c r="I3401" s="10" t="str">
        <f>HYPERLINK("http://twitter.com","Twitter Web Client")</f>
        <v>Twitter Web Client</v>
      </c>
      <c r="J3401" s="2">
        <v>123</v>
      </c>
      <c r="K3401" s="2">
        <v>556</v>
      </c>
      <c r="L3401" s="2">
        <v>0</v>
      </c>
      <c r="M3401" s="2"/>
      <c r="N3401" s="8">
        <v>42004.937986111108</v>
      </c>
      <c r="O3401" s="4" t="s">
        <v>8010</v>
      </c>
      <c r="P3401" s="3" t="s">
        <v>8009</v>
      </c>
      <c r="Q3401" s="4"/>
      <c r="R3401" s="4"/>
      <c r="S3401" s="9" t="str">
        <f>HYPERLINK("https://pbs.twimg.com/profile_images/1008877432097595392/o0tw7y0n.jpg","View")</f>
        <v>View</v>
      </c>
    </row>
    <row r="3402" spans="1:19" ht="40">
      <c r="A3402" s="8">
        <v>43342.263206018513</v>
      </c>
      <c r="B3402" s="11" t="str">
        <f>HYPERLINK("https://twitter.com/ArdeshirRanjbar","@ArdeshirRanjbar")</f>
        <v>@ArdeshirRanjbar</v>
      </c>
      <c r="C3402" s="6" t="s">
        <v>8008</v>
      </c>
      <c r="D3402" s="5" t="s">
        <v>8007</v>
      </c>
      <c r="E3402" s="9" t="str">
        <f>HYPERLINK("https://twitter.com/ArdeshirRanjbar/status/1034981281787006977","1034981281787006977")</f>
        <v>1034981281787006977</v>
      </c>
      <c r="F3402" s="4"/>
      <c r="G3402" s="4"/>
      <c r="H3402" s="4"/>
      <c r="I3402" s="10" t="str">
        <f>HYPERLINK("http://twitter.com/download/android","Twitter for Android")</f>
        <v>Twitter for Android</v>
      </c>
      <c r="J3402" s="2">
        <v>1868</v>
      </c>
      <c r="K3402" s="2">
        <v>2186</v>
      </c>
      <c r="L3402" s="2">
        <v>2</v>
      </c>
      <c r="M3402" s="2"/>
      <c r="N3402" s="8">
        <v>42036.023692129631</v>
      </c>
      <c r="O3402" s="4" t="s">
        <v>8006</v>
      </c>
      <c r="P3402" s="3" t="s">
        <v>8005</v>
      </c>
      <c r="Q3402" s="4"/>
      <c r="R3402" s="4"/>
      <c r="S3402" s="9" t="str">
        <f>HYPERLINK("https://pbs.twimg.com/profile_images/564402377793765376/nBFONO9S.jpeg","View")</f>
        <v>View</v>
      </c>
    </row>
    <row r="3403" spans="1:19" ht="40">
      <c r="A3403" s="8">
        <v>43342.259641203702</v>
      </c>
      <c r="B3403" s="11" t="str">
        <f>HYPERLINK("https://twitter.com/Shobeyr4","@Shobeyr4")</f>
        <v>@Shobeyr4</v>
      </c>
      <c r="C3403" s="6" t="s">
        <v>5073</v>
      </c>
      <c r="D3403" s="5" t="s">
        <v>8004</v>
      </c>
      <c r="E3403" s="9" t="str">
        <f>HYPERLINK("https://twitter.com/Shobeyr4/status/1034979992097181696","1034979992097181696")</f>
        <v>1034979992097181696</v>
      </c>
      <c r="F3403" s="4"/>
      <c r="G3403" s="4"/>
      <c r="H3403" s="4"/>
      <c r="I3403" s="10" t="str">
        <f>HYPERLINK("http://twitter.com/download/android","Twitter for Android")</f>
        <v>Twitter for Android</v>
      </c>
      <c r="J3403" s="2">
        <v>108</v>
      </c>
      <c r="K3403" s="2">
        <v>262</v>
      </c>
      <c r="L3403" s="2">
        <v>0</v>
      </c>
      <c r="M3403" s="2"/>
      <c r="N3403" s="8">
        <v>43284.365567129629</v>
      </c>
      <c r="O3403" s="4" t="s">
        <v>25</v>
      </c>
      <c r="P3403" s="3" t="s">
        <v>8003</v>
      </c>
      <c r="Q3403" s="4"/>
      <c r="R3403" s="4"/>
      <c r="S3403" s="9" t="str">
        <f>HYPERLINK("https://pbs.twimg.com/profile_images/1014521734320533505/CBUyZPCH.jpg","View")</f>
        <v>View</v>
      </c>
    </row>
    <row r="3404" spans="1:19" ht="40">
      <c r="A3404" s="8">
        <v>43342.255023148144</v>
      </c>
      <c r="B3404" s="11" t="str">
        <f>HYPERLINK("https://twitter.com/DoctorOLALA","@DoctorOLALA")</f>
        <v>@DoctorOLALA</v>
      </c>
      <c r="C3404" s="6" t="s">
        <v>8002</v>
      </c>
      <c r="D3404" s="5" t="s">
        <v>8001</v>
      </c>
      <c r="E3404" s="9" t="str">
        <f>HYPERLINK("https://twitter.com/DoctorOLALA/status/1034978317349212161","1034978317349212161")</f>
        <v>1034978317349212161</v>
      </c>
      <c r="F3404" s="4"/>
      <c r="G3404" s="10" t="s">
        <v>8000</v>
      </c>
      <c r="H3404" s="4"/>
      <c r="I3404" s="10" t="str">
        <f>HYPERLINK("http://twitter.com/download/iphone","Twitter for iPhone")</f>
        <v>Twitter for iPhone</v>
      </c>
      <c r="J3404" s="2">
        <v>592</v>
      </c>
      <c r="K3404" s="2">
        <v>397</v>
      </c>
      <c r="L3404" s="2">
        <v>2</v>
      </c>
      <c r="M3404" s="2"/>
      <c r="N3404" s="8">
        <v>43119.287881944445</v>
      </c>
      <c r="O3404" s="4" t="s">
        <v>7999</v>
      </c>
      <c r="P3404" s="3" t="s">
        <v>7998</v>
      </c>
      <c r="Q3404" s="4"/>
      <c r="R3404" s="4"/>
      <c r="S3404" s="9" t="str">
        <f>HYPERLINK("https://pbs.twimg.com/profile_images/992042874530217991/v5f0PfkG.jpg","View")</f>
        <v>View</v>
      </c>
    </row>
    <row r="3405" spans="1:19" ht="40">
      <c r="A3405" s="8">
        <v>43342.234560185185</v>
      </c>
      <c r="B3405" s="11" t="str">
        <f>HYPERLINK("https://twitter.com/Ibrahimgolshan","@Ibrahimgolshan")</f>
        <v>@Ibrahimgolshan</v>
      </c>
      <c r="C3405" s="6" t="s">
        <v>7997</v>
      </c>
      <c r="D3405" s="5" t="s">
        <v>7996</v>
      </c>
      <c r="E3405" s="9" t="str">
        <f>HYPERLINK("https://twitter.com/Ibrahimgolshan/status/1034970902943940608","1034970902943940608")</f>
        <v>1034970902943940608</v>
      </c>
      <c r="F3405" s="4"/>
      <c r="G3405" s="4"/>
      <c r="H3405" s="4"/>
      <c r="I3405" s="10" t="str">
        <f>HYPERLINK("http://twitter.com/download/android","Twitter for Android")</f>
        <v>Twitter for Android</v>
      </c>
      <c r="J3405" s="2">
        <v>67</v>
      </c>
      <c r="K3405" s="2">
        <v>225</v>
      </c>
      <c r="L3405" s="2">
        <v>0</v>
      </c>
      <c r="M3405" s="2"/>
      <c r="N3405" s="8">
        <v>43147.615370370375</v>
      </c>
      <c r="O3405" s="4" t="s">
        <v>133</v>
      </c>
      <c r="P3405" s="3" t="s">
        <v>7995</v>
      </c>
      <c r="Q3405" s="10" t="s">
        <v>7994</v>
      </c>
      <c r="R3405" s="4"/>
      <c r="S3405" s="9" t="str">
        <f>HYPERLINK("https://pbs.twimg.com/profile_images/1028500902502707200/pbvYNGYm.jpg","View")</f>
        <v>View</v>
      </c>
    </row>
    <row r="3406" spans="1:19" ht="12.5">
      <c r="A3406" s="8">
        <v>43342.229953703703</v>
      </c>
      <c r="B3406" s="11" t="str">
        <f>HYPERLINK("https://twitter.com/hftotheH","@hftotheH")</f>
        <v>@hftotheH</v>
      </c>
      <c r="C3406" s="6" t="s">
        <v>7993</v>
      </c>
      <c r="D3406" s="5" t="s">
        <v>7992</v>
      </c>
      <c r="E3406" s="9" t="str">
        <f>HYPERLINK("https://twitter.com/hftotheH/status/1034969231828430848","1034969231828430848")</f>
        <v>1034969231828430848</v>
      </c>
      <c r="F3406" s="10" t="s">
        <v>7991</v>
      </c>
      <c r="G3406" s="4"/>
      <c r="H3406" s="4"/>
      <c r="I3406" s="10" t="str">
        <f>HYPERLINK("http://twitter.com/download/iphone","Twitter for iPhone")</f>
        <v>Twitter for iPhone</v>
      </c>
      <c r="J3406" s="2">
        <v>164</v>
      </c>
      <c r="K3406" s="2">
        <v>847</v>
      </c>
      <c r="L3406" s="2">
        <v>1</v>
      </c>
      <c r="M3406" s="2"/>
      <c r="N3406" s="8">
        <v>42477.850520833337</v>
      </c>
      <c r="O3406" s="4" t="s">
        <v>7990</v>
      </c>
      <c r="P3406" s="3" t="s">
        <v>7989</v>
      </c>
      <c r="Q3406" s="4"/>
      <c r="R3406" s="4"/>
      <c r="S3406" s="9" t="str">
        <f>HYPERLINK("https://pbs.twimg.com/profile_images/922166240759689216/XkuG7iAw.jpg","View")</f>
        <v>View</v>
      </c>
    </row>
    <row r="3407" spans="1:19" ht="40">
      <c r="A3407" s="8">
        <v>43342.222002314811</v>
      </c>
      <c r="B3407" s="11" t="str">
        <f>HYPERLINK("https://twitter.com/TGMF4","@TGMF4")</f>
        <v>@TGMF4</v>
      </c>
      <c r="C3407" s="6" t="s">
        <v>7957</v>
      </c>
      <c r="D3407" s="5" t="s">
        <v>7988</v>
      </c>
      <c r="E3407" s="9" t="str">
        <f>HYPERLINK("https://twitter.com/TGMF4/status/1034966350970667008","1034966350970667008")</f>
        <v>1034966350970667008</v>
      </c>
      <c r="F3407" s="4"/>
      <c r="G3407" s="4"/>
      <c r="H3407" s="4"/>
      <c r="I3407" s="10" t="str">
        <f>HYPERLINK("http://twitter.com","Twitter Web Client")</f>
        <v>Twitter Web Client</v>
      </c>
      <c r="J3407" s="2">
        <v>4266</v>
      </c>
      <c r="K3407" s="2">
        <v>2458</v>
      </c>
      <c r="L3407" s="2">
        <v>70</v>
      </c>
      <c r="M3407" s="2"/>
      <c r="N3407" s="8">
        <v>42389.641793981486</v>
      </c>
      <c r="O3407" s="4" t="s">
        <v>7954</v>
      </c>
      <c r="P3407" s="3" t="s">
        <v>7953</v>
      </c>
      <c r="Q3407" s="4"/>
      <c r="R3407" s="4"/>
      <c r="S3407" s="9" t="str">
        <f>HYPERLINK("https://pbs.twimg.com/profile_images/1027196085977194496/XEOW0vaS.jpg","View")</f>
        <v>View</v>
      </c>
    </row>
    <row r="3408" spans="1:19" ht="20">
      <c r="A3408" s="8">
        <v>43342.216516203705</v>
      </c>
      <c r="B3408" s="11" t="str">
        <f>HYPERLINK("https://twitter.com/azarbayjaniyam","@azarbayjaniyam")</f>
        <v>@azarbayjaniyam</v>
      </c>
      <c r="C3408" s="6" t="s">
        <v>1181</v>
      </c>
      <c r="D3408" s="5" t="s">
        <v>7987</v>
      </c>
      <c r="E3408" s="9" t="str">
        <f>HYPERLINK("https://twitter.com/azarbayjaniyam/status/1034964362216321024","1034964362216321024")</f>
        <v>1034964362216321024</v>
      </c>
      <c r="F3408" s="4"/>
      <c r="G3408" s="4"/>
      <c r="H3408" s="4"/>
      <c r="I3408" s="10" t="str">
        <f>HYPERLINK("http://twitter.com/download/android","Twitter for Android")</f>
        <v>Twitter for Android</v>
      </c>
      <c r="J3408" s="2">
        <v>3503</v>
      </c>
      <c r="K3408" s="2">
        <v>1340</v>
      </c>
      <c r="L3408" s="2">
        <v>7</v>
      </c>
      <c r="M3408" s="2"/>
      <c r="N3408" s="8">
        <v>42945.825787037036</v>
      </c>
      <c r="O3408" s="4"/>
      <c r="P3408" s="3" t="s">
        <v>7986</v>
      </c>
      <c r="Q3408" s="4"/>
      <c r="R3408" s="4"/>
      <c r="S3408" s="9" t="str">
        <f>HYPERLINK("https://pbs.twimg.com/profile_images/1032715286896500736/tnnz6KWg.jpg","View")</f>
        <v>View</v>
      </c>
    </row>
    <row r="3409" spans="1:19" ht="40">
      <c r="A3409" s="8">
        <v>43342.208078703705</v>
      </c>
      <c r="B3409" s="11" t="str">
        <f>HYPERLINK("https://twitter.com/golagha1","@golagha1")</f>
        <v>@golagha1</v>
      </c>
      <c r="C3409" s="6" t="s">
        <v>609</v>
      </c>
      <c r="D3409" s="5" t="s">
        <v>7985</v>
      </c>
      <c r="E3409" s="9" t="str">
        <f>HYPERLINK("https://twitter.com/golagha1/status/1034961306795823110","1034961306795823110")</f>
        <v>1034961306795823110</v>
      </c>
      <c r="F3409" s="4"/>
      <c r="G3409" s="4"/>
      <c r="H3409" s="4"/>
      <c r="I3409" s="10" t="str">
        <f>HYPERLINK("http://twitter.com","Twitter Web Client")</f>
        <v>Twitter Web Client</v>
      </c>
      <c r="J3409" s="2">
        <v>20</v>
      </c>
      <c r="K3409" s="2">
        <v>18</v>
      </c>
      <c r="L3409" s="2">
        <v>0</v>
      </c>
      <c r="M3409" s="2"/>
      <c r="N3409" s="8">
        <v>43318.977662037039</v>
      </c>
      <c r="O3409" s="4"/>
      <c r="P3409" s="3" t="s">
        <v>607</v>
      </c>
      <c r="Q3409" s="4"/>
      <c r="R3409" s="4"/>
      <c r="S3409" s="9" t="str">
        <f>HYPERLINK("https://pbs.twimg.com/profile_images/1026546433539768320/N82nEqX8.jpg","View")</f>
        <v>View</v>
      </c>
    </row>
    <row r="3410" spans="1:19" ht="30">
      <c r="A3410" s="8">
        <v>43342.207523148143</v>
      </c>
      <c r="B3410" s="11" t="str">
        <f>HYPERLINK("https://twitter.com/amir39074813","@amir39074813")</f>
        <v>@amir39074813</v>
      </c>
      <c r="C3410" s="6" t="s">
        <v>7984</v>
      </c>
      <c r="D3410" s="5" t="s">
        <v>7983</v>
      </c>
      <c r="E3410" s="9" t="str">
        <f>HYPERLINK("https://twitter.com/amir39074813/status/1034961104340828160","1034961104340828160")</f>
        <v>1034961104340828160</v>
      </c>
      <c r="F3410" s="4"/>
      <c r="G3410" s="4"/>
      <c r="H3410" s="4"/>
      <c r="I3410" s="10" t="str">
        <f>HYPERLINK("http://twitter.com/download/iphone","Twitter for iPhone")</f>
        <v>Twitter for iPhone</v>
      </c>
      <c r="J3410" s="2">
        <v>5</v>
      </c>
      <c r="K3410" s="2">
        <v>33</v>
      </c>
      <c r="L3410" s="2">
        <v>0</v>
      </c>
      <c r="M3410" s="2"/>
      <c r="N3410" s="8">
        <v>43264.597939814819</v>
      </c>
      <c r="O3410" s="4" t="s">
        <v>7982</v>
      </c>
      <c r="P3410" s="3" t="s">
        <v>7981</v>
      </c>
      <c r="Q3410" s="4"/>
      <c r="R3410" s="4"/>
      <c r="S3410" s="9" t="str">
        <f>HYPERLINK("https://pbs.twimg.com/profile_images/1007488874480668672/WXhtcuFP.jpg","View")</f>
        <v>View</v>
      </c>
    </row>
    <row r="3411" spans="1:19" ht="40">
      <c r="A3411" s="8">
        <v>43342.202187499999</v>
      </c>
      <c r="B3411" s="11" t="str">
        <f>HYPERLINK("https://twitter.com/MN_Husseini","@MN_Husseini")</f>
        <v>@MN_Husseini</v>
      </c>
      <c r="C3411" s="6" t="s">
        <v>7980</v>
      </c>
      <c r="D3411" s="5" t="s">
        <v>7979</v>
      </c>
      <c r="E3411" s="9" t="str">
        <f>HYPERLINK("https://twitter.com/MN_Husseini/status/1034959169420517377","1034959169420517377")</f>
        <v>1034959169420517377</v>
      </c>
      <c r="F3411" s="4"/>
      <c r="G3411" s="4"/>
      <c r="H3411" s="4"/>
      <c r="I3411" s="10" t="str">
        <f>HYPERLINK("http://twitter.com/download/android","Twitter for Android")</f>
        <v>Twitter for Android</v>
      </c>
      <c r="J3411" s="2">
        <v>10</v>
      </c>
      <c r="K3411" s="2">
        <v>29</v>
      </c>
      <c r="L3411" s="2">
        <v>0</v>
      </c>
      <c r="M3411" s="2"/>
      <c r="N3411" s="8">
        <v>43127.146909722222</v>
      </c>
      <c r="O3411" s="4" t="s">
        <v>7978</v>
      </c>
      <c r="P3411" s="3" t="s">
        <v>7977</v>
      </c>
      <c r="Q3411" s="4"/>
      <c r="R3411" s="4"/>
      <c r="S3411" s="9" t="str">
        <f>HYPERLINK("https://pbs.twimg.com/profile_images/977332967365398528/uEoop9jU.jpg","View")</f>
        <v>View</v>
      </c>
    </row>
    <row r="3412" spans="1:19" ht="50">
      <c r="A3412" s="8">
        <v>43342.191134259258</v>
      </c>
      <c r="B3412" s="11" t="str">
        <f>HYPERLINK("https://twitter.com/Iran_Freedom18","@Iran_Freedom18")</f>
        <v>@Iran_Freedom18</v>
      </c>
      <c r="C3412" s="6" t="s">
        <v>7976</v>
      </c>
      <c r="D3412" s="5" t="s">
        <v>7975</v>
      </c>
      <c r="E3412" s="9" t="str">
        <f>HYPERLINK("https://twitter.com/Iran_Freedom18/status/1034955163281313793","1034955163281313793")</f>
        <v>1034955163281313793</v>
      </c>
      <c r="F3412" s="4"/>
      <c r="G3412" s="10" t="s">
        <v>7974</v>
      </c>
      <c r="H3412" s="4"/>
      <c r="I3412" s="10" t="str">
        <f>HYPERLINK("http://twitter.com/download/android","Twitter for Android")</f>
        <v>Twitter for Android</v>
      </c>
      <c r="J3412" s="2">
        <v>2587</v>
      </c>
      <c r="K3412" s="2">
        <v>4584</v>
      </c>
      <c r="L3412" s="2">
        <v>5</v>
      </c>
      <c r="M3412" s="2"/>
      <c r="N3412" s="8">
        <v>43104.99282407407</v>
      </c>
      <c r="O3412" s="4"/>
      <c r="P3412" s="3" t="s">
        <v>324</v>
      </c>
      <c r="Q3412" s="4"/>
      <c r="R3412" s="4"/>
      <c r="S3412" s="9" t="str">
        <f>HYPERLINK("https://pbs.twimg.com/profile_images/990042607584731138/yA3K4hQU.jpg","View")</f>
        <v>View</v>
      </c>
    </row>
    <row r="3413" spans="1:19" ht="20">
      <c r="A3413" s="8">
        <v>43342.170532407406</v>
      </c>
      <c r="B3413" s="11" t="str">
        <f>HYPERLINK("https://twitter.com/iaaraash","@iaaraash")</f>
        <v>@iaaraash</v>
      </c>
      <c r="C3413" s="6" t="s">
        <v>7848</v>
      </c>
      <c r="D3413" s="5" t="s">
        <v>7973</v>
      </c>
      <c r="E3413" s="9" t="str">
        <f>HYPERLINK("https://twitter.com/iaaraash/status/1034947697764122624","1034947697764122624")</f>
        <v>1034947697764122624</v>
      </c>
      <c r="F3413" s="4"/>
      <c r="G3413" s="4"/>
      <c r="H3413" s="4"/>
      <c r="I3413" s="10" t="str">
        <f>HYPERLINK("http://twitter.com/download/iphone","Twitter for iPhone")</f>
        <v>Twitter for iPhone</v>
      </c>
      <c r="J3413" s="2">
        <v>1408</v>
      </c>
      <c r="K3413" s="2">
        <v>2547</v>
      </c>
      <c r="L3413" s="2">
        <v>0</v>
      </c>
      <c r="M3413" s="2"/>
      <c r="N3413" s="8">
        <v>43235.069594907407</v>
      </c>
      <c r="O3413" s="4" t="s">
        <v>190</v>
      </c>
      <c r="P3413" s="3" t="s">
        <v>7846</v>
      </c>
      <c r="Q3413" s="4"/>
      <c r="R3413" s="4"/>
      <c r="S3413" s="9" t="str">
        <f>HYPERLINK("https://pbs.twimg.com/profile_images/996142507485548549/x96JTgsP.jpg","View")</f>
        <v>View</v>
      </c>
    </row>
    <row r="3414" spans="1:19" ht="20">
      <c r="A3414" s="8">
        <v>43342.169629629629</v>
      </c>
      <c r="B3414" s="11" t="str">
        <f>HYPERLINK("https://twitter.com/NavidMorsali","@NavidMorsali")</f>
        <v>@NavidMorsali</v>
      </c>
      <c r="C3414" s="6" t="s">
        <v>7972</v>
      </c>
      <c r="D3414" s="5" t="s">
        <v>7971</v>
      </c>
      <c r="E3414" s="9" t="str">
        <f>HYPERLINK("https://twitter.com/NavidMorsali/status/1034947371266912256","1034947371266912256")</f>
        <v>1034947371266912256</v>
      </c>
      <c r="F3414" s="10" t="s">
        <v>7970</v>
      </c>
      <c r="G3414" s="4"/>
      <c r="H3414" s="4"/>
      <c r="I3414" s="10" t="str">
        <f>HYPERLINK("http://twitter.com/download/android","Twitter for Android")</f>
        <v>Twitter for Android</v>
      </c>
      <c r="J3414" s="2">
        <v>14</v>
      </c>
      <c r="K3414" s="2">
        <v>115</v>
      </c>
      <c r="L3414" s="2">
        <v>0</v>
      </c>
      <c r="M3414" s="2"/>
      <c r="N3414" s="8">
        <v>41524.512245370366</v>
      </c>
      <c r="O3414" s="4" t="s">
        <v>324</v>
      </c>
      <c r="P3414" s="3" t="s">
        <v>7969</v>
      </c>
      <c r="Q3414" s="10" t="s">
        <v>7968</v>
      </c>
      <c r="R3414" s="4"/>
      <c r="S3414" s="9" t="str">
        <f>HYPERLINK("https://pbs.twimg.com/profile_images/996488809482276865/y10j-Yt6.jpg","View")</f>
        <v>View</v>
      </c>
    </row>
    <row r="3415" spans="1:19" ht="12.5">
      <c r="A3415" s="8">
        <v>43342.167083333334</v>
      </c>
      <c r="B3415" s="11" t="str">
        <f>HYPERLINK("https://twitter.com/Trendfa","@Trendfa")</f>
        <v>@Trendfa</v>
      </c>
      <c r="C3415" s="6" t="s">
        <v>1847</v>
      </c>
      <c r="D3415" s="5" t="s">
        <v>7967</v>
      </c>
      <c r="E3415" s="9" t="str">
        <f>HYPERLINK("https://twitter.com/Trendfa/status/1034946447710384129","1034946447710384129")</f>
        <v>1034946447710384129</v>
      </c>
      <c r="F3415" s="4"/>
      <c r="G3415" s="4"/>
      <c r="H3415" s="4"/>
      <c r="I3415" s="10" t="str">
        <f>HYPERLINK("http://trendfa.mostafar.com","TrendFa")</f>
        <v>TrendFa</v>
      </c>
      <c r="J3415" s="2">
        <v>1255</v>
      </c>
      <c r="K3415" s="2">
        <v>638</v>
      </c>
      <c r="L3415" s="2">
        <v>10</v>
      </c>
      <c r="M3415" s="2"/>
      <c r="N3415" s="8">
        <v>42854.236793981487</v>
      </c>
      <c r="O3415" s="4" t="s">
        <v>1770</v>
      </c>
      <c r="P3415" s="3" t="s">
        <v>1845</v>
      </c>
      <c r="Q3415" s="4"/>
      <c r="R3415" s="4"/>
      <c r="S3415" s="9" t="str">
        <f>HYPERLINK("https://pbs.twimg.com/profile_images/861706286957682689/0zDr9duE.jpg","View")</f>
        <v>View</v>
      </c>
    </row>
    <row r="3416" spans="1:19" ht="40">
      <c r="A3416" s="8">
        <v>43342.166435185187</v>
      </c>
      <c r="B3416" s="11" t="str">
        <f>HYPERLINK("https://twitter.com/ShahrivarDokht","@ShahrivarDokht")</f>
        <v>@ShahrivarDokht</v>
      </c>
      <c r="C3416" s="6" t="s">
        <v>1096</v>
      </c>
      <c r="D3416" s="5" t="s">
        <v>7966</v>
      </c>
      <c r="E3416" s="9" t="str">
        <f>HYPERLINK("https://twitter.com/ShahrivarDokht/status/1034946213123158016","1034946213123158016")</f>
        <v>1034946213123158016</v>
      </c>
      <c r="F3416" s="10" t="s">
        <v>7965</v>
      </c>
      <c r="G3416" s="10" t="s">
        <v>5327</v>
      </c>
      <c r="H3416" s="4"/>
      <c r="I3416" s="10" t="str">
        <f>HYPERLINK("http://twitter.com/download/android","Twitter for Android")</f>
        <v>Twitter for Android</v>
      </c>
      <c r="J3416" s="2">
        <v>2824</v>
      </c>
      <c r="K3416" s="2">
        <v>2937</v>
      </c>
      <c r="L3416" s="2">
        <v>4</v>
      </c>
      <c r="M3416" s="2"/>
      <c r="N3416" s="8">
        <v>43232.907650462963</v>
      </c>
      <c r="O3416" s="4" t="s">
        <v>17</v>
      </c>
      <c r="P3416" s="3" t="s">
        <v>1094</v>
      </c>
      <c r="Q3416" s="4"/>
      <c r="R3416" s="4"/>
      <c r="S3416" s="9" t="str">
        <f>HYPERLINK("https://pbs.twimg.com/profile_images/1009806470165225472/0jnAt4qJ.jpg","View")</f>
        <v>View</v>
      </c>
    </row>
    <row r="3417" spans="1:19" ht="30">
      <c r="A3417" s="8">
        <v>43342.1559375</v>
      </c>
      <c r="B3417" s="11" t="str">
        <f>HYPERLINK("https://twitter.com/pakeshadiTV","@pakeshadiTV")</f>
        <v>@pakeshadiTV</v>
      </c>
      <c r="C3417" s="6" t="s">
        <v>7964</v>
      </c>
      <c r="D3417" s="5" t="s">
        <v>7963</v>
      </c>
      <c r="E3417" s="9" t="str">
        <f>HYPERLINK("https://twitter.com/pakeshadiTV/status/1034942410818826240","1034942410818826240")</f>
        <v>1034942410818826240</v>
      </c>
      <c r="F3417" s="10" t="s">
        <v>7962</v>
      </c>
      <c r="G3417" s="4"/>
      <c r="H3417" s="4"/>
      <c r="I3417" s="10" t="str">
        <f>HYPERLINK("http://www.facebook.com/twitter","Facebook")</f>
        <v>Facebook</v>
      </c>
      <c r="J3417" s="2">
        <v>2627</v>
      </c>
      <c r="K3417" s="2">
        <v>3</v>
      </c>
      <c r="L3417" s="2">
        <v>42</v>
      </c>
      <c r="M3417" s="2"/>
      <c r="N3417" s="8">
        <v>40543.255659722221</v>
      </c>
      <c r="O3417" s="4"/>
      <c r="P3417" s="3" t="s">
        <v>7961</v>
      </c>
      <c r="Q3417" s="10" t="s">
        <v>7960</v>
      </c>
      <c r="R3417" s="4"/>
      <c r="S3417" s="9" t="str">
        <f>HYPERLINK("https://pbs.twimg.com/profile_images/839142933857173504/a3zXtabk.jpg","View")</f>
        <v>View</v>
      </c>
    </row>
    <row r="3418" spans="1:19" ht="20">
      <c r="A3418" s="8">
        <v>43342.155405092592</v>
      </c>
      <c r="B3418" s="11" t="str">
        <f>HYPERLINK("https://twitter.com/navgan43","@navgan43")</f>
        <v>@navgan43</v>
      </c>
      <c r="C3418" s="6" t="s">
        <v>7959</v>
      </c>
      <c r="D3418" s="5" t="s">
        <v>7958</v>
      </c>
      <c r="E3418" s="9" t="str">
        <f>HYPERLINK("https://twitter.com/navgan43/status/1034942217335517185","1034942217335517185")</f>
        <v>1034942217335517185</v>
      </c>
      <c r="F3418" s="4"/>
      <c r="G3418" s="4"/>
      <c r="H3418" s="4"/>
      <c r="I3418" s="10" t="str">
        <f>HYPERLINK("http://twitter.com/download/android","Twitter for Android")</f>
        <v>Twitter for Android</v>
      </c>
      <c r="J3418" s="2">
        <v>45</v>
      </c>
      <c r="K3418" s="2">
        <v>105</v>
      </c>
      <c r="L3418" s="2">
        <v>0</v>
      </c>
      <c r="M3418" s="2"/>
      <c r="N3418" s="8">
        <v>41084.150462962964</v>
      </c>
      <c r="O3418" s="4"/>
      <c r="P3418" s="3"/>
      <c r="Q3418" s="4"/>
      <c r="R3418" s="4"/>
      <c r="S3418" s="9" t="str">
        <f>HYPERLINK("https://pbs.twimg.com/profile_images/3118482902/588c1a1a7f22a747a7f86cb7bf283825.jpeg","View")</f>
        <v>View</v>
      </c>
    </row>
    <row r="3419" spans="1:19" ht="40">
      <c r="A3419" s="8">
        <v>43342.140208333338</v>
      </c>
      <c r="B3419" s="11" t="str">
        <f>HYPERLINK("https://twitter.com/TGMF4","@TGMF4")</f>
        <v>@TGMF4</v>
      </c>
      <c r="C3419" s="6" t="s">
        <v>7957</v>
      </c>
      <c r="D3419" s="5" t="s">
        <v>7956</v>
      </c>
      <c r="E3419" s="9" t="str">
        <f>HYPERLINK("https://twitter.com/TGMF4/status/1034936708519866368","1034936708519866368")</f>
        <v>1034936708519866368</v>
      </c>
      <c r="F3419" s="10" t="s">
        <v>7955</v>
      </c>
      <c r="G3419" s="4"/>
      <c r="H3419" s="4"/>
      <c r="I3419" s="10" t="str">
        <f>HYPERLINK("http://twitter.com","Twitter Web Client")</f>
        <v>Twitter Web Client</v>
      </c>
      <c r="J3419" s="2">
        <v>4268</v>
      </c>
      <c r="K3419" s="2">
        <v>2455</v>
      </c>
      <c r="L3419" s="2">
        <v>70</v>
      </c>
      <c r="M3419" s="2"/>
      <c r="N3419" s="8">
        <v>42389.641793981486</v>
      </c>
      <c r="O3419" s="4" t="s">
        <v>7954</v>
      </c>
      <c r="P3419" s="3" t="s">
        <v>7953</v>
      </c>
      <c r="Q3419" s="4"/>
      <c r="R3419" s="4"/>
      <c r="S3419" s="9" t="str">
        <f>HYPERLINK("https://pbs.twimg.com/profile_images/1027196085977194496/XEOW0vaS.jpg","View")</f>
        <v>View</v>
      </c>
    </row>
    <row r="3420" spans="1:19" ht="50">
      <c r="A3420" s="8">
        <v>43342.137696759259</v>
      </c>
      <c r="B3420" s="11" t="str">
        <f>HYPERLINK("https://twitter.com/IrKunkor98","@IrKunkor98")</f>
        <v>@IrKunkor98</v>
      </c>
      <c r="C3420" s="6" t="s">
        <v>7950</v>
      </c>
      <c r="D3420" s="5" t="s">
        <v>7952</v>
      </c>
      <c r="E3420" s="9" t="str">
        <f>HYPERLINK("https://twitter.com/IrKunkor98/status/1034935798708293632","1034935798708293632")</f>
        <v>1034935798708293632</v>
      </c>
      <c r="F3420" s="4"/>
      <c r="G3420" s="4"/>
      <c r="H3420" s="4"/>
      <c r="I3420" s="10" t="str">
        <f>HYPERLINK("https://mobile.twitter.com","Twitter Lite")</f>
        <v>Twitter Lite</v>
      </c>
      <c r="J3420" s="2">
        <v>20</v>
      </c>
      <c r="K3420" s="2">
        <v>71</v>
      </c>
      <c r="L3420" s="2">
        <v>0</v>
      </c>
      <c r="M3420" s="2"/>
      <c r="N3420" s="8">
        <v>43309.90053240741</v>
      </c>
      <c r="O3420" s="4" t="s">
        <v>17</v>
      </c>
      <c r="P3420" s="3" t="s">
        <v>7948</v>
      </c>
      <c r="Q3420" s="10" t="s">
        <v>7947</v>
      </c>
      <c r="R3420" s="4"/>
      <c r="S3420" s="9" t="str">
        <f>HYPERLINK("https://pbs.twimg.com/profile_images/1023259713520058369/ePP_cbOm.jpg","View")</f>
        <v>View</v>
      </c>
    </row>
    <row r="3421" spans="1:19" ht="40">
      <c r="A3421" s="8">
        <v>43342.135752314818</v>
      </c>
      <c r="B3421" s="11" t="str">
        <f>HYPERLINK("https://twitter.com/ehsan_rastgar","@ehsan_rastgar")</f>
        <v>@ehsan_rastgar</v>
      </c>
      <c r="C3421" s="6" t="s">
        <v>7946</v>
      </c>
      <c r="D3421" s="5" t="s">
        <v>7951</v>
      </c>
      <c r="E3421" s="9" t="str">
        <f>HYPERLINK("https://twitter.com/ehsan_rastgar/status/1034935096606949376","1034935096606949376")</f>
        <v>1034935096606949376</v>
      </c>
      <c r="F3421" s="4"/>
      <c r="G3421" s="4"/>
      <c r="H3421" s="4"/>
      <c r="I3421" s="10" t="str">
        <f>HYPERLINK("http://twitter.com/download/android","Twitter for Android")</f>
        <v>Twitter for Android</v>
      </c>
      <c r="J3421" s="2">
        <v>24628</v>
      </c>
      <c r="K3421" s="2">
        <v>12528</v>
      </c>
      <c r="L3421" s="2">
        <v>85</v>
      </c>
      <c r="M3421" s="2"/>
      <c r="N3421" s="8">
        <v>41924.946435185186</v>
      </c>
      <c r="O3421" s="4" t="s">
        <v>133</v>
      </c>
      <c r="P3421" s="3" t="s">
        <v>7944</v>
      </c>
      <c r="Q3421" s="10" t="s">
        <v>7943</v>
      </c>
      <c r="R3421" s="4"/>
      <c r="S3421" s="9" t="str">
        <f>HYPERLINK("https://pbs.twimg.com/profile_images/864110040806035457/JAqs6HgK.jpg","View")</f>
        <v>View</v>
      </c>
    </row>
    <row r="3422" spans="1:19" ht="40">
      <c r="A3422" s="8">
        <v>43342.127974537041</v>
      </c>
      <c r="B3422" s="11" t="str">
        <f>HYPERLINK("https://twitter.com/IrKunkor98","@IrKunkor98")</f>
        <v>@IrKunkor98</v>
      </c>
      <c r="C3422" s="6" t="s">
        <v>7950</v>
      </c>
      <c r="D3422" s="5" t="s">
        <v>7949</v>
      </c>
      <c r="E3422" s="9" t="str">
        <f>HYPERLINK("https://twitter.com/IrKunkor98/status/1034932276541440000","1034932276541440000")</f>
        <v>1034932276541440000</v>
      </c>
      <c r="F3422" s="4"/>
      <c r="G3422" s="4"/>
      <c r="H3422" s="4"/>
      <c r="I3422" s="10" t="str">
        <f>HYPERLINK("https://mobile.twitter.com","Twitter Lite")</f>
        <v>Twitter Lite</v>
      </c>
      <c r="J3422" s="2">
        <v>20</v>
      </c>
      <c r="K3422" s="2">
        <v>71</v>
      </c>
      <c r="L3422" s="2">
        <v>0</v>
      </c>
      <c r="M3422" s="2"/>
      <c r="N3422" s="8">
        <v>43309.90053240741</v>
      </c>
      <c r="O3422" s="4" t="s">
        <v>17</v>
      </c>
      <c r="P3422" s="3" t="s">
        <v>7948</v>
      </c>
      <c r="Q3422" s="10" t="s">
        <v>7947</v>
      </c>
      <c r="R3422" s="4"/>
      <c r="S3422" s="9" t="str">
        <f>HYPERLINK("https://pbs.twimg.com/profile_images/1023259713520058369/ePP_cbOm.jpg","View")</f>
        <v>View</v>
      </c>
    </row>
    <row r="3423" spans="1:19" ht="40">
      <c r="A3423" s="8">
        <v>43342.126956018517</v>
      </c>
      <c r="B3423" s="11" t="str">
        <f>HYPERLINK("https://twitter.com/ehsan_rastgar","@ehsan_rastgar")</f>
        <v>@ehsan_rastgar</v>
      </c>
      <c r="C3423" s="6" t="s">
        <v>7946</v>
      </c>
      <c r="D3423" s="5" t="s">
        <v>7945</v>
      </c>
      <c r="E3423" s="9" t="str">
        <f>HYPERLINK("https://twitter.com/ehsan_rastgar/status/1034931908810031107","1034931908810031107")</f>
        <v>1034931908810031107</v>
      </c>
      <c r="F3423" s="4"/>
      <c r="G3423" s="4"/>
      <c r="H3423" s="4"/>
      <c r="I3423" s="10" t="str">
        <f>HYPERLINK("http://twitter.com/download/android","Twitter for Android")</f>
        <v>Twitter for Android</v>
      </c>
      <c r="J3423" s="2">
        <v>24628</v>
      </c>
      <c r="K3423" s="2">
        <v>12528</v>
      </c>
      <c r="L3423" s="2">
        <v>85</v>
      </c>
      <c r="M3423" s="2"/>
      <c r="N3423" s="8">
        <v>41924.946435185186</v>
      </c>
      <c r="O3423" s="4" t="s">
        <v>133</v>
      </c>
      <c r="P3423" s="3" t="s">
        <v>7944</v>
      </c>
      <c r="Q3423" s="10" t="s">
        <v>7943</v>
      </c>
      <c r="R3423" s="4"/>
      <c r="S3423" s="9" t="str">
        <f>HYPERLINK("https://pbs.twimg.com/profile_images/864110040806035457/JAqs6HgK.jpg","View")</f>
        <v>View</v>
      </c>
    </row>
    <row r="3424" spans="1:19" ht="20">
      <c r="A3424" s="8">
        <v>43342.124930555554</v>
      </c>
      <c r="B3424" s="11" t="str">
        <f>HYPERLINK("https://twitter.com/Morteza_7476","@Morteza_7476")</f>
        <v>@Morteza_7476</v>
      </c>
      <c r="C3424" s="6" t="s">
        <v>5129</v>
      </c>
      <c r="D3424" s="5" t="s">
        <v>7942</v>
      </c>
      <c r="E3424" s="9" t="str">
        <f>HYPERLINK("https://twitter.com/Morteza_7476/status/1034931172781043733","1034931172781043733")</f>
        <v>1034931172781043733</v>
      </c>
      <c r="F3424" s="4"/>
      <c r="G3424" s="4"/>
      <c r="H3424" s="4"/>
      <c r="I3424" s="10" t="str">
        <f>HYPERLINK("http://twitter.com/download/android","Twitter for Android")</f>
        <v>Twitter for Android</v>
      </c>
      <c r="J3424" s="2">
        <v>5</v>
      </c>
      <c r="K3424" s="2">
        <v>81</v>
      </c>
      <c r="L3424" s="2">
        <v>0</v>
      </c>
      <c r="M3424" s="2"/>
      <c r="N3424" s="8">
        <v>43284.760300925926</v>
      </c>
      <c r="O3424" s="4"/>
      <c r="P3424" s="3" t="s">
        <v>5127</v>
      </c>
      <c r="Q3424" s="4"/>
      <c r="R3424" s="4"/>
      <c r="S3424" s="9" t="str">
        <f>HYPERLINK("https://pbs.twimg.com/profile_images/1015796388968452096/3zu0mxNR.jpg","View")</f>
        <v>View</v>
      </c>
    </row>
    <row r="3425" spans="1:19" ht="20">
      <c r="A3425" s="8">
        <v>43342.122314814813</v>
      </c>
      <c r="B3425" s="11" t="str">
        <f>HYPERLINK("https://twitter.com/ali_aghababaei","@ali_aghababaei")</f>
        <v>@ali_aghababaei</v>
      </c>
      <c r="C3425" s="6" t="s">
        <v>1972</v>
      </c>
      <c r="D3425" s="5" t="s">
        <v>7941</v>
      </c>
      <c r="E3425" s="9" t="str">
        <f>HYPERLINK("https://twitter.com/ali_aghababaei/status/1034930226952851458","1034930226952851458")</f>
        <v>1034930226952851458</v>
      </c>
      <c r="F3425" s="4"/>
      <c r="G3425" s="10" t="s">
        <v>7940</v>
      </c>
      <c r="H3425" s="4"/>
      <c r="I3425" s="10" t="str">
        <f>HYPERLINK("http://twitter.com/download/iphone","Twitter for iPhone")</f>
        <v>Twitter for iPhone</v>
      </c>
      <c r="J3425" s="2">
        <v>319</v>
      </c>
      <c r="K3425" s="2">
        <v>128</v>
      </c>
      <c r="L3425" s="2">
        <v>1</v>
      </c>
      <c r="M3425" s="2"/>
      <c r="N3425" s="8">
        <v>42775.972233796296</v>
      </c>
      <c r="O3425" s="4" t="s">
        <v>34</v>
      </c>
      <c r="P3425" s="3" t="s">
        <v>1970</v>
      </c>
      <c r="Q3425" s="4"/>
      <c r="R3425" s="4"/>
      <c r="S3425" s="9" t="str">
        <f>HYPERLINK("https://pbs.twimg.com/profile_images/1033653338712297472/HeFlPNrV.jpg","View")</f>
        <v>View</v>
      </c>
    </row>
    <row r="3426" spans="1:19" ht="20">
      <c r="A3426" s="8">
        <v>43342.122129629628</v>
      </c>
      <c r="B3426" s="11" t="str">
        <f>HYPERLINK("https://twitter.com/VakilUlroaya","@VakilUlroaya")</f>
        <v>@VakilUlroaya</v>
      </c>
      <c r="C3426" s="6" t="s">
        <v>6338</v>
      </c>
      <c r="D3426" s="5" t="s">
        <v>7939</v>
      </c>
      <c r="E3426" s="9" t="str">
        <f>HYPERLINK("https://twitter.com/VakilUlroaya/status/1034930157331656706","1034930157331656706")</f>
        <v>1034930157331656706</v>
      </c>
      <c r="F3426" s="4"/>
      <c r="G3426" s="10" t="s">
        <v>7938</v>
      </c>
      <c r="H3426" s="4"/>
      <c r="I3426" s="10" t="str">
        <f>HYPERLINK("http://twitter.com/download/android","Twitter for Android")</f>
        <v>Twitter for Android</v>
      </c>
      <c r="J3426" s="2">
        <v>2293</v>
      </c>
      <c r="K3426" s="2">
        <v>999</v>
      </c>
      <c r="L3426" s="2">
        <v>4</v>
      </c>
      <c r="M3426" s="2"/>
      <c r="N3426" s="8">
        <v>43257.526874999996</v>
      </c>
      <c r="O3426" s="4" t="s">
        <v>6336</v>
      </c>
      <c r="P3426" s="3" t="s">
        <v>6335</v>
      </c>
      <c r="Q3426" s="10" t="s">
        <v>6334</v>
      </c>
      <c r="R3426" s="4"/>
      <c r="S3426" s="9" t="str">
        <f>HYPERLINK("https://pbs.twimg.com/profile_images/1023136868626509824/6l89Latq.jpg","View")</f>
        <v>View</v>
      </c>
    </row>
    <row r="3427" spans="1:19" ht="20">
      <c r="A3427" s="8">
        <v>43342.120057870372</v>
      </c>
      <c r="B3427" s="11" t="str">
        <f>HYPERLINK("https://twitter.com/VakilUlroaya","@VakilUlroaya")</f>
        <v>@VakilUlroaya</v>
      </c>
      <c r="C3427" s="6" t="s">
        <v>6338</v>
      </c>
      <c r="D3427" s="5" t="s">
        <v>7937</v>
      </c>
      <c r="E3427" s="9" t="str">
        <f>HYPERLINK("https://twitter.com/VakilUlroaya/status/1034929406370832389","1034929406370832389")</f>
        <v>1034929406370832389</v>
      </c>
      <c r="F3427" s="4"/>
      <c r="G3427" s="10" t="s">
        <v>7936</v>
      </c>
      <c r="H3427" s="4"/>
      <c r="I3427" s="10" t="str">
        <f>HYPERLINK("http://twitter.com/download/android","Twitter for Android")</f>
        <v>Twitter for Android</v>
      </c>
      <c r="J3427" s="2">
        <v>2293</v>
      </c>
      <c r="K3427" s="2">
        <v>999</v>
      </c>
      <c r="L3427" s="2">
        <v>4</v>
      </c>
      <c r="M3427" s="2"/>
      <c r="N3427" s="8">
        <v>43257.526874999996</v>
      </c>
      <c r="O3427" s="4" t="s">
        <v>6336</v>
      </c>
      <c r="P3427" s="3" t="s">
        <v>6335</v>
      </c>
      <c r="Q3427" s="10" t="s">
        <v>6334</v>
      </c>
      <c r="R3427" s="4"/>
      <c r="S3427" s="9" t="str">
        <f>HYPERLINK("https://pbs.twimg.com/profile_images/1023136868626509824/6l89Latq.jpg","View")</f>
        <v>View</v>
      </c>
    </row>
    <row r="3428" spans="1:19" ht="20">
      <c r="A3428" s="8">
        <v>43342.116736111115</v>
      </c>
      <c r="B3428" s="11" t="str">
        <f>HYPERLINK("https://twitter.com/diplomat_I_R_I","@diplomat_I_R_I")</f>
        <v>@diplomat_I_R_I</v>
      </c>
      <c r="C3428" s="6" t="s">
        <v>7935</v>
      </c>
      <c r="D3428" s="5" t="s">
        <v>7934</v>
      </c>
      <c r="E3428" s="9" t="str">
        <f>HYPERLINK("https://twitter.com/diplomat_I_R_I/status/1034928204589531136","1034928204589531136")</f>
        <v>1034928204589531136</v>
      </c>
      <c r="F3428" s="10" t="s">
        <v>7933</v>
      </c>
      <c r="G3428" s="10" t="s">
        <v>7932</v>
      </c>
      <c r="H3428" s="4"/>
      <c r="I3428" s="10" t="str">
        <f>HYPERLINK("http://twitter.com/download/android","Twitter for Android")</f>
        <v>Twitter for Android</v>
      </c>
      <c r="J3428" s="2">
        <v>398</v>
      </c>
      <c r="K3428" s="2">
        <v>618</v>
      </c>
      <c r="L3428" s="2">
        <v>2</v>
      </c>
      <c r="M3428" s="2"/>
      <c r="N3428" s="8">
        <v>43122.803425925929</v>
      </c>
      <c r="O3428" s="4" t="s">
        <v>17</v>
      </c>
      <c r="P3428" s="3" t="s">
        <v>7931</v>
      </c>
      <c r="Q3428" s="4"/>
      <c r="R3428" s="4"/>
      <c r="S3428" s="9" t="str">
        <f>HYPERLINK("https://pbs.twimg.com/profile_images/1027376024777105408/eZJeqsck.jpg","View")</f>
        <v>View</v>
      </c>
    </row>
    <row r="3429" spans="1:19" ht="20">
      <c r="A3429" s="8">
        <v>43342.115277777775</v>
      </c>
      <c r="B3429" s="11" t="str">
        <f>HYPERLINK("https://twitter.com/VakilUlroaya","@VakilUlroaya")</f>
        <v>@VakilUlroaya</v>
      </c>
      <c r="C3429" s="6" t="s">
        <v>6338</v>
      </c>
      <c r="D3429" s="5" t="s">
        <v>7930</v>
      </c>
      <c r="E3429" s="9" t="str">
        <f>HYPERLINK("https://twitter.com/VakilUlroaya/status/1034927677118074880","1034927677118074880")</f>
        <v>1034927677118074880</v>
      </c>
      <c r="F3429" s="4"/>
      <c r="G3429" s="10" t="s">
        <v>7929</v>
      </c>
      <c r="H3429" s="4"/>
      <c r="I3429" s="10" t="str">
        <f>HYPERLINK("http://twitter.com/download/android","Twitter for Android")</f>
        <v>Twitter for Android</v>
      </c>
      <c r="J3429" s="2">
        <v>2293</v>
      </c>
      <c r="K3429" s="2">
        <v>999</v>
      </c>
      <c r="L3429" s="2">
        <v>4</v>
      </c>
      <c r="M3429" s="2"/>
      <c r="N3429" s="8">
        <v>43257.526874999996</v>
      </c>
      <c r="O3429" s="4" t="s">
        <v>6336</v>
      </c>
      <c r="P3429" s="3" t="s">
        <v>6335</v>
      </c>
      <c r="Q3429" s="10" t="s">
        <v>6334</v>
      </c>
      <c r="R3429" s="4"/>
      <c r="S3429" s="9" t="str">
        <f>HYPERLINK("https://pbs.twimg.com/profile_images/1023136868626509824/6l89Latq.jpg","View")</f>
        <v>View</v>
      </c>
    </row>
    <row r="3430" spans="1:19" ht="20">
      <c r="A3430" s="8">
        <v>43342.109768518523</v>
      </c>
      <c r="B3430" s="11" t="str">
        <f>HYPERLINK("https://twitter.com/Farhad904","@Farhad904")</f>
        <v>@Farhad904</v>
      </c>
      <c r="C3430" s="6" t="s">
        <v>7928</v>
      </c>
      <c r="D3430" s="5" t="s">
        <v>7927</v>
      </c>
      <c r="E3430" s="9" t="str">
        <f>HYPERLINK("https://twitter.com/Farhad904/status/1034925679438114819","1034925679438114819")</f>
        <v>1034925679438114819</v>
      </c>
      <c r="F3430" s="4"/>
      <c r="G3430" s="4"/>
      <c r="H3430" s="4"/>
      <c r="I3430" s="10" t="str">
        <f>HYPERLINK("http://twitter.com/download/android","Twitter for Android")</f>
        <v>Twitter for Android</v>
      </c>
      <c r="J3430" s="2">
        <v>256</v>
      </c>
      <c r="K3430" s="2">
        <v>210</v>
      </c>
      <c r="L3430" s="2">
        <v>3</v>
      </c>
      <c r="M3430" s="2"/>
      <c r="N3430" s="8">
        <v>41758.406076388885</v>
      </c>
      <c r="O3430" s="4" t="s">
        <v>7926</v>
      </c>
      <c r="P3430" s="3" t="s">
        <v>7925</v>
      </c>
      <c r="Q3430" s="4"/>
      <c r="R3430" s="4"/>
      <c r="S3430" s="9" t="str">
        <f>HYPERLINK("https://pbs.twimg.com/profile_images/494142005732061184/OKzkk7Y5.jpeg","View")</f>
        <v>View</v>
      </c>
    </row>
    <row r="3431" spans="1:19" ht="30">
      <c r="A3431" s="8">
        <v>43342.105613425927</v>
      </c>
      <c r="B3431" s="11" t="str">
        <f>HYPERLINK("https://twitter.com/Amirhosein_AHF","@Amirhosein_AHF")</f>
        <v>@Amirhosein_AHF</v>
      </c>
      <c r="C3431" s="6" t="s">
        <v>7924</v>
      </c>
      <c r="D3431" s="5" t="s">
        <v>7923</v>
      </c>
      <c r="E3431" s="9" t="str">
        <f>HYPERLINK("https://twitter.com/Amirhosein_AHF/status/1034924173200711680","1034924173200711680")</f>
        <v>1034924173200711680</v>
      </c>
      <c r="F3431" s="4"/>
      <c r="G3431" s="4"/>
      <c r="H3431" s="4"/>
      <c r="I3431" s="10" t="str">
        <f>HYPERLINK("http://twitter.com/download/android","Twitter for Android")</f>
        <v>Twitter for Android</v>
      </c>
      <c r="J3431" s="2">
        <v>86</v>
      </c>
      <c r="K3431" s="2">
        <v>231</v>
      </c>
      <c r="L3431" s="2">
        <v>0</v>
      </c>
      <c r="M3431" s="2"/>
      <c r="N3431" s="8">
        <v>42882.596354166672</v>
      </c>
      <c r="O3431" s="4" t="s">
        <v>7922</v>
      </c>
      <c r="P3431" s="3" t="s">
        <v>7921</v>
      </c>
      <c r="Q3431" s="4"/>
      <c r="R3431" s="4"/>
      <c r="S3431" s="9" t="str">
        <f>HYPERLINK("https://pbs.twimg.com/profile_images/991118971876397058/MwmRrxyc.jpg","View")</f>
        <v>View</v>
      </c>
    </row>
    <row r="3432" spans="1:19" ht="30">
      <c r="A3432" s="8">
        <v>43342.100613425922</v>
      </c>
      <c r="B3432" s="11" t="str">
        <f>HYPERLINK("https://twitter.com/Jefferson_danaa","@Jefferson_danaa")</f>
        <v>@Jefferson_danaa</v>
      </c>
      <c r="C3432" s="6" t="s">
        <v>7920</v>
      </c>
      <c r="D3432" s="5" t="s">
        <v>7919</v>
      </c>
      <c r="E3432" s="9" t="str">
        <f>HYPERLINK("https://twitter.com/Jefferson_danaa/status/1034922361936666634","1034922361936666634")</f>
        <v>1034922361936666634</v>
      </c>
      <c r="F3432" s="4"/>
      <c r="G3432" s="10" t="s">
        <v>7918</v>
      </c>
      <c r="H3432" s="4"/>
      <c r="I3432" s="10" t="str">
        <f>HYPERLINK("http://twitter.com/download/iphone","Twitter for iPhone")</f>
        <v>Twitter for iPhone</v>
      </c>
      <c r="J3432" s="2">
        <v>0</v>
      </c>
      <c r="K3432" s="2">
        <v>4</v>
      </c>
      <c r="L3432" s="2">
        <v>0</v>
      </c>
      <c r="M3432" s="2"/>
      <c r="N3432" s="8">
        <v>43341.882673611108</v>
      </c>
      <c r="O3432" s="4"/>
      <c r="P3432" s="3" t="s">
        <v>7917</v>
      </c>
      <c r="Q3432" s="4"/>
      <c r="R3432" s="4"/>
      <c r="S3432" s="9" t="str">
        <f>HYPERLINK("https://pbs.twimg.com/profile_images/1034845606139899905/_QSuP27P.jpg","View")</f>
        <v>View</v>
      </c>
    </row>
    <row r="3433" spans="1:19" ht="30">
      <c r="A3433" s="8">
        <v>43342.097777777773</v>
      </c>
      <c r="B3433" s="11" t="str">
        <f>HYPERLINK("https://twitter.com/MrNobod59173199","@MrNobod59173199")</f>
        <v>@MrNobod59173199</v>
      </c>
      <c r="C3433" s="6" t="s">
        <v>745</v>
      </c>
      <c r="D3433" s="5" t="s">
        <v>7916</v>
      </c>
      <c r="E3433" s="9" t="str">
        <f>HYPERLINK("https://twitter.com/MrNobod59173199/status/1034921332331372544","1034921332331372544")</f>
        <v>1034921332331372544</v>
      </c>
      <c r="F3433" s="4"/>
      <c r="G3433" s="4"/>
      <c r="H3433" s="4"/>
      <c r="I3433" s="10" t="str">
        <f>HYPERLINK("http://twitter.com/download/iphone","Twitter for iPhone")</f>
        <v>Twitter for iPhone</v>
      </c>
      <c r="J3433" s="2">
        <v>213</v>
      </c>
      <c r="K3433" s="2">
        <v>691</v>
      </c>
      <c r="L3433" s="2">
        <v>0</v>
      </c>
      <c r="M3433" s="2"/>
      <c r="N3433" s="8">
        <v>43103.06858796296</v>
      </c>
      <c r="O3433" s="4" t="s">
        <v>743</v>
      </c>
      <c r="P3433" s="3" t="s">
        <v>7915</v>
      </c>
      <c r="Q3433" s="4"/>
      <c r="R3433" s="4"/>
      <c r="S3433" s="9" t="str">
        <f>HYPERLINK("https://pbs.twimg.com/profile_images/1034296370532737024/_eSdzFh8.jpg","View")</f>
        <v>View</v>
      </c>
    </row>
    <row r="3434" spans="1:19" ht="40">
      <c r="A3434" s="8">
        <v>43342.09579861111</v>
      </c>
      <c r="B3434" s="11" t="str">
        <f>HYPERLINK("https://twitter.com/BalkhiHamidreza","@BalkhiHamidreza")</f>
        <v>@BalkhiHamidreza</v>
      </c>
      <c r="C3434" s="6" t="s">
        <v>7914</v>
      </c>
      <c r="D3434" s="5" t="s">
        <v>7913</v>
      </c>
      <c r="E3434" s="9" t="str">
        <f>HYPERLINK("https://twitter.com/BalkhiHamidreza/status/1034920617559171078","1034920617559171078")</f>
        <v>1034920617559171078</v>
      </c>
      <c r="F3434" s="4"/>
      <c r="G3434" s="4"/>
      <c r="H3434" s="4"/>
      <c r="I3434" s="10" t="str">
        <f>HYPERLINK("http://twitter.com/download/android","Twitter for Android")</f>
        <v>Twitter for Android</v>
      </c>
      <c r="J3434" s="2">
        <v>9</v>
      </c>
      <c r="K3434" s="2">
        <v>42</v>
      </c>
      <c r="L3434" s="2">
        <v>0</v>
      </c>
      <c r="M3434" s="2"/>
      <c r="N3434" s="8">
        <v>43184.758402777778</v>
      </c>
      <c r="O3434" s="4" t="s">
        <v>34</v>
      </c>
      <c r="P3434" s="3" t="s">
        <v>7912</v>
      </c>
      <c r="Q3434" s="4"/>
      <c r="R3434" s="4"/>
      <c r="S3434" s="9" t="str">
        <f>HYPERLINK("https://pbs.twimg.com/profile_images/988539551957254151/n3ORenM_.jpg","View")</f>
        <v>View</v>
      </c>
    </row>
    <row r="3435" spans="1:19" ht="12.5">
      <c r="A3435" s="8">
        <v>43342.095682870371</v>
      </c>
      <c r="B3435" s="11" t="str">
        <f>HYPERLINK("https://twitter.com/Omid_aramnia","@Omid_aramnia")</f>
        <v>@Omid_aramnia</v>
      </c>
      <c r="C3435" s="6" t="s">
        <v>7911</v>
      </c>
      <c r="D3435" s="5" t="s">
        <v>7910</v>
      </c>
      <c r="E3435" s="9" t="str">
        <f>HYPERLINK("https://twitter.com/Omid_aramnia/status/1034920572428406785","1034920572428406785")</f>
        <v>1034920572428406785</v>
      </c>
      <c r="F3435" s="4"/>
      <c r="G3435" s="4"/>
      <c r="H3435" s="4"/>
      <c r="I3435" s="10" t="str">
        <f>HYPERLINK("http://twitter.com/download/android","Twitter for Android")</f>
        <v>Twitter for Android</v>
      </c>
      <c r="J3435" s="2">
        <v>2</v>
      </c>
      <c r="K3435" s="2">
        <v>20</v>
      </c>
      <c r="L3435" s="2">
        <v>0</v>
      </c>
      <c r="M3435" s="2"/>
      <c r="N3435" s="8">
        <v>43044.017106481479</v>
      </c>
      <c r="O3435" s="4"/>
      <c r="P3435" s="3"/>
      <c r="Q3435" s="4"/>
      <c r="R3435" s="4"/>
      <c r="S3435" s="2" t="s">
        <v>155</v>
      </c>
    </row>
    <row r="3436" spans="1:19" ht="20">
      <c r="A3436" s="8">
        <v>43342.093414351853</v>
      </c>
      <c r="B3436" s="11" t="str">
        <f>HYPERLINK("https://twitter.com/badkhah","@badkhah")</f>
        <v>@badkhah</v>
      </c>
      <c r="C3436" s="6" t="s">
        <v>7909</v>
      </c>
      <c r="D3436" s="5" t="s">
        <v>7908</v>
      </c>
      <c r="E3436" s="9" t="str">
        <f>HYPERLINK("https://twitter.com/badkhah/status/1034919753612189696","1034919753612189696")</f>
        <v>1034919753612189696</v>
      </c>
      <c r="F3436" s="4"/>
      <c r="G3436" s="4"/>
      <c r="H3436" s="4"/>
      <c r="I3436" s="10" t="str">
        <f>HYPERLINK("http://twitter.com/download/android","Twitter for Android")</f>
        <v>Twitter for Android</v>
      </c>
      <c r="J3436" s="2">
        <v>2421</v>
      </c>
      <c r="K3436" s="2">
        <v>542</v>
      </c>
      <c r="L3436" s="2">
        <v>36</v>
      </c>
      <c r="M3436" s="2"/>
      <c r="N3436" s="8">
        <v>41176.950300925928</v>
      </c>
      <c r="O3436" s="4"/>
      <c r="P3436" s="3" t="s">
        <v>7907</v>
      </c>
      <c r="Q3436" s="4"/>
      <c r="R3436" s="4"/>
      <c r="S3436" s="9" t="str">
        <f>HYPERLINK("https://pbs.twimg.com/profile_images/974296320029679616/xUEMj4rs.jpg","View")</f>
        <v>View</v>
      </c>
    </row>
    <row r="3437" spans="1:19" ht="12.5">
      <c r="A3437" s="8">
        <v>43342.090601851851</v>
      </c>
      <c r="B3437" s="11" t="str">
        <f>HYPERLINK("https://twitter.com/AnakondaPitone","@AnakondaPitone")</f>
        <v>@AnakondaPitone</v>
      </c>
      <c r="C3437" s="6" t="s">
        <v>7906</v>
      </c>
      <c r="D3437" s="5" t="s">
        <v>7905</v>
      </c>
      <c r="E3437" s="9" t="str">
        <f>HYPERLINK("https://twitter.com/AnakondaPitone/status/1034918731435200514","1034918731435200514")</f>
        <v>1034918731435200514</v>
      </c>
      <c r="F3437" s="4"/>
      <c r="G3437" s="10" t="s">
        <v>7904</v>
      </c>
      <c r="H3437" s="4"/>
      <c r="I3437" s="10" t="str">
        <f>HYPERLINK("http://twitter.com/download/android","Twitter for Android")</f>
        <v>Twitter for Android</v>
      </c>
      <c r="J3437" s="2">
        <v>121</v>
      </c>
      <c r="K3437" s="2">
        <v>304</v>
      </c>
      <c r="L3437" s="2">
        <v>5</v>
      </c>
      <c r="M3437" s="2"/>
      <c r="N3437" s="8">
        <v>40724.048368055555</v>
      </c>
      <c r="O3437" s="4" t="s">
        <v>7903</v>
      </c>
      <c r="P3437" s="3" t="s">
        <v>7902</v>
      </c>
      <c r="Q3437" s="4"/>
      <c r="R3437" s="4"/>
      <c r="S3437" s="9" t="str">
        <f>HYPERLINK("https://pbs.twimg.com/profile_images/1009406097847914496/2KOEA8rl.jpg","View")</f>
        <v>View</v>
      </c>
    </row>
    <row r="3438" spans="1:19" ht="20">
      <c r="A3438" s="8">
        <v>43342.090115740742</v>
      </c>
      <c r="B3438" s="11" t="str">
        <f>HYPERLINK("https://twitter.com/nima_rzn","@nima_rzn")</f>
        <v>@nima_rzn</v>
      </c>
      <c r="C3438" s="6" t="s">
        <v>7901</v>
      </c>
      <c r="D3438" s="5" t="s">
        <v>7900</v>
      </c>
      <c r="E3438" s="9" t="str">
        <f>HYPERLINK("https://twitter.com/nima_rzn/status/1034918555995791361","1034918555995791361")</f>
        <v>1034918555995791361</v>
      </c>
      <c r="F3438" s="4"/>
      <c r="G3438" s="4"/>
      <c r="H3438" s="4"/>
      <c r="I3438" s="10" t="str">
        <f>HYPERLINK("http://twitter.com","Twitter Web Client")</f>
        <v>Twitter Web Client</v>
      </c>
      <c r="J3438" s="2">
        <v>20</v>
      </c>
      <c r="K3438" s="2">
        <v>139</v>
      </c>
      <c r="L3438" s="2">
        <v>1</v>
      </c>
      <c r="M3438" s="2"/>
      <c r="N3438" s="8">
        <v>39982.810706018521</v>
      </c>
      <c r="O3438" s="4" t="s">
        <v>34</v>
      </c>
      <c r="P3438" s="3" t="s">
        <v>7899</v>
      </c>
      <c r="Q3438" s="4"/>
      <c r="R3438" s="4"/>
      <c r="S3438" s="9" t="str">
        <f>HYPERLINK("https://pbs.twimg.com/profile_images/952008919257354240/B9fdHVt3.jpg","View")</f>
        <v>View</v>
      </c>
    </row>
    <row r="3439" spans="1:19" ht="70">
      <c r="A3439" s="8">
        <v>43342.089097222226</v>
      </c>
      <c r="B3439" s="11" t="str">
        <f>HYPERLINK("https://twitter.com/samanefakuri","@samanefakuri")</f>
        <v>@samanefakuri</v>
      </c>
      <c r="C3439" s="6" t="s">
        <v>7898</v>
      </c>
      <c r="D3439" s="5" t="s">
        <v>7897</v>
      </c>
      <c r="E3439" s="9" t="str">
        <f>HYPERLINK("https://twitter.com/samanefakuri/status/1034918189250035712","1034918189250035712")</f>
        <v>1034918189250035712</v>
      </c>
      <c r="F3439" s="10" t="s">
        <v>7205</v>
      </c>
      <c r="G3439" s="10" t="s">
        <v>6950</v>
      </c>
      <c r="H3439" s="4"/>
      <c r="I3439" s="10" t="str">
        <f>HYPERLINK("http://twitter.com/download/android","Twitter for Android")</f>
        <v>Twitter for Android</v>
      </c>
      <c r="J3439" s="2">
        <v>100</v>
      </c>
      <c r="K3439" s="2">
        <v>78</v>
      </c>
      <c r="L3439" s="2">
        <v>1</v>
      </c>
      <c r="M3439" s="2"/>
      <c r="N3439" s="8">
        <v>41783.930532407408</v>
      </c>
      <c r="O3439" s="4" t="s">
        <v>324</v>
      </c>
      <c r="P3439" s="3" t="s">
        <v>7896</v>
      </c>
      <c r="Q3439" s="10" t="s">
        <v>7895</v>
      </c>
      <c r="R3439" s="4"/>
      <c r="S3439" s="9" t="str">
        <f>HYPERLINK("https://pbs.twimg.com/profile_images/852878744163430400/mgGtFo8G.jpg","View")</f>
        <v>View</v>
      </c>
    </row>
    <row r="3440" spans="1:19" ht="30">
      <c r="A3440" s="8">
        <v>43342.08694444444</v>
      </c>
      <c r="B3440" s="11" t="str">
        <f>HYPERLINK("https://twitter.com/realLiberal2018","@realLiberal2018")</f>
        <v>@realLiberal2018</v>
      </c>
      <c r="C3440" s="6" t="s">
        <v>7894</v>
      </c>
      <c r="D3440" s="5" t="s">
        <v>7893</v>
      </c>
      <c r="E3440" s="9" t="str">
        <f>HYPERLINK("https://twitter.com/realLiberal2018/status/1034917408421629952","1034917408421629952")</f>
        <v>1034917408421629952</v>
      </c>
      <c r="F3440" s="4"/>
      <c r="G3440" s="4"/>
      <c r="H3440" s="4"/>
      <c r="I3440" s="10" t="str">
        <f>HYPERLINK("http://twitter.com/download/iphone","Twitter for iPhone")</f>
        <v>Twitter for iPhone</v>
      </c>
      <c r="J3440" s="2">
        <v>1848</v>
      </c>
      <c r="K3440" s="2">
        <v>367</v>
      </c>
      <c r="L3440" s="2">
        <v>9</v>
      </c>
      <c r="M3440" s="2"/>
      <c r="N3440" s="8">
        <v>43214.343136574069</v>
      </c>
      <c r="O3440" s="4" t="s">
        <v>7892</v>
      </c>
      <c r="P3440" s="3" t="s">
        <v>7891</v>
      </c>
      <c r="Q3440" s="4"/>
      <c r="R3440" s="4"/>
      <c r="S3440" s="9" t="str">
        <f>HYPERLINK("https://pbs.twimg.com/profile_images/1006049698786967553/gJeL0jJV.jpg","View")</f>
        <v>View</v>
      </c>
    </row>
    <row r="3441" spans="1:19" ht="40">
      <c r="A3441" s="8">
        <v>43342.084317129629</v>
      </c>
      <c r="B3441" s="11" t="str">
        <f>HYPERLINK("https://twitter.com/jacobnadar71","@jacobnadar71")</f>
        <v>@jacobnadar71</v>
      </c>
      <c r="C3441" s="6" t="s">
        <v>7830</v>
      </c>
      <c r="D3441" s="5" t="s">
        <v>7890</v>
      </c>
      <c r="E3441" s="9" t="str">
        <f>HYPERLINK("https://twitter.com/jacobnadar71/status/1034916453626138635","1034916453626138635")</f>
        <v>1034916453626138635</v>
      </c>
      <c r="F3441" s="4"/>
      <c r="G3441" s="4"/>
      <c r="H3441" s="4"/>
      <c r="I3441" s="10" t="str">
        <f>HYPERLINK("http://twitter.com/download/android","Twitter for Android")</f>
        <v>Twitter for Android</v>
      </c>
      <c r="J3441" s="2">
        <v>0</v>
      </c>
      <c r="K3441" s="2">
        <v>1</v>
      </c>
      <c r="L3441" s="2">
        <v>0</v>
      </c>
      <c r="M3441" s="2"/>
      <c r="N3441" s="8">
        <v>43293.017604166671</v>
      </c>
      <c r="O3441" s="4"/>
      <c r="P3441" s="3" t="s">
        <v>7828</v>
      </c>
      <c r="Q3441" s="4"/>
      <c r="R3441" s="4"/>
      <c r="S3441" s="9" t="str">
        <f>HYPERLINK("https://pbs.twimg.com/profile_images/1022198342154170368/Sy4X046v.jpg","View")</f>
        <v>View</v>
      </c>
    </row>
    <row r="3442" spans="1:19" ht="20">
      <c r="A3442" s="8">
        <v>43342.079212962963</v>
      </c>
      <c r="B3442" s="11" t="str">
        <f>HYPERLINK("https://twitter.com/mirakhori1989","@mirakhori1989")</f>
        <v>@mirakhori1989</v>
      </c>
      <c r="C3442" s="6" t="s">
        <v>7889</v>
      </c>
      <c r="D3442" s="5" t="s">
        <v>7888</v>
      </c>
      <c r="E3442" s="9" t="str">
        <f>HYPERLINK("https://twitter.com/mirakhori1989/status/1034914604281987074","1034914604281987074")</f>
        <v>1034914604281987074</v>
      </c>
      <c r="F3442" s="4"/>
      <c r="G3442" s="10" t="s">
        <v>7887</v>
      </c>
      <c r="H3442" s="4"/>
      <c r="I3442" s="10" t="str">
        <f>HYPERLINK("http://twitter.com/download/android","Twitter for Android")</f>
        <v>Twitter for Android</v>
      </c>
      <c r="J3442" s="2">
        <v>768</v>
      </c>
      <c r="K3442" s="2">
        <v>612</v>
      </c>
      <c r="L3442" s="2">
        <v>3</v>
      </c>
      <c r="M3442" s="2"/>
      <c r="N3442" s="8">
        <v>41608.522280092591</v>
      </c>
      <c r="O3442" s="4" t="s">
        <v>1898</v>
      </c>
      <c r="P3442" s="3" t="s">
        <v>7886</v>
      </c>
      <c r="Q3442" s="4"/>
      <c r="R3442" s="4"/>
      <c r="S3442" s="9" t="str">
        <f>HYPERLINK("https://pbs.twimg.com/profile_images/1011513136707461120/wDRoDlSF.jpg","View")</f>
        <v>View</v>
      </c>
    </row>
    <row r="3443" spans="1:19" ht="60">
      <c r="A3443" s="8">
        <v>43342.078773148147</v>
      </c>
      <c r="B3443" s="11" t="str">
        <f>HYPERLINK("https://twitter.com/alirezagazi","@alirezagazi")</f>
        <v>@alirezagazi</v>
      </c>
      <c r="C3443" s="6" t="s">
        <v>7885</v>
      </c>
      <c r="D3443" s="5" t="s">
        <v>7884</v>
      </c>
      <c r="E3443" s="9" t="str">
        <f>HYPERLINK("https://twitter.com/alirezagazi/status/1034914447112974341","1034914447112974341")</f>
        <v>1034914447112974341</v>
      </c>
      <c r="F3443" s="10" t="s">
        <v>7883</v>
      </c>
      <c r="G3443" s="4"/>
      <c r="H3443" s="4"/>
      <c r="I3443" s="10" t="str">
        <f>HYPERLINK("http://twitter.com/download/iphone","Twitter for iPhone")</f>
        <v>Twitter for iPhone</v>
      </c>
      <c r="J3443" s="2">
        <v>304</v>
      </c>
      <c r="K3443" s="2">
        <v>106</v>
      </c>
      <c r="L3443" s="2">
        <v>1</v>
      </c>
      <c r="M3443" s="2"/>
      <c r="N3443" s="8">
        <v>42272.883472222224</v>
      </c>
      <c r="O3443" s="4" t="s">
        <v>34</v>
      </c>
      <c r="P3443" s="3" t="s">
        <v>7882</v>
      </c>
      <c r="Q3443" s="10" t="s">
        <v>7881</v>
      </c>
      <c r="R3443" s="4"/>
      <c r="S3443" s="9" t="str">
        <f>HYPERLINK("https://pbs.twimg.com/profile_images/967835483987431426/ZPqaAhby.jpg","View")</f>
        <v>View</v>
      </c>
    </row>
    <row r="3444" spans="1:19" ht="40">
      <c r="A3444" s="8">
        <v>43342.073819444442</v>
      </c>
      <c r="B3444" s="11" t="str">
        <f>HYPERLINK("https://twitter.com/unikador","@unikador")</f>
        <v>@unikador</v>
      </c>
      <c r="C3444" s="6" t="s">
        <v>7880</v>
      </c>
      <c r="D3444" s="5" t="s">
        <v>7879</v>
      </c>
      <c r="E3444" s="9" t="str">
        <f>HYPERLINK("https://twitter.com/unikador/status/1034912651237904387","1034912651237904387")</f>
        <v>1034912651237904387</v>
      </c>
      <c r="F3444" s="10" t="s">
        <v>7878</v>
      </c>
      <c r="G3444" s="4"/>
      <c r="H3444" s="4"/>
      <c r="I3444" s="10" t="str">
        <f>HYPERLINK("http://twitter.com","Twitter Web Client")</f>
        <v>Twitter Web Client</v>
      </c>
      <c r="J3444" s="2">
        <v>74</v>
      </c>
      <c r="K3444" s="2">
        <v>0</v>
      </c>
      <c r="L3444" s="2">
        <v>0</v>
      </c>
      <c r="M3444" s="2"/>
      <c r="N3444" s="8">
        <v>42812.944016203706</v>
      </c>
      <c r="O3444" s="4"/>
      <c r="P3444" s="3" t="s">
        <v>7877</v>
      </c>
      <c r="Q3444" s="10" t="s">
        <v>7876</v>
      </c>
      <c r="R3444" s="4"/>
      <c r="S3444" s="9" t="str">
        <f>HYPERLINK("https://pbs.twimg.com/profile_images/958142395090120704/KOlGXVn4.jpg","View")</f>
        <v>View</v>
      </c>
    </row>
    <row r="3445" spans="1:19" ht="40">
      <c r="A3445" s="8">
        <v>43342.072650462964</v>
      </c>
      <c r="B3445" s="11" t="str">
        <f>HYPERLINK("https://twitter.com/Dokhtare7darya","@Dokhtare7darya")</f>
        <v>@Dokhtare7darya</v>
      </c>
      <c r="C3445" s="6" t="s">
        <v>7875</v>
      </c>
      <c r="D3445" s="5" t="s">
        <v>7874</v>
      </c>
      <c r="E3445" s="9" t="str">
        <f>HYPERLINK("https://twitter.com/Dokhtare7darya/status/1034912228460449794","1034912228460449794")</f>
        <v>1034912228460449794</v>
      </c>
      <c r="F3445" s="4"/>
      <c r="G3445" s="4"/>
      <c r="H3445" s="4"/>
      <c r="I3445" s="10" t="str">
        <f>HYPERLINK("https://mobile.twitter.com","Twitter Lite")</f>
        <v>Twitter Lite</v>
      </c>
      <c r="J3445" s="2">
        <v>1131</v>
      </c>
      <c r="K3445" s="2">
        <v>761</v>
      </c>
      <c r="L3445" s="2">
        <v>11</v>
      </c>
      <c r="M3445" s="2"/>
      <c r="N3445" s="8">
        <v>40218.338356481479</v>
      </c>
      <c r="O3445" s="4"/>
      <c r="P3445" s="3" t="s">
        <v>7873</v>
      </c>
      <c r="Q3445" s="4"/>
      <c r="R3445" s="4"/>
      <c r="S3445" s="9" t="str">
        <f>HYPERLINK("https://pbs.twimg.com/profile_images/1023983818288578560/3tTgtrv6.jpg","View")</f>
        <v>View</v>
      </c>
    </row>
    <row r="3446" spans="1:19" ht="20">
      <c r="A3446" s="8">
        <v>43342.071585648147</v>
      </c>
      <c r="B3446" s="11" t="str">
        <f>HYPERLINK("https://twitter.com/yaalii_110","@yaalii_110")</f>
        <v>@yaalii_110</v>
      </c>
      <c r="C3446" s="6" t="s">
        <v>1224</v>
      </c>
      <c r="D3446" s="5" t="s">
        <v>7872</v>
      </c>
      <c r="E3446" s="9" t="str">
        <f>HYPERLINK("https://twitter.com/yaalii_110/status/1034911842630619151","1034911842630619151")</f>
        <v>1034911842630619151</v>
      </c>
      <c r="F3446" s="4"/>
      <c r="G3446" s="4"/>
      <c r="H3446" s="4"/>
      <c r="I3446" s="10" t="str">
        <f>HYPERLINK("http://twitter.com/download/android","Twitter for Android")</f>
        <v>Twitter for Android</v>
      </c>
      <c r="J3446" s="2">
        <v>319</v>
      </c>
      <c r="K3446" s="2">
        <v>226</v>
      </c>
      <c r="L3446" s="2">
        <v>1</v>
      </c>
      <c r="M3446" s="2"/>
      <c r="N3446" s="8">
        <v>43246.990578703699</v>
      </c>
      <c r="O3446" s="4"/>
      <c r="P3446" s="3" t="s">
        <v>1222</v>
      </c>
      <c r="Q3446" s="4"/>
      <c r="R3446" s="4"/>
      <c r="S3446" s="9" t="str">
        <f>HYPERLINK("https://pbs.twimg.com/profile_images/1000459175330279425/q_IXc2Kn.jpg","View")</f>
        <v>View</v>
      </c>
    </row>
    <row r="3447" spans="1:19" ht="30">
      <c r="A3447" s="8">
        <v>43342.07104166667</v>
      </c>
      <c r="B3447" s="11" t="str">
        <f>HYPERLINK("https://twitter.com/abbas7293","@abbas7293")</f>
        <v>@abbas7293</v>
      </c>
      <c r="C3447" s="6" t="s">
        <v>4661</v>
      </c>
      <c r="D3447" s="5" t="s">
        <v>7871</v>
      </c>
      <c r="E3447" s="9" t="str">
        <f>HYPERLINK("https://twitter.com/abbas7293/status/1034911643292127236","1034911643292127236")</f>
        <v>1034911643292127236</v>
      </c>
      <c r="F3447" s="4"/>
      <c r="G3447" s="10" t="s">
        <v>7870</v>
      </c>
      <c r="H3447" s="4"/>
      <c r="I3447" s="10" t="str">
        <f>HYPERLINK("http://twitter.com/download/iphone","Twitter for iPhone")</f>
        <v>Twitter for iPhone</v>
      </c>
      <c r="J3447" s="2">
        <v>234</v>
      </c>
      <c r="K3447" s="2">
        <v>727</v>
      </c>
      <c r="L3447" s="2">
        <v>2</v>
      </c>
      <c r="M3447" s="2"/>
      <c r="N3447" s="8">
        <v>42960.999189814815</v>
      </c>
      <c r="O3447" s="4" t="s">
        <v>34</v>
      </c>
      <c r="P3447" s="3" t="s">
        <v>4659</v>
      </c>
      <c r="Q3447" s="4"/>
      <c r="R3447" s="4"/>
      <c r="S3447" s="9" t="str">
        <f>HYPERLINK("https://pbs.twimg.com/profile_images/1025129929283960833/tZ1l1bo-.jpg","View")</f>
        <v>View</v>
      </c>
    </row>
    <row r="3448" spans="1:19" ht="20">
      <c r="A3448" s="8">
        <v>43342.070069444446</v>
      </c>
      <c r="B3448" s="11" t="str">
        <f>HYPERLINK("https://twitter.com/Jj2JWMulvWL0NFP","@Jj2JWMulvWL0NFP")</f>
        <v>@Jj2JWMulvWL0NFP</v>
      </c>
      <c r="C3448" s="6" t="s">
        <v>7850</v>
      </c>
      <c r="D3448" s="5" t="s">
        <v>7869</v>
      </c>
      <c r="E3448" s="9" t="str">
        <f>HYPERLINK("https://twitter.com/Jj2JWMulvWL0NFP/status/1034911292065304581","1034911292065304581")</f>
        <v>1034911292065304581</v>
      </c>
      <c r="F3448" s="4"/>
      <c r="G3448" s="4"/>
      <c r="H3448" s="4"/>
      <c r="I3448" s="10" t="str">
        <f>HYPERLINK("http://twitter.com/download/android","Twitter for Android")</f>
        <v>Twitter for Android</v>
      </c>
      <c r="J3448" s="2">
        <v>10</v>
      </c>
      <c r="K3448" s="2">
        <v>32</v>
      </c>
      <c r="L3448" s="2">
        <v>0</v>
      </c>
      <c r="M3448" s="2"/>
      <c r="N3448" s="8">
        <v>43336.507245370369</v>
      </c>
      <c r="O3448" s="4"/>
      <c r="P3448" s="3"/>
      <c r="Q3448" s="4"/>
      <c r="R3448" s="4"/>
      <c r="S3448" s="9" t="str">
        <f>HYPERLINK("https://pbs.twimg.com/profile_images/1032896898468913152/fhYCnz49.jpg","View")</f>
        <v>View</v>
      </c>
    </row>
    <row r="3449" spans="1:19" ht="60">
      <c r="A3449" s="8">
        <v>43342.069432870368</v>
      </c>
      <c r="B3449" s="11" t="str">
        <f>HYPERLINK("https://twitter.com/AbolfazlNorani","@AbolfazlNorani")</f>
        <v>@AbolfazlNorani</v>
      </c>
      <c r="C3449" s="6" t="s">
        <v>7868</v>
      </c>
      <c r="D3449" s="5" t="s">
        <v>7867</v>
      </c>
      <c r="E3449" s="9" t="str">
        <f>HYPERLINK("https://twitter.com/AbolfazlNorani/status/1034911062615904257","1034911062615904257")</f>
        <v>1034911062615904257</v>
      </c>
      <c r="F3449" s="4" t="s">
        <v>7866</v>
      </c>
      <c r="G3449" s="4"/>
      <c r="H3449" s="4"/>
      <c r="I3449" s="10" t="str">
        <f>HYPERLINK("http://twitter.com/download/android","Twitter for Android")</f>
        <v>Twitter for Android</v>
      </c>
      <c r="J3449" s="2">
        <v>2535</v>
      </c>
      <c r="K3449" s="2">
        <v>2657</v>
      </c>
      <c r="L3449" s="2">
        <v>2</v>
      </c>
      <c r="M3449" s="2"/>
      <c r="N3449" s="8">
        <v>43026.637858796297</v>
      </c>
      <c r="O3449" s="4" t="s">
        <v>25</v>
      </c>
      <c r="P3449" s="3" t="s">
        <v>7865</v>
      </c>
      <c r="Q3449" s="4"/>
      <c r="R3449" s="4"/>
      <c r="S3449" s="9" t="str">
        <f>HYPERLINK("https://pbs.twimg.com/profile_images/1002500864052023296/pJV9Q-5L.jpg","View")</f>
        <v>View</v>
      </c>
    </row>
    <row r="3450" spans="1:19" ht="40">
      <c r="A3450" s="8">
        <v>43342.068854166668</v>
      </c>
      <c r="B3450" s="11" t="str">
        <f>HYPERLINK("https://twitter.com/donyavi_mohsen","@donyavi_mohsen")</f>
        <v>@donyavi_mohsen</v>
      </c>
      <c r="C3450" s="6" t="s">
        <v>7864</v>
      </c>
      <c r="D3450" s="5" t="s">
        <v>7863</v>
      </c>
      <c r="E3450" s="9" t="str">
        <f>HYPERLINK("https://twitter.com/donyavi_mohsen/status/1034910850518269952","1034910850518269952")</f>
        <v>1034910850518269952</v>
      </c>
      <c r="F3450" s="4"/>
      <c r="G3450" s="4"/>
      <c r="H3450" s="4"/>
      <c r="I3450" s="10" t="str">
        <f>HYPERLINK("http://twitter.com/download/android","Twitter for Android")</f>
        <v>Twitter for Android</v>
      </c>
      <c r="J3450" s="2">
        <v>55</v>
      </c>
      <c r="K3450" s="2">
        <v>126</v>
      </c>
      <c r="L3450" s="2">
        <v>0</v>
      </c>
      <c r="M3450" s="2"/>
      <c r="N3450" s="8">
        <v>43309.867754629631</v>
      </c>
      <c r="O3450" s="4"/>
      <c r="P3450" s="3" t="s">
        <v>7862</v>
      </c>
      <c r="Q3450" s="4"/>
      <c r="R3450" s="4"/>
      <c r="S3450" s="9" t="str">
        <f>HYPERLINK("https://pbs.twimg.com/profile_images/1023243374562889729/k6kXUBhc.jpg","View")</f>
        <v>View</v>
      </c>
    </row>
    <row r="3451" spans="1:19" ht="30">
      <c r="A3451" s="8">
        <v>43342.068113425921</v>
      </c>
      <c r="B3451" s="11" t="str">
        <f>HYPERLINK("https://twitter.com/jacobnadar71","@jacobnadar71")</f>
        <v>@jacobnadar71</v>
      </c>
      <c r="C3451" s="6" t="s">
        <v>7830</v>
      </c>
      <c r="D3451" s="5" t="s">
        <v>7861</v>
      </c>
      <c r="E3451" s="9" t="str">
        <f>HYPERLINK("https://twitter.com/jacobnadar71/status/1034910582208712704","1034910582208712704")</f>
        <v>1034910582208712704</v>
      </c>
      <c r="F3451" s="4"/>
      <c r="G3451" s="4"/>
      <c r="H3451" s="4"/>
      <c r="I3451" s="10" t="str">
        <f>HYPERLINK("http://twitter.com/download/android","Twitter for Android")</f>
        <v>Twitter for Android</v>
      </c>
      <c r="J3451" s="2">
        <v>0</v>
      </c>
      <c r="K3451" s="2">
        <v>1</v>
      </c>
      <c r="L3451" s="2">
        <v>0</v>
      </c>
      <c r="M3451" s="2"/>
      <c r="N3451" s="8">
        <v>43293.017604166671</v>
      </c>
      <c r="O3451" s="4"/>
      <c r="P3451" s="3" t="s">
        <v>7828</v>
      </c>
      <c r="Q3451" s="4"/>
      <c r="R3451" s="4"/>
      <c r="S3451" s="9" t="str">
        <f>HYPERLINK("https://pbs.twimg.com/profile_images/1022198342154170368/Sy4X046v.jpg","View")</f>
        <v>View</v>
      </c>
    </row>
    <row r="3452" spans="1:19" ht="20">
      <c r="A3452" s="8">
        <v>43342.063287037032</v>
      </c>
      <c r="B3452" s="11" t="str">
        <f>HYPERLINK("https://twitter.com/Jj2JWMulvWL0NFP","@Jj2JWMulvWL0NFP")</f>
        <v>@Jj2JWMulvWL0NFP</v>
      </c>
      <c r="C3452" s="6" t="s">
        <v>7850</v>
      </c>
      <c r="D3452" s="5" t="s">
        <v>7860</v>
      </c>
      <c r="E3452" s="9" t="str">
        <f>HYPERLINK("https://twitter.com/Jj2JWMulvWL0NFP/status/1034908833930534912","1034908833930534912")</f>
        <v>1034908833930534912</v>
      </c>
      <c r="F3452" s="4"/>
      <c r="G3452" s="4"/>
      <c r="H3452" s="4"/>
      <c r="I3452" s="10" t="str">
        <f>HYPERLINK("http://twitter.com/download/android","Twitter for Android")</f>
        <v>Twitter for Android</v>
      </c>
      <c r="J3452" s="2">
        <v>10</v>
      </c>
      <c r="K3452" s="2">
        <v>32</v>
      </c>
      <c r="L3452" s="2">
        <v>0</v>
      </c>
      <c r="M3452" s="2"/>
      <c r="N3452" s="8">
        <v>43336.507245370369</v>
      </c>
      <c r="O3452" s="4"/>
      <c r="P3452" s="3"/>
      <c r="Q3452" s="4"/>
      <c r="R3452" s="4"/>
      <c r="S3452" s="9" t="str">
        <f>HYPERLINK("https://pbs.twimg.com/profile_images/1032896898468913152/fhYCnz49.jpg","View")</f>
        <v>View</v>
      </c>
    </row>
    <row r="3453" spans="1:19" ht="40">
      <c r="A3453" s="8">
        <v>43342.062604166669</v>
      </c>
      <c r="B3453" s="11" t="str">
        <f>HYPERLINK("https://twitter.com/echopapa","@echopapa")</f>
        <v>@echopapa</v>
      </c>
      <c r="C3453" s="6" t="s">
        <v>7859</v>
      </c>
      <c r="D3453" s="5" t="s">
        <v>7858</v>
      </c>
      <c r="E3453" s="9" t="str">
        <f>HYPERLINK("https://twitter.com/echopapa/status/1034908586235707392","1034908586235707392")</f>
        <v>1034908586235707392</v>
      </c>
      <c r="F3453" s="4"/>
      <c r="G3453" s="10" t="s">
        <v>7857</v>
      </c>
      <c r="H3453" s="4"/>
      <c r="I3453" s="10" t="str">
        <f>HYPERLINK("http://twitter.com","Twitter Web Client")</f>
        <v>Twitter Web Client</v>
      </c>
      <c r="J3453" s="2">
        <v>550</v>
      </c>
      <c r="K3453" s="2">
        <v>1048</v>
      </c>
      <c r="L3453" s="2">
        <v>2</v>
      </c>
      <c r="M3453" s="2"/>
      <c r="N3453" s="8">
        <v>43228.92800925926</v>
      </c>
      <c r="O3453" s="4"/>
      <c r="P3453" s="3" t="s">
        <v>7856</v>
      </c>
      <c r="Q3453" s="4"/>
      <c r="R3453" s="4"/>
      <c r="S3453" s="9" t="str">
        <f>HYPERLINK("https://pbs.twimg.com/profile_images/997180062431494144/c62fCq4T.jpg","View")</f>
        <v>View</v>
      </c>
    </row>
    <row r="3454" spans="1:19" ht="30">
      <c r="A3454" s="8">
        <v>43342.060324074075</v>
      </c>
      <c r="B3454" s="11" t="str">
        <f>HYPERLINK("https://twitter.com/TahirTweeted","@TahirTweeted")</f>
        <v>@TahirTweeted</v>
      </c>
      <c r="C3454" s="6" t="s">
        <v>7855</v>
      </c>
      <c r="D3454" s="5" t="s">
        <v>7854</v>
      </c>
      <c r="E3454" s="9" t="str">
        <f>HYPERLINK("https://twitter.com/TahirTweeted/status/1034907759395975168","1034907759395975168")</f>
        <v>1034907759395975168</v>
      </c>
      <c r="F3454" s="4"/>
      <c r="G3454" s="4"/>
      <c r="H3454" s="4"/>
      <c r="I3454" s="10" t="str">
        <f>HYPERLINK("http://twitter.com/download/android","Twitter for Android")</f>
        <v>Twitter for Android</v>
      </c>
      <c r="J3454" s="2">
        <v>1076</v>
      </c>
      <c r="K3454" s="2">
        <v>3438</v>
      </c>
      <c r="L3454" s="2">
        <v>1</v>
      </c>
      <c r="M3454" s="2"/>
      <c r="N3454" s="8">
        <v>41120.142569444448</v>
      </c>
      <c r="O3454" s="4"/>
      <c r="P3454" s="3" t="s">
        <v>7853</v>
      </c>
      <c r="Q3454" s="4"/>
      <c r="R3454" s="4"/>
      <c r="S3454" s="9" t="str">
        <f>HYPERLINK("https://pbs.twimg.com/profile_images/570004879922319360/F-jnf_up.jpeg","View")</f>
        <v>View</v>
      </c>
    </row>
    <row r="3455" spans="1:19" ht="30">
      <c r="A3455" s="8">
        <v>43342.059398148151</v>
      </c>
      <c r="B3455" s="11" t="str">
        <f>HYPERLINK("https://twitter.com/hassansafarika","@hassansafarika")</f>
        <v>@hassansafarika</v>
      </c>
      <c r="C3455" s="6" t="s">
        <v>7160</v>
      </c>
      <c r="D3455" s="5" t="s">
        <v>7852</v>
      </c>
      <c r="E3455" s="9" t="str">
        <f>HYPERLINK("https://twitter.com/hassansafarika/status/1034907423922966536","1034907423922966536")</f>
        <v>1034907423922966536</v>
      </c>
      <c r="F3455" s="4"/>
      <c r="G3455" s="10" t="s">
        <v>7851</v>
      </c>
      <c r="H3455" s="4"/>
      <c r="I3455" s="10" t="str">
        <f>HYPERLINK("http://twitter.com/download/android","Twitter for Android")</f>
        <v>Twitter for Android</v>
      </c>
      <c r="J3455" s="2">
        <v>1158</v>
      </c>
      <c r="K3455" s="2">
        <v>2198</v>
      </c>
      <c r="L3455" s="2">
        <v>3</v>
      </c>
      <c r="M3455" s="2"/>
      <c r="N3455" s="8">
        <v>43135.556874999995</v>
      </c>
      <c r="O3455" s="4" t="s">
        <v>17</v>
      </c>
      <c r="P3455" s="3" t="s">
        <v>7158</v>
      </c>
      <c r="Q3455" s="4"/>
      <c r="R3455" s="4"/>
      <c r="S3455" s="9" t="str">
        <f>HYPERLINK("https://pbs.twimg.com/profile_images/1009028943242985472/Rm6iR6ZA.jpg","View")</f>
        <v>View</v>
      </c>
    </row>
    <row r="3456" spans="1:19" ht="20">
      <c r="A3456" s="8">
        <v>43342.059305555551</v>
      </c>
      <c r="B3456" s="11" t="str">
        <f>HYPERLINK("https://twitter.com/Jj2JWMulvWL0NFP","@Jj2JWMulvWL0NFP")</f>
        <v>@Jj2JWMulvWL0NFP</v>
      </c>
      <c r="C3456" s="6" t="s">
        <v>7850</v>
      </c>
      <c r="D3456" s="5" t="s">
        <v>7849</v>
      </c>
      <c r="E3456" s="9" t="str">
        <f>HYPERLINK("https://twitter.com/Jj2JWMulvWL0NFP/status/1034907390527918096","1034907390527918096")</f>
        <v>1034907390527918096</v>
      </c>
      <c r="F3456" s="4"/>
      <c r="G3456" s="4"/>
      <c r="H3456" s="4"/>
      <c r="I3456" s="10" t="str">
        <f>HYPERLINK("http://twitter.com/download/android","Twitter for Android")</f>
        <v>Twitter for Android</v>
      </c>
      <c r="J3456" s="2">
        <v>10</v>
      </c>
      <c r="K3456" s="2">
        <v>32</v>
      </c>
      <c r="L3456" s="2">
        <v>0</v>
      </c>
      <c r="M3456" s="2"/>
      <c r="N3456" s="8">
        <v>43336.507245370369</v>
      </c>
      <c r="O3456" s="4"/>
      <c r="P3456" s="3"/>
      <c r="Q3456" s="4"/>
      <c r="R3456" s="4"/>
      <c r="S3456" s="9" t="str">
        <f>HYPERLINK("https://pbs.twimg.com/profile_images/1032896898468913152/fhYCnz49.jpg","View")</f>
        <v>View</v>
      </c>
    </row>
    <row r="3457" spans="1:19" ht="30">
      <c r="A3457" s="8">
        <v>43342.059259259258</v>
      </c>
      <c r="B3457" s="11" t="str">
        <f>HYPERLINK("https://twitter.com/iaaraash","@iaaraash")</f>
        <v>@iaaraash</v>
      </c>
      <c r="C3457" s="6" t="s">
        <v>7848</v>
      </c>
      <c r="D3457" s="5" t="s">
        <v>7847</v>
      </c>
      <c r="E3457" s="9" t="str">
        <f>HYPERLINK("https://twitter.com/iaaraash/status/1034907376409817088","1034907376409817088")</f>
        <v>1034907376409817088</v>
      </c>
      <c r="F3457" s="10" t="s">
        <v>7106</v>
      </c>
      <c r="G3457" s="4"/>
      <c r="H3457" s="4"/>
      <c r="I3457" s="10" t="str">
        <f>HYPERLINK("http://twitter.com/download/iphone","Twitter for iPhone")</f>
        <v>Twitter for iPhone</v>
      </c>
      <c r="J3457" s="2">
        <v>1396</v>
      </c>
      <c r="K3457" s="2">
        <v>2437</v>
      </c>
      <c r="L3457" s="2">
        <v>0</v>
      </c>
      <c r="M3457" s="2"/>
      <c r="N3457" s="8">
        <v>43235.069594907407</v>
      </c>
      <c r="O3457" s="4" t="s">
        <v>190</v>
      </c>
      <c r="P3457" s="3" t="s">
        <v>7846</v>
      </c>
      <c r="Q3457" s="4"/>
      <c r="R3457" s="4"/>
      <c r="S3457" s="9" t="str">
        <f>HYPERLINK("https://pbs.twimg.com/profile_images/996142507485548549/x96JTgsP.jpg","View")</f>
        <v>View</v>
      </c>
    </row>
    <row r="3458" spans="1:19" ht="20">
      <c r="A3458" s="8">
        <v>43342.058900462958</v>
      </c>
      <c r="B3458" s="11" t="str">
        <f>HYPERLINK("https://twitter.com/saied5756","@saied5756")</f>
        <v>@saied5756</v>
      </c>
      <c r="C3458" s="6" t="s">
        <v>7845</v>
      </c>
      <c r="D3458" s="5" t="s">
        <v>7844</v>
      </c>
      <c r="E3458" s="9" t="str">
        <f>HYPERLINK("https://twitter.com/saied5756/status/1034907243186212869","1034907243186212869")</f>
        <v>1034907243186212869</v>
      </c>
      <c r="F3458" s="4"/>
      <c r="G3458" s="4"/>
      <c r="H3458" s="4"/>
      <c r="I3458" s="10" t="str">
        <f>HYPERLINK("http://twitter.com/download/android","Twitter for Android")</f>
        <v>Twitter for Android</v>
      </c>
      <c r="J3458" s="2">
        <v>15</v>
      </c>
      <c r="K3458" s="2">
        <v>65</v>
      </c>
      <c r="L3458" s="2">
        <v>0</v>
      </c>
      <c r="M3458" s="2"/>
      <c r="N3458" s="8">
        <v>42192.554548611108</v>
      </c>
      <c r="O3458" s="4"/>
      <c r="P3458" s="3" t="s">
        <v>7843</v>
      </c>
      <c r="Q3458" s="4"/>
      <c r="R3458" s="4"/>
      <c r="S3458" s="9" t="str">
        <f>HYPERLINK("https://pbs.twimg.com/profile_images/1032332525115457536/hyTUzzJ7.jpg","View")</f>
        <v>View</v>
      </c>
    </row>
    <row r="3459" spans="1:19" ht="40">
      <c r="A3459" s="8">
        <v>43342.057881944449</v>
      </c>
      <c r="B3459" s="11" t="str">
        <f>HYPERLINK("https://twitter.com/Alef_Ha_Mim","@Alef_Ha_Mim")</f>
        <v>@Alef_Ha_Mim</v>
      </c>
      <c r="C3459" s="6" t="s">
        <v>7842</v>
      </c>
      <c r="D3459" s="5" t="s">
        <v>7841</v>
      </c>
      <c r="E3459" s="9" t="str">
        <f>HYPERLINK("https://twitter.com/Alef_Ha_Mim/status/1034906874347438085","1034906874347438085")</f>
        <v>1034906874347438085</v>
      </c>
      <c r="F3459" s="4"/>
      <c r="G3459" s="4"/>
      <c r="H3459" s="4"/>
      <c r="I3459" s="10" t="str">
        <f>HYPERLINK("http://twitter.com/download/android","Twitter for Android")</f>
        <v>Twitter for Android</v>
      </c>
      <c r="J3459" s="2">
        <v>60</v>
      </c>
      <c r="K3459" s="2">
        <v>90</v>
      </c>
      <c r="L3459" s="2">
        <v>1</v>
      </c>
      <c r="M3459" s="2"/>
      <c r="N3459" s="8">
        <v>42846.111909722225</v>
      </c>
      <c r="O3459" s="4" t="s">
        <v>34</v>
      </c>
      <c r="P3459" s="3" t="s">
        <v>7840</v>
      </c>
      <c r="Q3459" s="10" t="s">
        <v>7839</v>
      </c>
      <c r="R3459" s="4"/>
      <c r="S3459" s="9" t="str">
        <f>HYPERLINK("https://pbs.twimg.com/profile_images/1012807620066009095/lz9CeIAo.jpg","View")</f>
        <v>View</v>
      </c>
    </row>
    <row r="3460" spans="1:19" ht="20">
      <c r="A3460" s="8">
        <v>43342.057164351849</v>
      </c>
      <c r="B3460" s="11" t="str">
        <f>HYPERLINK("https://twitter.com/niloofaraneh14","@niloofaraneh14")</f>
        <v>@niloofaraneh14</v>
      </c>
      <c r="C3460" s="6" t="s">
        <v>2942</v>
      </c>
      <c r="D3460" s="5" t="s">
        <v>7838</v>
      </c>
      <c r="E3460" s="9" t="str">
        <f>HYPERLINK("https://twitter.com/niloofaraneh14/status/1034906613751132160","1034906613751132160")</f>
        <v>1034906613751132160</v>
      </c>
      <c r="F3460" s="4"/>
      <c r="G3460" s="4"/>
      <c r="H3460" s="4"/>
      <c r="I3460" s="10" t="str">
        <f>HYPERLINK("http://twitter.com/download/android","Twitter for Android")</f>
        <v>Twitter for Android</v>
      </c>
      <c r="J3460" s="2">
        <v>414</v>
      </c>
      <c r="K3460" s="2">
        <v>367</v>
      </c>
      <c r="L3460" s="2">
        <v>0</v>
      </c>
      <c r="M3460" s="2"/>
      <c r="N3460" s="8">
        <v>42747.144189814819</v>
      </c>
      <c r="O3460" s="4"/>
      <c r="P3460" s="3" t="s">
        <v>2940</v>
      </c>
      <c r="Q3460" s="4"/>
      <c r="R3460" s="4"/>
      <c r="S3460" s="9" t="str">
        <f>HYPERLINK("https://pbs.twimg.com/profile_images/885952120117178371/qo2R9e-C.jpg","View")</f>
        <v>View</v>
      </c>
    </row>
    <row r="3461" spans="1:19" ht="30">
      <c r="A3461" s="8">
        <v>43342.057025462964</v>
      </c>
      <c r="B3461" s="11" t="str">
        <f>HYPERLINK("https://twitter.com/maryam_zohdi","@maryam_zohdi")</f>
        <v>@maryam_zohdi</v>
      </c>
      <c r="C3461" s="6" t="s">
        <v>7837</v>
      </c>
      <c r="D3461" s="5" t="s">
        <v>7836</v>
      </c>
      <c r="E3461" s="9" t="str">
        <f>HYPERLINK("https://twitter.com/maryam_zohdi/status/1034906565432823814","1034906565432823814")</f>
        <v>1034906565432823814</v>
      </c>
      <c r="F3461" s="4"/>
      <c r="G3461" s="10" t="s">
        <v>7835</v>
      </c>
      <c r="H3461" s="4"/>
      <c r="I3461" s="10" t="str">
        <f>HYPERLINK("http://twitter.com/download/iphone","Twitter for iPhone")</f>
        <v>Twitter for iPhone</v>
      </c>
      <c r="J3461" s="2">
        <v>21901</v>
      </c>
      <c r="K3461" s="2">
        <v>596</v>
      </c>
      <c r="L3461" s="2">
        <v>123</v>
      </c>
      <c r="M3461" s="2" t="s">
        <v>80</v>
      </c>
      <c r="N3461" s="8">
        <v>42414.089942129634</v>
      </c>
      <c r="O3461" s="4"/>
      <c r="P3461" s="3" t="s">
        <v>7834</v>
      </c>
      <c r="Q3461" s="10" t="s">
        <v>7833</v>
      </c>
      <c r="R3461" s="4"/>
      <c r="S3461" s="9" t="str">
        <f>HYPERLINK("https://pbs.twimg.com/profile_images/1015653563446460416/lwCwQXMF.jpg","View")</f>
        <v>View</v>
      </c>
    </row>
    <row r="3462" spans="1:19" ht="12.5">
      <c r="A3462" s="8">
        <v>43342.056770833333</v>
      </c>
      <c r="B3462" s="11" t="str">
        <f>HYPERLINK("https://twitter.com/Omidmansor1","@Omidmansor1")</f>
        <v>@Omidmansor1</v>
      </c>
      <c r="C3462" s="6" t="s">
        <v>2816</v>
      </c>
      <c r="D3462" s="5" t="s">
        <v>7832</v>
      </c>
      <c r="E3462" s="9" t="str">
        <f>HYPERLINK("https://twitter.com/Omidmansor1/status/1034906472013070337","1034906472013070337")</f>
        <v>1034906472013070337</v>
      </c>
      <c r="F3462" s="4"/>
      <c r="G3462" s="10" t="s">
        <v>7831</v>
      </c>
      <c r="H3462" s="4"/>
      <c r="I3462" s="10" t="str">
        <f>HYPERLINK("https://mobile.twitter.com","Twitter Lite")</f>
        <v>Twitter Lite</v>
      </c>
      <c r="J3462" s="2">
        <v>38</v>
      </c>
      <c r="K3462" s="2">
        <v>71</v>
      </c>
      <c r="L3462" s="2">
        <v>0</v>
      </c>
      <c r="M3462" s="2"/>
      <c r="N3462" s="8">
        <v>43048.681377314817</v>
      </c>
      <c r="O3462" s="4"/>
      <c r="P3462" s="3" t="s">
        <v>2813</v>
      </c>
      <c r="Q3462" s="4"/>
      <c r="R3462" s="4"/>
      <c r="S3462" s="9" t="str">
        <f>HYPERLINK("https://pbs.twimg.com/profile_images/1033199679150981121/sBhUvbEi.jpg","View")</f>
        <v>View</v>
      </c>
    </row>
    <row r="3463" spans="1:19" ht="40">
      <c r="A3463" s="8">
        <v>43342.055833333332</v>
      </c>
      <c r="B3463" s="11" t="str">
        <f>HYPERLINK("https://twitter.com/jacobnadar71","@jacobnadar71")</f>
        <v>@jacobnadar71</v>
      </c>
      <c r="C3463" s="6" t="s">
        <v>7830</v>
      </c>
      <c r="D3463" s="5" t="s">
        <v>7829</v>
      </c>
      <c r="E3463" s="9" t="str">
        <f>HYPERLINK("https://twitter.com/jacobnadar71/status/1034906133201395712","1034906133201395712")</f>
        <v>1034906133201395712</v>
      </c>
      <c r="F3463" s="4"/>
      <c r="G3463" s="4"/>
      <c r="H3463" s="4"/>
      <c r="I3463" s="10" t="str">
        <f>HYPERLINK("http://twitter.com/download/android","Twitter for Android")</f>
        <v>Twitter for Android</v>
      </c>
      <c r="J3463" s="2">
        <v>0</v>
      </c>
      <c r="K3463" s="2">
        <v>1</v>
      </c>
      <c r="L3463" s="2">
        <v>0</v>
      </c>
      <c r="M3463" s="2"/>
      <c r="N3463" s="8">
        <v>43293.017604166671</v>
      </c>
      <c r="O3463" s="4"/>
      <c r="P3463" s="3" t="s">
        <v>7828</v>
      </c>
      <c r="Q3463" s="4"/>
      <c r="R3463" s="4"/>
      <c r="S3463" s="9" t="str">
        <f>HYPERLINK("https://pbs.twimg.com/profile_images/1022198342154170368/Sy4X046v.jpg","View")</f>
        <v>View</v>
      </c>
    </row>
    <row r="3464" spans="1:19" ht="40">
      <c r="A3464" s="8">
        <v>43342.054861111115</v>
      </c>
      <c r="B3464" s="11" t="str">
        <f>HYPERLINK("https://twitter.com/cenemmar","@cenemmar")</f>
        <v>@cenemmar</v>
      </c>
      <c r="C3464" s="6" t="s">
        <v>7827</v>
      </c>
      <c r="D3464" s="5" t="s">
        <v>7826</v>
      </c>
      <c r="E3464" s="9" t="str">
        <f>HYPERLINK("https://twitter.com/cenemmar/status/1034905781630627841","1034905781630627841")</f>
        <v>1034905781630627841</v>
      </c>
      <c r="F3464" s="4"/>
      <c r="G3464" s="4"/>
      <c r="H3464" s="4"/>
      <c r="I3464" s="10" t="str">
        <f>HYPERLINK("http://twitter.com","Twitter Web Client")</f>
        <v>Twitter Web Client</v>
      </c>
      <c r="J3464" s="2">
        <v>189</v>
      </c>
      <c r="K3464" s="2">
        <v>104</v>
      </c>
      <c r="L3464" s="2">
        <v>0</v>
      </c>
      <c r="M3464" s="2"/>
      <c r="N3464" s="8">
        <v>42901.096886574072</v>
      </c>
      <c r="O3464" s="4"/>
      <c r="P3464" s="3" t="s">
        <v>7825</v>
      </c>
      <c r="Q3464" s="4"/>
      <c r="R3464" s="4"/>
      <c r="S3464" s="9" t="str">
        <f>HYPERLINK("https://pbs.twimg.com/profile_images/875112069263220736/NJP-OeSO.jpg","View")</f>
        <v>View</v>
      </c>
    </row>
    <row r="3465" spans="1:19" ht="30">
      <c r="A3465" s="8">
        <v>43342.049942129626</v>
      </c>
      <c r="B3465" s="11" t="str">
        <f>HYPERLINK("https://twitter.com/iraniandanmark","@iraniandanmark")</f>
        <v>@iraniandanmark</v>
      </c>
      <c r="C3465" s="6" t="s">
        <v>7824</v>
      </c>
      <c r="D3465" s="5" t="s">
        <v>7823</v>
      </c>
      <c r="E3465" s="9" t="str">
        <f>HYPERLINK("https://twitter.com/iraniandanmark/status/1034903998048989186","1034903998048989186")</f>
        <v>1034903998048989186</v>
      </c>
      <c r="F3465" s="4"/>
      <c r="G3465" s="10" t="s">
        <v>7822</v>
      </c>
      <c r="H3465" s="4"/>
      <c r="I3465" s="10" t="str">
        <f>HYPERLINK("http://twitter.com/download/iphone","Twitter for iPhone")</f>
        <v>Twitter for iPhone</v>
      </c>
      <c r="J3465" s="2">
        <v>129</v>
      </c>
      <c r="K3465" s="2">
        <v>136</v>
      </c>
      <c r="L3465" s="2">
        <v>0</v>
      </c>
      <c r="M3465" s="2"/>
      <c r="N3465" s="8">
        <v>40976.963506944448</v>
      </c>
      <c r="O3465" s="4" t="s">
        <v>7821</v>
      </c>
      <c r="P3465" s="3" t="s">
        <v>7820</v>
      </c>
      <c r="Q3465" s="4"/>
      <c r="R3465" s="4"/>
      <c r="S3465" s="9" t="str">
        <f>HYPERLINK("https://pbs.twimg.com/profile_images/1026949602312970241/nQHACQzm.jpg","View")</f>
        <v>View</v>
      </c>
    </row>
    <row r="3466" spans="1:19" ht="40">
      <c r="A3466" s="8">
        <v>43342.049085648148</v>
      </c>
      <c r="B3466" s="11" t="str">
        <f>HYPERLINK("https://twitter.com/ARahaei","@ARahaei")</f>
        <v>@ARahaei</v>
      </c>
      <c r="C3466" s="6" t="s">
        <v>12</v>
      </c>
      <c r="D3466" s="5" t="s">
        <v>7819</v>
      </c>
      <c r="E3466" s="9" t="str">
        <f>HYPERLINK("https://twitter.com/ARahaei/status/1034903687641157634","1034903687641157634")</f>
        <v>1034903687641157634</v>
      </c>
      <c r="F3466" s="4"/>
      <c r="G3466" s="10" t="s">
        <v>7818</v>
      </c>
      <c r="H3466" s="4"/>
      <c r="I3466" s="10" t="str">
        <f>HYPERLINK("http://twitter.com","Twitter Web Client")</f>
        <v>Twitter Web Client</v>
      </c>
      <c r="J3466" s="2">
        <v>4175</v>
      </c>
      <c r="K3466" s="2">
        <v>4816</v>
      </c>
      <c r="L3466" s="2">
        <v>102</v>
      </c>
      <c r="M3466" s="2"/>
      <c r="N3466" s="8">
        <v>42371.519155092596</v>
      </c>
      <c r="O3466" s="4"/>
      <c r="P3466" s="3" t="s">
        <v>9</v>
      </c>
      <c r="Q3466" s="4"/>
      <c r="R3466" s="4"/>
      <c r="S3466" s="9" t="str">
        <f>HYPERLINK("https://pbs.twimg.com/profile_images/1015167812615266304/CqFgkueB.jpg","View")</f>
        <v>View</v>
      </c>
    </row>
    <row r="3467" spans="1:19" ht="20">
      <c r="A3467" s="8">
        <v>43342.048263888893</v>
      </c>
      <c r="B3467" s="11" t="str">
        <f>HYPERLINK("https://twitter.com/alirezarasooli7","@alirezarasooli7")</f>
        <v>@alirezarasooli7</v>
      </c>
      <c r="C3467" s="6" t="s">
        <v>7817</v>
      </c>
      <c r="D3467" s="5" t="s">
        <v>7816</v>
      </c>
      <c r="E3467" s="9" t="str">
        <f>HYPERLINK("https://twitter.com/alirezarasooli7/status/1034903391686873088","1034903391686873088")</f>
        <v>1034903391686873088</v>
      </c>
      <c r="F3467" s="4"/>
      <c r="G3467" s="10" t="s">
        <v>7815</v>
      </c>
      <c r="H3467" s="4"/>
      <c r="I3467" s="10" t="str">
        <f>HYPERLINK("http://twitter.com/download/android","Twitter for Android")</f>
        <v>Twitter for Android</v>
      </c>
      <c r="J3467" s="2">
        <v>454</v>
      </c>
      <c r="K3467" s="2">
        <v>508</v>
      </c>
      <c r="L3467" s="2">
        <v>0</v>
      </c>
      <c r="M3467" s="2"/>
      <c r="N3467" s="8">
        <v>43303.550347222219</v>
      </c>
      <c r="O3467" s="4" t="s">
        <v>34</v>
      </c>
      <c r="P3467" s="3" t="s">
        <v>7814</v>
      </c>
      <c r="Q3467" s="4"/>
      <c r="R3467" s="4"/>
      <c r="S3467" s="9" t="str">
        <f>HYPERLINK("https://pbs.twimg.com/profile_images/1022720019694800896/J-yzYKNa.jpg","View")</f>
        <v>View</v>
      </c>
    </row>
    <row r="3468" spans="1:19" ht="40">
      <c r="A3468" s="8">
        <v>43342.046828703707</v>
      </c>
      <c r="B3468" s="11" t="str">
        <f>HYPERLINK("https://twitter.com/azhargushe","@azhargushe")</f>
        <v>@azhargushe</v>
      </c>
      <c r="C3468" s="6" t="s">
        <v>7813</v>
      </c>
      <c r="D3468" s="5" t="s">
        <v>7812</v>
      </c>
      <c r="E3468" s="9" t="str">
        <f>HYPERLINK("https://twitter.com/azhargushe/status/1034902869953130496","1034902869953130496")</f>
        <v>1034902869953130496</v>
      </c>
      <c r="F3468" s="4"/>
      <c r="G3468" s="10" t="s">
        <v>7811</v>
      </c>
      <c r="H3468" s="4"/>
      <c r="I3468" s="10" t="str">
        <f>HYPERLINK("http://twitter.com","Twitter Web Client")</f>
        <v>Twitter Web Client</v>
      </c>
      <c r="J3468" s="2">
        <v>1396</v>
      </c>
      <c r="K3468" s="2">
        <v>919</v>
      </c>
      <c r="L3468" s="2">
        <v>3</v>
      </c>
      <c r="M3468" s="2"/>
      <c r="N3468" s="8">
        <v>42011.748900462961</v>
      </c>
      <c r="O3468" s="4"/>
      <c r="P3468" s="3"/>
      <c r="Q3468" s="4"/>
      <c r="R3468" s="4"/>
      <c r="S3468" s="9" t="str">
        <f>HYPERLINK("https://pbs.twimg.com/profile_images/1024018957496471556/xcvJIqkJ.jpg","View")</f>
        <v>View</v>
      </c>
    </row>
    <row r="3469" spans="1:19" ht="30">
      <c r="A3469" s="8">
        <v>43342.046655092592</v>
      </c>
      <c r="B3469" s="11" t="str">
        <f>HYPERLINK("https://twitter.com/parvin_nima","@parvin_nima")</f>
        <v>@parvin_nima</v>
      </c>
      <c r="C3469" s="6" t="s">
        <v>7810</v>
      </c>
      <c r="D3469" s="5" t="s">
        <v>7809</v>
      </c>
      <c r="E3469" s="9" t="str">
        <f>HYPERLINK("https://twitter.com/parvin_nima/status/1034902806509969408","1034902806509969408")</f>
        <v>1034902806509969408</v>
      </c>
      <c r="F3469" s="4"/>
      <c r="G3469" s="4"/>
      <c r="H3469" s="4"/>
      <c r="I3469" s="10" t="str">
        <f>HYPERLINK("http://twitter.com/download/iphone","Twitter for iPhone")</f>
        <v>Twitter for iPhone</v>
      </c>
      <c r="J3469" s="2">
        <v>1865</v>
      </c>
      <c r="K3469" s="2">
        <v>1306</v>
      </c>
      <c r="L3469" s="2">
        <v>3</v>
      </c>
      <c r="M3469" s="2"/>
      <c r="N3469" s="8">
        <v>42305.758645833332</v>
      </c>
      <c r="O3469" s="4"/>
      <c r="P3469" s="3" t="s">
        <v>7808</v>
      </c>
      <c r="Q3469" s="4"/>
      <c r="R3469" s="4"/>
      <c r="S3469" s="9" t="str">
        <f>HYPERLINK("https://pbs.twimg.com/profile_images/991379485890088960/e8T1n1Rm.jpg","View")</f>
        <v>View</v>
      </c>
    </row>
    <row r="3470" spans="1:19" ht="50">
      <c r="A3470" s="8">
        <v>43342.04519675926</v>
      </c>
      <c r="B3470" s="11" t="str">
        <f>HYPERLINK("https://twitter.com/Nightingale_SA","@Nightingale_SA")</f>
        <v>@Nightingale_SA</v>
      </c>
      <c r="C3470" s="6" t="s">
        <v>889</v>
      </c>
      <c r="D3470" s="5" t="s">
        <v>7807</v>
      </c>
      <c r="E3470" s="9" t="str">
        <f>HYPERLINK("https://twitter.com/Nightingale_SA/status/1034902277008642050","1034902277008642050")</f>
        <v>1034902277008642050</v>
      </c>
      <c r="F3470" s="10" t="s">
        <v>7806</v>
      </c>
      <c r="G3470" s="4"/>
      <c r="H3470" s="4"/>
      <c r="I3470" s="10" t="str">
        <f>HYPERLINK("http://twitter.com","Twitter Web Client")</f>
        <v>Twitter Web Client</v>
      </c>
      <c r="J3470" s="2">
        <v>185</v>
      </c>
      <c r="K3470" s="2">
        <v>687</v>
      </c>
      <c r="L3470" s="2">
        <v>1</v>
      </c>
      <c r="M3470" s="2"/>
      <c r="N3470" s="8">
        <v>43193.657326388886</v>
      </c>
      <c r="O3470" s="4"/>
      <c r="P3470" s="3" t="s">
        <v>886</v>
      </c>
      <c r="Q3470" s="4"/>
      <c r="R3470" s="4"/>
      <c r="S3470" s="9" t="str">
        <f>HYPERLINK("https://pbs.twimg.com/profile_images/981131756601569280/OkTGUrYl.jpg","View")</f>
        <v>View</v>
      </c>
    </row>
    <row r="3471" spans="1:19" ht="40">
      <c r="A3471" s="8">
        <v>43342.044849537036</v>
      </c>
      <c r="B3471" s="11" t="str">
        <f>HYPERLINK("https://twitter.com/HRtahmasebip","@HRtahmasebip")</f>
        <v>@HRtahmasebip</v>
      </c>
      <c r="C3471" s="6" t="s">
        <v>7805</v>
      </c>
      <c r="D3471" s="5" t="s">
        <v>7804</v>
      </c>
      <c r="E3471" s="9" t="str">
        <f>HYPERLINK("https://twitter.com/HRtahmasebip/status/1034902153352097792","1034902153352097792")</f>
        <v>1034902153352097792</v>
      </c>
      <c r="F3471" s="10" t="s">
        <v>7803</v>
      </c>
      <c r="G3471" s="4"/>
      <c r="H3471" s="4"/>
      <c r="I3471" s="10" t="str">
        <f>HYPERLINK("http://twitter.com/download/iphone","Twitter for iPhone")</f>
        <v>Twitter for iPhone</v>
      </c>
      <c r="J3471" s="2">
        <v>330</v>
      </c>
      <c r="K3471" s="2">
        <v>464</v>
      </c>
      <c r="L3471" s="2">
        <v>0</v>
      </c>
      <c r="M3471" s="2"/>
      <c r="N3471" s="8">
        <v>42499.067974537036</v>
      </c>
      <c r="O3471" s="4" t="s">
        <v>34</v>
      </c>
      <c r="P3471" s="3" t="s">
        <v>7802</v>
      </c>
      <c r="Q3471" s="4"/>
      <c r="R3471" s="4"/>
      <c r="S3471" s="9" t="str">
        <f>HYPERLINK("https://pbs.twimg.com/profile_images/996740243540688896/jK0e65MK.jpg","View")</f>
        <v>View</v>
      </c>
    </row>
    <row r="3472" spans="1:19" ht="20">
      <c r="A3472" s="8">
        <v>43342.042650462958</v>
      </c>
      <c r="B3472" s="11" t="str">
        <f>HYPERLINK("https://twitter.com/Reza31697517","@Reza31697517")</f>
        <v>@Reza31697517</v>
      </c>
      <c r="C3472" s="6" t="s">
        <v>4697</v>
      </c>
      <c r="D3472" s="5" t="s">
        <v>7801</v>
      </c>
      <c r="E3472" s="9" t="str">
        <f>HYPERLINK("https://twitter.com/Reza31697517/status/1034901357067739136","1034901357067739136")</f>
        <v>1034901357067739136</v>
      </c>
      <c r="F3472" s="4"/>
      <c r="G3472" s="4"/>
      <c r="H3472" s="4"/>
      <c r="I3472" s="10" t="str">
        <f>HYPERLINK("http://twitter.com/download/android","Twitter for Android")</f>
        <v>Twitter for Android</v>
      </c>
      <c r="J3472" s="2">
        <v>0</v>
      </c>
      <c r="K3472" s="2">
        <v>0</v>
      </c>
      <c r="L3472" s="2">
        <v>0</v>
      </c>
      <c r="M3472" s="2"/>
      <c r="N3472" s="8">
        <v>43296.726307870369</v>
      </c>
      <c r="O3472" s="4"/>
      <c r="P3472" s="3"/>
      <c r="Q3472" s="4"/>
      <c r="R3472" s="4"/>
      <c r="S3472" s="9" t="str">
        <f>HYPERLINK("https://pbs.twimg.com/profile_images/1018488750253510656/a_TNruhP.jpg","View")</f>
        <v>View</v>
      </c>
    </row>
    <row r="3473" spans="1:19" ht="30">
      <c r="A3473" s="8">
        <v>43342.041238425925</v>
      </c>
      <c r="B3473" s="11" t="str">
        <f>HYPERLINK("https://twitter.com/hamzehnaderi","@hamzehnaderi")</f>
        <v>@hamzehnaderi</v>
      </c>
      <c r="C3473" s="6" t="s">
        <v>1432</v>
      </c>
      <c r="D3473" s="5" t="s">
        <v>7800</v>
      </c>
      <c r="E3473" s="9" t="str">
        <f>HYPERLINK("https://twitter.com/hamzehnaderi/status/1034900844955815938","1034900844955815938")</f>
        <v>1034900844955815938</v>
      </c>
      <c r="F3473" s="4"/>
      <c r="G3473" s="10" t="s">
        <v>7799</v>
      </c>
      <c r="H3473" s="4"/>
      <c r="I3473" s="10" t="str">
        <f>HYPERLINK("http://twitter.com/download/android","Twitter for Android")</f>
        <v>Twitter for Android</v>
      </c>
      <c r="J3473" s="2">
        <v>52</v>
      </c>
      <c r="K3473" s="2">
        <v>92</v>
      </c>
      <c r="L3473" s="2">
        <v>0</v>
      </c>
      <c r="M3473" s="2"/>
      <c r="N3473" s="8">
        <v>43156.054907407408</v>
      </c>
      <c r="O3473" s="4"/>
      <c r="P3473" s="3" t="s">
        <v>1429</v>
      </c>
      <c r="Q3473" s="4"/>
      <c r="R3473" s="4"/>
      <c r="S3473" s="9" t="str">
        <f>HYPERLINK("https://pbs.twimg.com/profile_images/1031398462313693184/dszP7Fqa.jpg","View")</f>
        <v>View</v>
      </c>
    </row>
    <row r="3474" spans="1:19" ht="20">
      <c r="A3474" s="8">
        <v>43342.037280092598</v>
      </c>
      <c r="B3474" s="11" t="str">
        <f>HYPERLINK("https://twitter.com/mzr1370","@mzr1370")</f>
        <v>@mzr1370</v>
      </c>
      <c r="C3474" s="6" t="s">
        <v>7798</v>
      </c>
      <c r="D3474" s="5" t="s">
        <v>7797</v>
      </c>
      <c r="E3474" s="9" t="str">
        <f>HYPERLINK("https://twitter.com/mzr1370/status/1034899410646446080","1034899410646446080")</f>
        <v>1034899410646446080</v>
      </c>
      <c r="F3474" s="4"/>
      <c r="G3474" s="4"/>
      <c r="H3474" s="4"/>
      <c r="I3474" s="10" t="str">
        <f>HYPERLINK("http://twitter.com/download/android","Twitter for Android")</f>
        <v>Twitter for Android</v>
      </c>
      <c r="J3474" s="2">
        <v>3483</v>
      </c>
      <c r="K3474" s="2">
        <v>420</v>
      </c>
      <c r="L3474" s="2">
        <v>14</v>
      </c>
      <c r="M3474" s="2"/>
      <c r="N3474" s="8">
        <v>42883.211770833332</v>
      </c>
      <c r="O3474" s="4" t="s">
        <v>7796</v>
      </c>
      <c r="P3474" s="3" t="s">
        <v>7795</v>
      </c>
      <c r="Q3474" s="4"/>
      <c r="R3474" s="4"/>
      <c r="S3474" s="9" t="str">
        <f>HYPERLINK("https://pbs.twimg.com/profile_images/1015519122409623552/813sK7dM.jpg","View")</f>
        <v>View</v>
      </c>
    </row>
    <row r="3475" spans="1:19" ht="20">
      <c r="A3475" s="8">
        <v>43342.034710648149</v>
      </c>
      <c r="B3475" s="11" t="str">
        <f>HYPERLINK("https://twitter.com/ramzan_seifaei","@ramzan_seifaei")</f>
        <v>@ramzan_seifaei</v>
      </c>
      <c r="C3475" s="6" t="s">
        <v>7794</v>
      </c>
      <c r="D3475" s="5" t="s">
        <v>7793</v>
      </c>
      <c r="E3475" s="9" t="str">
        <f>HYPERLINK("https://twitter.com/ramzan_seifaei/status/1034898479183740930","1034898479183740930")</f>
        <v>1034898479183740930</v>
      </c>
      <c r="F3475" s="4"/>
      <c r="G3475" s="4"/>
      <c r="H3475" s="4"/>
      <c r="I3475" s="10" t="str">
        <f>HYPERLINK("http://twitter.com/download/android","Twitter for Android")</f>
        <v>Twitter for Android</v>
      </c>
      <c r="J3475" s="2">
        <v>235</v>
      </c>
      <c r="K3475" s="2">
        <v>1073</v>
      </c>
      <c r="L3475" s="2">
        <v>3</v>
      </c>
      <c r="M3475" s="2"/>
      <c r="N3475" s="8">
        <v>41765.517789351856</v>
      </c>
      <c r="O3475" s="4"/>
      <c r="P3475" s="3"/>
      <c r="Q3475" s="4"/>
      <c r="R3475" s="4"/>
      <c r="S3475" s="9" t="str">
        <f>HYPERLINK("https://pbs.twimg.com/profile_images/797900280499159041/PqMgN7fk.jpg","View")</f>
        <v>View</v>
      </c>
    </row>
    <row r="3476" spans="1:19" ht="12.5">
      <c r="A3476" s="8">
        <v>43342.031840277778</v>
      </c>
      <c r="B3476" s="11" t="str">
        <f>HYPERLINK("https://twitter.com/drcyrus_k","@drcyrus_k")</f>
        <v>@drcyrus_k</v>
      </c>
      <c r="C3476" s="6" t="s">
        <v>7792</v>
      </c>
      <c r="D3476" s="5" t="s">
        <v>7791</v>
      </c>
      <c r="E3476" s="9" t="str">
        <f>HYPERLINK("https://twitter.com/drcyrus_k/status/1034897438543364097","1034897438543364097")</f>
        <v>1034897438543364097</v>
      </c>
      <c r="F3476" s="4"/>
      <c r="G3476" s="10" t="s">
        <v>7790</v>
      </c>
      <c r="H3476" s="4"/>
      <c r="I3476" s="10" t="str">
        <f>HYPERLINK("http://twitter.com/download/iphone","Twitter for iPhone")</f>
        <v>Twitter for iPhone</v>
      </c>
      <c r="J3476" s="2">
        <v>61</v>
      </c>
      <c r="K3476" s="2">
        <v>162</v>
      </c>
      <c r="L3476" s="2">
        <v>0</v>
      </c>
      <c r="M3476" s="2"/>
      <c r="N3476" s="8">
        <v>43007.051990740743</v>
      </c>
      <c r="O3476" s="4" t="s">
        <v>1363</v>
      </c>
      <c r="P3476" s="3" t="s">
        <v>7789</v>
      </c>
      <c r="Q3476" s="4"/>
      <c r="R3476" s="4"/>
      <c r="S3476" s="9" t="str">
        <f>HYPERLINK("https://pbs.twimg.com/profile_images/971499277682987008/f8vOLPmO.jpg","View")</f>
        <v>View</v>
      </c>
    </row>
    <row r="3477" spans="1:19" ht="30">
      <c r="A3477" s="8">
        <v>43342.031226851846</v>
      </c>
      <c r="B3477" s="11" t="str">
        <f>HYPERLINK("https://twitter.com/Arji54779438","@Arji54779438")</f>
        <v>@Arji54779438</v>
      </c>
      <c r="C3477" s="6" t="s">
        <v>7788</v>
      </c>
      <c r="D3477" s="5" t="s">
        <v>7787</v>
      </c>
      <c r="E3477" s="9" t="str">
        <f>HYPERLINK("https://twitter.com/Arji54779438/status/1034897216840900614","1034897216840900614")</f>
        <v>1034897216840900614</v>
      </c>
      <c r="F3477" s="4"/>
      <c r="G3477" s="4"/>
      <c r="H3477" s="4"/>
      <c r="I3477" s="10" t="str">
        <f>HYPERLINK("http://twitter.com/download/android","Twitter for Android")</f>
        <v>Twitter for Android</v>
      </c>
      <c r="J3477" s="2">
        <v>15</v>
      </c>
      <c r="K3477" s="2">
        <v>4</v>
      </c>
      <c r="L3477" s="2">
        <v>0</v>
      </c>
      <c r="M3477" s="2"/>
      <c r="N3477" s="8">
        <v>43130.144803240742</v>
      </c>
      <c r="O3477" s="4"/>
      <c r="P3477" s="3"/>
      <c r="Q3477" s="4"/>
      <c r="R3477" s="4"/>
      <c r="S3477" s="2" t="s">
        <v>155</v>
      </c>
    </row>
    <row r="3478" spans="1:19" ht="30">
      <c r="A3478" s="8">
        <v>43342.028229166666</v>
      </c>
      <c r="B3478" s="11" t="str">
        <f>HYPERLINK("https://twitter.com/MNuribayat","@MNuribayat")</f>
        <v>@MNuribayat</v>
      </c>
      <c r="C3478" s="6" t="s">
        <v>7786</v>
      </c>
      <c r="D3478" s="5" t="s">
        <v>7785</v>
      </c>
      <c r="E3478" s="9" t="str">
        <f>HYPERLINK("https://twitter.com/MNuribayat/status/1034896129161416705","1034896129161416705")</f>
        <v>1034896129161416705</v>
      </c>
      <c r="F3478" s="4"/>
      <c r="G3478" s="4"/>
      <c r="H3478" s="4"/>
      <c r="I3478" s="10" t="str">
        <f>HYPERLINK("http://twitter.com/download/iphone","Twitter for iPhone")</f>
        <v>Twitter for iPhone</v>
      </c>
      <c r="J3478" s="2">
        <v>50</v>
      </c>
      <c r="K3478" s="2">
        <v>149</v>
      </c>
      <c r="L3478" s="2">
        <v>0</v>
      </c>
      <c r="M3478" s="2"/>
      <c r="N3478" s="8">
        <v>43000.726261574076</v>
      </c>
      <c r="O3478" s="4" t="s">
        <v>7784</v>
      </c>
      <c r="P3478" s="3" t="s">
        <v>7783</v>
      </c>
      <c r="Q3478" s="4"/>
      <c r="R3478" s="4"/>
      <c r="S3478" s="9" t="str">
        <f>HYPERLINK("https://pbs.twimg.com/profile_images/911230131506728960/T3o-Mkp0.jpg","View")</f>
        <v>View</v>
      </c>
    </row>
    <row r="3479" spans="1:19" ht="12.5">
      <c r="A3479" s="8">
        <v>43342.02815972222</v>
      </c>
      <c r="B3479" s="11" t="str">
        <f>HYPERLINK("https://twitter.com/Aria_Prd","@Aria_Prd")</f>
        <v>@Aria_Prd</v>
      </c>
      <c r="C3479" s="6" t="s">
        <v>4534</v>
      </c>
      <c r="D3479" s="5" t="s">
        <v>7782</v>
      </c>
      <c r="E3479" s="9" t="str">
        <f>HYPERLINK("https://twitter.com/Aria_Prd/status/1034896104830193666","1034896104830193666")</f>
        <v>1034896104830193666</v>
      </c>
      <c r="F3479" s="4"/>
      <c r="G3479" s="10" t="s">
        <v>7781</v>
      </c>
      <c r="H3479" s="4"/>
      <c r="I3479" s="10" t="str">
        <f>HYPERLINK("http://twitter.com/download/android","Twitter for Android")</f>
        <v>Twitter for Android</v>
      </c>
      <c r="J3479" s="2">
        <v>3228</v>
      </c>
      <c r="K3479" s="2">
        <v>2768</v>
      </c>
      <c r="L3479" s="2">
        <v>1</v>
      </c>
      <c r="M3479" s="2"/>
      <c r="N3479" s="8">
        <v>42948.438657407409</v>
      </c>
      <c r="O3479" s="4"/>
      <c r="P3479" s="3" t="s">
        <v>4532</v>
      </c>
      <c r="Q3479" s="4"/>
      <c r="R3479" s="4"/>
      <c r="S3479" s="9" t="str">
        <f>HYPERLINK("https://pbs.twimg.com/profile_images/1032002356299395072/2weycQcH.jpg","View")</f>
        <v>View</v>
      </c>
    </row>
    <row r="3480" spans="1:19" ht="70">
      <c r="A3480" s="8">
        <v>43342.026712962965</v>
      </c>
      <c r="B3480" s="11" t="str">
        <f>HYPERLINK("https://twitter.com/SdNaimi","@SdNaimi")</f>
        <v>@SdNaimi</v>
      </c>
      <c r="C3480" s="6" t="s">
        <v>534</v>
      </c>
      <c r="D3480" s="5" t="s">
        <v>7780</v>
      </c>
      <c r="E3480" s="9" t="str">
        <f>HYPERLINK("https://twitter.com/SdNaimi/status/1034895579678212096","1034895579678212096")</f>
        <v>1034895579678212096</v>
      </c>
      <c r="F3480" s="10" t="s">
        <v>7779</v>
      </c>
      <c r="G3480" s="10" t="s">
        <v>7539</v>
      </c>
      <c r="H3480" s="4"/>
      <c r="I3480" s="10" t="str">
        <f>HYPERLINK("http://twitter.com/download/android","Twitter for Android")</f>
        <v>Twitter for Android</v>
      </c>
      <c r="J3480" s="2">
        <v>1591</v>
      </c>
      <c r="K3480" s="2">
        <v>497</v>
      </c>
      <c r="L3480" s="2">
        <v>7</v>
      </c>
      <c r="M3480" s="2"/>
      <c r="N3480" s="8">
        <v>42608.866782407407</v>
      </c>
      <c r="O3480" s="4" t="s">
        <v>133</v>
      </c>
      <c r="P3480" s="3" t="s">
        <v>532</v>
      </c>
      <c r="Q3480" s="10" t="s">
        <v>531</v>
      </c>
      <c r="R3480" s="4"/>
      <c r="S3480" s="9" t="str">
        <f>HYPERLINK("https://pbs.twimg.com/profile_images/989453847880982528/HHfAJ37A.jpg","View")</f>
        <v>View</v>
      </c>
    </row>
    <row r="3481" spans="1:19" ht="20">
      <c r="A3481" s="8">
        <v>43342.02648148148</v>
      </c>
      <c r="B3481" s="11" t="str">
        <f>HYPERLINK("https://twitter.com/Fnews_Persian","@Fnews_Persian")</f>
        <v>@Fnews_Persian</v>
      </c>
      <c r="C3481" s="6" t="s">
        <v>919</v>
      </c>
      <c r="D3481" s="5" t="s">
        <v>7630</v>
      </c>
      <c r="E3481" s="9" t="str">
        <f>HYPERLINK("https://twitter.com/Fnews_Persian/status/1034895497004240898","1034895497004240898")</f>
        <v>1034895497004240898</v>
      </c>
      <c r="F3481" s="4"/>
      <c r="G3481" s="10" t="s">
        <v>7778</v>
      </c>
      <c r="H3481" s="4"/>
      <c r="I3481" s="10" t="str">
        <f>HYPERLINK("http://twitter.com","Twitter Web Client")</f>
        <v>Twitter Web Client</v>
      </c>
      <c r="J3481" s="2">
        <v>58359</v>
      </c>
      <c r="K3481" s="2">
        <v>8</v>
      </c>
      <c r="L3481" s="2">
        <v>8</v>
      </c>
      <c r="M3481" s="2"/>
      <c r="N3481" s="8">
        <v>42445.668726851851</v>
      </c>
      <c r="O3481" s="4" t="s">
        <v>916</v>
      </c>
      <c r="P3481" s="3" t="s">
        <v>915</v>
      </c>
      <c r="Q3481" s="4"/>
      <c r="R3481" s="4"/>
      <c r="S3481" s="9" t="str">
        <f>HYPERLINK("https://pbs.twimg.com/profile_images/962248284151734272/-yEY7hhB.jpg","View")</f>
        <v>View</v>
      </c>
    </row>
    <row r="3482" spans="1:19" ht="30">
      <c r="A3482" s="8">
        <v>43342.024942129632</v>
      </c>
      <c r="B3482" s="11" t="str">
        <f>HYPERLINK("https://twitter.com/he_the_clown","@he_the_clown")</f>
        <v>@he_the_clown</v>
      </c>
      <c r="C3482" s="6" t="s">
        <v>7777</v>
      </c>
      <c r="D3482" s="5" t="s">
        <v>7776</v>
      </c>
      <c r="E3482" s="9" t="str">
        <f>HYPERLINK("https://twitter.com/he_the_clown/status/1034894938213953536","1034894938213953536")</f>
        <v>1034894938213953536</v>
      </c>
      <c r="F3482" s="4"/>
      <c r="G3482" s="10" t="s">
        <v>7775</v>
      </c>
      <c r="H3482" s="4"/>
      <c r="I3482" s="10" t="str">
        <f>HYPERLINK("http://twitter.com/download/android","Twitter for Android")</f>
        <v>Twitter for Android</v>
      </c>
      <c r="J3482" s="2">
        <v>297</v>
      </c>
      <c r="K3482" s="2">
        <v>597</v>
      </c>
      <c r="L3482" s="2">
        <v>0</v>
      </c>
      <c r="M3482" s="2"/>
      <c r="N3482" s="8">
        <v>42580.922719907408</v>
      </c>
      <c r="O3482" s="4" t="s">
        <v>7774</v>
      </c>
      <c r="P3482" s="3" t="s">
        <v>7773</v>
      </c>
      <c r="Q3482" s="4"/>
      <c r="R3482" s="4"/>
      <c r="S3482" s="9" t="str">
        <f>HYPERLINK("https://pbs.twimg.com/profile_images/1021424410325110784/mTUSNH8M.jpg","View")</f>
        <v>View</v>
      </c>
    </row>
    <row r="3483" spans="1:19" ht="20">
      <c r="A3483" s="8">
        <v>43342.023113425923</v>
      </c>
      <c r="B3483" s="11" t="str">
        <f>HYPERLINK("https://twitter.com/nabztabriz","@nabztabriz")</f>
        <v>@nabztabriz</v>
      </c>
      <c r="C3483" s="6" t="s">
        <v>3711</v>
      </c>
      <c r="D3483" s="5" t="s">
        <v>7772</v>
      </c>
      <c r="E3483" s="9" t="str">
        <f>HYPERLINK("https://twitter.com/nabztabriz/status/1034894277673922562","1034894277673922562")</f>
        <v>1034894277673922562</v>
      </c>
      <c r="F3483" s="4"/>
      <c r="G3483" s="10" t="s">
        <v>7771</v>
      </c>
      <c r="H3483" s="4"/>
      <c r="I3483" s="10" t="str">
        <f>HYPERLINK("http://twitter.com","Twitter Web Client")</f>
        <v>Twitter Web Client</v>
      </c>
      <c r="J3483" s="2">
        <v>2854</v>
      </c>
      <c r="K3483" s="2">
        <v>2916</v>
      </c>
      <c r="L3483" s="2">
        <v>6</v>
      </c>
      <c r="M3483" s="2"/>
      <c r="N3483" s="8">
        <v>42812.68644675926</v>
      </c>
      <c r="O3483" s="4" t="s">
        <v>3708</v>
      </c>
      <c r="P3483" s="3" t="s">
        <v>3707</v>
      </c>
      <c r="Q3483" s="10" t="s">
        <v>3706</v>
      </c>
      <c r="R3483" s="4"/>
      <c r="S3483" s="9" t="str">
        <f>HYPERLINK("https://pbs.twimg.com/profile_images/948112265814962176/99Kbe2eP.jpg","View")</f>
        <v>View</v>
      </c>
    </row>
    <row r="3484" spans="1:19" ht="40">
      <c r="A3484" s="8">
        <v>43342.019247685181</v>
      </c>
      <c r="B3484" s="11" t="str">
        <f>HYPERLINK("https://twitter.com/EbiTarkeshi","@EbiTarkeshi")</f>
        <v>@EbiTarkeshi</v>
      </c>
      <c r="C3484" s="6" t="s">
        <v>7770</v>
      </c>
      <c r="D3484" s="5" t="s">
        <v>7769</v>
      </c>
      <c r="E3484" s="9" t="str">
        <f>HYPERLINK("https://twitter.com/EbiTarkeshi/status/1034892875195183105","1034892875195183105")</f>
        <v>1034892875195183105</v>
      </c>
      <c r="F3484" s="10" t="s">
        <v>7768</v>
      </c>
      <c r="G3484" s="10" t="s">
        <v>7767</v>
      </c>
      <c r="H3484" s="4"/>
      <c r="I3484" s="10" t="str">
        <f>HYPERLINK("http://www.facebook.com/twitter","Facebook")</f>
        <v>Facebook</v>
      </c>
      <c r="J3484" s="2">
        <v>2083</v>
      </c>
      <c r="K3484" s="2">
        <v>5001</v>
      </c>
      <c r="L3484" s="2">
        <v>16</v>
      </c>
      <c r="M3484" s="2"/>
      <c r="N3484" s="8">
        <v>39983.037152777775</v>
      </c>
      <c r="O3484" s="4" t="s">
        <v>3562</v>
      </c>
      <c r="P3484" s="3" t="s">
        <v>7766</v>
      </c>
      <c r="Q3484" s="10" t="s">
        <v>7765</v>
      </c>
      <c r="R3484" s="4"/>
      <c r="S3484" s="9" t="str">
        <f>HYPERLINK("https://pbs.twimg.com/profile_images/913202542942842880/rdFRxNcf.jpg","View")</f>
        <v>View</v>
      </c>
    </row>
    <row r="3485" spans="1:19" ht="20">
      <c r="A3485" s="8">
        <v>43342.018564814818</v>
      </c>
      <c r="B3485" s="11" t="str">
        <f>HYPERLINK("https://twitter.com/m4xRdlO5P3lGHMd","@m4xRdlO5P3lGHMd")</f>
        <v>@m4xRdlO5P3lGHMd</v>
      </c>
      <c r="C3485" s="6" t="s">
        <v>7764</v>
      </c>
      <c r="D3485" s="5" t="s">
        <v>7763</v>
      </c>
      <c r="E3485" s="9" t="str">
        <f>HYPERLINK("https://twitter.com/m4xRdlO5P3lGHMd/status/1034892628133855237","1034892628133855237")</f>
        <v>1034892628133855237</v>
      </c>
      <c r="F3485" s="4"/>
      <c r="G3485" s="4"/>
      <c r="H3485" s="4"/>
      <c r="I3485" s="10" t="str">
        <f>HYPERLINK("http://twitter.com/download/android","Twitter for Android")</f>
        <v>Twitter for Android</v>
      </c>
      <c r="J3485" s="2">
        <v>12</v>
      </c>
      <c r="K3485" s="2">
        <v>35</v>
      </c>
      <c r="L3485" s="2">
        <v>0</v>
      </c>
      <c r="M3485" s="2"/>
      <c r="N3485" s="8">
        <v>43003.582245370373</v>
      </c>
      <c r="O3485" s="4"/>
      <c r="P3485" s="3" t="s">
        <v>7762</v>
      </c>
      <c r="Q3485" s="4"/>
      <c r="R3485" s="4"/>
      <c r="S3485" s="9" t="str">
        <f>HYPERLINK("https://pbs.twimg.com/profile_images/953384392516358144/bP8nzLyq.jpg","View")</f>
        <v>View</v>
      </c>
    </row>
    <row r="3486" spans="1:19" ht="20">
      <c r="A3486" s="8">
        <v>43342.017662037033</v>
      </c>
      <c r="B3486" s="11" t="str">
        <f>HYPERLINK("https://twitter.com/vaheed_gh","@vaheed_gh")</f>
        <v>@vaheed_gh</v>
      </c>
      <c r="C3486" s="6" t="s">
        <v>7761</v>
      </c>
      <c r="D3486" s="5" t="s">
        <v>7760</v>
      </c>
      <c r="E3486" s="9" t="str">
        <f>HYPERLINK("https://twitter.com/vaheed_gh/status/1034892302626553856","1034892302626553856")</f>
        <v>1034892302626553856</v>
      </c>
      <c r="F3486" s="4"/>
      <c r="G3486" s="4"/>
      <c r="H3486" s="4"/>
      <c r="I3486" s="10" t="str">
        <f>HYPERLINK("http://twitter.com/download/iphone","Twitter for iPhone")</f>
        <v>Twitter for iPhone</v>
      </c>
      <c r="J3486" s="2">
        <v>586</v>
      </c>
      <c r="K3486" s="2">
        <v>1436</v>
      </c>
      <c r="L3486" s="2">
        <v>0</v>
      </c>
      <c r="M3486" s="2"/>
      <c r="N3486" s="8">
        <v>39999.873749999999</v>
      </c>
      <c r="O3486" s="4" t="s">
        <v>7759</v>
      </c>
      <c r="P3486" s="3" t="s">
        <v>7758</v>
      </c>
      <c r="Q3486" s="4"/>
      <c r="R3486" s="4"/>
      <c r="S3486" s="9" t="str">
        <f>HYPERLINK("https://pbs.twimg.com/profile_images/1023127856510062592/wtEotb6U.jpg","View")</f>
        <v>View</v>
      </c>
    </row>
    <row r="3487" spans="1:19" ht="40">
      <c r="A3487" s="8">
        <v>43342.01626157407</v>
      </c>
      <c r="B3487" s="11" t="str">
        <f>HYPERLINK("https://twitter.com/Shahram4F","@Shahram4F")</f>
        <v>@Shahram4F</v>
      </c>
      <c r="C3487" s="6" t="s">
        <v>7757</v>
      </c>
      <c r="D3487" s="5" t="s">
        <v>7756</v>
      </c>
      <c r="E3487" s="9" t="str">
        <f>HYPERLINK("https://twitter.com/Shahram4F/status/1034891792431374336","1034891792431374336")</f>
        <v>1034891792431374336</v>
      </c>
      <c r="F3487" s="4"/>
      <c r="G3487" s="4"/>
      <c r="H3487" s="4"/>
      <c r="I3487" s="10" t="str">
        <f>HYPERLINK("http://twitter.com/download/android","Twitter for Android")</f>
        <v>Twitter for Android</v>
      </c>
      <c r="J3487" s="2">
        <v>29</v>
      </c>
      <c r="K3487" s="2">
        <v>180</v>
      </c>
      <c r="L3487" s="2">
        <v>0</v>
      </c>
      <c r="M3487" s="2"/>
      <c r="N3487" s="8">
        <v>43198.70003472222</v>
      </c>
      <c r="O3487" s="4" t="s">
        <v>7755</v>
      </c>
      <c r="P3487" s="3" t="s">
        <v>7754</v>
      </c>
      <c r="Q3487" s="4"/>
      <c r="R3487" s="4"/>
      <c r="S3487" s="9" t="str">
        <f>HYPERLINK("https://pbs.twimg.com/profile_images/982965549423611904/vayEzECq.jpg","View")</f>
        <v>View</v>
      </c>
    </row>
    <row r="3488" spans="1:19" ht="20">
      <c r="A3488" s="8">
        <v>43342.01498842593</v>
      </c>
      <c r="B3488" s="11" t="str">
        <f>HYPERLINK("https://twitter.com/mansooroola","@mansooroola")</f>
        <v>@mansooroola</v>
      </c>
      <c r="C3488" s="6" t="s">
        <v>620</v>
      </c>
      <c r="D3488" s="5" t="s">
        <v>7753</v>
      </c>
      <c r="E3488" s="9" t="str">
        <f>HYPERLINK("https://twitter.com/mansooroola/status/1034891330294636545","1034891330294636545")</f>
        <v>1034891330294636545</v>
      </c>
      <c r="F3488" s="4"/>
      <c r="G3488" s="4"/>
      <c r="H3488" s="4"/>
      <c r="I3488" s="10" t="str">
        <f>HYPERLINK("http://twitter.com/download/android","Twitter for Android")</f>
        <v>Twitter for Android</v>
      </c>
      <c r="J3488" s="2">
        <v>2107</v>
      </c>
      <c r="K3488" s="2">
        <v>1972</v>
      </c>
      <c r="L3488" s="2">
        <v>21</v>
      </c>
      <c r="M3488" s="2"/>
      <c r="N3488" s="8">
        <v>42213.823923611111</v>
      </c>
      <c r="O3488" s="4"/>
      <c r="P3488" s="3" t="s">
        <v>618</v>
      </c>
      <c r="Q3488" s="4"/>
      <c r="R3488" s="4"/>
      <c r="S3488" s="9" t="str">
        <f>HYPERLINK("https://pbs.twimg.com/profile_images/856157384066072577/GmKN4v8j.jpg","View")</f>
        <v>View</v>
      </c>
    </row>
    <row r="3489" spans="1:19" ht="40">
      <c r="A3489" s="8">
        <v>43342.010567129633</v>
      </c>
      <c r="B3489" s="11" t="str">
        <f>HYPERLINK("https://twitter.com/WTCIran","@WTCIran")</f>
        <v>@WTCIran</v>
      </c>
      <c r="C3489" s="6" t="s">
        <v>7752</v>
      </c>
      <c r="D3489" s="5" t="s">
        <v>7751</v>
      </c>
      <c r="E3489" s="9" t="str">
        <f>HYPERLINK("https://twitter.com/WTCIran/status/1034889731065110528","1034889731065110528")</f>
        <v>1034889731065110528</v>
      </c>
      <c r="F3489" s="10" t="s">
        <v>7750</v>
      </c>
      <c r="G3489" s="4"/>
      <c r="H3489" s="4"/>
      <c r="I3489" s="10" t="str">
        <f>HYPERLINK("http://twitter.com","Twitter Web Client")</f>
        <v>Twitter Web Client</v>
      </c>
      <c r="J3489" s="2">
        <v>570</v>
      </c>
      <c r="K3489" s="2">
        <v>109</v>
      </c>
      <c r="L3489" s="2">
        <v>22</v>
      </c>
      <c r="M3489" s="2"/>
      <c r="N3489" s="8">
        <v>41680.83048611111</v>
      </c>
      <c r="O3489" s="4" t="s">
        <v>7436</v>
      </c>
      <c r="P3489" s="3" t="s">
        <v>7749</v>
      </c>
      <c r="Q3489" s="10" t="s">
        <v>7748</v>
      </c>
      <c r="R3489" s="4"/>
      <c r="S3489" s="9" t="str">
        <f>HYPERLINK("https://pbs.twimg.com/profile_images/451396078147883009/4VK7PbFh.jpeg","View")</f>
        <v>View</v>
      </c>
    </row>
    <row r="3490" spans="1:19" ht="30">
      <c r="A3490" s="8">
        <v>43342.010335648149</v>
      </c>
      <c r="B3490" s="11" t="str">
        <f>HYPERLINK("https://twitter.com/babaei_moha","@babaei_moha")</f>
        <v>@babaei_moha</v>
      </c>
      <c r="C3490" s="6" t="s">
        <v>7747</v>
      </c>
      <c r="D3490" s="5" t="s">
        <v>7746</v>
      </c>
      <c r="E3490" s="9" t="str">
        <f>HYPERLINK("https://twitter.com/babaei_moha/status/1034889644809363461","1034889644809363461")</f>
        <v>1034889644809363461</v>
      </c>
      <c r="F3490" s="4"/>
      <c r="G3490" s="4"/>
      <c r="H3490" s="4"/>
      <c r="I3490" s="10" t="str">
        <f>HYPERLINK("https://mobile.twitter.com","Twitter Lite")</f>
        <v>Twitter Lite</v>
      </c>
      <c r="J3490" s="2">
        <v>10</v>
      </c>
      <c r="K3490" s="2">
        <v>63</v>
      </c>
      <c r="L3490" s="2">
        <v>0</v>
      </c>
      <c r="M3490" s="2"/>
      <c r="N3490" s="8">
        <v>43334.953946759255</v>
      </c>
      <c r="O3490" s="4" t="s">
        <v>324</v>
      </c>
      <c r="P3490" s="3" t="s">
        <v>7745</v>
      </c>
      <c r="Q3490" s="4"/>
      <c r="R3490" s="4"/>
      <c r="S3490" s="9" t="str">
        <f>HYPERLINK("https://pbs.twimg.com/profile_images/1032366573858840576/eVXRBX1o.jpg","View")</f>
        <v>View</v>
      </c>
    </row>
    <row r="3491" spans="1:19" ht="40">
      <c r="A3491" s="8">
        <v>43342.010115740741</v>
      </c>
      <c r="B3491" s="11" t="str">
        <f>HYPERLINK("https://twitter.com/manOfMistakes","@manOfMistakes")</f>
        <v>@manOfMistakes</v>
      </c>
      <c r="C3491" s="6" t="s">
        <v>368</v>
      </c>
      <c r="D3491" s="5" t="s">
        <v>7744</v>
      </c>
      <c r="E3491" s="9" t="str">
        <f>HYPERLINK("https://twitter.com/manOfMistakes/status/1034889566602182656","1034889566602182656")</f>
        <v>1034889566602182656</v>
      </c>
      <c r="F3491" s="4"/>
      <c r="G3491" s="10" t="s">
        <v>7743</v>
      </c>
      <c r="H3491" s="4"/>
      <c r="I3491" s="10" t="str">
        <f>HYPERLINK("http://twitter.com/download/iphone","Twitter for iPhone")</f>
        <v>Twitter for iPhone</v>
      </c>
      <c r="J3491" s="2">
        <v>147</v>
      </c>
      <c r="K3491" s="2">
        <v>277</v>
      </c>
      <c r="L3491" s="2">
        <v>0</v>
      </c>
      <c r="M3491" s="2"/>
      <c r="N3491" s="8">
        <v>43304.329965277779</v>
      </c>
      <c r="O3491" s="4" t="s">
        <v>34</v>
      </c>
      <c r="P3491" s="3" t="s">
        <v>366</v>
      </c>
      <c r="Q3491" s="4"/>
      <c r="R3491" s="4"/>
      <c r="S3491" s="9" t="str">
        <f>HYPERLINK("https://pbs.twimg.com/profile_images/1028755362831204352/MbdRKhM9.jpg","View")</f>
        <v>View</v>
      </c>
    </row>
    <row r="3492" spans="1:19" ht="80">
      <c r="A3492" s="8">
        <v>43342.00780092593</v>
      </c>
      <c r="B3492" s="11" t="str">
        <f>HYPERLINK("https://twitter.com/MehdiXr","@MehdiXr")</f>
        <v>@MehdiXr</v>
      </c>
      <c r="C3492" s="6" t="s">
        <v>4251</v>
      </c>
      <c r="D3492" s="5" t="s">
        <v>7742</v>
      </c>
      <c r="E3492" s="9" t="str">
        <f>HYPERLINK("https://twitter.com/MehdiXr/status/1034888727745703936","1034888727745703936")</f>
        <v>1034888727745703936</v>
      </c>
      <c r="F3492" s="10" t="s">
        <v>7741</v>
      </c>
      <c r="G3492" s="4"/>
      <c r="H3492" s="4"/>
      <c r="I3492" s="10" t="str">
        <f>HYPERLINK("http://twitter.com/download/iphone","Twitter for iPhone")</f>
        <v>Twitter for iPhone</v>
      </c>
      <c r="J3492" s="2">
        <v>310</v>
      </c>
      <c r="K3492" s="2">
        <v>184</v>
      </c>
      <c r="L3492" s="2">
        <v>10</v>
      </c>
      <c r="M3492" s="2"/>
      <c r="N3492" s="8">
        <v>39937.576874999999</v>
      </c>
      <c r="O3492" s="4" t="s">
        <v>4249</v>
      </c>
      <c r="P3492" s="3" t="s">
        <v>4248</v>
      </c>
      <c r="Q3492" s="4"/>
      <c r="R3492" s="4"/>
      <c r="S3492" s="9" t="str">
        <f>HYPERLINK("https://pbs.twimg.com/profile_images/918492189910556673/OqzRhy2u.jpg","View")</f>
        <v>View</v>
      </c>
    </row>
    <row r="3493" spans="1:19" ht="60">
      <c r="A3493" s="8">
        <v>43342.007210648153</v>
      </c>
      <c r="B3493" s="11" t="str">
        <f>HYPERLINK("https://twitter.com/BlackBeardTier1","@BlackBeardTier1")</f>
        <v>@BlackBeardTier1</v>
      </c>
      <c r="C3493" s="6" t="s">
        <v>7740</v>
      </c>
      <c r="D3493" s="5" t="s">
        <v>7739</v>
      </c>
      <c r="E3493" s="9" t="str">
        <f>HYPERLINK("https://twitter.com/BlackBeardTier1/status/1034888513425158145","1034888513425158145")</f>
        <v>1034888513425158145</v>
      </c>
      <c r="F3493" s="10" t="s">
        <v>6457</v>
      </c>
      <c r="G3493" s="10" t="s">
        <v>6456</v>
      </c>
      <c r="H3493" s="4"/>
      <c r="I3493" s="10" t="str">
        <f>HYPERLINK("http://twitter.com/download/android","Twitter for Android")</f>
        <v>Twitter for Android</v>
      </c>
      <c r="J3493" s="2">
        <v>135</v>
      </c>
      <c r="K3493" s="2">
        <v>71</v>
      </c>
      <c r="L3493" s="2">
        <v>1</v>
      </c>
      <c r="M3493" s="2"/>
      <c r="N3493" s="8">
        <v>43199.463923611111</v>
      </c>
      <c r="O3493" s="4" t="s">
        <v>7738</v>
      </c>
      <c r="P3493" s="3" t="s">
        <v>7737</v>
      </c>
      <c r="Q3493" s="4"/>
      <c r="R3493" s="4"/>
      <c r="S3493" s="9" t="str">
        <f>HYPERLINK("https://pbs.twimg.com/profile_images/984313082850824192/cBYdzhmN.jpg","View")</f>
        <v>View</v>
      </c>
    </row>
    <row r="3494" spans="1:19" ht="30">
      <c r="A3494" s="8">
        <v>43342.007106481484</v>
      </c>
      <c r="B3494" s="11" t="str">
        <f>HYPERLINK("https://twitter.com/areiamehr1997","@areiamehr1997")</f>
        <v>@areiamehr1997</v>
      </c>
      <c r="C3494" s="6" t="s">
        <v>7736</v>
      </c>
      <c r="D3494" s="5" t="s">
        <v>7735</v>
      </c>
      <c r="E3494" s="9" t="str">
        <f>HYPERLINK("https://twitter.com/areiamehr1997/status/1034888474271211520","1034888474271211520")</f>
        <v>1034888474271211520</v>
      </c>
      <c r="F3494" s="4"/>
      <c r="G3494" s="4"/>
      <c r="H3494" s="4"/>
      <c r="I3494" s="10" t="str">
        <f>HYPERLINK("http://twitter.com","Twitter Web Client")</f>
        <v>Twitter Web Client</v>
      </c>
      <c r="J3494" s="2">
        <v>46</v>
      </c>
      <c r="K3494" s="2">
        <v>614</v>
      </c>
      <c r="L3494" s="2">
        <v>1</v>
      </c>
      <c r="M3494" s="2"/>
      <c r="N3494" s="8">
        <v>41179.128946759258</v>
      </c>
      <c r="O3494" s="4"/>
      <c r="P3494" s="3" t="s">
        <v>7734</v>
      </c>
      <c r="Q3494" s="4"/>
      <c r="R3494" s="4"/>
      <c r="S3494" s="9" t="str">
        <f>HYPERLINK("https://pbs.twimg.com/profile_images/946519678792470528/sZY72tQp.jpg","View")</f>
        <v>View</v>
      </c>
    </row>
    <row r="3495" spans="1:19" ht="20">
      <c r="A3495" s="8">
        <v>43342.005474537036</v>
      </c>
      <c r="B3495" s="11" t="str">
        <f>HYPERLINK("https://twitter.com/shaghad1","@shaghad1")</f>
        <v>@shaghad1</v>
      </c>
      <c r="C3495" s="6" t="s">
        <v>7733</v>
      </c>
      <c r="D3495" s="5" t="s">
        <v>7732</v>
      </c>
      <c r="E3495" s="9" t="str">
        <f>HYPERLINK("https://twitter.com/shaghad1/status/1034887883914530816","1034887883914530816")</f>
        <v>1034887883914530816</v>
      </c>
      <c r="F3495" s="4"/>
      <c r="G3495" s="4"/>
      <c r="H3495" s="4"/>
      <c r="I3495" s="10" t="str">
        <f>HYPERLINK("http://twitter.com","Twitter Web Client")</f>
        <v>Twitter Web Client</v>
      </c>
      <c r="J3495" s="2">
        <v>373</v>
      </c>
      <c r="K3495" s="2">
        <v>314</v>
      </c>
      <c r="L3495" s="2">
        <v>1</v>
      </c>
      <c r="M3495" s="2"/>
      <c r="N3495" s="8">
        <v>42456.448483796295</v>
      </c>
      <c r="O3495" s="4"/>
      <c r="P3495" s="3" t="s">
        <v>7731</v>
      </c>
      <c r="Q3495" s="10" t="s">
        <v>7730</v>
      </c>
      <c r="R3495" s="4"/>
      <c r="S3495" s="9" t="str">
        <f>HYPERLINK("https://pbs.twimg.com/profile_images/713975342059364352/9SyWxG9p.jpg","View")</f>
        <v>View</v>
      </c>
    </row>
    <row r="3496" spans="1:19" ht="30">
      <c r="A3496" s="8">
        <v>43342.005335648151</v>
      </c>
      <c r="B3496" s="11" t="str">
        <f>HYPERLINK("https://twitter.com/Saye_roshan77","@Saye_roshan77")</f>
        <v>@Saye_roshan77</v>
      </c>
      <c r="C3496" s="6" t="s">
        <v>7729</v>
      </c>
      <c r="D3496" s="5" t="s">
        <v>7728</v>
      </c>
      <c r="E3496" s="9" t="str">
        <f>HYPERLINK("https://twitter.com/Saye_roshan77/status/1034887832211542016","1034887832211542016")</f>
        <v>1034887832211542016</v>
      </c>
      <c r="F3496" s="4"/>
      <c r="G3496" s="4"/>
      <c r="H3496" s="4"/>
      <c r="I3496" s="10" t="str">
        <f>HYPERLINK("http://twitter.com/download/android","Twitter for Android")</f>
        <v>Twitter for Android</v>
      </c>
      <c r="J3496" s="2">
        <v>19</v>
      </c>
      <c r="K3496" s="2">
        <v>24</v>
      </c>
      <c r="L3496" s="2">
        <v>0</v>
      </c>
      <c r="M3496" s="2"/>
      <c r="N3496" s="8">
        <v>43335.950798611113</v>
      </c>
      <c r="O3496" s="4"/>
      <c r="P3496" s="3" t="s">
        <v>7727</v>
      </c>
      <c r="Q3496" s="4"/>
      <c r="R3496" s="4"/>
      <c r="S3496" s="9" t="str">
        <f>HYPERLINK("https://pbs.twimg.com/profile_images/1033925206744682497/ymI1yfel.jpg","View")</f>
        <v>View</v>
      </c>
    </row>
    <row r="3497" spans="1:19" ht="70">
      <c r="A3497" s="8">
        <v>43342.004016203704</v>
      </c>
      <c r="B3497" s="11" t="str">
        <f>HYPERLINK("https://twitter.com/IranianRoya","@IranianRoya")</f>
        <v>@IranianRoya</v>
      </c>
      <c r="C3497" s="6" t="s">
        <v>7719</v>
      </c>
      <c r="D3497" s="5" t="s">
        <v>7726</v>
      </c>
      <c r="E3497" s="9" t="str">
        <f>HYPERLINK("https://twitter.com/IranianRoya/status/1034887356187336704","1034887356187336704")</f>
        <v>1034887356187336704</v>
      </c>
      <c r="F3497" s="10" t="s">
        <v>6144</v>
      </c>
      <c r="G3497" s="10" t="s">
        <v>1756</v>
      </c>
      <c r="H3497" s="4"/>
      <c r="I3497" s="10" t="str">
        <f>HYPERLINK("http://twitter.com","Twitter Web Client")</f>
        <v>Twitter Web Client</v>
      </c>
      <c r="J3497" s="2">
        <v>129</v>
      </c>
      <c r="K3497" s="2">
        <v>191</v>
      </c>
      <c r="L3497" s="2">
        <v>0</v>
      </c>
      <c r="M3497" s="2"/>
      <c r="N3497" s="8">
        <v>43282.570381944446</v>
      </c>
      <c r="O3497" s="4" t="s">
        <v>4954</v>
      </c>
      <c r="P3497" s="3" t="s">
        <v>7716</v>
      </c>
      <c r="Q3497" s="4"/>
      <c r="R3497" s="4"/>
      <c r="S3497" s="9" t="str">
        <f>HYPERLINK("https://pbs.twimg.com/profile_images/1013353389940408320/VwIvDzxq.jpg","View")</f>
        <v>View</v>
      </c>
    </row>
    <row r="3498" spans="1:19" ht="12.5">
      <c r="A3498" s="8">
        <v>43342.002812499995</v>
      </c>
      <c r="B3498" s="11" t="str">
        <f>HYPERLINK("https://twitter.com/Alirezaso77","@Alirezaso77")</f>
        <v>@Alirezaso77</v>
      </c>
      <c r="C3498" s="6" t="s">
        <v>7725</v>
      </c>
      <c r="D3498" s="5" t="s">
        <v>7724</v>
      </c>
      <c r="E3498" s="9" t="str">
        <f>HYPERLINK("https://twitter.com/Alirezaso77/status/1034886920063643649","1034886920063643649")</f>
        <v>1034886920063643649</v>
      </c>
      <c r="F3498" s="4"/>
      <c r="G3498" s="10" t="s">
        <v>7723</v>
      </c>
      <c r="H3498" s="4"/>
      <c r="I3498" s="10" t="str">
        <f>HYPERLINK("http://twitter.com/download/android","Twitter for Android")</f>
        <v>Twitter for Android</v>
      </c>
      <c r="J3498" s="2">
        <v>50</v>
      </c>
      <c r="K3498" s="2">
        <v>118</v>
      </c>
      <c r="L3498" s="2">
        <v>0</v>
      </c>
      <c r="M3498" s="2"/>
      <c r="N3498" s="8">
        <v>43333.846932870365</v>
      </c>
      <c r="O3498" s="4"/>
      <c r="P3498" s="3" t="s">
        <v>7722</v>
      </c>
      <c r="Q3498" s="4"/>
      <c r="R3498" s="4"/>
      <c r="S3498" s="9" t="str">
        <f>HYPERLINK("https://pbs.twimg.com/profile_images/1031933971192537089/XdrMeLrH.jpg","View")</f>
        <v>View</v>
      </c>
    </row>
    <row r="3499" spans="1:19" ht="70">
      <c r="A3499" s="8">
        <v>43342.001747685186</v>
      </c>
      <c r="B3499" s="11" t="str">
        <f>HYPERLINK("https://twitter.com/MehdiXr","@MehdiXr")</f>
        <v>@MehdiXr</v>
      </c>
      <c r="C3499" s="6" t="s">
        <v>4251</v>
      </c>
      <c r="D3499" s="5" t="s">
        <v>7721</v>
      </c>
      <c r="E3499" s="9" t="str">
        <f>HYPERLINK("https://twitter.com/MehdiXr/status/1034886533340454914","1034886533340454914")</f>
        <v>1034886533340454914</v>
      </c>
      <c r="F3499" s="10" t="s">
        <v>7720</v>
      </c>
      <c r="G3499" s="4"/>
      <c r="H3499" s="4"/>
      <c r="I3499" s="10" t="str">
        <f>HYPERLINK("http://twitter.com/download/iphone","Twitter for iPhone")</f>
        <v>Twitter for iPhone</v>
      </c>
      <c r="J3499" s="2">
        <v>310</v>
      </c>
      <c r="K3499" s="2">
        <v>184</v>
      </c>
      <c r="L3499" s="2">
        <v>10</v>
      </c>
      <c r="M3499" s="2"/>
      <c r="N3499" s="8">
        <v>39937.576874999999</v>
      </c>
      <c r="O3499" s="4" t="s">
        <v>4249</v>
      </c>
      <c r="P3499" s="3" t="s">
        <v>4248</v>
      </c>
      <c r="Q3499" s="4"/>
      <c r="R3499" s="4"/>
      <c r="S3499" s="9" t="str">
        <f>HYPERLINK("https://pbs.twimg.com/profile_images/918492189910556673/OqzRhy2u.jpg","View")</f>
        <v>View</v>
      </c>
    </row>
    <row r="3500" spans="1:19" ht="30">
      <c r="A3500" s="8">
        <v>43342.001689814817</v>
      </c>
      <c r="B3500" s="11" t="str">
        <f>HYPERLINK("https://twitter.com/IranianRoya","@IranianRoya")</f>
        <v>@IranianRoya</v>
      </c>
      <c r="C3500" s="6" t="s">
        <v>7719</v>
      </c>
      <c r="D3500" s="5" t="s">
        <v>2243</v>
      </c>
      <c r="E3500" s="9" t="str">
        <f>HYPERLINK("https://twitter.com/IranianRoya/status/1034886514260566019","1034886514260566019")</f>
        <v>1034886514260566019</v>
      </c>
      <c r="F3500" s="10" t="s">
        <v>7718</v>
      </c>
      <c r="G3500" s="10" t="s">
        <v>7717</v>
      </c>
      <c r="H3500" s="4"/>
      <c r="I3500" s="10" t="str">
        <f>HYPERLINK("http://twitter.com","Twitter Web Client")</f>
        <v>Twitter Web Client</v>
      </c>
      <c r="J3500" s="2">
        <v>129</v>
      </c>
      <c r="K3500" s="2">
        <v>191</v>
      </c>
      <c r="L3500" s="2">
        <v>0</v>
      </c>
      <c r="M3500" s="2"/>
      <c r="N3500" s="8">
        <v>43282.570381944446</v>
      </c>
      <c r="O3500" s="4" t="s">
        <v>4954</v>
      </c>
      <c r="P3500" s="3" t="s">
        <v>7716</v>
      </c>
      <c r="Q3500" s="4"/>
      <c r="R3500" s="4"/>
      <c r="S3500" s="9" t="str">
        <f>HYPERLINK("https://pbs.twimg.com/profile_images/1013353389940408320/VwIvDzxq.jpg","View")</f>
        <v>View</v>
      </c>
    </row>
    <row r="3501" spans="1:19" ht="40">
      <c r="A3501" s="8">
        <v>43341.999942129631</v>
      </c>
      <c r="B3501" s="11" t="str">
        <f>HYPERLINK("https://twitter.com/Yonanimos","@Yonanimos")</f>
        <v>@Yonanimos</v>
      </c>
      <c r="C3501" s="6" t="s">
        <v>7715</v>
      </c>
      <c r="D3501" s="5" t="s">
        <v>7714</v>
      </c>
      <c r="E3501" s="9" t="str">
        <f>HYPERLINK("https://twitter.com/Yonanimos/status/1034885879435812864","1034885879435812864")</f>
        <v>1034885879435812864</v>
      </c>
      <c r="F3501" s="4"/>
      <c r="G3501" s="4"/>
      <c r="H3501" s="4"/>
      <c r="I3501" s="10" t="str">
        <f>HYPERLINK("http://twitter.com/#!/download/ipad","Twitter for iPad")</f>
        <v>Twitter for iPad</v>
      </c>
      <c r="J3501" s="2">
        <v>147</v>
      </c>
      <c r="K3501" s="2">
        <v>747</v>
      </c>
      <c r="L3501" s="2">
        <v>0</v>
      </c>
      <c r="M3501" s="2"/>
      <c r="N3501" s="8">
        <v>41528.698865740742</v>
      </c>
      <c r="O3501" s="4"/>
      <c r="P3501" s="3" t="s">
        <v>7713</v>
      </c>
      <c r="Q3501" s="4"/>
      <c r="R3501" s="4"/>
      <c r="S3501" s="9" t="str">
        <f>HYPERLINK("https://pbs.twimg.com/profile_images/620319028490412032/IULPK7mL.jpg","View")</f>
        <v>View</v>
      </c>
    </row>
    <row r="3502" spans="1:19" ht="60">
      <c r="A3502" s="8">
        <v>43341.999189814815</v>
      </c>
      <c r="B3502" s="11" t="str">
        <f>HYPERLINK("https://twitter.com/lostghost007","@lostghost007")</f>
        <v>@lostghost007</v>
      </c>
      <c r="C3502" s="6" t="s">
        <v>7712</v>
      </c>
      <c r="D3502" s="5" t="s">
        <v>7711</v>
      </c>
      <c r="E3502" s="9" t="str">
        <f>HYPERLINK("https://twitter.com/lostghost007/status/1034885608186044417","1034885608186044417")</f>
        <v>1034885608186044417</v>
      </c>
      <c r="F3502" s="10" t="s">
        <v>7710</v>
      </c>
      <c r="G3502" s="10" t="s">
        <v>7709</v>
      </c>
      <c r="H3502" s="4"/>
      <c r="I3502" s="10" t="str">
        <f>HYPERLINK("http://twitter.com/download/android","Twitter for Android")</f>
        <v>Twitter for Android</v>
      </c>
      <c r="J3502" s="2">
        <v>240</v>
      </c>
      <c r="K3502" s="2">
        <v>389</v>
      </c>
      <c r="L3502" s="2">
        <v>0</v>
      </c>
      <c r="M3502" s="2"/>
      <c r="N3502" s="8">
        <v>43134.69253472222</v>
      </c>
      <c r="O3502" s="4" t="s">
        <v>7708</v>
      </c>
      <c r="P3502" s="3" t="s">
        <v>7707</v>
      </c>
      <c r="Q3502" s="4"/>
      <c r="R3502" s="4"/>
      <c r="S3502" s="9" t="str">
        <f>HYPERLINK("https://pbs.twimg.com/profile_images/1034815399592960001/SYP43ox5.jpg","View")</f>
        <v>View</v>
      </c>
    </row>
    <row r="3503" spans="1:19" ht="20">
      <c r="A3503" s="8">
        <v>43341.998981481476</v>
      </c>
      <c r="B3503" s="11" t="str">
        <f>HYPERLINK("https://twitter.com/Mehdimohamdiyan","@Mehdimohamdiyan")</f>
        <v>@Mehdimohamdiyan</v>
      </c>
      <c r="C3503" s="6" t="s">
        <v>7706</v>
      </c>
      <c r="D3503" s="5" t="s">
        <v>7705</v>
      </c>
      <c r="E3503" s="9" t="str">
        <f>HYPERLINK("https://twitter.com/Mehdimohamdiyan/status/1034885529060470784","1034885529060470784")</f>
        <v>1034885529060470784</v>
      </c>
      <c r="F3503" s="4"/>
      <c r="G3503" s="10" t="s">
        <v>7704</v>
      </c>
      <c r="H3503" s="4"/>
      <c r="I3503" s="10" t="str">
        <f>HYPERLINK("http://twitter.com/download/android","Twitter for Android")</f>
        <v>Twitter for Android</v>
      </c>
      <c r="J3503" s="2">
        <v>98</v>
      </c>
      <c r="K3503" s="2">
        <v>51</v>
      </c>
      <c r="L3503" s="2">
        <v>1</v>
      </c>
      <c r="M3503" s="2"/>
      <c r="N3503" s="8">
        <v>43177.350081018521</v>
      </c>
      <c r="O3503" s="4"/>
      <c r="P3503" s="3" t="s">
        <v>7703</v>
      </c>
      <c r="Q3503" s="10" t="s">
        <v>7702</v>
      </c>
      <c r="R3503" s="4"/>
      <c r="S3503" s="9" t="str">
        <f>HYPERLINK("https://pbs.twimg.com/profile_images/985768659946795008/xr9HZTCX.jpg","View")</f>
        <v>View</v>
      </c>
    </row>
    <row r="3504" spans="1:19" ht="40">
      <c r="A3504" s="8">
        <v>43341.995833333334</v>
      </c>
      <c r="B3504" s="11" t="str">
        <f>HYPERLINK("https://twitter.com/Omidrahmany","@Omidrahmany")</f>
        <v>@Omidrahmany</v>
      </c>
      <c r="C3504" s="6" t="s">
        <v>7701</v>
      </c>
      <c r="D3504" s="5" t="s">
        <v>7700</v>
      </c>
      <c r="E3504" s="9" t="str">
        <f>HYPERLINK("https://twitter.com/Omidrahmany/status/1034884391087099909","1034884391087099909")</f>
        <v>1034884391087099909</v>
      </c>
      <c r="F3504" s="4"/>
      <c r="G3504" s="4"/>
      <c r="H3504" s="4"/>
      <c r="I3504" s="10" t="str">
        <f>HYPERLINK("http://twitter.com/download/android","Twitter for Android")</f>
        <v>Twitter for Android</v>
      </c>
      <c r="J3504" s="2">
        <v>1330</v>
      </c>
      <c r="K3504" s="2">
        <v>2856</v>
      </c>
      <c r="L3504" s="2">
        <v>5</v>
      </c>
      <c r="M3504" s="2"/>
      <c r="N3504" s="8">
        <v>41195.739479166667</v>
      </c>
      <c r="O3504" s="4" t="s">
        <v>7699</v>
      </c>
      <c r="P3504" s="3" t="s">
        <v>7698</v>
      </c>
      <c r="Q3504" s="4"/>
      <c r="R3504" s="4"/>
      <c r="S3504" s="9" t="str">
        <f>HYPERLINK("https://pbs.twimg.com/profile_images/470162305263468544/Ra-aWofK.jpeg","View")</f>
        <v>View</v>
      </c>
    </row>
    <row r="3505" spans="1:19" ht="30">
      <c r="A3505" s="8">
        <v>43341.994756944448</v>
      </c>
      <c r="B3505" s="11" t="str">
        <f>HYPERLINK("https://twitter.com/albert_afshin","@albert_afshin")</f>
        <v>@albert_afshin</v>
      </c>
      <c r="C3505" s="6" t="s">
        <v>7697</v>
      </c>
      <c r="D3505" s="5" t="s">
        <v>7696</v>
      </c>
      <c r="E3505" s="9" t="str">
        <f>HYPERLINK("https://twitter.com/albert_afshin/status/1034884000844853249","1034884000844853249")</f>
        <v>1034884000844853249</v>
      </c>
      <c r="F3505" s="4"/>
      <c r="G3505" s="4"/>
      <c r="H3505" s="4"/>
      <c r="I3505" s="10" t="str">
        <f>HYPERLINK("http://twitter.com/download/iphone","Twitter for iPhone")</f>
        <v>Twitter for iPhone</v>
      </c>
      <c r="J3505" s="2">
        <v>70</v>
      </c>
      <c r="K3505" s="2">
        <v>86</v>
      </c>
      <c r="L3505" s="2">
        <v>0</v>
      </c>
      <c r="M3505" s="2"/>
      <c r="N3505" s="8">
        <v>43281.727546296301</v>
      </c>
      <c r="O3505" s="4" t="s">
        <v>7695</v>
      </c>
      <c r="P3505" s="3" t="s">
        <v>7694</v>
      </c>
      <c r="Q3505" s="4"/>
      <c r="R3505" s="4"/>
      <c r="S3505" s="9" t="str">
        <f>HYPERLINK("https://pbs.twimg.com/profile_images/1013198355680366592/7L2C2U7u.jpg","View")</f>
        <v>View</v>
      </c>
    </row>
    <row r="3506" spans="1:19" ht="40">
      <c r="A3506" s="8">
        <v>43341.99319444444</v>
      </c>
      <c r="B3506" s="11" t="str">
        <f>HYPERLINK("https://twitter.com/kateb_ouham","@kateb_ouham")</f>
        <v>@kateb_ouham</v>
      </c>
      <c r="C3506" s="6" t="s">
        <v>2997</v>
      </c>
      <c r="D3506" s="5" t="s">
        <v>7693</v>
      </c>
      <c r="E3506" s="9" t="str">
        <f>HYPERLINK("https://twitter.com/kateb_ouham/status/1034883433556844544","1034883433556844544")</f>
        <v>1034883433556844544</v>
      </c>
      <c r="F3506" s="4"/>
      <c r="G3506" s="4"/>
      <c r="H3506" s="4"/>
      <c r="I3506" s="10" t="str">
        <f>HYPERLINK("http://twitter.com/download/android","Twitter for Android")</f>
        <v>Twitter for Android</v>
      </c>
      <c r="J3506" s="2">
        <v>1595</v>
      </c>
      <c r="K3506" s="2">
        <v>1278</v>
      </c>
      <c r="L3506" s="2">
        <v>1</v>
      </c>
      <c r="M3506" s="2"/>
      <c r="N3506" s="8">
        <v>43238.326655092591</v>
      </c>
      <c r="O3506" s="4" t="s">
        <v>34</v>
      </c>
      <c r="P3506" s="3" t="s">
        <v>2995</v>
      </c>
      <c r="Q3506" s="4"/>
      <c r="R3506" s="4"/>
      <c r="S3506" s="9" t="str">
        <f>HYPERLINK("https://pbs.twimg.com/profile_images/1026085330624163840/hPNekdYn.jpg","View")</f>
        <v>View</v>
      </c>
    </row>
    <row r="3507" spans="1:19" ht="30">
      <c r="A3507" s="8">
        <v>43341.991574074069</v>
      </c>
      <c r="B3507" s="11" t="str">
        <f>HYPERLINK("https://twitter.com/14september71","@14september71")</f>
        <v>@14september71</v>
      </c>
      <c r="C3507" s="6" t="s">
        <v>5077</v>
      </c>
      <c r="D3507" s="5" t="s">
        <v>7692</v>
      </c>
      <c r="E3507" s="9" t="str">
        <f>HYPERLINK("https://twitter.com/14september71/status/1034882848459841537","1034882848459841537")</f>
        <v>1034882848459841537</v>
      </c>
      <c r="F3507" s="4"/>
      <c r="G3507" s="4"/>
      <c r="H3507" s="4"/>
      <c r="I3507" s="10" t="str">
        <f>HYPERLINK("http://twitter.com/download/iphone","Twitter for iPhone")</f>
        <v>Twitter for iPhone</v>
      </c>
      <c r="J3507" s="2">
        <v>1643</v>
      </c>
      <c r="K3507" s="2">
        <v>1941</v>
      </c>
      <c r="L3507" s="2">
        <v>3</v>
      </c>
      <c r="M3507" s="2"/>
      <c r="N3507" s="8">
        <v>42852.559594907405</v>
      </c>
      <c r="O3507" s="4"/>
      <c r="P3507" s="3" t="s">
        <v>5074</v>
      </c>
      <c r="Q3507" s="4"/>
      <c r="R3507" s="4"/>
      <c r="S3507" s="9" t="str">
        <f>HYPERLINK("https://pbs.twimg.com/profile_images/975338716108673024/d--goR47.jpg","View")</f>
        <v>View</v>
      </c>
    </row>
    <row r="3508" spans="1:19" ht="40">
      <c r="A3508" s="8">
        <v>43341.99018518519</v>
      </c>
      <c r="B3508" s="11" t="str">
        <f>HYPERLINK("https://twitter.com/sarah_agheli","@sarah_agheli")</f>
        <v>@sarah_agheli</v>
      </c>
      <c r="C3508" s="6" t="s">
        <v>7691</v>
      </c>
      <c r="D3508" s="5" t="s">
        <v>7690</v>
      </c>
      <c r="E3508" s="9" t="str">
        <f>HYPERLINK("https://twitter.com/sarah_agheli/status/1034882342458978309","1034882342458978309")</f>
        <v>1034882342458978309</v>
      </c>
      <c r="F3508" s="10" t="s">
        <v>7689</v>
      </c>
      <c r="G3508" s="4"/>
      <c r="H3508" s="4"/>
      <c r="I3508" s="10" t="str">
        <f>HYPERLINK("http://twitter.com/download/android","Twitter for Android")</f>
        <v>Twitter for Android</v>
      </c>
      <c r="J3508" s="2">
        <v>91</v>
      </c>
      <c r="K3508" s="2">
        <v>99</v>
      </c>
      <c r="L3508" s="2">
        <v>1</v>
      </c>
      <c r="M3508" s="2"/>
      <c r="N3508" s="8">
        <v>42987.698541666672</v>
      </c>
      <c r="O3508" s="4"/>
      <c r="P3508" s="3" t="s">
        <v>7688</v>
      </c>
      <c r="Q3508" s="4"/>
      <c r="R3508" s="4"/>
      <c r="S3508" s="2" t="s">
        <v>155</v>
      </c>
    </row>
    <row r="3509" spans="1:19" ht="12.5">
      <c r="A3509" s="8">
        <v>43341.989363425921</v>
      </c>
      <c r="B3509" s="11" t="str">
        <f>HYPERLINK("https://twitter.com/nabavi8","@nabavi8")</f>
        <v>@nabavi8</v>
      </c>
      <c r="C3509" s="6" t="s">
        <v>4465</v>
      </c>
      <c r="D3509" s="5" t="s">
        <v>7687</v>
      </c>
      <c r="E3509" s="9" t="str">
        <f>HYPERLINK("https://twitter.com/nabavi8/status/1034882045141348352","1034882045141348352")</f>
        <v>1034882045141348352</v>
      </c>
      <c r="F3509" s="4"/>
      <c r="G3509" s="4"/>
      <c r="H3509" s="4"/>
      <c r="I3509" s="10" t="str">
        <f>HYPERLINK("http://twitter.com","Twitter Web Client")</f>
        <v>Twitter Web Client</v>
      </c>
      <c r="J3509" s="2">
        <v>112</v>
      </c>
      <c r="K3509" s="2">
        <v>475</v>
      </c>
      <c r="L3509" s="2">
        <v>1</v>
      </c>
      <c r="M3509" s="2"/>
      <c r="N3509" s="8">
        <v>41600.829421296294</v>
      </c>
      <c r="O3509" s="4" t="s">
        <v>794</v>
      </c>
      <c r="P3509" s="3" t="s">
        <v>4463</v>
      </c>
      <c r="Q3509" s="4"/>
      <c r="R3509" s="4"/>
      <c r="S3509" s="9" t="str">
        <f>HYPERLINK("https://pbs.twimg.com/profile_images/668534963575255041/4KqebuFh.jpg","View")</f>
        <v>View</v>
      </c>
    </row>
    <row r="3510" spans="1:19" ht="40">
      <c r="A3510" s="8">
        <v>43341.988344907411</v>
      </c>
      <c r="B3510" s="11" t="str">
        <f>HYPERLINK("https://twitter.com/Fahimkhz","@Fahimkhz")</f>
        <v>@Fahimkhz</v>
      </c>
      <c r="C3510" s="6" t="s">
        <v>7686</v>
      </c>
      <c r="D3510" s="5" t="s">
        <v>7685</v>
      </c>
      <c r="E3510" s="9" t="str">
        <f>HYPERLINK("https://twitter.com/Fahimkhz/status/1034881676021846017","1034881676021846017")</f>
        <v>1034881676021846017</v>
      </c>
      <c r="F3510" s="4"/>
      <c r="G3510" s="4"/>
      <c r="H3510" s="4"/>
      <c r="I3510" s="10" t="str">
        <f>HYPERLINK("http://twitter.com/download/android","Twitter for Android")</f>
        <v>Twitter for Android</v>
      </c>
      <c r="J3510" s="2">
        <v>69</v>
      </c>
      <c r="K3510" s="2">
        <v>23</v>
      </c>
      <c r="L3510" s="2">
        <v>0</v>
      </c>
      <c r="M3510" s="2"/>
      <c r="N3510" s="8">
        <v>43245.5159837963</v>
      </c>
      <c r="O3510" s="4" t="s">
        <v>3379</v>
      </c>
      <c r="P3510" s="3" t="s">
        <v>3379</v>
      </c>
      <c r="Q3510" s="4"/>
      <c r="R3510" s="4"/>
      <c r="S3510" s="9" t="str">
        <f>HYPERLINK("https://pbs.twimg.com/profile_images/999943135559143426/DDOgN1aO.jpg","View")</f>
        <v>View</v>
      </c>
    </row>
    <row r="3511" spans="1:19" ht="12.5">
      <c r="A3511" s="8">
        <v>43341.988055555557</v>
      </c>
      <c r="B3511" s="11" t="str">
        <f>HYPERLINK("https://twitter.com/Amoogorge","@Amoogorge")</f>
        <v>@Amoogorge</v>
      </c>
      <c r="C3511" s="6" t="s">
        <v>7684</v>
      </c>
      <c r="D3511" s="5" t="s">
        <v>7683</v>
      </c>
      <c r="E3511" s="9" t="str">
        <f>HYPERLINK("https://twitter.com/Amoogorge/status/1034881571302592514","1034881571302592514")</f>
        <v>1034881571302592514</v>
      </c>
      <c r="F3511" s="4"/>
      <c r="G3511" s="4"/>
      <c r="H3511" s="4"/>
      <c r="I3511" s="10" t="str">
        <f>HYPERLINK("http://twitter.com/download/android","Twitter for Android")</f>
        <v>Twitter for Android</v>
      </c>
      <c r="J3511" s="2">
        <v>3</v>
      </c>
      <c r="K3511" s="2">
        <v>10</v>
      </c>
      <c r="L3511" s="2">
        <v>0</v>
      </c>
      <c r="M3511" s="2"/>
      <c r="N3511" s="8">
        <v>43329.930787037039</v>
      </c>
      <c r="O3511" s="4"/>
      <c r="P3511" s="3" t="s">
        <v>7682</v>
      </c>
      <c r="Q3511" s="4"/>
      <c r="R3511" s="4"/>
      <c r="S3511" s="9" t="str">
        <f>HYPERLINK("https://pbs.twimg.com/profile_images/1034539518022615047/5B-naZai.jpg","View")</f>
        <v>View</v>
      </c>
    </row>
    <row r="3512" spans="1:19" ht="20">
      <c r="A3512" s="8">
        <v>43341.987222222218</v>
      </c>
      <c r="B3512" s="11" t="str">
        <f>HYPERLINK("https://twitter.com/KarimSaleh64","@KarimSaleh64")</f>
        <v>@KarimSaleh64</v>
      </c>
      <c r="C3512" s="6" t="s">
        <v>7681</v>
      </c>
      <c r="D3512" s="5" t="s">
        <v>7680</v>
      </c>
      <c r="E3512" s="9" t="str">
        <f>HYPERLINK("https://twitter.com/KarimSaleh64/status/1034881270570872832","1034881270570872832")</f>
        <v>1034881270570872832</v>
      </c>
      <c r="F3512" s="4"/>
      <c r="G3512" s="10" t="s">
        <v>7679</v>
      </c>
      <c r="H3512" s="4"/>
      <c r="I3512" s="10" t="str">
        <f>HYPERLINK("http://twitter.com","Twitter Web Client")</f>
        <v>Twitter Web Client</v>
      </c>
      <c r="J3512" s="2">
        <v>6340</v>
      </c>
      <c r="K3512" s="2">
        <v>6453</v>
      </c>
      <c r="L3512" s="2">
        <v>13</v>
      </c>
      <c r="M3512" s="2"/>
      <c r="N3512" s="8">
        <v>42852.446331018524</v>
      </c>
      <c r="O3512" s="4"/>
      <c r="P3512" s="3" t="s">
        <v>7678</v>
      </c>
      <c r="Q3512" s="4"/>
      <c r="R3512" s="4"/>
      <c r="S3512" s="9" t="str">
        <f>HYPERLINK("https://pbs.twimg.com/profile_images/926518700445859842/Y6u8YTo3.jpg","View")</f>
        <v>View</v>
      </c>
    </row>
    <row r="3513" spans="1:19" ht="40">
      <c r="A3513" s="8">
        <v>43341.987175925926</v>
      </c>
      <c r="B3513" s="11" t="str">
        <f>HYPERLINK("https://twitter.com/thetwowords","@thetwowords")</f>
        <v>@thetwowords</v>
      </c>
      <c r="C3513" s="6" t="s">
        <v>7677</v>
      </c>
      <c r="D3513" s="5" t="s">
        <v>7676</v>
      </c>
      <c r="E3513" s="9" t="str">
        <f>HYPERLINK("https://twitter.com/thetwowords/status/1034881251767975940","1034881251767975940")</f>
        <v>1034881251767975940</v>
      </c>
      <c r="F3513" s="4"/>
      <c r="G3513" s="4"/>
      <c r="H3513" s="4"/>
      <c r="I3513" s="10" t="str">
        <f>HYPERLINK("http://twitter.com/download/android","Twitter for Android")</f>
        <v>Twitter for Android</v>
      </c>
      <c r="J3513" s="2">
        <v>59</v>
      </c>
      <c r="K3513" s="2">
        <v>97</v>
      </c>
      <c r="L3513" s="2">
        <v>0</v>
      </c>
      <c r="M3513" s="2"/>
      <c r="N3513" s="8">
        <v>43325.431712962964</v>
      </c>
      <c r="O3513" s="4" t="s">
        <v>34</v>
      </c>
      <c r="P3513" s="3" t="s">
        <v>7675</v>
      </c>
      <c r="Q3513" s="4"/>
      <c r="R3513" s="4"/>
      <c r="S3513" s="9" t="str">
        <f>HYPERLINK("https://pbs.twimg.com/profile_images/1028910300169478144/ziyoQPYt.jpg","View")</f>
        <v>View</v>
      </c>
    </row>
    <row r="3514" spans="1:19" ht="20">
      <c r="A3514" s="8">
        <v>43341.987013888887</v>
      </c>
      <c r="B3514" s="11" t="str">
        <f>HYPERLINK("https://twitter.com/GhooleAkhar","@GhooleAkhar")</f>
        <v>@GhooleAkhar</v>
      </c>
      <c r="C3514" s="6" t="s">
        <v>7674</v>
      </c>
      <c r="D3514" s="5" t="s">
        <v>7673</v>
      </c>
      <c r="E3514" s="9" t="str">
        <f>HYPERLINK("https://twitter.com/GhooleAkhar/status/1034881193739730945","1034881193739730945")</f>
        <v>1034881193739730945</v>
      </c>
      <c r="F3514" s="4"/>
      <c r="G3514" s="4"/>
      <c r="H3514" s="4"/>
      <c r="I3514" s="10" t="str">
        <f>HYPERLINK("http://twitter.com/download/android","Twitter for Android")</f>
        <v>Twitter for Android</v>
      </c>
      <c r="J3514" s="2">
        <v>177</v>
      </c>
      <c r="K3514" s="2">
        <v>289</v>
      </c>
      <c r="L3514" s="2">
        <v>0</v>
      </c>
      <c r="M3514" s="2"/>
      <c r="N3514" s="8">
        <v>42843.890347222223</v>
      </c>
      <c r="O3514" s="4" t="s">
        <v>7672</v>
      </c>
      <c r="P3514" s="3" t="s">
        <v>7671</v>
      </c>
      <c r="Q3514" s="4"/>
      <c r="R3514" s="4"/>
      <c r="S3514" s="9" t="str">
        <f>HYPERLINK("https://pbs.twimg.com/profile_images/1011244450297864192/Q3c4KLpj.jpg","View")</f>
        <v>View</v>
      </c>
    </row>
    <row r="3515" spans="1:19" ht="30">
      <c r="A3515" s="8">
        <v>43341.98600694444</v>
      </c>
      <c r="B3515" s="11" t="str">
        <f>HYPERLINK("https://twitter.com/ln_saeed","@ln_saeed")</f>
        <v>@ln_saeed</v>
      </c>
      <c r="C3515" s="6" t="s">
        <v>7670</v>
      </c>
      <c r="D3515" s="5" t="s">
        <v>7669</v>
      </c>
      <c r="E3515" s="9" t="str">
        <f>HYPERLINK("https://twitter.com/ln_saeed/status/1034880828944404481","1034880828944404481")</f>
        <v>1034880828944404481</v>
      </c>
      <c r="F3515" s="4"/>
      <c r="G3515" s="4"/>
      <c r="H3515" s="4"/>
      <c r="I3515" s="10" t="str">
        <f>HYPERLINK("http://twitter.com/download/iphone","Twitter for iPhone")</f>
        <v>Twitter for iPhone</v>
      </c>
      <c r="J3515" s="2">
        <v>93</v>
      </c>
      <c r="K3515" s="2">
        <v>84</v>
      </c>
      <c r="L3515" s="2">
        <v>0</v>
      </c>
      <c r="M3515" s="2"/>
      <c r="N3515" s="8">
        <v>41240.891203703708</v>
      </c>
      <c r="O3515" s="4" t="s">
        <v>34</v>
      </c>
      <c r="P3515" s="3" t="s">
        <v>7668</v>
      </c>
      <c r="Q3515" s="4"/>
      <c r="R3515" s="4"/>
      <c r="S3515" s="9" t="str">
        <f>HYPERLINK("https://pbs.twimg.com/profile_images/910935932437659648/BJS054e3.jpg","View")</f>
        <v>View</v>
      </c>
    </row>
    <row r="3516" spans="1:19" ht="40">
      <c r="A3516" s="8">
        <v>43341.985706018517</v>
      </c>
      <c r="B3516" s="11" t="str">
        <f>HYPERLINK("https://twitter.com/aqamehr","@aqamehr")</f>
        <v>@aqamehr</v>
      </c>
      <c r="C3516" s="6" t="s">
        <v>7667</v>
      </c>
      <c r="D3516" s="5" t="s">
        <v>7666</v>
      </c>
      <c r="E3516" s="9" t="str">
        <f>HYPERLINK("https://twitter.com/aqamehr/status/1034880721293377536","1034880721293377536")</f>
        <v>1034880721293377536</v>
      </c>
      <c r="F3516" s="4"/>
      <c r="G3516" s="4"/>
      <c r="H3516" s="4"/>
      <c r="I3516" s="10" t="str">
        <f>HYPERLINK("http://twitter.com/download/iphone","Twitter for iPhone")</f>
        <v>Twitter for iPhone</v>
      </c>
      <c r="J3516" s="2">
        <v>17</v>
      </c>
      <c r="K3516" s="2">
        <v>50</v>
      </c>
      <c r="L3516" s="2">
        <v>0</v>
      </c>
      <c r="M3516" s="2"/>
      <c r="N3516" s="8">
        <v>43115.968912037039</v>
      </c>
      <c r="O3516" s="4"/>
      <c r="P3516" s="3"/>
      <c r="Q3516" s="4"/>
      <c r="R3516" s="4"/>
      <c r="S3516" s="9" t="str">
        <f>HYPERLINK("https://pbs.twimg.com/profile_images/995822864849952768/DlyO_Ukj.jpg","View")</f>
        <v>View</v>
      </c>
    </row>
    <row r="3517" spans="1:19" ht="30">
      <c r="A3517" s="8">
        <v>43341.985590277778</v>
      </c>
      <c r="B3517" s="11" t="str">
        <f>HYPERLINK("https://twitter.com/saeedmaaleki","@saeedmaaleki")</f>
        <v>@saeedmaaleki</v>
      </c>
      <c r="C3517" s="6" t="s">
        <v>4231</v>
      </c>
      <c r="D3517" s="5" t="s">
        <v>7665</v>
      </c>
      <c r="E3517" s="9" t="str">
        <f>HYPERLINK("https://twitter.com/saeedmaaleki/status/1034880678222028800","1034880678222028800")</f>
        <v>1034880678222028800</v>
      </c>
      <c r="F3517" s="4"/>
      <c r="G3517" s="4"/>
      <c r="H3517" s="4"/>
      <c r="I3517" s="10" t="str">
        <f>HYPERLINK("http://twitter.com/download/android","Twitter for Android")</f>
        <v>Twitter for Android</v>
      </c>
      <c r="J3517" s="2">
        <v>333</v>
      </c>
      <c r="K3517" s="2">
        <v>633</v>
      </c>
      <c r="L3517" s="2">
        <v>0</v>
      </c>
      <c r="M3517" s="2"/>
      <c r="N3517" s="8">
        <v>43104.887372685189</v>
      </c>
      <c r="O3517" s="4" t="s">
        <v>4229</v>
      </c>
      <c r="P3517" s="3" t="s">
        <v>4228</v>
      </c>
      <c r="Q3517" s="4"/>
      <c r="R3517" s="4"/>
      <c r="S3517" s="9" t="str">
        <f>HYPERLINK("https://pbs.twimg.com/profile_images/948985484637765633/Hd90JAIx.jpg","View")</f>
        <v>View</v>
      </c>
    </row>
    <row r="3518" spans="1:19" ht="40">
      <c r="A3518" s="8">
        <v>43341.985196759255</v>
      </c>
      <c r="B3518" s="11" t="str">
        <f>HYPERLINK("https://twitter.com/s_allameh","@s_allameh")</f>
        <v>@s_allameh</v>
      </c>
      <c r="C3518" s="6" t="s">
        <v>7664</v>
      </c>
      <c r="D3518" s="5" t="s">
        <v>7663</v>
      </c>
      <c r="E3518" s="9" t="str">
        <f>HYPERLINK("https://twitter.com/s_allameh/status/1034880534558781443","1034880534558781443")</f>
        <v>1034880534558781443</v>
      </c>
      <c r="F3518" s="4"/>
      <c r="G3518" s="10" t="s">
        <v>7662</v>
      </c>
      <c r="H3518" s="4"/>
      <c r="I3518" s="10" t="str">
        <f>HYPERLINK("http://twitter.com/download/iphone","Twitter for iPhone")</f>
        <v>Twitter for iPhone</v>
      </c>
      <c r="J3518" s="2">
        <v>64</v>
      </c>
      <c r="K3518" s="2">
        <v>656</v>
      </c>
      <c r="L3518" s="2">
        <v>0</v>
      </c>
      <c r="M3518" s="2"/>
      <c r="N3518" s="8">
        <v>42742.743518518517</v>
      </c>
      <c r="O3518" s="4" t="s">
        <v>7661</v>
      </c>
      <c r="P3518" s="3" t="s">
        <v>7660</v>
      </c>
      <c r="Q3518" s="4"/>
      <c r="R3518" s="4"/>
      <c r="S3518" s="9" t="str">
        <f>HYPERLINK("https://pbs.twimg.com/profile_images/1005739933078839296/-zrN0bh3.jpg","View")</f>
        <v>View</v>
      </c>
    </row>
    <row r="3519" spans="1:19" ht="80">
      <c r="A3519" s="8">
        <v>43341.984085648146</v>
      </c>
      <c r="B3519" s="11" t="str">
        <f>HYPERLINK("https://twitter.com/hamedshabani_63","@hamedshabani_63")</f>
        <v>@hamedshabani_63</v>
      </c>
      <c r="C3519" s="6" t="s">
        <v>7659</v>
      </c>
      <c r="D3519" s="5" t="s">
        <v>7658</v>
      </c>
      <c r="E3519" s="9" t="str">
        <f>HYPERLINK("https://twitter.com/hamedshabani_63/status/1034880134581547009","1034880134581547009")</f>
        <v>1034880134581547009</v>
      </c>
      <c r="F3519" s="10" t="s">
        <v>7079</v>
      </c>
      <c r="G3519" s="10" t="s">
        <v>6824</v>
      </c>
      <c r="H3519" s="4"/>
      <c r="I3519" s="10" t="str">
        <f>HYPERLINK("http://twitter.com/download/android","Twitter for Android")</f>
        <v>Twitter for Android</v>
      </c>
      <c r="J3519" s="2">
        <v>137</v>
      </c>
      <c r="K3519" s="2">
        <v>381</v>
      </c>
      <c r="L3519" s="2">
        <v>0</v>
      </c>
      <c r="M3519" s="2"/>
      <c r="N3519" s="8">
        <v>43335.840486111112</v>
      </c>
      <c r="O3519" s="4"/>
      <c r="P3519" s="3" t="s">
        <v>7657</v>
      </c>
      <c r="Q3519" s="4"/>
      <c r="R3519" s="4"/>
      <c r="S3519" s="9" t="str">
        <f>HYPERLINK("https://pbs.twimg.com/profile_images/1032666900600446981/gx6ShT-W.jpg","View")</f>
        <v>View</v>
      </c>
    </row>
    <row r="3520" spans="1:19" ht="50">
      <c r="A3520" s="8">
        <v>43341.983518518522</v>
      </c>
      <c r="B3520" s="11" t="str">
        <f>HYPERLINK("https://twitter.com/movahedizadeh","@movahedizadeh")</f>
        <v>@movahedizadeh</v>
      </c>
      <c r="C3520" s="6" t="s">
        <v>7656</v>
      </c>
      <c r="D3520" s="5" t="s">
        <v>7655</v>
      </c>
      <c r="E3520" s="9" t="str">
        <f>HYPERLINK("https://twitter.com/movahedizadeh/status/1034879927114498048","1034879927114498048")</f>
        <v>1034879927114498048</v>
      </c>
      <c r="F3520" s="4"/>
      <c r="G3520" s="4"/>
      <c r="H3520" s="4"/>
      <c r="I3520" s="10" t="str">
        <f>HYPERLINK("http://twitter.com/download/android","Twitter for Android")</f>
        <v>Twitter for Android</v>
      </c>
      <c r="J3520" s="2">
        <v>6</v>
      </c>
      <c r="K3520" s="2">
        <v>7</v>
      </c>
      <c r="L3520" s="2">
        <v>0</v>
      </c>
      <c r="M3520" s="2"/>
      <c r="N3520" s="8">
        <v>41813.527453703704</v>
      </c>
      <c r="O3520" s="4"/>
      <c r="P3520" s="3" t="s">
        <v>7654</v>
      </c>
      <c r="Q3520" s="4"/>
      <c r="R3520" s="4"/>
      <c r="S3520" s="9" t="str">
        <f>HYPERLINK("https://pbs.twimg.com/profile_images/1030448318424510464/ipCIRjnA.jpg","View")</f>
        <v>View</v>
      </c>
    </row>
    <row r="3521" spans="1:19" ht="40">
      <c r="A3521" s="8">
        <v>43341.98165509259</v>
      </c>
      <c r="B3521" s="11" t="str">
        <f>HYPERLINK("https://twitter.com/MorshediAmir","@MorshediAmir")</f>
        <v>@MorshediAmir</v>
      </c>
      <c r="C3521" s="6" t="s">
        <v>298</v>
      </c>
      <c r="D3521" s="5" t="s">
        <v>7653</v>
      </c>
      <c r="E3521" s="9" t="str">
        <f>HYPERLINK("https://twitter.com/MorshediAmir/status/1034879251101745152","1034879251101745152")</f>
        <v>1034879251101745152</v>
      </c>
      <c r="F3521" s="4"/>
      <c r="G3521" s="10" t="s">
        <v>7652</v>
      </c>
      <c r="H3521" s="4"/>
      <c r="I3521" s="10" t="str">
        <f>HYPERLINK("http://twitter.com/download/android","Twitter for Android")</f>
        <v>Twitter for Android</v>
      </c>
      <c r="J3521" s="2">
        <v>298</v>
      </c>
      <c r="K3521" s="2">
        <v>163</v>
      </c>
      <c r="L3521" s="2">
        <v>3</v>
      </c>
      <c r="M3521" s="2"/>
      <c r="N3521" s="8">
        <v>42358.495324074072</v>
      </c>
      <c r="O3521" s="4"/>
      <c r="P3521" s="3" t="s">
        <v>295</v>
      </c>
      <c r="Q3521" s="4"/>
      <c r="R3521" s="4"/>
      <c r="S3521" s="9" t="str">
        <f>HYPERLINK("https://pbs.twimg.com/profile_images/983670584361062401/wyBuDabl.jpg","View")</f>
        <v>View</v>
      </c>
    </row>
    <row r="3522" spans="1:19" ht="40">
      <c r="A3522" s="8">
        <v>43341.980833333335</v>
      </c>
      <c r="B3522" s="11" t="str">
        <f>HYPERLINK("https://twitter.com/Namira_61","@Namira_61")</f>
        <v>@Namira_61</v>
      </c>
      <c r="C3522" s="6" t="s">
        <v>7623</v>
      </c>
      <c r="D3522" s="5" t="s">
        <v>7651</v>
      </c>
      <c r="E3522" s="9" t="str">
        <f>HYPERLINK("https://twitter.com/Namira_61/status/1034878955122290688","1034878955122290688")</f>
        <v>1034878955122290688</v>
      </c>
      <c r="F3522" s="4"/>
      <c r="G3522" s="10" t="s">
        <v>7650</v>
      </c>
      <c r="H3522" s="4"/>
      <c r="I3522" s="10" t="str">
        <f>HYPERLINK("http://twitter.com/download/iphone","Twitter for iPhone")</f>
        <v>Twitter for iPhone</v>
      </c>
      <c r="J3522" s="2">
        <v>1964</v>
      </c>
      <c r="K3522" s="2">
        <v>4991</v>
      </c>
      <c r="L3522" s="2">
        <v>1</v>
      </c>
      <c r="M3522" s="2"/>
      <c r="N3522" s="8">
        <v>42949.711180555554</v>
      </c>
      <c r="O3522" s="4" t="s">
        <v>7620</v>
      </c>
      <c r="P3522" s="3" t="s">
        <v>7619</v>
      </c>
      <c r="Q3522" s="4"/>
      <c r="R3522" s="4"/>
      <c r="S3522" s="9" t="str">
        <f>HYPERLINK("https://pbs.twimg.com/profile_images/987340367480676354/07tiWwvI.jpg","View")</f>
        <v>View</v>
      </c>
    </row>
    <row r="3523" spans="1:19" ht="20">
      <c r="A3523" s="8">
        <v>43341.980231481481</v>
      </c>
      <c r="B3523" s="11" t="str">
        <f>HYPERLINK("https://twitter.com/SARMAD2018","@SARMAD2018")</f>
        <v>@SARMAD2018</v>
      </c>
      <c r="C3523" s="6" t="s">
        <v>7649</v>
      </c>
      <c r="D3523" s="5" t="s">
        <v>7648</v>
      </c>
      <c r="E3523" s="9" t="str">
        <f>HYPERLINK("https://twitter.com/SARMAD2018/status/1034878735621779457","1034878735621779457")</f>
        <v>1034878735621779457</v>
      </c>
      <c r="F3523" s="4"/>
      <c r="G3523" s="4"/>
      <c r="H3523" s="4"/>
      <c r="I3523" s="10" t="str">
        <f>HYPERLINK("http://twitter.com","Twitter Web Client")</f>
        <v>Twitter Web Client</v>
      </c>
      <c r="J3523" s="2">
        <v>667</v>
      </c>
      <c r="K3523" s="2">
        <v>750</v>
      </c>
      <c r="L3523" s="2">
        <v>0</v>
      </c>
      <c r="M3523" s="2"/>
      <c r="N3523" s="8">
        <v>43110.940208333333</v>
      </c>
      <c r="O3523" s="4" t="s">
        <v>25</v>
      </c>
      <c r="P3523" s="3" t="s">
        <v>7647</v>
      </c>
      <c r="Q3523" s="4"/>
      <c r="R3523" s="4"/>
      <c r="S3523" s="9" t="str">
        <f>HYPERLINK("https://pbs.twimg.com/profile_images/1024289046862946304/OW0JCoB_.jpg","View")</f>
        <v>View</v>
      </c>
    </row>
    <row r="3524" spans="1:19" ht="12.5">
      <c r="A3524" s="8">
        <v>43341.979664351849</v>
      </c>
      <c r="B3524" s="11" t="str">
        <f>HYPERLINK("https://twitter.com/mysamcivil1","@mysamcivil1")</f>
        <v>@mysamcivil1</v>
      </c>
      <c r="C3524" s="6" t="s">
        <v>4469</v>
      </c>
      <c r="D3524" s="5" t="s">
        <v>7646</v>
      </c>
      <c r="E3524" s="9" t="str">
        <f>HYPERLINK("https://twitter.com/mysamcivil1/status/1034878530318790656","1034878530318790656")</f>
        <v>1034878530318790656</v>
      </c>
      <c r="F3524" s="4"/>
      <c r="G3524" s="10" t="s">
        <v>7645</v>
      </c>
      <c r="H3524" s="4"/>
      <c r="I3524" s="10" t="str">
        <f>HYPERLINK("http://twitter.com/download/android","Twitter for Android")</f>
        <v>Twitter for Android</v>
      </c>
      <c r="J3524" s="2">
        <v>144</v>
      </c>
      <c r="K3524" s="2">
        <v>477</v>
      </c>
      <c r="L3524" s="2">
        <v>0</v>
      </c>
      <c r="M3524" s="2"/>
      <c r="N3524" s="8">
        <v>43093.518252314811</v>
      </c>
      <c r="O3524" s="4" t="s">
        <v>4467</v>
      </c>
      <c r="P3524" s="3" t="s">
        <v>4466</v>
      </c>
      <c r="Q3524" s="4"/>
      <c r="R3524" s="4"/>
      <c r="S3524" s="9" t="str">
        <f>HYPERLINK("https://pbs.twimg.com/profile_images/1015610637647515648/5pXHXCdF.jpg","View")</f>
        <v>View</v>
      </c>
    </row>
    <row r="3525" spans="1:19" ht="20">
      <c r="A3525" s="8">
        <v>43341.97420138889</v>
      </c>
      <c r="B3525" s="11" t="str">
        <f>HYPERLINK("https://twitter.com/najafimohamad54","@najafimohamad54")</f>
        <v>@najafimohamad54</v>
      </c>
      <c r="C3525" s="6" t="s">
        <v>7644</v>
      </c>
      <c r="D3525" s="5" t="s">
        <v>7643</v>
      </c>
      <c r="E3525" s="9" t="str">
        <f>HYPERLINK("https://twitter.com/najafimohamad54/status/1034876549445636097","1034876549445636097")</f>
        <v>1034876549445636097</v>
      </c>
      <c r="F3525" s="4"/>
      <c r="G3525" s="4"/>
      <c r="H3525" s="4"/>
      <c r="I3525" s="10" t="str">
        <f>HYPERLINK("http://twitter.com/download/android","Twitter for Android")</f>
        <v>Twitter for Android</v>
      </c>
      <c r="J3525" s="2">
        <v>51</v>
      </c>
      <c r="K3525" s="2">
        <v>159</v>
      </c>
      <c r="L3525" s="2">
        <v>0</v>
      </c>
      <c r="M3525" s="2"/>
      <c r="N3525" s="8">
        <v>43324.014328703706</v>
      </c>
      <c r="O3525" s="4" t="s">
        <v>7642</v>
      </c>
      <c r="P3525" s="3"/>
      <c r="Q3525" s="4"/>
      <c r="R3525" s="4"/>
      <c r="S3525" s="9" t="str">
        <f>HYPERLINK("https://pbs.twimg.com/profile_images/1028381892310122496/U9UpgVt6.jpg","View")</f>
        <v>View</v>
      </c>
    </row>
    <row r="3526" spans="1:19" ht="30">
      <c r="A3526" s="8">
        <v>43341.973715277782</v>
      </c>
      <c r="B3526" s="11" t="str">
        <f>HYPERLINK("https://twitter.com/MrRahbarpour","@MrRahbarpour")</f>
        <v>@MrRahbarpour</v>
      </c>
      <c r="C3526" s="6" t="s">
        <v>7641</v>
      </c>
      <c r="D3526" s="5" t="s">
        <v>7640</v>
      </c>
      <c r="E3526" s="9" t="str">
        <f>HYPERLINK("https://twitter.com/MrRahbarpour/status/1034876373347852289","1034876373347852289")</f>
        <v>1034876373347852289</v>
      </c>
      <c r="F3526" s="4"/>
      <c r="G3526" s="4"/>
      <c r="H3526" s="4"/>
      <c r="I3526" s="10" t="str">
        <f>HYPERLINK("http://twitter.com/download/iphone","Twitter for iPhone")</f>
        <v>Twitter for iPhone</v>
      </c>
      <c r="J3526" s="2">
        <v>3364</v>
      </c>
      <c r="K3526" s="2">
        <v>1967</v>
      </c>
      <c r="L3526" s="2">
        <v>10</v>
      </c>
      <c r="M3526" s="2"/>
      <c r="N3526" s="8">
        <v>42949.721759259264</v>
      </c>
      <c r="O3526" s="4" t="s">
        <v>7639</v>
      </c>
      <c r="P3526" s="3" t="s">
        <v>7638</v>
      </c>
      <c r="Q3526" s="4"/>
      <c r="R3526" s="4"/>
      <c r="S3526" s="9" t="str">
        <f>HYPERLINK("https://pbs.twimg.com/profile_images/979857333483397120/92NlGIzn.jpg","View")</f>
        <v>View</v>
      </c>
    </row>
    <row r="3527" spans="1:19" ht="70">
      <c r="A3527" s="8">
        <v>43341.970509259263</v>
      </c>
      <c r="B3527" s="11" t="str">
        <f>HYPERLINK("https://twitter.com/atrinnaaa","@atrinnaaa")</f>
        <v>@atrinnaaa</v>
      </c>
      <c r="C3527" s="6" t="s">
        <v>7637</v>
      </c>
      <c r="D3527" s="5" t="s">
        <v>7636</v>
      </c>
      <c r="E3527" s="9" t="str">
        <f>HYPERLINK("https://twitter.com/atrinnaaa/status/1034875212578390017","1034875212578390017")</f>
        <v>1034875212578390017</v>
      </c>
      <c r="F3527" s="10" t="s">
        <v>2098</v>
      </c>
      <c r="G3527" s="4"/>
      <c r="H3527" s="4"/>
      <c r="I3527" s="10" t="str">
        <f>HYPERLINK("http://twitter.com/download/android","Twitter for Android")</f>
        <v>Twitter for Android</v>
      </c>
      <c r="J3527" s="2">
        <v>236</v>
      </c>
      <c r="K3527" s="2">
        <v>623</v>
      </c>
      <c r="L3527" s="2">
        <v>0</v>
      </c>
      <c r="M3527" s="2"/>
      <c r="N3527" s="8">
        <v>43339.420127314814</v>
      </c>
      <c r="O3527" s="4"/>
      <c r="P3527" s="3" t="s">
        <v>7635</v>
      </c>
      <c r="Q3527" s="4"/>
      <c r="R3527" s="4"/>
      <c r="S3527" s="9" t="str">
        <f>HYPERLINK("https://pbs.twimg.com/profile_images/1034291521309364225/lcX-Vf62.jpg","View")</f>
        <v>View</v>
      </c>
    </row>
    <row r="3528" spans="1:19" ht="12.5">
      <c r="A3528" s="8">
        <v>43341.969814814816</v>
      </c>
      <c r="B3528" s="11" t="str">
        <f>HYPERLINK("https://twitter.com/parniyankouchak","@parniyankouchak")</f>
        <v>@parniyankouchak</v>
      </c>
      <c r="C3528" s="6" t="s">
        <v>7634</v>
      </c>
      <c r="D3528" s="5" t="s">
        <v>7633</v>
      </c>
      <c r="E3528" s="9" t="str">
        <f>HYPERLINK("https://twitter.com/parniyankouchak/status/1034874961876410370","1034874961876410370")</f>
        <v>1034874961876410370</v>
      </c>
      <c r="F3528" s="4"/>
      <c r="G3528" s="4"/>
      <c r="H3528" s="4"/>
      <c r="I3528" s="10" t="str">
        <f>HYPERLINK("http://twitter.com/download/android","Twitter for Android")</f>
        <v>Twitter for Android</v>
      </c>
      <c r="J3528" s="2">
        <v>840</v>
      </c>
      <c r="K3528" s="2">
        <v>792</v>
      </c>
      <c r="L3528" s="2">
        <v>3</v>
      </c>
      <c r="M3528" s="2"/>
      <c r="N3528" s="8">
        <v>43213.618993055556</v>
      </c>
      <c r="O3528" s="4" t="s">
        <v>7632</v>
      </c>
      <c r="P3528" s="3" t="s">
        <v>7631</v>
      </c>
      <c r="Q3528" s="4"/>
      <c r="R3528" s="4"/>
      <c r="S3528" s="9" t="str">
        <f>HYPERLINK("https://pbs.twimg.com/profile_images/1034313390926319616/WP0pjfvv.jpg","View")</f>
        <v>View</v>
      </c>
    </row>
    <row r="3529" spans="1:19" ht="20">
      <c r="A3529" s="8">
        <v>43341.969004629631</v>
      </c>
      <c r="B3529" s="11" t="str">
        <f>HYPERLINK("https://twitter.com/Fnews_Persian","@Fnews_Persian")</f>
        <v>@Fnews_Persian</v>
      </c>
      <c r="C3529" s="6" t="s">
        <v>919</v>
      </c>
      <c r="D3529" s="5" t="s">
        <v>7630</v>
      </c>
      <c r="E3529" s="9" t="str">
        <f>HYPERLINK("https://twitter.com/Fnews_Persian/status/1034874666400325633","1034874666400325633")</f>
        <v>1034874666400325633</v>
      </c>
      <c r="F3529" s="4"/>
      <c r="G3529" s="10" t="s">
        <v>7629</v>
      </c>
      <c r="H3529" s="4"/>
      <c r="I3529" s="10" t="str">
        <f>HYPERLINK("http://twitter.com","Twitter Web Client")</f>
        <v>Twitter Web Client</v>
      </c>
      <c r="J3529" s="2">
        <v>58358</v>
      </c>
      <c r="K3529" s="2">
        <v>8</v>
      </c>
      <c r="L3529" s="2">
        <v>8</v>
      </c>
      <c r="M3529" s="2"/>
      <c r="N3529" s="8">
        <v>42445.668726851851</v>
      </c>
      <c r="O3529" s="4" t="s">
        <v>916</v>
      </c>
      <c r="P3529" s="3" t="s">
        <v>915</v>
      </c>
      <c r="Q3529" s="4"/>
      <c r="R3529" s="4"/>
      <c r="S3529" s="9" t="str">
        <f>HYPERLINK("https://pbs.twimg.com/profile_images/962248284151734272/-yEY7hhB.jpg","View")</f>
        <v>View</v>
      </c>
    </row>
    <row r="3530" spans="1:19" ht="30">
      <c r="A3530" s="8">
        <v>43341.966608796298</v>
      </c>
      <c r="B3530" s="11" t="str">
        <f>HYPERLINK("https://twitter.com/h_molavi","@h_molavi")</f>
        <v>@h_molavi</v>
      </c>
      <c r="C3530" s="6" t="s">
        <v>7628</v>
      </c>
      <c r="D3530" s="5" t="s">
        <v>7627</v>
      </c>
      <c r="E3530" s="9" t="str">
        <f>HYPERLINK("https://twitter.com/h_molavi/status/1034873798716211200","1034873798716211200")</f>
        <v>1034873798716211200</v>
      </c>
      <c r="F3530" s="4"/>
      <c r="G3530" s="4"/>
      <c r="H3530" s="4"/>
      <c r="I3530" s="10" t="str">
        <f>HYPERLINK("http://twitter.com/download/android","Twitter for Android")</f>
        <v>Twitter for Android</v>
      </c>
      <c r="J3530" s="2">
        <v>59</v>
      </c>
      <c r="K3530" s="2">
        <v>248</v>
      </c>
      <c r="L3530" s="2">
        <v>1</v>
      </c>
      <c r="M3530" s="2"/>
      <c r="N3530" s="8">
        <v>42847.318483796298</v>
      </c>
      <c r="O3530" s="4" t="s">
        <v>17</v>
      </c>
      <c r="P3530" s="3" t="s">
        <v>7626</v>
      </c>
      <c r="Q3530" s="4"/>
      <c r="R3530" s="4"/>
      <c r="S3530" s="9" t="str">
        <f>HYPERLINK("https://pbs.twimg.com/profile_images/976409384782827520/5BDnB-Al.jpg","View")</f>
        <v>View</v>
      </c>
    </row>
    <row r="3531" spans="1:19" ht="20">
      <c r="A3531" s="8">
        <v>43341.966354166667</v>
      </c>
      <c r="B3531" s="11" t="str">
        <f>HYPERLINK("https://twitter.com/nabavi8","@nabavi8")</f>
        <v>@nabavi8</v>
      </c>
      <c r="C3531" s="6" t="s">
        <v>4465</v>
      </c>
      <c r="D3531" s="5" t="s">
        <v>7625</v>
      </c>
      <c r="E3531" s="9" t="str">
        <f>HYPERLINK("https://twitter.com/nabavi8/status/1034873708735750144","1034873708735750144")</f>
        <v>1034873708735750144</v>
      </c>
      <c r="F3531" s="4"/>
      <c r="G3531" s="4"/>
      <c r="H3531" s="4"/>
      <c r="I3531" s="10" t="str">
        <f>HYPERLINK("http://twitter.com","Twitter Web Client")</f>
        <v>Twitter Web Client</v>
      </c>
      <c r="J3531" s="2">
        <v>112</v>
      </c>
      <c r="K3531" s="2">
        <v>475</v>
      </c>
      <c r="L3531" s="2">
        <v>1</v>
      </c>
      <c r="M3531" s="2"/>
      <c r="N3531" s="8">
        <v>41600.829421296294</v>
      </c>
      <c r="O3531" s="4" t="s">
        <v>794</v>
      </c>
      <c r="P3531" s="3" t="s">
        <v>4463</v>
      </c>
      <c r="Q3531" s="4"/>
      <c r="R3531" s="4"/>
      <c r="S3531" s="9" t="str">
        <f>HYPERLINK("https://pbs.twimg.com/profile_images/668534963575255041/4KqebuFh.jpg","View")</f>
        <v>View</v>
      </c>
    </row>
    <row r="3532" spans="1:19" ht="40">
      <c r="A3532" s="8">
        <v>43341.966273148151</v>
      </c>
      <c r="B3532" s="11" t="str">
        <f>HYPERLINK("https://twitter.com/Beeman93397010","@Beeman93397010")</f>
        <v>@Beeman93397010</v>
      </c>
      <c r="C3532" s="6" t="s">
        <v>1335</v>
      </c>
      <c r="D3532" s="5" t="s">
        <v>7624</v>
      </c>
      <c r="E3532" s="9" t="str">
        <f>HYPERLINK("https://twitter.com/Beeman93397010/status/1034873678239019009","1034873678239019009")</f>
        <v>1034873678239019009</v>
      </c>
      <c r="F3532" s="4"/>
      <c r="G3532" s="4"/>
      <c r="H3532" s="4"/>
      <c r="I3532" s="10" t="str">
        <f>HYPERLINK("http://twitter.com/download/android","Twitter for Android")</f>
        <v>Twitter for Android</v>
      </c>
      <c r="J3532" s="2">
        <v>134</v>
      </c>
      <c r="K3532" s="2">
        <v>62</v>
      </c>
      <c r="L3532" s="2">
        <v>0</v>
      </c>
      <c r="M3532" s="2"/>
      <c r="N3532" s="8">
        <v>43201.467928240745</v>
      </c>
      <c r="O3532" s="4" t="s">
        <v>1333</v>
      </c>
      <c r="P3532" s="3" t="s">
        <v>1332</v>
      </c>
      <c r="Q3532" s="4"/>
      <c r="R3532" s="4"/>
      <c r="S3532" s="9" t="str">
        <f>HYPERLINK("https://pbs.twimg.com/profile_images/984098314026192896/-naFt74A.jpg","View")</f>
        <v>View</v>
      </c>
    </row>
    <row r="3533" spans="1:19" ht="12.5">
      <c r="A3533" s="8">
        <v>43341.965636574074</v>
      </c>
      <c r="B3533" s="11" t="str">
        <f>HYPERLINK("https://twitter.com/Namira_61","@Namira_61")</f>
        <v>@Namira_61</v>
      </c>
      <c r="C3533" s="6" t="s">
        <v>7623</v>
      </c>
      <c r="D3533" s="5" t="s">
        <v>7622</v>
      </c>
      <c r="E3533" s="9" t="str">
        <f>HYPERLINK("https://twitter.com/Namira_61/status/1034873448546410504","1034873448546410504")</f>
        <v>1034873448546410504</v>
      </c>
      <c r="F3533" s="4"/>
      <c r="G3533" s="10" t="s">
        <v>7621</v>
      </c>
      <c r="H3533" s="4"/>
      <c r="I3533" s="10" t="str">
        <f>HYPERLINK("http://twitter.com/download/iphone","Twitter for iPhone")</f>
        <v>Twitter for iPhone</v>
      </c>
      <c r="J3533" s="2">
        <v>1971</v>
      </c>
      <c r="K3533" s="2">
        <v>4993</v>
      </c>
      <c r="L3533" s="2">
        <v>1</v>
      </c>
      <c r="M3533" s="2"/>
      <c r="N3533" s="8">
        <v>42949.711180555554</v>
      </c>
      <c r="O3533" s="4" t="s">
        <v>7620</v>
      </c>
      <c r="P3533" s="3" t="s">
        <v>7619</v>
      </c>
      <c r="Q3533" s="4"/>
      <c r="R3533" s="4"/>
      <c r="S3533" s="9" t="str">
        <f>HYPERLINK("https://pbs.twimg.com/profile_images/987340367480676354/07tiWwvI.jpg","View")</f>
        <v>View</v>
      </c>
    </row>
    <row r="3534" spans="1:19" ht="20">
      <c r="A3534" s="8">
        <v>43341.963773148149</v>
      </c>
      <c r="B3534" s="11" t="str">
        <f>HYPERLINK("https://twitter.com/radikal_21","@radikal_21")</f>
        <v>@radikal_21</v>
      </c>
      <c r="C3534" s="6" t="s">
        <v>7618</v>
      </c>
      <c r="D3534" s="5" t="s">
        <v>7617</v>
      </c>
      <c r="E3534" s="9" t="str">
        <f>HYPERLINK("https://twitter.com/radikal_21/status/1034872771849928704","1034872771849928704")</f>
        <v>1034872771849928704</v>
      </c>
      <c r="F3534" s="4"/>
      <c r="G3534" s="4"/>
      <c r="H3534" s="4"/>
      <c r="I3534" s="10" t="str">
        <f>HYPERLINK("http://twitter.com/download/android","Twitter for Android")</f>
        <v>Twitter for Android</v>
      </c>
      <c r="J3534" s="2">
        <v>994</v>
      </c>
      <c r="K3534" s="2">
        <v>946</v>
      </c>
      <c r="L3534" s="2">
        <v>0</v>
      </c>
      <c r="M3534" s="2"/>
      <c r="N3534" s="8">
        <v>43322.635092592594</v>
      </c>
      <c r="O3534" s="4" t="s">
        <v>7616</v>
      </c>
      <c r="P3534" s="3" t="s">
        <v>7615</v>
      </c>
      <c r="Q3534" s="4"/>
      <c r="R3534" s="4"/>
      <c r="S3534" s="9" t="str">
        <f>HYPERLINK("https://pbs.twimg.com/profile_images/1034100950045274112/ZcWHKW1y.jpg","View")</f>
        <v>View</v>
      </c>
    </row>
    <row r="3535" spans="1:19" ht="12.5">
      <c r="A3535" s="8">
        <v>43341.962048611109</v>
      </c>
      <c r="B3535" s="11" t="str">
        <f>HYPERLINK("https://twitter.com/nabavi8","@nabavi8")</f>
        <v>@nabavi8</v>
      </c>
      <c r="C3535" s="6" t="s">
        <v>4465</v>
      </c>
      <c r="D3535" s="5" t="s">
        <v>7614</v>
      </c>
      <c r="E3535" s="9" t="str">
        <f>HYPERLINK("https://twitter.com/nabavi8/status/1034872148236492800","1034872148236492800")</f>
        <v>1034872148236492800</v>
      </c>
      <c r="F3535" s="4"/>
      <c r="G3535" s="4"/>
      <c r="H3535" s="4"/>
      <c r="I3535" s="10" t="str">
        <f>HYPERLINK("http://twitter.com","Twitter Web Client")</f>
        <v>Twitter Web Client</v>
      </c>
      <c r="J3535" s="2">
        <v>112</v>
      </c>
      <c r="K3535" s="2">
        <v>475</v>
      </c>
      <c r="L3535" s="2">
        <v>1</v>
      </c>
      <c r="M3535" s="2"/>
      <c r="N3535" s="8">
        <v>41600.829421296294</v>
      </c>
      <c r="O3535" s="4" t="s">
        <v>794</v>
      </c>
      <c r="P3535" s="3" t="s">
        <v>4463</v>
      </c>
      <c r="Q3535" s="4"/>
      <c r="R3535" s="4"/>
      <c r="S3535" s="9" t="str">
        <f>HYPERLINK("https://pbs.twimg.com/profile_images/668534963575255041/4KqebuFh.jpg","View")</f>
        <v>View</v>
      </c>
    </row>
    <row r="3536" spans="1:19" ht="40">
      <c r="A3536" s="8">
        <v>43341.960810185185</v>
      </c>
      <c r="B3536" s="11" t="str">
        <f>HYPERLINK("https://twitter.com/hosseinamini67","@hosseinamini67")</f>
        <v>@hosseinamini67</v>
      </c>
      <c r="C3536" s="6" t="s">
        <v>7613</v>
      </c>
      <c r="D3536" s="5" t="s">
        <v>7612</v>
      </c>
      <c r="E3536" s="9" t="str">
        <f>HYPERLINK("https://twitter.com/hosseinamini67/status/1034871698108174336","1034871698108174336")</f>
        <v>1034871698108174336</v>
      </c>
      <c r="F3536" s="4"/>
      <c r="G3536" s="4"/>
      <c r="H3536" s="4"/>
      <c r="I3536" s="10" t="str">
        <f>HYPERLINK("http://twitter.com/download/android","Twitter for Android")</f>
        <v>Twitter for Android</v>
      </c>
      <c r="J3536" s="2">
        <v>17</v>
      </c>
      <c r="K3536" s="2">
        <v>35</v>
      </c>
      <c r="L3536" s="2">
        <v>0</v>
      </c>
      <c r="M3536" s="2"/>
      <c r="N3536" s="8">
        <v>42132.458368055552</v>
      </c>
      <c r="O3536" s="4" t="s">
        <v>1601</v>
      </c>
      <c r="P3536" s="3" t="s">
        <v>7611</v>
      </c>
      <c r="Q3536" s="4"/>
      <c r="R3536" s="4"/>
      <c r="S3536" s="9" t="str">
        <f>HYPERLINK("https://pbs.twimg.com/profile_images/998209153754578944/rwQtJMZf.jpg","View")</f>
        <v>View</v>
      </c>
    </row>
    <row r="3537" spans="1:19" ht="40">
      <c r="A3537" s="8">
        <v>43341.960185185184</v>
      </c>
      <c r="B3537" s="11" t="str">
        <f>HYPERLINK("https://twitter.com/cheroee","@cheroee")</f>
        <v>@cheroee</v>
      </c>
      <c r="C3537" s="6" t="s">
        <v>2195</v>
      </c>
      <c r="D3537" s="5" t="s">
        <v>7610</v>
      </c>
      <c r="E3537" s="9" t="str">
        <f>HYPERLINK("https://twitter.com/cheroee/status/1034871472119062528","1034871472119062528")</f>
        <v>1034871472119062528</v>
      </c>
      <c r="F3537" s="4"/>
      <c r="G3537" s="4"/>
      <c r="H3537" s="4"/>
      <c r="I3537" s="10" t="str">
        <f>HYPERLINK("http://twitter.com/download/android","Twitter for Android")</f>
        <v>Twitter for Android</v>
      </c>
      <c r="J3537" s="2">
        <v>1225</v>
      </c>
      <c r="K3537" s="2">
        <v>1408</v>
      </c>
      <c r="L3537" s="2">
        <v>1</v>
      </c>
      <c r="M3537" s="2"/>
      <c r="N3537" s="8">
        <v>43107.905138888891</v>
      </c>
      <c r="O3537" s="4" t="s">
        <v>2193</v>
      </c>
      <c r="P3537" s="3" t="s">
        <v>2192</v>
      </c>
      <c r="Q3537" s="4"/>
      <c r="R3537" s="4"/>
      <c r="S3537" s="9" t="str">
        <f>HYPERLINK("https://pbs.twimg.com/profile_images/950323482784681986/ENPd2fX5.jpg","View")</f>
        <v>View</v>
      </c>
    </row>
    <row r="3538" spans="1:19" ht="40">
      <c r="A3538" s="8">
        <v>43341.959386574075</v>
      </c>
      <c r="B3538" s="11" t="str">
        <f>HYPERLINK("https://twitter.com/hashtagban","@hashtagban")</f>
        <v>@hashtagban</v>
      </c>
      <c r="C3538" s="6" t="s">
        <v>4117</v>
      </c>
      <c r="D3538" s="5" t="s">
        <v>7609</v>
      </c>
      <c r="E3538" s="9" t="str">
        <f>HYPERLINK("https://twitter.com/hashtagban/status/1034871180396769283","1034871180396769283")</f>
        <v>1034871180396769283</v>
      </c>
      <c r="F3538" s="10" t="s">
        <v>4115</v>
      </c>
      <c r="G3538" s="10" t="s">
        <v>7608</v>
      </c>
      <c r="H3538" s="4"/>
      <c r="I3538" s="10" t="str">
        <f>HYPERLINK("https://hashtagban.com","hashtagban")</f>
        <v>hashtagban</v>
      </c>
      <c r="J3538" s="2">
        <v>579</v>
      </c>
      <c r="K3538" s="2">
        <v>0</v>
      </c>
      <c r="L3538" s="2">
        <v>6</v>
      </c>
      <c r="M3538" s="2"/>
      <c r="N3538" s="8">
        <v>43289.498113425929</v>
      </c>
      <c r="O3538" s="4"/>
      <c r="P3538" s="3" t="s">
        <v>4113</v>
      </c>
      <c r="Q3538" s="10" t="s">
        <v>4112</v>
      </c>
      <c r="R3538" s="4"/>
      <c r="S3538" s="9" t="str">
        <f>HYPERLINK("https://pbs.twimg.com/profile_images/1015960463132254208/jzT-0yUe.jpg","View")</f>
        <v>View</v>
      </c>
    </row>
    <row r="3539" spans="1:19" ht="30">
      <c r="A3539" s="8">
        <v>43341.959282407406</v>
      </c>
      <c r="B3539" s="11" t="str">
        <f>HYPERLINK("https://twitter.com/m_ghaedi","@m_ghaedi")</f>
        <v>@m_ghaedi</v>
      </c>
      <c r="C3539" s="6" t="s">
        <v>3418</v>
      </c>
      <c r="D3539" s="5" t="s">
        <v>7607</v>
      </c>
      <c r="E3539" s="9" t="str">
        <f>HYPERLINK("https://twitter.com/m_ghaedi/status/1034871142597713921","1034871142597713921")</f>
        <v>1034871142597713921</v>
      </c>
      <c r="F3539" s="4"/>
      <c r="G3539" s="4"/>
      <c r="H3539" s="4"/>
      <c r="I3539" s="10" t="str">
        <f>HYPERLINK("http://twitter.com/download/android","Twitter for Android")</f>
        <v>Twitter for Android</v>
      </c>
      <c r="J3539" s="2">
        <v>5111</v>
      </c>
      <c r="K3539" s="2">
        <v>3060</v>
      </c>
      <c r="L3539" s="2">
        <v>15</v>
      </c>
      <c r="M3539" s="2"/>
      <c r="N3539" s="8">
        <v>42742.733136574076</v>
      </c>
      <c r="O3539" s="4" t="s">
        <v>310</v>
      </c>
      <c r="P3539" s="3" t="s">
        <v>3416</v>
      </c>
      <c r="Q3539" s="4"/>
      <c r="R3539" s="4"/>
      <c r="S3539" s="9" t="str">
        <f>HYPERLINK("https://pbs.twimg.com/profile_images/1021356154029518848/T8pKb5xe.jpg","View")</f>
        <v>View</v>
      </c>
    </row>
    <row r="3540" spans="1:19" ht="20">
      <c r="A3540" s="8">
        <v>43341.957870370374</v>
      </c>
      <c r="B3540" s="11" t="str">
        <f>HYPERLINK("https://twitter.com/d17UNeN3sS3Xv5V","@d17UNeN3sS3Xv5V")</f>
        <v>@d17UNeN3sS3Xv5V</v>
      </c>
      <c r="C3540" s="6" t="s">
        <v>7604</v>
      </c>
      <c r="D3540" s="5" t="s">
        <v>7606</v>
      </c>
      <c r="E3540" s="9" t="str">
        <f>HYPERLINK("https://twitter.com/d17UNeN3sS3Xv5V/status/1034870634734596097","1034870634734596097")</f>
        <v>1034870634734596097</v>
      </c>
      <c r="F3540" s="4"/>
      <c r="G3540" s="10" t="s">
        <v>7605</v>
      </c>
      <c r="H3540" s="4"/>
      <c r="I3540" s="10" t="str">
        <f>HYPERLINK("http://twitter.com/download/android","Twitter for Android")</f>
        <v>Twitter for Android</v>
      </c>
      <c r="J3540" s="2">
        <v>35</v>
      </c>
      <c r="K3540" s="2">
        <v>81</v>
      </c>
      <c r="L3540" s="2">
        <v>0</v>
      </c>
      <c r="M3540" s="2"/>
      <c r="N3540" s="8">
        <v>43313.791655092587</v>
      </c>
      <c r="O3540" s="4"/>
      <c r="P3540" s="3"/>
      <c r="Q3540" s="4"/>
      <c r="R3540" s="4"/>
      <c r="S3540" s="2" t="s">
        <v>155</v>
      </c>
    </row>
    <row r="3541" spans="1:19" ht="20">
      <c r="A3541" s="8">
        <v>43341.957662037035</v>
      </c>
      <c r="B3541" s="11" t="str">
        <f>HYPERLINK("https://twitter.com/d17UNeN3sS3Xv5V","@d17UNeN3sS3Xv5V")</f>
        <v>@d17UNeN3sS3Xv5V</v>
      </c>
      <c r="C3541" s="6" t="s">
        <v>7604</v>
      </c>
      <c r="D3541" s="5" t="s">
        <v>7603</v>
      </c>
      <c r="E3541" s="9" t="str">
        <f>HYPERLINK("https://twitter.com/d17UNeN3sS3Xv5V/status/1034870557681045504","1034870557681045504")</f>
        <v>1034870557681045504</v>
      </c>
      <c r="F3541" s="4"/>
      <c r="G3541" s="10" t="s">
        <v>7602</v>
      </c>
      <c r="H3541" s="4"/>
      <c r="I3541" s="10" t="str">
        <f>HYPERLINK("http://twitter.com/download/android","Twitter for Android")</f>
        <v>Twitter for Android</v>
      </c>
      <c r="J3541" s="2">
        <v>35</v>
      </c>
      <c r="K3541" s="2">
        <v>81</v>
      </c>
      <c r="L3541" s="2">
        <v>0</v>
      </c>
      <c r="M3541" s="2"/>
      <c r="N3541" s="8">
        <v>43313.791655092587</v>
      </c>
      <c r="O3541" s="4"/>
      <c r="P3541" s="3"/>
      <c r="Q3541" s="4"/>
      <c r="R3541" s="4"/>
      <c r="S3541" s="2" t="s">
        <v>155</v>
      </c>
    </row>
    <row r="3542" spans="1:19" ht="30">
      <c r="A3542" s="8">
        <v>43341.957650462966</v>
      </c>
      <c r="B3542" s="11" t="str">
        <f>HYPERLINK("https://twitter.com/vala_khan","@vala_khan")</f>
        <v>@vala_khan</v>
      </c>
      <c r="C3542" s="6" t="s">
        <v>7601</v>
      </c>
      <c r="D3542" s="5" t="s">
        <v>7600</v>
      </c>
      <c r="E3542" s="9" t="str">
        <f>HYPERLINK("https://twitter.com/vala_khan/status/1034870551725129729","1034870551725129729")</f>
        <v>1034870551725129729</v>
      </c>
      <c r="F3542" s="4"/>
      <c r="G3542" s="4"/>
      <c r="H3542" s="4"/>
      <c r="I3542" s="10" t="str">
        <f>HYPERLINK("http://twitter.com/download/android","Twitter for Android")</f>
        <v>Twitter for Android</v>
      </c>
      <c r="J3542" s="2">
        <v>0</v>
      </c>
      <c r="K3542" s="2">
        <v>9</v>
      </c>
      <c r="L3542" s="2">
        <v>0</v>
      </c>
      <c r="M3542" s="2"/>
      <c r="N3542" s="8">
        <v>41525.089768518519</v>
      </c>
      <c r="O3542" s="4"/>
      <c r="P3542" s="3" t="s">
        <v>7599</v>
      </c>
      <c r="Q3542" s="4"/>
      <c r="R3542" s="4"/>
      <c r="S3542" s="9" t="str">
        <f>HYPERLINK("https://pbs.twimg.com/profile_images/1025470256200990721/6nxgoSMW.jpg","View")</f>
        <v>View</v>
      </c>
    </row>
    <row r="3543" spans="1:19" ht="20">
      <c r="A3543" s="8">
        <v>43341.957291666666</v>
      </c>
      <c r="B3543" s="11" t="str">
        <f>HYPERLINK("https://twitter.com/sajjad_m1372","@sajjad_m1372")</f>
        <v>@sajjad_m1372</v>
      </c>
      <c r="C3543" s="6" t="s">
        <v>7598</v>
      </c>
      <c r="D3543" s="5" t="s">
        <v>7597</v>
      </c>
      <c r="E3543" s="9" t="str">
        <f>HYPERLINK("https://twitter.com/sajjad_m1372/status/1034870423484289024","1034870423484289024")</f>
        <v>1034870423484289024</v>
      </c>
      <c r="F3543" s="4"/>
      <c r="G3543" s="4"/>
      <c r="H3543" s="4"/>
      <c r="I3543" s="10" t="str">
        <f>HYPERLINK("http://twitter.com/download/android","Twitter for Android")</f>
        <v>Twitter for Android</v>
      </c>
      <c r="J3543" s="2">
        <v>280</v>
      </c>
      <c r="K3543" s="2">
        <v>368</v>
      </c>
      <c r="L3543" s="2">
        <v>1</v>
      </c>
      <c r="M3543" s="2"/>
      <c r="N3543" s="8">
        <v>42972.826238425929</v>
      </c>
      <c r="O3543" s="4"/>
      <c r="P3543" s="3" t="s">
        <v>7596</v>
      </c>
      <c r="Q3543" s="4"/>
      <c r="R3543" s="4"/>
      <c r="S3543" s="9" t="str">
        <f>HYPERLINK("https://pbs.twimg.com/profile_images/981038766902177792/HvsAiOrt.jpg","View")</f>
        <v>View</v>
      </c>
    </row>
    <row r="3544" spans="1:19" ht="40">
      <c r="A3544" s="8">
        <v>43341.956956018519</v>
      </c>
      <c r="B3544" s="11" t="str">
        <f>HYPERLINK("https://twitter.com/bohloleshirazi","@bohloleshirazi")</f>
        <v>@bohloleshirazi</v>
      </c>
      <c r="C3544" s="6" t="s">
        <v>3607</v>
      </c>
      <c r="D3544" s="5" t="s">
        <v>7595</v>
      </c>
      <c r="E3544" s="9" t="str">
        <f>HYPERLINK("https://twitter.com/bohloleshirazi/status/1034870303288176640","1034870303288176640")</f>
        <v>1034870303288176640</v>
      </c>
      <c r="F3544" s="4"/>
      <c r="G3544" s="4"/>
      <c r="H3544" s="4"/>
      <c r="I3544" s="10" t="str">
        <f>HYPERLINK("http://twitter.com/download/android","Twitter for Android")</f>
        <v>Twitter for Android</v>
      </c>
      <c r="J3544" s="2">
        <v>2856</v>
      </c>
      <c r="K3544" s="2">
        <v>4791</v>
      </c>
      <c r="L3544" s="2">
        <v>0</v>
      </c>
      <c r="M3544" s="2"/>
      <c r="N3544" s="8">
        <v>43113.852395833332</v>
      </c>
      <c r="O3544" s="4"/>
      <c r="P3544" s="3" t="s">
        <v>3605</v>
      </c>
      <c r="Q3544" s="4"/>
      <c r="R3544" s="4"/>
      <c r="S3544" s="9" t="str">
        <f>HYPERLINK("https://pbs.twimg.com/profile_images/994610030010826752/S_570yrQ.jpg","View")</f>
        <v>View</v>
      </c>
    </row>
    <row r="3545" spans="1:19" ht="40">
      <c r="A3545" s="8">
        <v>43341.955960648149</v>
      </c>
      <c r="B3545" s="11" t="str">
        <f>HYPERLINK("https://twitter.com/Haghaie","@Haghaie")</f>
        <v>@Haghaie</v>
      </c>
      <c r="C3545" s="6" t="s">
        <v>7594</v>
      </c>
      <c r="D3545" s="5" t="s">
        <v>7593</v>
      </c>
      <c r="E3545" s="9" t="str">
        <f>HYPERLINK("https://twitter.com/Haghaie/status/1034869941088993280","1034869941088993280")</f>
        <v>1034869941088993280</v>
      </c>
      <c r="F3545" s="4"/>
      <c r="G3545" s="10" t="s">
        <v>7592</v>
      </c>
      <c r="H3545" s="4"/>
      <c r="I3545" s="10" t="str">
        <f>HYPERLINK("http://twitter.com","Twitter Web Client")</f>
        <v>Twitter Web Client</v>
      </c>
      <c r="J3545" s="2">
        <v>408</v>
      </c>
      <c r="K3545" s="2">
        <v>300</v>
      </c>
      <c r="L3545" s="2">
        <v>8</v>
      </c>
      <c r="M3545" s="2"/>
      <c r="N3545" s="8">
        <v>40125.560798611114</v>
      </c>
      <c r="O3545" s="4" t="s">
        <v>3562</v>
      </c>
      <c r="P3545" s="3" t="s">
        <v>7591</v>
      </c>
      <c r="Q3545" s="10" t="s">
        <v>7590</v>
      </c>
      <c r="R3545" s="4"/>
      <c r="S3545" s="9" t="str">
        <f>HYPERLINK("https://pbs.twimg.com/profile_images/1030919323852988416/UrQ8E4Kq.jpg","View")</f>
        <v>View</v>
      </c>
    </row>
    <row r="3546" spans="1:19" ht="12.5">
      <c r="A3546" s="8">
        <v>43341.954363425924</v>
      </c>
      <c r="B3546" s="11" t="str">
        <f>HYPERLINK("https://twitter.com/seyed_mahdi","@seyed_mahdi")</f>
        <v>@seyed_mahdi</v>
      </c>
      <c r="C3546" s="6" t="s">
        <v>597</v>
      </c>
      <c r="D3546" s="5" t="s">
        <v>7589</v>
      </c>
      <c r="E3546" s="9" t="str">
        <f>HYPERLINK("https://twitter.com/seyed_mahdi/status/1034869363336044545","1034869363336044545")</f>
        <v>1034869363336044545</v>
      </c>
      <c r="F3546" s="4"/>
      <c r="G3546" s="4"/>
      <c r="H3546" s="4"/>
      <c r="I3546" s="10" t="str">
        <f>HYPERLINK("http://twitter.com/download/android","Twitter for Android")</f>
        <v>Twitter for Android</v>
      </c>
      <c r="J3546" s="2">
        <v>61</v>
      </c>
      <c r="K3546" s="2">
        <v>350</v>
      </c>
      <c r="L3546" s="2">
        <v>0</v>
      </c>
      <c r="M3546" s="2"/>
      <c r="N3546" s="8">
        <v>40976.03769675926</v>
      </c>
      <c r="O3546" s="4"/>
      <c r="P3546" s="3" t="s">
        <v>595</v>
      </c>
      <c r="Q3546" s="4"/>
      <c r="R3546" s="4"/>
      <c r="S3546" s="9" t="str">
        <f>HYPERLINK("https://pbs.twimg.com/profile_images/1028199476014530561/Nob_oSes.jpg","View")</f>
        <v>View</v>
      </c>
    </row>
    <row r="3547" spans="1:19" ht="30">
      <c r="A3547" s="8">
        <v>43341.954236111109</v>
      </c>
      <c r="B3547" s="11" t="str">
        <f>HYPERLINK("https://twitter.com/VCello","@VCello")</f>
        <v>@VCello</v>
      </c>
      <c r="C3547" s="6" t="s">
        <v>7588</v>
      </c>
      <c r="D3547" s="5" t="s">
        <v>7587</v>
      </c>
      <c r="E3547" s="9" t="str">
        <f>HYPERLINK("https://twitter.com/VCello/status/1034869314334203905","1034869314334203905")</f>
        <v>1034869314334203905</v>
      </c>
      <c r="F3547" s="4"/>
      <c r="G3547" s="4"/>
      <c r="H3547" s="4"/>
      <c r="I3547" s="10" t="str">
        <f>HYPERLINK("http://twitter.com/download/iphone","Twitter for iPhone")</f>
        <v>Twitter for iPhone</v>
      </c>
      <c r="J3547" s="2">
        <v>59</v>
      </c>
      <c r="K3547" s="2">
        <v>52</v>
      </c>
      <c r="L3547" s="2">
        <v>0</v>
      </c>
      <c r="M3547" s="2"/>
      <c r="N3547" s="8">
        <v>43313.022407407407</v>
      </c>
      <c r="O3547" s="4" t="s">
        <v>7586</v>
      </c>
      <c r="P3547" s="3" t="s">
        <v>7585</v>
      </c>
      <c r="Q3547" s="4"/>
      <c r="R3547" s="4"/>
      <c r="S3547" s="9" t="str">
        <f>HYPERLINK("https://pbs.twimg.com/profile_images/1028285457795371009/qe5zqkGv.jpg","View")</f>
        <v>View</v>
      </c>
    </row>
    <row r="3548" spans="1:19" ht="70">
      <c r="A3548" s="8">
        <v>43341.9528587963</v>
      </c>
      <c r="B3548" s="11" t="str">
        <f>HYPERLINK("https://twitter.com/tG9wnjVdQ6GVQ8L","@tG9wnjVdQ6GVQ8L")</f>
        <v>@tG9wnjVdQ6GVQ8L</v>
      </c>
      <c r="C3548" s="6" t="s">
        <v>3607</v>
      </c>
      <c r="D3548" s="5" t="s">
        <v>7584</v>
      </c>
      <c r="E3548" s="9" t="str">
        <f>HYPERLINK("https://twitter.com/tG9wnjVdQ6GVQ8L/status/1034868817028153350","1034868817028153350")</f>
        <v>1034868817028153350</v>
      </c>
      <c r="F3548" s="10" t="s">
        <v>7583</v>
      </c>
      <c r="G3548" s="4"/>
      <c r="H3548" s="4"/>
      <c r="I3548" s="10" t="str">
        <f>HYPERLINK("http://twitter.com/download/android","Twitter for Android")</f>
        <v>Twitter for Android</v>
      </c>
      <c r="J3548" s="2">
        <v>2191</v>
      </c>
      <c r="K3548" s="2">
        <v>3997</v>
      </c>
      <c r="L3548" s="2">
        <v>0</v>
      </c>
      <c r="M3548" s="2"/>
      <c r="N3548" s="8">
        <v>43261.000208333338</v>
      </c>
      <c r="O3548" s="4"/>
      <c r="P3548" s="3" t="s">
        <v>3665</v>
      </c>
      <c r="Q3548" s="4"/>
      <c r="R3548" s="4"/>
      <c r="S3548" s="9" t="str">
        <f>HYPERLINK("https://pbs.twimg.com/profile_images/1007545992835686400/ROiyS3R2.jpg","View")</f>
        <v>View</v>
      </c>
    </row>
    <row r="3549" spans="1:19" ht="60">
      <c r="A3549" s="8">
        <v>43341.952083333337</v>
      </c>
      <c r="B3549" s="11" t="str">
        <f>HYPERLINK("https://twitter.com/amindlv","@amindlv")</f>
        <v>@amindlv</v>
      </c>
      <c r="C3549" s="6" t="s">
        <v>7520</v>
      </c>
      <c r="D3549" s="5" t="s">
        <v>7582</v>
      </c>
      <c r="E3549" s="9" t="str">
        <f>HYPERLINK("https://twitter.com/amindlv/status/1034868537142272000","1034868537142272000")</f>
        <v>1034868537142272000</v>
      </c>
      <c r="F3549" s="10" t="s">
        <v>7581</v>
      </c>
      <c r="G3549" s="10" t="s">
        <v>7580</v>
      </c>
      <c r="H3549" s="4"/>
      <c r="I3549" s="10" t="str">
        <f>HYPERLINK("http://twitter.com/download/iphone","Twitter for iPhone")</f>
        <v>Twitter for iPhone</v>
      </c>
      <c r="J3549" s="2">
        <v>2065</v>
      </c>
      <c r="K3549" s="2">
        <v>1873</v>
      </c>
      <c r="L3549" s="2">
        <v>14</v>
      </c>
      <c r="M3549" s="2"/>
      <c r="N3549" s="8">
        <v>40260.977210648147</v>
      </c>
      <c r="O3549" s="4" t="s">
        <v>34</v>
      </c>
      <c r="P3549" s="3" t="s">
        <v>7516</v>
      </c>
      <c r="Q3549" s="4"/>
      <c r="R3549" s="4"/>
      <c r="S3549" s="9" t="str">
        <f>HYPERLINK("https://pbs.twimg.com/profile_images/1025326662383292416/KsZNBLRH.jpg","View")</f>
        <v>View</v>
      </c>
    </row>
    <row r="3550" spans="1:19" ht="12.5">
      <c r="A3550" s="8">
        <v>43341.951388888891</v>
      </c>
      <c r="B3550" s="11" t="str">
        <f>HYPERLINK("https://twitter.com/worldin_abadani","@worldin_abadani")</f>
        <v>@worldin_abadani</v>
      </c>
      <c r="C3550" s="6" t="s">
        <v>7579</v>
      </c>
      <c r="D3550" s="5" t="s">
        <v>7578</v>
      </c>
      <c r="E3550" s="9" t="str">
        <f>HYPERLINK("https://twitter.com/worldin_abadani/status/1034868283495927809","1034868283495927809")</f>
        <v>1034868283495927809</v>
      </c>
      <c r="F3550" s="4"/>
      <c r="G3550" s="4"/>
      <c r="H3550" s="4"/>
      <c r="I3550" s="10" t="str">
        <f>HYPERLINK("http://twitter.com/download/android","Twitter for Android")</f>
        <v>Twitter for Android</v>
      </c>
      <c r="J3550" s="2">
        <v>3692</v>
      </c>
      <c r="K3550" s="2">
        <v>3118</v>
      </c>
      <c r="L3550" s="2">
        <v>12</v>
      </c>
      <c r="M3550" s="2"/>
      <c r="N3550" s="8">
        <v>42990.736261574071</v>
      </c>
      <c r="O3550" s="4" t="s">
        <v>7577</v>
      </c>
      <c r="P3550" s="3" t="s">
        <v>7576</v>
      </c>
      <c r="Q3550" s="4"/>
      <c r="R3550" s="4"/>
      <c r="S3550" s="9" t="str">
        <f>HYPERLINK("https://pbs.twimg.com/profile_images/978549280083357698/o2Yv2QEV.jpg","View")</f>
        <v>View</v>
      </c>
    </row>
    <row r="3551" spans="1:19" ht="40">
      <c r="A3551" s="8">
        <v>43341.950960648144</v>
      </c>
      <c r="B3551" s="11" t="str">
        <f>HYPERLINK("https://twitter.com/7lbm2jSfROiCZwr","@7lbm2jSfROiCZwr")</f>
        <v>@7lbm2jSfROiCZwr</v>
      </c>
      <c r="C3551" s="6" t="s">
        <v>5032</v>
      </c>
      <c r="D3551" s="5" t="s">
        <v>7575</v>
      </c>
      <c r="E3551" s="9" t="str">
        <f>HYPERLINK("https://twitter.com/7lbm2jSfROiCZwr/status/1034868126947704832","1034868126947704832")</f>
        <v>1034868126947704832</v>
      </c>
      <c r="F3551" s="4"/>
      <c r="G3551" s="4"/>
      <c r="H3551" s="4"/>
      <c r="I3551" s="10" t="str">
        <f>HYPERLINK("https://mobile.twitter.com","Twitter Lite")</f>
        <v>Twitter Lite</v>
      </c>
      <c r="J3551" s="2">
        <v>8</v>
      </c>
      <c r="K3551" s="2">
        <v>0</v>
      </c>
      <c r="L3551" s="2">
        <v>0</v>
      </c>
      <c r="M3551" s="2"/>
      <c r="N3551" s="8">
        <v>43310.596307870372</v>
      </c>
      <c r="O3551" s="4" t="s">
        <v>5030</v>
      </c>
      <c r="P3551" s="3" t="s">
        <v>5029</v>
      </c>
      <c r="Q3551" s="4"/>
      <c r="R3551" s="4"/>
      <c r="S3551" s="2" t="s">
        <v>155</v>
      </c>
    </row>
    <row r="3552" spans="1:19" ht="12.5">
      <c r="A3552" s="8">
        <v>43341.950949074075</v>
      </c>
      <c r="B3552" s="11" t="str">
        <f>HYPERLINK("https://twitter.com/SoheilVs","@SoheilVs")</f>
        <v>@SoheilVs</v>
      </c>
      <c r="C3552" s="6" t="s">
        <v>7574</v>
      </c>
      <c r="D3552" s="5" t="s">
        <v>7573</v>
      </c>
      <c r="E3552" s="9" t="str">
        <f>HYPERLINK("https://twitter.com/SoheilVs/status/1034868124083019777","1034868124083019777")</f>
        <v>1034868124083019777</v>
      </c>
      <c r="F3552" s="4"/>
      <c r="G3552" s="10" t="s">
        <v>7572</v>
      </c>
      <c r="H3552" s="4"/>
      <c r="I3552" s="10" t="str">
        <f>HYPERLINK("http://twitter.com/download/iphone","Twitter for iPhone")</f>
        <v>Twitter for iPhone</v>
      </c>
      <c r="J3552" s="2">
        <v>102</v>
      </c>
      <c r="K3552" s="2">
        <v>117</v>
      </c>
      <c r="L3552" s="2">
        <v>0</v>
      </c>
      <c r="M3552" s="2"/>
      <c r="N3552" s="8">
        <v>42429.862395833334</v>
      </c>
      <c r="O3552" s="4" t="s">
        <v>7571</v>
      </c>
      <c r="P3552" s="3" t="s">
        <v>7570</v>
      </c>
      <c r="Q3552" s="10" t="s">
        <v>7569</v>
      </c>
      <c r="R3552" s="4"/>
      <c r="S3552" s="9" t="str">
        <f>HYPERLINK("https://pbs.twimg.com/profile_images/1018760082685820929/YkxF7Nv3.jpg","View")</f>
        <v>View</v>
      </c>
    </row>
    <row r="3553" spans="1:19" ht="20">
      <c r="A3553" s="8">
        <v>43341.950636574074</v>
      </c>
      <c r="B3553" s="11" t="str">
        <f>HYPERLINK("https://twitter.com/majid_sports","@majid_sports")</f>
        <v>@majid_sports</v>
      </c>
      <c r="C3553" s="6" t="s">
        <v>7568</v>
      </c>
      <c r="D3553" s="5" t="s">
        <v>7567</v>
      </c>
      <c r="E3553" s="9" t="str">
        <f>HYPERLINK("https://twitter.com/majid_sports/status/1034868013219110912","1034868013219110912")</f>
        <v>1034868013219110912</v>
      </c>
      <c r="F3553" s="4"/>
      <c r="G3553" s="4"/>
      <c r="H3553" s="4"/>
      <c r="I3553" s="10" t="str">
        <f>HYPERLINK("http://twitter.com/download/iphone","Twitter for iPhone")</f>
        <v>Twitter for iPhone</v>
      </c>
      <c r="J3553" s="2">
        <v>21</v>
      </c>
      <c r="K3553" s="2">
        <v>32</v>
      </c>
      <c r="L3553" s="2">
        <v>0</v>
      </c>
      <c r="M3553" s="2"/>
      <c r="N3553" s="8">
        <v>40030.667731481481</v>
      </c>
      <c r="O3553" s="4"/>
      <c r="P3553" s="3" t="s">
        <v>7566</v>
      </c>
      <c r="Q3553" s="4"/>
      <c r="R3553" s="4"/>
      <c r="S3553" s="9" t="str">
        <f>HYPERLINK("https://pbs.twimg.com/profile_images/1017256628087910400/dIrlmPyw.jpg","View")</f>
        <v>View</v>
      </c>
    </row>
    <row r="3554" spans="1:19" ht="20">
      <c r="A3554" s="8">
        <v>43341.949444444443</v>
      </c>
      <c r="B3554" s="11" t="str">
        <f>HYPERLINK("https://twitter.com/irane_Azad","@irane_Azad")</f>
        <v>@irane_Azad</v>
      </c>
      <c r="C3554" s="6" t="s">
        <v>1773</v>
      </c>
      <c r="D3554" s="5" t="s">
        <v>7565</v>
      </c>
      <c r="E3554" s="9" t="str">
        <f>HYPERLINK("https://twitter.com/irane_Azad/status/1034867581059039235","1034867581059039235")</f>
        <v>1034867581059039235</v>
      </c>
      <c r="F3554" s="10" t="s">
        <v>7564</v>
      </c>
      <c r="G3554" s="4"/>
      <c r="H3554" s="4"/>
      <c r="I3554" s="10" t="str">
        <f>HYPERLINK("http://twitter.com","Twitter Web Client")</f>
        <v>Twitter Web Client</v>
      </c>
      <c r="J3554" s="2">
        <v>3845</v>
      </c>
      <c r="K3554" s="2">
        <v>996</v>
      </c>
      <c r="L3554" s="2">
        <v>91</v>
      </c>
      <c r="M3554" s="2"/>
      <c r="N3554" s="8">
        <v>41246.45039351852</v>
      </c>
      <c r="O3554" s="4" t="s">
        <v>1770</v>
      </c>
      <c r="P3554" s="3" t="s">
        <v>1769</v>
      </c>
      <c r="Q3554" s="10" t="s">
        <v>1768</v>
      </c>
      <c r="R3554" s="4"/>
      <c r="S3554" s="9" t="str">
        <f>HYPERLINK("https://pbs.twimg.com/profile_images/1006316813871976450/YDReYvPB.jpg","View")</f>
        <v>View</v>
      </c>
    </row>
    <row r="3555" spans="1:19" ht="40">
      <c r="A3555" s="8">
        <v>43341.949328703704</v>
      </c>
      <c r="B3555" s="11" t="str">
        <f>HYPERLINK("https://twitter.com/D_Dynamicist","@D_Dynamicist")</f>
        <v>@D_Dynamicist</v>
      </c>
      <c r="C3555" s="6" t="s">
        <v>7563</v>
      </c>
      <c r="D3555" s="5" t="s">
        <v>7562</v>
      </c>
      <c r="E3555" s="9" t="str">
        <f>HYPERLINK("https://twitter.com/D_Dynamicist/status/1034867538671403009","1034867538671403009")</f>
        <v>1034867538671403009</v>
      </c>
      <c r="F3555" s="4"/>
      <c r="G3555" s="10" t="s">
        <v>7561</v>
      </c>
      <c r="H3555" s="4"/>
      <c r="I3555" s="10" t="str">
        <f>HYPERLINK("http://twitter.com/download/android","Twitter for Android")</f>
        <v>Twitter for Android</v>
      </c>
      <c r="J3555" s="2">
        <v>9</v>
      </c>
      <c r="K3555" s="2">
        <v>138</v>
      </c>
      <c r="L3555" s="2">
        <v>0</v>
      </c>
      <c r="M3555" s="2"/>
      <c r="N3555" s="8">
        <v>43323.100798611107</v>
      </c>
      <c r="O3555" s="4" t="s">
        <v>7560</v>
      </c>
      <c r="P3555" s="3" t="s">
        <v>7559</v>
      </c>
      <c r="Q3555" s="10" t="s">
        <v>7558</v>
      </c>
      <c r="R3555" s="4"/>
      <c r="S3555" s="9" t="str">
        <f>HYPERLINK("https://pbs.twimg.com/profile_images/1028050167768014849/TOUdQ8Oi.jpg","View")</f>
        <v>View</v>
      </c>
    </row>
    <row r="3556" spans="1:19" ht="30">
      <c r="A3556" s="8">
        <v>43341.946597222224</v>
      </c>
      <c r="B3556" s="11" t="str">
        <f>HYPERLINK("https://twitter.com/tvazaadi","@tvazaadi")</f>
        <v>@tvazaadi</v>
      </c>
      <c r="C3556" s="6" t="s">
        <v>7557</v>
      </c>
      <c r="D3556" s="5" t="s">
        <v>7556</v>
      </c>
      <c r="E3556" s="9" t="str">
        <f>HYPERLINK("https://twitter.com/tvazaadi/status/1034866547251204097","1034866547251204097")</f>
        <v>1034866547251204097</v>
      </c>
      <c r="F3556" s="4"/>
      <c r="G3556" s="10" t="s">
        <v>7555</v>
      </c>
      <c r="H3556" s="4"/>
      <c r="I3556" s="10" t="str">
        <f>HYPERLINK("http://twitter.com/download/android","Twitter for Android")</f>
        <v>Twitter for Android</v>
      </c>
      <c r="J3556" s="2">
        <v>14018</v>
      </c>
      <c r="K3556" s="2">
        <v>22</v>
      </c>
      <c r="L3556" s="2">
        <v>1</v>
      </c>
      <c r="M3556" s="2"/>
      <c r="N3556" s="8">
        <v>43133.578425925924</v>
      </c>
      <c r="O3556" s="4" t="s">
        <v>1770</v>
      </c>
      <c r="P3556" s="3" t="s">
        <v>7554</v>
      </c>
      <c r="Q3556" s="4"/>
      <c r="R3556" s="4"/>
      <c r="S3556" s="9" t="str">
        <f>HYPERLINK("https://pbs.twimg.com/profile_images/999632961417854976/rb9QwB8X.jpg","View")</f>
        <v>View</v>
      </c>
    </row>
    <row r="3557" spans="1:19" ht="40">
      <c r="A3557" s="8">
        <v>43341.945266203707</v>
      </c>
      <c r="B3557" s="11" t="str">
        <f>HYPERLINK("https://twitter.com/Mnabi_Habibi","@Mnabi_Habibi")</f>
        <v>@Mnabi_Habibi</v>
      </c>
      <c r="C3557" s="6" t="s">
        <v>3844</v>
      </c>
      <c r="D3557" s="5" t="s">
        <v>7553</v>
      </c>
      <c r="E3557" s="9" t="str">
        <f>HYPERLINK("https://twitter.com/Mnabi_Habibi/status/1034866067301130240","1034866067301130240")</f>
        <v>1034866067301130240</v>
      </c>
      <c r="F3557" s="4"/>
      <c r="G3557" s="4"/>
      <c r="H3557" s="4"/>
      <c r="I3557" s="10" t="str">
        <f>HYPERLINK("http://twitter.com","Twitter Web Client")</f>
        <v>Twitter Web Client</v>
      </c>
      <c r="J3557" s="2">
        <v>78</v>
      </c>
      <c r="K3557" s="2">
        <v>8</v>
      </c>
      <c r="L3557" s="2">
        <v>2</v>
      </c>
      <c r="M3557" s="2"/>
      <c r="N3557" s="8">
        <v>43283.6637037037</v>
      </c>
      <c r="O3557" s="4"/>
      <c r="P3557" s="3" t="s">
        <v>3842</v>
      </c>
      <c r="Q3557" s="4"/>
      <c r="R3557" s="4"/>
      <c r="S3557" s="9" t="str">
        <f>HYPERLINK("https://pbs.twimg.com/profile_images/1013747517408739328/B4It4wTc.jpg","View")</f>
        <v>View</v>
      </c>
    </row>
    <row r="3558" spans="1:19" ht="12.5">
      <c r="A3558" s="8">
        <v>43341.943726851852</v>
      </c>
      <c r="B3558" s="11" t="str">
        <f>HYPERLINK("https://twitter.com/So0k_So0k","@So0k_So0k")</f>
        <v>@So0k_So0k</v>
      </c>
      <c r="C3558" s="6" t="s">
        <v>7552</v>
      </c>
      <c r="D3558" s="5" t="s">
        <v>7551</v>
      </c>
      <c r="E3558" s="9" t="str">
        <f>HYPERLINK("https://twitter.com/So0k_So0k/status/1034865506975723521","1034865506975723521")</f>
        <v>1034865506975723521</v>
      </c>
      <c r="F3558" s="4"/>
      <c r="G3558" s="10" t="s">
        <v>7550</v>
      </c>
      <c r="H3558" s="4"/>
      <c r="I3558" s="10" t="str">
        <f>HYPERLINK("http://twitter.com/download/iphone","Twitter for iPhone")</f>
        <v>Twitter for iPhone</v>
      </c>
      <c r="J3558" s="2">
        <v>253</v>
      </c>
      <c r="K3558" s="2">
        <v>120</v>
      </c>
      <c r="L3558" s="2">
        <v>2</v>
      </c>
      <c r="M3558" s="2"/>
      <c r="N3558" s="8">
        <v>39969.528923611113</v>
      </c>
      <c r="O3558" s="4" t="s">
        <v>34</v>
      </c>
      <c r="P3558" s="3" t="s">
        <v>7549</v>
      </c>
      <c r="Q3558" s="4"/>
      <c r="R3558" s="4"/>
      <c r="S3558" s="9" t="str">
        <f>HYPERLINK("https://pbs.twimg.com/profile_images/1031198966061453312/uCHlwVZ5.jpg","View")</f>
        <v>View</v>
      </c>
    </row>
    <row r="3559" spans="1:19" ht="40">
      <c r="A3559" s="8">
        <v>43341.942488425921</v>
      </c>
      <c r="B3559" s="11" t="str">
        <f>HYPERLINK("https://twitter.com/Ahmad_dastaran","@Ahmad_dastaran")</f>
        <v>@Ahmad_dastaran</v>
      </c>
      <c r="C3559" s="6" t="s">
        <v>7548</v>
      </c>
      <c r="D3559" s="5" t="s">
        <v>7547</v>
      </c>
      <c r="E3559" s="9" t="str">
        <f>HYPERLINK("https://twitter.com/Ahmad_dastaran/status/1034865060110393344","1034865060110393344")</f>
        <v>1034865060110393344</v>
      </c>
      <c r="F3559" s="4"/>
      <c r="G3559" s="10" t="s">
        <v>7546</v>
      </c>
      <c r="H3559" s="4"/>
      <c r="I3559" s="10" t="str">
        <f>HYPERLINK("http://twitter.com/#!/download/ipad","Twitter for iPad")</f>
        <v>Twitter for iPad</v>
      </c>
      <c r="J3559" s="2">
        <v>1979</v>
      </c>
      <c r="K3559" s="2">
        <v>304</v>
      </c>
      <c r="L3559" s="2">
        <v>5</v>
      </c>
      <c r="M3559" s="2"/>
      <c r="N3559" s="8">
        <v>43214.707256944443</v>
      </c>
      <c r="O3559" s="4"/>
      <c r="P3559" s="3" t="s">
        <v>7545</v>
      </c>
      <c r="Q3559" s="4"/>
      <c r="R3559" s="4"/>
      <c r="S3559" s="9" t="str">
        <f>HYPERLINK("https://pbs.twimg.com/profile_images/1032857819274534912/2ngh9iRa.jpg","View")</f>
        <v>View</v>
      </c>
    </row>
    <row r="3560" spans="1:19" ht="30">
      <c r="A3560" s="8">
        <v>43341.942361111112</v>
      </c>
      <c r="B3560" s="11" t="str">
        <f>HYPERLINK("https://twitter.com/iRezaFeizi","@iRezaFeizi")</f>
        <v>@iRezaFeizi</v>
      </c>
      <c r="C3560" s="6" t="s">
        <v>7544</v>
      </c>
      <c r="D3560" s="5" t="s">
        <v>7543</v>
      </c>
      <c r="E3560" s="9" t="str">
        <f>HYPERLINK("https://twitter.com/iRezaFeizi/status/1034865011603189761","1034865011603189761")</f>
        <v>1034865011603189761</v>
      </c>
      <c r="F3560" s="4"/>
      <c r="G3560" s="4"/>
      <c r="H3560" s="4"/>
      <c r="I3560" s="10" t="str">
        <f>HYPERLINK("http://twitter.com/download/iphone","Twitter for iPhone")</f>
        <v>Twitter for iPhone</v>
      </c>
      <c r="J3560" s="2">
        <v>2960</v>
      </c>
      <c r="K3560" s="2">
        <v>1912</v>
      </c>
      <c r="L3560" s="2">
        <v>3</v>
      </c>
      <c r="M3560" s="2"/>
      <c r="N3560" s="8">
        <v>42753.867986111116</v>
      </c>
      <c r="O3560" s="4"/>
      <c r="P3560" s="3" t="s">
        <v>7542</v>
      </c>
      <c r="Q3560" s="10" t="s">
        <v>7541</v>
      </c>
      <c r="R3560" s="4"/>
      <c r="S3560" s="9" t="str">
        <f>HYPERLINK("https://pbs.twimg.com/profile_images/960444516728737792/Pxw_6gIA.jpg","View")</f>
        <v>View</v>
      </c>
    </row>
    <row r="3561" spans="1:19" ht="40">
      <c r="A3561" s="8">
        <v>43341.940983796296</v>
      </c>
      <c r="B3561" s="11" t="str">
        <f>HYPERLINK("https://twitter.com/hasanasadiz","@hasanasadiz")</f>
        <v>@hasanasadiz</v>
      </c>
      <c r="C3561" s="6" t="s">
        <v>4572</v>
      </c>
      <c r="D3561" s="5" t="s">
        <v>7540</v>
      </c>
      <c r="E3561" s="9" t="str">
        <f>HYPERLINK("https://twitter.com/hasanasadiz/status/1034864514435563520","1034864514435563520")</f>
        <v>1034864514435563520</v>
      </c>
      <c r="F3561" s="4"/>
      <c r="G3561" s="10" t="s">
        <v>7539</v>
      </c>
      <c r="H3561" s="4"/>
      <c r="I3561" s="10" t="str">
        <f>HYPERLINK("http://twitter.com/download/iphone","Twitter for iPhone")</f>
        <v>Twitter for iPhone</v>
      </c>
      <c r="J3561" s="2">
        <v>22416</v>
      </c>
      <c r="K3561" s="2">
        <v>208</v>
      </c>
      <c r="L3561" s="2">
        <v>91</v>
      </c>
      <c r="M3561" s="2"/>
      <c r="N3561" s="8">
        <v>42248.669837962967</v>
      </c>
      <c r="O3561" s="4" t="s">
        <v>133</v>
      </c>
      <c r="P3561" s="3" t="s">
        <v>4569</v>
      </c>
      <c r="Q3561" s="4"/>
      <c r="R3561" s="4"/>
      <c r="S3561" s="9" t="str">
        <f>HYPERLINK("https://pbs.twimg.com/profile_images/1013062048517902336/7FeFKwKA.jpg","View")</f>
        <v>View</v>
      </c>
    </row>
    <row r="3562" spans="1:19" ht="40">
      <c r="A3562" s="8">
        <v>43341.94021990741</v>
      </c>
      <c r="B3562" s="11" t="str">
        <f>HYPERLINK("https://twitter.com/hosein_prmhmmd","@hosein_prmhmmd")</f>
        <v>@hosein_prmhmmd</v>
      </c>
      <c r="C3562" s="6" t="s">
        <v>2165</v>
      </c>
      <c r="D3562" s="5" t="s">
        <v>7538</v>
      </c>
      <c r="E3562" s="9" t="str">
        <f>HYPERLINK("https://twitter.com/hosein_prmhmmd/status/1034864236072263680","1034864236072263680")</f>
        <v>1034864236072263680</v>
      </c>
      <c r="F3562" s="4"/>
      <c r="G3562" s="4"/>
      <c r="H3562" s="4"/>
      <c r="I3562" s="10" t="str">
        <f>HYPERLINK("http://twitter.com/download/android","Twitter for Android")</f>
        <v>Twitter for Android</v>
      </c>
      <c r="J3562" s="2">
        <v>1979</v>
      </c>
      <c r="K3562" s="2">
        <v>2294</v>
      </c>
      <c r="L3562" s="2">
        <v>6</v>
      </c>
      <c r="M3562" s="2"/>
      <c r="N3562" s="8">
        <v>42581.630324074074</v>
      </c>
      <c r="O3562" s="4"/>
      <c r="P3562" s="3" t="s">
        <v>2163</v>
      </c>
      <c r="Q3562" s="4"/>
      <c r="R3562" s="4"/>
      <c r="S3562" s="9" t="str">
        <f>HYPERLINK("https://pbs.twimg.com/profile_images/852971198954831872/hZ1pBeC8.jpg","View")</f>
        <v>View</v>
      </c>
    </row>
    <row r="3563" spans="1:19" ht="20">
      <c r="A3563" s="8">
        <v>43341.939039351855</v>
      </c>
      <c r="B3563" s="11" t="str">
        <f>HYPERLINK("https://twitter.com/ma30j6","@ma30j6")</f>
        <v>@ma30j6</v>
      </c>
      <c r="C3563" s="6" t="s">
        <v>7537</v>
      </c>
      <c r="D3563" s="5" t="s">
        <v>7536</v>
      </c>
      <c r="E3563" s="9" t="str">
        <f>HYPERLINK("https://twitter.com/ma30j6/status/1034863810203607041","1034863810203607041")</f>
        <v>1034863810203607041</v>
      </c>
      <c r="F3563" s="4"/>
      <c r="G3563" s="10" t="s">
        <v>7535</v>
      </c>
      <c r="H3563" s="4"/>
      <c r="I3563" s="10" t="str">
        <f>HYPERLINK("http://twitter.com","Twitter Web Client")</f>
        <v>Twitter Web Client</v>
      </c>
      <c r="J3563" s="2">
        <v>538</v>
      </c>
      <c r="K3563" s="2">
        <v>901</v>
      </c>
      <c r="L3563" s="2">
        <v>1</v>
      </c>
      <c r="M3563" s="2"/>
      <c r="N3563" s="8">
        <v>42709.444409722222</v>
      </c>
      <c r="O3563" s="4"/>
      <c r="P3563" s="3"/>
      <c r="Q3563" s="4"/>
      <c r="R3563" s="4"/>
      <c r="S3563" s="9" t="str">
        <f>HYPERLINK("https://pbs.twimg.com/profile_images/1003944953368596480/859TDCXT.jpg","View")</f>
        <v>View</v>
      </c>
    </row>
    <row r="3564" spans="1:19" ht="30">
      <c r="A3564" s="8">
        <v>43341.938703703709</v>
      </c>
      <c r="B3564" s="11" t="str">
        <f>HYPERLINK("https://twitter.com/ThisisNazanin","@ThisisNazanin")</f>
        <v>@ThisisNazanin</v>
      </c>
      <c r="C3564" s="6" t="s">
        <v>7534</v>
      </c>
      <c r="D3564" s="5" t="s">
        <v>7533</v>
      </c>
      <c r="E3564" s="9" t="str">
        <f>HYPERLINK("https://twitter.com/ThisisNazanin/status/1034863688954667008","1034863688954667008")</f>
        <v>1034863688954667008</v>
      </c>
      <c r="F3564" s="4"/>
      <c r="G3564" s="4"/>
      <c r="H3564" s="4"/>
      <c r="I3564" s="10" t="str">
        <f>HYPERLINK("http://twitter.com/download/iphone","Twitter for iPhone")</f>
        <v>Twitter for iPhone</v>
      </c>
      <c r="J3564" s="2">
        <v>4378</v>
      </c>
      <c r="K3564" s="2">
        <v>406</v>
      </c>
      <c r="L3564" s="2">
        <v>21</v>
      </c>
      <c r="M3564" s="2"/>
      <c r="N3564" s="8">
        <v>41478.917743055557</v>
      </c>
      <c r="O3564" s="4" t="s">
        <v>7532</v>
      </c>
      <c r="P3564" s="3" t="s">
        <v>7531</v>
      </c>
      <c r="Q3564" s="4"/>
      <c r="R3564" s="4"/>
      <c r="S3564" s="9" t="str">
        <f>HYPERLINK("https://pbs.twimg.com/profile_images/1032205883919491072/q9DFZxv3.jpg","View")</f>
        <v>View</v>
      </c>
    </row>
    <row r="3565" spans="1:19" ht="20">
      <c r="A3565" s="8">
        <v>43341.938287037032</v>
      </c>
      <c r="B3565" s="11" t="str">
        <f>HYPERLINK("https://twitter.com/AbbasRezaeiS","@AbbasRezaeiS")</f>
        <v>@AbbasRezaeiS</v>
      </c>
      <c r="C3565" s="6" t="s">
        <v>7530</v>
      </c>
      <c r="D3565" s="5" t="s">
        <v>7529</v>
      </c>
      <c r="E3565" s="9" t="str">
        <f>HYPERLINK("https://twitter.com/AbbasRezaeiS/status/1034863535057186816","1034863535057186816")</f>
        <v>1034863535057186816</v>
      </c>
      <c r="F3565" s="4"/>
      <c r="G3565" s="4"/>
      <c r="H3565" s="4"/>
      <c r="I3565" s="10" t="str">
        <f>HYPERLINK("https://mobile.twitter.com","Twitter Lite")</f>
        <v>Twitter Lite</v>
      </c>
      <c r="J3565" s="2">
        <v>381</v>
      </c>
      <c r="K3565" s="2">
        <v>382</v>
      </c>
      <c r="L3565" s="2">
        <v>6</v>
      </c>
      <c r="M3565" s="2"/>
      <c r="N3565" s="8">
        <v>39931.762569444443</v>
      </c>
      <c r="O3565" s="4" t="s">
        <v>894</v>
      </c>
      <c r="P3565" s="3" t="s">
        <v>7528</v>
      </c>
      <c r="Q3565" s="10" t="s">
        <v>7527</v>
      </c>
      <c r="R3565" s="4"/>
      <c r="S3565" s="9" t="str">
        <f>HYPERLINK("https://pbs.twimg.com/profile_images/876482411772727296/7WgniTnO.jpg","View")</f>
        <v>View</v>
      </c>
    </row>
    <row r="3566" spans="1:19" ht="40">
      <c r="A3566" s="8">
        <v>43341.937534722223</v>
      </c>
      <c r="B3566" s="11" t="str">
        <f>HYPERLINK("https://twitter.com/F_Shalforoosh","@F_Shalforoosh")</f>
        <v>@F_Shalforoosh</v>
      </c>
      <c r="C3566" s="6" t="s">
        <v>7526</v>
      </c>
      <c r="D3566" s="5" t="s">
        <v>7525</v>
      </c>
      <c r="E3566" s="9" t="str">
        <f>HYPERLINK("https://twitter.com/F_Shalforoosh/status/1034863264235044864","1034863264235044864")</f>
        <v>1034863264235044864</v>
      </c>
      <c r="F3566" s="4"/>
      <c r="G3566" s="4"/>
      <c r="H3566" s="4"/>
      <c r="I3566" s="10" t="str">
        <f>HYPERLINK("http://twitter.com/download/android","Twitter for Android")</f>
        <v>Twitter for Android</v>
      </c>
      <c r="J3566" s="2">
        <v>180</v>
      </c>
      <c r="K3566" s="2">
        <v>80</v>
      </c>
      <c r="L3566" s="2">
        <v>0</v>
      </c>
      <c r="M3566" s="2"/>
      <c r="N3566" s="8">
        <v>42020.817696759259</v>
      </c>
      <c r="O3566" s="4" t="s">
        <v>3822</v>
      </c>
      <c r="P3566" s="3" t="s">
        <v>7524</v>
      </c>
      <c r="Q3566" s="10" t="s">
        <v>7523</v>
      </c>
      <c r="R3566" s="4"/>
      <c r="S3566" s="9" t="str">
        <f>HYPERLINK("https://pbs.twimg.com/profile_images/999140379059404800/SnZ0lY57.jpg","View")</f>
        <v>View</v>
      </c>
    </row>
    <row r="3567" spans="1:19" ht="40">
      <c r="A3567" s="8">
        <v>43341.936365740738</v>
      </c>
      <c r="B3567" s="11" t="str">
        <f>HYPERLINK("https://twitter.com/d_papillonn","@d_papillonn")</f>
        <v>@d_papillonn</v>
      </c>
      <c r="C3567" s="6" t="s">
        <v>390</v>
      </c>
      <c r="D3567" s="5" t="s">
        <v>7522</v>
      </c>
      <c r="E3567" s="9" t="str">
        <f>HYPERLINK("https://twitter.com/d_papillonn/status/1034862841155780608","1034862841155780608")</f>
        <v>1034862841155780608</v>
      </c>
      <c r="F3567" s="4"/>
      <c r="G3567" s="4"/>
      <c r="H3567" s="4"/>
      <c r="I3567" s="10" t="str">
        <f>HYPERLINK("http://twitter.com/download/android","Twitter for Android")</f>
        <v>Twitter for Android</v>
      </c>
      <c r="J3567" s="2">
        <v>596</v>
      </c>
      <c r="K3567" s="2">
        <v>472</v>
      </c>
      <c r="L3567" s="2">
        <v>6</v>
      </c>
      <c r="M3567" s="2"/>
      <c r="N3567" s="8">
        <v>40626.263680555552</v>
      </c>
      <c r="O3567" s="4" t="s">
        <v>388</v>
      </c>
      <c r="P3567" s="3" t="s">
        <v>387</v>
      </c>
      <c r="Q3567" s="10" t="s">
        <v>386</v>
      </c>
      <c r="R3567" s="4"/>
      <c r="S3567" s="9" t="str">
        <f>HYPERLINK("https://pbs.twimg.com/profile_images/1027869671020744705/1ratNSjB.jpg","View")</f>
        <v>View</v>
      </c>
    </row>
    <row r="3568" spans="1:19" ht="30">
      <c r="A3568" s="8">
        <v>43341.93550925926</v>
      </c>
      <c r="B3568" s="11" t="str">
        <f>HYPERLINK("https://twitter.com/M30yasat","@M30yasat")</f>
        <v>@M30yasat</v>
      </c>
      <c r="C3568" s="6" t="s">
        <v>7510</v>
      </c>
      <c r="D3568" s="5" t="s">
        <v>7521</v>
      </c>
      <c r="E3568" s="9" t="str">
        <f>HYPERLINK("https://twitter.com/M30yasat/status/1034862530420776961","1034862530420776961")</f>
        <v>1034862530420776961</v>
      </c>
      <c r="F3568" s="4"/>
      <c r="G3568" s="4"/>
      <c r="H3568" s="4"/>
      <c r="I3568" s="10" t="str">
        <f>HYPERLINK("http://twitter.com/download/android","Twitter for Android")</f>
        <v>Twitter for Android</v>
      </c>
      <c r="J3568" s="2">
        <v>0</v>
      </c>
      <c r="K3568" s="2">
        <v>0</v>
      </c>
      <c r="L3568" s="2">
        <v>0</v>
      </c>
      <c r="M3568" s="2"/>
      <c r="N3568" s="8">
        <v>43337.827094907407</v>
      </c>
      <c r="O3568" s="4"/>
      <c r="P3568" s="3" t="s">
        <v>7508</v>
      </c>
      <c r="Q3568" s="4"/>
      <c r="R3568" s="4"/>
      <c r="S3568" s="9" t="str">
        <f>HYPERLINK("https://pbs.twimg.com/profile_images/1033377399080144896/CZ6oRTxw.jpg","View")</f>
        <v>View</v>
      </c>
    </row>
    <row r="3569" spans="1:19" ht="60">
      <c r="A3569" s="8">
        <v>43341.934583333335</v>
      </c>
      <c r="B3569" s="11" t="str">
        <f>HYPERLINK("https://twitter.com/amindlv","@amindlv")</f>
        <v>@amindlv</v>
      </c>
      <c r="C3569" s="6" t="s">
        <v>7520</v>
      </c>
      <c r="D3569" s="5" t="s">
        <v>7519</v>
      </c>
      <c r="E3569" s="9" t="str">
        <f>HYPERLINK("https://twitter.com/amindlv/status/1034862194335334400","1034862194335334400")</f>
        <v>1034862194335334400</v>
      </c>
      <c r="F3569" s="10" t="s">
        <v>7518</v>
      </c>
      <c r="G3569" s="10" t="s">
        <v>7517</v>
      </c>
      <c r="H3569" s="4"/>
      <c r="I3569" s="10" t="str">
        <f>HYPERLINK("http://twitter.com/download/iphone","Twitter for iPhone")</f>
        <v>Twitter for iPhone</v>
      </c>
      <c r="J3569" s="2">
        <v>2065</v>
      </c>
      <c r="K3569" s="2">
        <v>1873</v>
      </c>
      <c r="L3569" s="2">
        <v>14</v>
      </c>
      <c r="M3569" s="2"/>
      <c r="N3569" s="8">
        <v>40260.977210648147</v>
      </c>
      <c r="O3569" s="4" t="s">
        <v>34</v>
      </c>
      <c r="P3569" s="3" t="s">
        <v>7516</v>
      </c>
      <c r="Q3569" s="4"/>
      <c r="R3569" s="4"/>
      <c r="S3569" s="9" t="str">
        <f>HYPERLINK("https://pbs.twimg.com/profile_images/1025326662383292416/KsZNBLRH.jpg","View")</f>
        <v>View</v>
      </c>
    </row>
    <row r="3570" spans="1:19" ht="20">
      <c r="A3570" s="8">
        <v>43341.933425925927</v>
      </c>
      <c r="B3570" s="11" t="str">
        <f>HYPERLINK("https://twitter.com/peymanpahlavi","@peymanpahlavi")</f>
        <v>@peymanpahlavi</v>
      </c>
      <c r="C3570" s="6" t="s">
        <v>7492</v>
      </c>
      <c r="D3570" s="5" t="s">
        <v>7515</v>
      </c>
      <c r="E3570" s="9" t="str">
        <f>HYPERLINK("https://twitter.com/peymanpahlavi/status/1034861775039225857","1034861775039225857")</f>
        <v>1034861775039225857</v>
      </c>
      <c r="F3570" s="4"/>
      <c r="G3570" s="4"/>
      <c r="H3570" s="4"/>
      <c r="I3570" s="10" t="str">
        <f>HYPERLINK("http://twitter.com/download/android","Twitter for Android")</f>
        <v>Twitter for Android</v>
      </c>
      <c r="J3570" s="2">
        <v>7</v>
      </c>
      <c r="K3570" s="2">
        <v>39</v>
      </c>
      <c r="L3570" s="2">
        <v>0</v>
      </c>
      <c r="M3570" s="2"/>
      <c r="N3570" s="8">
        <v>43333.079363425924</v>
      </c>
      <c r="O3570" s="4"/>
      <c r="P3570" s="3" t="s">
        <v>7490</v>
      </c>
      <c r="Q3570" s="4"/>
      <c r="R3570" s="4"/>
      <c r="S3570" s="9" t="str">
        <f>HYPERLINK("https://pbs.twimg.com/profile_images/1032403551199195141/SERCcozI.jpg","View")</f>
        <v>View</v>
      </c>
    </row>
    <row r="3571" spans="1:19" ht="40">
      <c r="A3571" s="8">
        <v>43341.933171296296</v>
      </c>
      <c r="B3571" s="11" t="str">
        <f>HYPERLINK("https://twitter.com/9QOsRz3ZhGbUpA3","@9QOsRz3ZhGbUpA3")</f>
        <v>@9QOsRz3ZhGbUpA3</v>
      </c>
      <c r="C3571" s="6" t="s">
        <v>7514</v>
      </c>
      <c r="D3571" s="5" t="s">
        <v>7513</v>
      </c>
      <c r="E3571" s="9" t="str">
        <f>HYPERLINK("https://twitter.com/9QOsRz3ZhGbUpA3/status/1034861684169629697","1034861684169629697")</f>
        <v>1034861684169629697</v>
      </c>
      <c r="F3571" s="4"/>
      <c r="G3571" s="10" t="s">
        <v>7512</v>
      </c>
      <c r="H3571" s="4"/>
      <c r="I3571" s="10" t="str">
        <f>HYPERLINK("http://twitter.com/download/android","Twitter for Android")</f>
        <v>Twitter for Android</v>
      </c>
      <c r="J3571" s="2">
        <v>130</v>
      </c>
      <c r="K3571" s="2">
        <v>64</v>
      </c>
      <c r="L3571" s="2">
        <v>0</v>
      </c>
      <c r="M3571" s="2"/>
      <c r="N3571" s="8">
        <v>43209.051423611112</v>
      </c>
      <c r="O3571" s="4"/>
      <c r="P3571" s="3" t="s">
        <v>7511</v>
      </c>
      <c r="Q3571" s="4"/>
      <c r="R3571" s="4"/>
      <c r="S3571" s="9" t="str">
        <f>HYPERLINK("https://pbs.twimg.com/profile_images/1013510444580048897/PA4dPcEq.jpg","View")</f>
        <v>View</v>
      </c>
    </row>
    <row r="3572" spans="1:19" ht="40">
      <c r="A3572" s="8">
        <v>43341.932905092588</v>
      </c>
      <c r="B3572" s="11" t="str">
        <f>HYPERLINK("https://twitter.com/M30yasat","@M30yasat")</f>
        <v>@M30yasat</v>
      </c>
      <c r="C3572" s="6" t="s">
        <v>7510</v>
      </c>
      <c r="D3572" s="5" t="s">
        <v>7509</v>
      </c>
      <c r="E3572" s="9" t="str">
        <f>HYPERLINK("https://twitter.com/M30yasat/status/1034861587197321217","1034861587197321217")</f>
        <v>1034861587197321217</v>
      </c>
      <c r="F3572" s="4"/>
      <c r="G3572" s="4"/>
      <c r="H3572" s="4"/>
      <c r="I3572" s="10" t="str">
        <f>HYPERLINK("http://twitter.com/download/android","Twitter for Android")</f>
        <v>Twitter for Android</v>
      </c>
      <c r="J3572" s="2">
        <v>0</v>
      </c>
      <c r="K3572" s="2">
        <v>0</v>
      </c>
      <c r="L3572" s="2">
        <v>0</v>
      </c>
      <c r="M3572" s="2"/>
      <c r="N3572" s="8">
        <v>43337.827094907407</v>
      </c>
      <c r="O3572" s="4"/>
      <c r="P3572" s="3" t="s">
        <v>7508</v>
      </c>
      <c r="Q3572" s="4"/>
      <c r="R3572" s="4"/>
      <c r="S3572" s="9" t="str">
        <f>HYPERLINK("https://pbs.twimg.com/profile_images/1033377399080144896/CZ6oRTxw.jpg","View")</f>
        <v>View</v>
      </c>
    </row>
    <row r="3573" spans="1:19" ht="30">
      <c r="A3573" s="8">
        <v>43341.932881944449</v>
      </c>
      <c r="B3573" s="11" t="str">
        <f>HYPERLINK("https://twitter.com/PureMeursault","@PureMeursault")</f>
        <v>@PureMeursault</v>
      </c>
      <c r="C3573" s="6" t="s">
        <v>7507</v>
      </c>
      <c r="D3573" s="5" t="s">
        <v>7506</v>
      </c>
      <c r="E3573" s="9" t="str">
        <f>HYPERLINK("https://twitter.com/PureMeursault/status/1034861575310651400","1034861575310651400")</f>
        <v>1034861575310651400</v>
      </c>
      <c r="F3573" s="4"/>
      <c r="G3573" s="4"/>
      <c r="H3573" s="4"/>
      <c r="I3573" s="10" t="str">
        <f>HYPERLINK("http://twitter.com","Twitter Web Client")</f>
        <v>Twitter Web Client</v>
      </c>
      <c r="J3573" s="2">
        <v>3</v>
      </c>
      <c r="K3573" s="2">
        <v>17</v>
      </c>
      <c r="L3573" s="2">
        <v>0</v>
      </c>
      <c r="M3573" s="2"/>
      <c r="N3573" s="8">
        <v>43234.077025462961</v>
      </c>
      <c r="O3573" s="4"/>
      <c r="P3573" s="3" t="s">
        <v>7505</v>
      </c>
      <c r="Q3573" s="4"/>
      <c r="R3573" s="4"/>
      <c r="S3573" s="9" t="str">
        <f>HYPERLINK("https://pbs.twimg.com/profile_images/995779988732366848/KnGwZGLX.jpg","View")</f>
        <v>View</v>
      </c>
    </row>
    <row r="3574" spans="1:19" ht="30">
      <c r="A3574" s="8">
        <v>43341.932499999995</v>
      </c>
      <c r="B3574" s="11" t="str">
        <f>HYPERLINK("https://twitter.com/ManotoNews","@ManotoNews")</f>
        <v>@ManotoNews</v>
      </c>
      <c r="C3574" s="6" t="s">
        <v>1174</v>
      </c>
      <c r="D3574" s="5" t="s">
        <v>7504</v>
      </c>
      <c r="E3574" s="9" t="str">
        <f>HYPERLINK("https://twitter.com/ManotoNews/status/1034861440018968581","1034861440018968581")</f>
        <v>1034861440018968581</v>
      </c>
      <c r="F3574" s="4"/>
      <c r="G3574" s="10" t="s">
        <v>7503</v>
      </c>
      <c r="H3574" s="4"/>
      <c r="I3574" s="10" t="str">
        <f>HYPERLINK("http://snappytv.com","SnappyTV.com")</f>
        <v>SnappyTV.com</v>
      </c>
      <c r="J3574" s="2">
        <v>446850</v>
      </c>
      <c r="K3574" s="2">
        <v>17</v>
      </c>
      <c r="L3574" s="2">
        <v>614</v>
      </c>
      <c r="M3574" s="2" t="s">
        <v>80</v>
      </c>
      <c r="N3574" s="8">
        <v>40859.711631944447</v>
      </c>
      <c r="O3574" s="4" t="s">
        <v>460</v>
      </c>
      <c r="P3574" s="3" t="s">
        <v>1171</v>
      </c>
      <c r="Q3574" s="10" t="s">
        <v>1170</v>
      </c>
      <c r="R3574" s="4"/>
      <c r="S3574" s="9" t="str">
        <f>HYPERLINK("https://pbs.twimg.com/profile_images/976899507744051201/07FIeivp.jpg","View")</f>
        <v>View</v>
      </c>
    </row>
    <row r="3575" spans="1:19" ht="40">
      <c r="A3575" s="8">
        <v>43341.931354166663</v>
      </c>
      <c r="B3575" s="11" t="str">
        <f>HYPERLINK("https://twitter.com/kouhimoqadam","@kouhimoqadam")</f>
        <v>@kouhimoqadam</v>
      </c>
      <c r="C3575" s="6" t="s">
        <v>7502</v>
      </c>
      <c r="D3575" s="5" t="s">
        <v>7501</v>
      </c>
      <c r="E3575" s="9" t="str">
        <f>HYPERLINK("https://twitter.com/kouhimoqadam/status/1034861022841057280","1034861022841057280")</f>
        <v>1034861022841057280</v>
      </c>
      <c r="F3575" s="4"/>
      <c r="G3575" s="10" t="s">
        <v>7500</v>
      </c>
      <c r="H3575" s="4"/>
      <c r="I3575" s="10" t="str">
        <f>HYPERLINK("http://twitter.com/download/android","Twitter for Android")</f>
        <v>Twitter for Android</v>
      </c>
      <c r="J3575" s="2">
        <v>1102</v>
      </c>
      <c r="K3575" s="2">
        <v>878</v>
      </c>
      <c r="L3575" s="2">
        <v>9</v>
      </c>
      <c r="M3575" s="2"/>
      <c r="N3575" s="8">
        <v>42948.93822916667</v>
      </c>
      <c r="O3575" s="4"/>
      <c r="P3575" s="3" t="s">
        <v>7499</v>
      </c>
      <c r="Q3575" s="4"/>
      <c r="R3575" s="4"/>
      <c r="S3575" s="9" t="str">
        <f>HYPERLINK("https://pbs.twimg.com/profile_images/1034854381622108161/WM0DkmbE.jpg","View")</f>
        <v>View</v>
      </c>
    </row>
    <row r="3576" spans="1:19" ht="20">
      <c r="A3576" s="8">
        <v>43341.929513888885</v>
      </c>
      <c r="B3576" s="11" t="str">
        <f>HYPERLINK("https://twitter.com/alef_ein_alef","@alef_ein_alef")</f>
        <v>@alef_ein_alef</v>
      </c>
      <c r="C3576" s="6" t="s">
        <v>7456</v>
      </c>
      <c r="D3576" s="5" t="s">
        <v>7498</v>
      </c>
      <c r="E3576" s="9" t="str">
        <f>HYPERLINK("https://twitter.com/alef_ein_alef/status/1034860358345928704","1034860358345928704")</f>
        <v>1034860358345928704</v>
      </c>
      <c r="F3576" s="4"/>
      <c r="G3576" s="4"/>
      <c r="H3576" s="4"/>
      <c r="I3576" s="10" t="str">
        <f>HYPERLINK("http://twitter.com/download/android","Twitter for Android")</f>
        <v>Twitter for Android</v>
      </c>
      <c r="J3576" s="2">
        <v>74</v>
      </c>
      <c r="K3576" s="2">
        <v>272</v>
      </c>
      <c r="L3576" s="2">
        <v>0</v>
      </c>
      <c r="M3576" s="2"/>
      <c r="N3576" s="8">
        <v>43106.115266203706</v>
      </c>
      <c r="O3576" s="4" t="s">
        <v>34</v>
      </c>
      <c r="P3576" s="3" t="s">
        <v>7454</v>
      </c>
      <c r="Q3576" s="4"/>
      <c r="R3576" s="4"/>
      <c r="S3576" s="9" t="str">
        <f>HYPERLINK("https://pbs.twimg.com/profile_images/949420788087689216/cEbTOMqe.jpg","View")</f>
        <v>View</v>
      </c>
    </row>
    <row r="3577" spans="1:19" ht="50">
      <c r="A3577" s="8">
        <v>43341.929375</v>
      </c>
      <c r="B3577" s="11" t="str">
        <f>HYPERLINK("https://twitter.com/ArsalanKhamsi","@ArsalanKhamsi")</f>
        <v>@ArsalanKhamsi</v>
      </c>
      <c r="C3577" s="6" t="s">
        <v>7497</v>
      </c>
      <c r="D3577" s="5" t="s">
        <v>7496</v>
      </c>
      <c r="E3577" s="9" t="str">
        <f>HYPERLINK("https://twitter.com/ArsalanKhamsi/status/1034860306625789953","1034860306625789953")</f>
        <v>1034860306625789953</v>
      </c>
      <c r="F3577" s="4" t="s">
        <v>7495</v>
      </c>
      <c r="G3577" s="10" t="s">
        <v>7494</v>
      </c>
      <c r="H3577" s="4"/>
      <c r="I3577" s="10" t="str">
        <f>HYPERLINK("http://twitter.com/download/android","Twitter for Android")</f>
        <v>Twitter for Android</v>
      </c>
      <c r="J3577" s="2">
        <v>4383</v>
      </c>
      <c r="K3577" s="2">
        <v>4376</v>
      </c>
      <c r="L3577" s="2">
        <v>1</v>
      </c>
      <c r="M3577" s="2"/>
      <c r="N3577" s="8">
        <v>43103.025393518517</v>
      </c>
      <c r="O3577" s="4" t="s">
        <v>190</v>
      </c>
      <c r="P3577" s="3" t="s">
        <v>7493</v>
      </c>
      <c r="Q3577" s="4"/>
      <c r="R3577" s="4"/>
      <c r="S3577" s="9" t="str">
        <f>HYPERLINK("https://pbs.twimg.com/profile_images/1033693144976646145/Ofc6Btvb.jpg","View")</f>
        <v>View</v>
      </c>
    </row>
    <row r="3578" spans="1:19" ht="20">
      <c r="A3578" s="8">
        <v>43341.929189814815</v>
      </c>
      <c r="B3578" s="11" t="str">
        <f>HYPERLINK("https://twitter.com/peymanpahlavi","@peymanpahlavi")</f>
        <v>@peymanpahlavi</v>
      </c>
      <c r="C3578" s="6" t="s">
        <v>7492</v>
      </c>
      <c r="D3578" s="5" t="s">
        <v>7491</v>
      </c>
      <c r="E3578" s="9" t="str">
        <f>HYPERLINK("https://twitter.com/peymanpahlavi/status/1034860239580000256","1034860239580000256")</f>
        <v>1034860239580000256</v>
      </c>
      <c r="F3578" s="4"/>
      <c r="G3578" s="4"/>
      <c r="H3578" s="4"/>
      <c r="I3578" s="10" t="str">
        <f>HYPERLINK("http://twitter.com/download/android","Twitter for Android")</f>
        <v>Twitter for Android</v>
      </c>
      <c r="J3578" s="2">
        <v>7</v>
      </c>
      <c r="K3578" s="2">
        <v>39</v>
      </c>
      <c r="L3578" s="2">
        <v>0</v>
      </c>
      <c r="M3578" s="2"/>
      <c r="N3578" s="8">
        <v>43333.079363425924</v>
      </c>
      <c r="O3578" s="4"/>
      <c r="P3578" s="3" t="s">
        <v>7490</v>
      </c>
      <c r="Q3578" s="4"/>
      <c r="R3578" s="4"/>
      <c r="S3578" s="9" t="str">
        <f>HYPERLINK("https://pbs.twimg.com/profile_images/1032403551199195141/SERCcozI.jpg","View")</f>
        <v>View</v>
      </c>
    </row>
    <row r="3579" spans="1:19" ht="20">
      <c r="A3579" s="8">
        <v>43341.928067129629</v>
      </c>
      <c r="B3579" s="11" t="str">
        <f>HYPERLINK("https://twitter.com/yaalii_110","@yaalii_110")</f>
        <v>@yaalii_110</v>
      </c>
      <c r="C3579" s="6" t="s">
        <v>1224</v>
      </c>
      <c r="D3579" s="5" t="s">
        <v>7489</v>
      </c>
      <c r="E3579" s="9" t="str">
        <f>HYPERLINK("https://twitter.com/yaalii_110/status/1034859830807281664","1034859830807281664")</f>
        <v>1034859830807281664</v>
      </c>
      <c r="F3579" s="4"/>
      <c r="G3579" s="4"/>
      <c r="H3579" s="4"/>
      <c r="I3579" s="10" t="str">
        <f>HYPERLINK("http://twitter.com/download/android","Twitter for Android")</f>
        <v>Twitter for Android</v>
      </c>
      <c r="J3579" s="2">
        <v>319</v>
      </c>
      <c r="K3579" s="2">
        <v>225</v>
      </c>
      <c r="L3579" s="2">
        <v>1</v>
      </c>
      <c r="M3579" s="2"/>
      <c r="N3579" s="8">
        <v>43246.990578703699</v>
      </c>
      <c r="O3579" s="4"/>
      <c r="P3579" s="3" t="s">
        <v>1222</v>
      </c>
      <c r="Q3579" s="4"/>
      <c r="R3579" s="4"/>
      <c r="S3579" s="9" t="str">
        <f>HYPERLINK("https://pbs.twimg.com/profile_images/1000459175330279425/q_IXc2Kn.jpg","View")</f>
        <v>View</v>
      </c>
    </row>
    <row r="3580" spans="1:19" ht="30">
      <c r="A3580" s="8">
        <v>43341.927245370374</v>
      </c>
      <c r="B3580" s="11" t="str">
        <f>HYPERLINK("https://twitter.com/molamonqazi","@molamonqazi")</f>
        <v>@molamonqazi</v>
      </c>
      <c r="C3580" s="6" t="s">
        <v>7488</v>
      </c>
      <c r="D3580" s="5" t="s">
        <v>7487</v>
      </c>
      <c r="E3580" s="9" t="str">
        <f>HYPERLINK("https://twitter.com/molamonqazi/status/1034859534291021825","1034859534291021825")</f>
        <v>1034859534291021825</v>
      </c>
      <c r="F3580" s="4"/>
      <c r="G3580" s="4"/>
      <c r="H3580" s="4"/>
      <c r="I3580" s="10" t="str">
        <f>HYPERLINK("http://twitter.com/download/android","Twitter for Android")</f>
        <v>Twitter for Android</v>
      </c>
      <c r="J3580" s="2">
        <v>1504</v>
      </c>
      <c r="K3580" s="2">
        <v>4917</v>
      </c>
      <c r="L3580" s="2">
        <v>0</v>
      </c>
      <c r="M3580" s="2"/>
      <c r="N3580" s="8">
        <v>40928.92905092593</v>
      </c>
      <c r="O3580" s="4"/>
      <c r="P3580" s="3" t="s">
        <v>7486</v>
      </c>
      <c r="Q3580" s="4"/>
      <c r="R3580" s="4"/>
      <c r="S3580" s="9" t="str">
        <f>HYPERLINK("https://pbs.twimg.com/profile_images/591369887488069632/AzwIV2nA.jpg","View")</f>
        <v>View</v>
      </c>
    </row>
    <row r="3581" spans="1:19" ht="30">
      <c r="A3581" s="8">
        <v>43341.926620370374</v>
      </c>
      <c r="B3581" s="11" t="str">
        <f>HYPERLINK("https://twitter.com/FreeIRA04274110","@FreeIRA04274110")</f>
        <v>@FreeIRA04274110</v>
      </c>
      <c r="C3581" s="6" t="s">
        <v>7485</v>
      </c>
      <c r="D3581" s="5" t="s">
        <v>7484</v>
      </c>
      <c r="E3581" s="9" t="str">
        <f>HYPERLINK("https://twitter.com/FreeIRA04274110/status/1034859306770817024","1034859306770817024")</f>
        <v>1034859306770817024</v>
      </c>
      <c r="F3581" s="4"/>
      <c r="G3581" s="10" t="s">
        <v>7483</v>
      </c>
      <c r="H3581" s="4"/>
      <c r="I3581" s="10" t="str">
        <f>HYPERLINK("http://twitter.com/download/android","Twitter for Android")</f>
        <v>Twitter for Android</v>
      </c>
      <c r="J3581" s="2">
        <v>58</v>
      </c>
      <c r="K3581" s="2">
        <v>59</v>
      </c>
      <c r="L3581" s="2">
        <v>0</v>
      </c>
      <c r="M3581" s="2"/>
      <c r="N3581" s="8">
        <v>43102.340231481481</v>
      </c>
      <c r="O3581" s="4" t="s">
        <v>7482</v>
      </c>
      <c r="P3581" s="3" t="s">
        <v>7481</v>
      </c>
      <c r="Q3581" s="4"/>
      <c r="R3581" s="4"/>
      <c r="S3581" s="9" t="str">
        <f>HYPERLINK("https://pbs.twimg.com/profile_images/948101232731635713/h06xMIaU.jpg","View")</f>
        <v>View</v>
      </c>
    </row>
    <row r="3582" spans="1:19" ht="20">
      <c r="A3582" s="8">
        <v>43341.925000000003</v>
      </c>
      <c r="B3582" s="11" t="str">
        <f>HYPERLINK("https://twitter.com/alef_ein_alef","@alef_ein_alef")</f>
        <v>@alef_ein_alef</v>
      </c>
      <c r="C3582" s="6" t="s">
        <v>7456</v>
      </c>
      <c r="D3582" s="5" t="s">
        <v>7480</v>
      </c>
      <c r="E3582" s="9" t="str">
        <f>HYPERLINK("https://twitter.com/alef_ein_alef/status/1034858720965144577","1034858720965144577")</f>
        <v>1034858720965144577</v>
      </c>
      <c r="F3582" s="4"/>
      <c r="G3582" s="4"/>
      <c r="H3582" s="4"/>
      <c r="I3582" s="10" t="str">
        <f>HYPERLINK("http://twitter.com/download/android","Twitter for Android")</f>
        <v>Twitter for Android</v>
      </c>
      <c r="J3582" s="2">
        <v>74</v>
      </c>
      <c r="K3582" s="2">
        <v>272</v>
      </c>
      <c r="L3582" s="2">
        <v>0</v>
      </c>
      <c r="M3582" s="2"/>
      <c r="N3582" s="8">
        <v>43106.115266203706</v>
      </c>
      <c r="O3582" s="4" t="s">
        <v>34</v>
      </c>
      <c r="P3582" s="3" t="s">
        <v>7454</v>
      </c>
      <c r="Q3582" s="4"/>
      <c r="R3582" s="4"/>
      <c r="S3582" s="9" t="str">
        <f>HYPERLINK("https://pbs.twimg.com/profile_images/949420788087689216/cEbTOMqe.jpg","View")</f>
        <v>View</v>
      </c>
    </row>
    <row r="3583" spans="1:19" ht="20">
      <c r="A3583" s="8">
        <v>43341.924085648148</v>
      </c>
      <c r="B3583" s="11" t="str">
        <f>HYPERLINK("https://twitter.com/SasanTwit","@SasanTwit")</f>
        <v>@SasanTwit</v>
      </c>
      <c r="C3583" s="6" t="s">
        <v>7479</v>
      </c>
      <c r="D3583" s="5" t="s">
        <v>7478</v>
      </c>
      <c r="E3583" s="9" t="str">
        <f>HYPERLINK("https://twitter.com/SasanTwit/status/1034858389250236417","1034858389250236417")</f>
        <v>1034858389250236417</v>
      </c>
      <c r="F3583" s="4"/>
      <c r="G3583" s="10" t="s">
        <v>7477</v>
      </c>
      <c r="H3583" s="4"/>
      <c r="I3583" s="10" t="str">
        <f>HYPERLINK("http://twitter.com/download/iphone","Twitter for iPhone")</f>
        <v>Twitter for iPhone</v>
      </c>
      <c r="J3583" s="2">
        <v>65</v>
      </c>
      <c r="K3583" s="2">
        <v>162</v>
      </c>
      <c r="L3583" s="2">
        <v>0</v>
      </c>
      <c r="M3583" s="2"/>
      <c r="N3583" s="8">
        <v>41559.86341435185</v>
      </c>
      <c r="O3583" s="4" t="s">
        <v>894</v>
      </c>
      <c r="P3583" s="3" t="s">
        <v>7476</v>
      </c>
      <c r="Q3583" s="10" t="s">
        <v>7475</v>
      </c>
      <c r="R3583" s="4"/>
      <c r="S3583" s="9" t="str">
        <f>HYPERLINK("https://pbs.twimg.com/profile_images/868501756543676416/3ByaLQT9.jpg","View")</f>
        <v>View</v>
      </c>
    </row>
    <row r="3584" spans="1:19" ht="20">
      <c r="A3584" s="8">
        <v>43341.923425925925</v>
      </c>
      <c r="B3584" s="11" t="str">
        <f>HYPERLINK("https://twitter.com/Mirhosseinam","@Mirhosseinam")</f>
        <v>@Mirhosseinam</v>
      </c>
      <c r="C3584" s="6" t="s">
        <v>7474</v>
      </c>
      <c r="D3584" s="5" t="s">
        <v>7473</v>
      </c>
      <c r="E3584" s="9" t="str">
        <f>HYPERLINK("https://twitter.com/Mirhosseinam/status/1034858151642898432","1034858151642898432")</f>
        <v>1034858151642898432</v>
      </c>
      <c r="F3584" s="4"/>
      <c r="G3584" s="4"/>
      <c r="H3584" s="4"/>
      <c r="I3584" s="10" t="str">
        <f>HYPERLINK("https://mobile.twitter.com","Twitter Lite")</f>
        <v>Twitter Lite</v>
      </c>
      <c r="J3584" s="2">
        <v>80</v>
      </c>
      <c r="K3584" s="2">
        <v>327</v>
      </c>
      <c r="L3584" s="2">
        <v>1</v>
      </c>
      <c r="M3584" s="2"/>
      <c r="N3584" s="8">
        <v>43097.688402777778</v>
      </c>
      <c r="O3584" s="4" t="s">
        <v>34</v>
      </c>
      <c r="P3584" s="3"/>
      <c r="Q3584" s="4"/>
      <c r="R3584" s="4"/>
      <c r="S3584" s="9" t="str">
        <f>HYPERLINK("https://pbs.twimg.com/profile_images/946365873295589378/QSi_4mkb.jpg","View")</f>
        <v>View</v>
      </c>
    </row>
    <row r="3585" spans="1:19" ht="20">
      <c r="A3585" s="8">
        <v>43341.923171296294</v>
      </c>
      <c r="B3585" s="11" t="str">
        <f>HYPERLINK("https://twitter.com/mirza1397","@mirza1397")</f>
        <v>@mirza1397</v>
      </c>
      <c r="C3585" s="6" t="s">
        <v>3108</v>
      </c>
      <c r="D3585" s="5" t="s">
        <v>7472</v>
      </c>
      <c r="E3585" s="9" t="str">
        <f>HYPERLINK("https://twitter.com/mirza1397/status/1034858058386571270","1034858058386571270")</f>
        <v>1034858058386571270</v>
      </c>
      <c r="F3585" s="4"/>
      <c r="G3585" s="4"/>
      <c r="H3585" s="4"/>
      <c r="I3585" s="10" t="str">
        <f>HYPERLINK("http://twitter.com","Twitter Web Client")</f>
        <v>Twitter Web Client</v>
      </c>
      <c r="J3585" s="2">
        <v>1214</v>
      </c>
      <c r="K3585" s="2">
        <v>2071</v>
      </c>
      <c r="L3585" s="2">
        <v>0</v>
      </c>
      <c r="M3585" s="2"/>
      <c r="N3585" s="8">
        <v>43185.85601851852</v>
      </c>
      <c r="O3585" s="4" t="s">
        <v>3106</v>
      </c>
      <c r="P3585" s="3" t="s">
        <v>3105</v>
      </c>
      <c r="Q3585" s="10" t="s">
        <v>3104</v>
      </c>
      <c r="R3585" s="4"/>
      <c r="S3585" s="9" t="str">
        <f>HYPERLINK("https://pbs.twimg.com/profile_images/1019621726278205441/hom6QSoe.jpg","View")</f>
        <v>View</v>
      </c>
    </row>
    <row r="3586" spans="1:19" ht="20">
      <c r="A3586" s="8">
        <v>43341.92287037037</v>
      </c>
      <c r="B3586" s="11" t="str">
        <f>HYPERLINK("https://twitter.com/aa_persian","@aa_persian")</f>
        <v>@aa_persian</v>
      </c>
      <c r="C3586" s="6" t="s">
        <v>7471</v>
      </c>
      <c r="D3586" s="5" t="s">
        <v>7470</v>
      </c>
      <c r="E3586" s="9" t="str">
        <f>HYPERLINK("https://twitter.com/aa_persian/status/1034857948843933696","1034857948843933696")</f>
        <v>1034857948843933696</v>
      </c>
      <c r="F3586" s="10" t="s">
        <v>7469</v>
      </c>
      <c r="G3586" s="10" t="s">
        <v>7468</v>
      </c>
      <c r="H3586" s="4"/>
      <c r="I3586" s="10" t="str">
        <f>HYPERLINK("http://twitter.com","Twitter Web Client")</f>
        <v>Twitter Web Client</v>
      </c>
      <c r="J3586" s="2">
        <v>2731</v>
      </c>
      <c r="K3586" s="2">
        <v>16</v>
      </c>
      <c r="L3586" s="2">
        <v>38</v>
      </c>
      <c r="M3586" s="2"/>
      <c r="N3586" s="8">
        <v>42131.811759259261</v>
      </c>
      <c r="O3586" s="4" t="s">
        <v>7467</v>
      </c>
      <c r="P3586" s="3" t="s">
        <v>7466</v>
      </c>
      <c r="Q3586" s="10" t="s">
        <v>7465</v>
      </c>
      <c r="R3586" s="4"/>
      <c r="S3586" s="9" t="str">
        <f>HYPERLINK("https://pbs.twimg.com/profile_images/946457310867738626/CzW4oqyO.jpg","View")</f>
        <v>View</v>
      </c>
    </row>
    <row r="3587" spans="1:19" ht="40">
      <c r="A3587" s="8">
        <v>43341.922395833331</v>
      </c>
      <c r="B3587" s="11" t="str">
        <f>HYPERLINK("https://twitter.com/DrZarshenas","@DrZarshenas")</f>
        <v>@DrZarshenas</v>
      </c>
      <c r="C3587" s="6" t="s">
        <v>3852</v>
      </c>
      <c r="D3587" s="5" t="s">
        <v>7464</v>
      </c>
      <c r="E3587" s="9" t="str">
        <f>HYPERLINK("https://twitter.com/DrZarshenas/status/1034857775485075457","1034857775485075457")</f>
        <v>1034857775485075457</v>
      </c>
      <c r="F3587" s="4"/>
      <c r="G3587" s="4"/>
      <c r="H3587" s="4"/>
      <c r="I3587" s="10" t="str">
        <f>HYPERLINK("http://twitter.com/download/android","Twitter for Android")</f>
        <v>Twitter for Android</v>
      </c>
      <c r="J3587" s="2">
        <v>4790</v>
      </c>
      <c r="K3587" s="2">
        <v>3</v>
      </c>
      <c r="L3587" s="2">
        <v>51</v>
      </c>
      <c r="M3587" s="2"/>
      <c r="N3587" s="8">
        <v>43022.727719907409</v>
      </c>
      <c r="O3587" s="4" t="s">
        <v>17</v>
      </c>
      <c r="P3587" s="3" t="s">
        <v>3850</v>
      </c>
      <c r="Q3587" s="4"/>
      <c r="R3587" s="4"/>
      <c r="S3587" s="9" t="str">
        <f>HYPERLINK("https://pbs.twimg.com/profile_images/919202271799296001/3GYkMP8K.jpg","View")</f>
        <v>View</v>
      </c>
    </row>
    <row r="3588" spans="1:19" ht="20">
      <c r="A3588" s="8">
        <v>43341.920798611114</v>
      </c>
      <c r="B3588" s="11" t="str">
        <f>HYPERLINK("https://twitter.com/MorshediAmir","@MorshediAmir")</f>
        <v>@MorshediAmir</v>
      </c>
      <c r="C3588" s="6" t="s">
        <v>298</v>
      </c>
      <c r="D3588" s="5" t="s">
        <v>7463</v>
      </c>
      <c r="E3588" s="9" t="str">
        <f>HYPERLINK("https://twitter.com/MorshediAmir/status/1034857199804317699","1034857199804317699")</f>
        <v>1034857199804317699</v>
      </c>
      <c r="F3588" s="4"/>
      <c r="G3588" s="10" t="s">
        <v>7462</v>
      </c>
      <c r="H3588" s="4"/>
      <c r="I3588" s="10" t="str">
        <f>HYPERLINK("http://twitter.com/download/android","Twitter for Android")</f>
        <v>Twitter for Android</v>
      </c>
      <c r="J3588" s="2">
        <v>303</v>
      </c>
      <c r="K3588" s="2">
        <v>163</v>
      </c>
      <c r="L3588" s="2">
        <v>3</v>
      </c>
      <c r="M3588" s="2"/>
      <c r="N3588" s="8">
        <v>42358.495324074072</v>
      </c>
      <c r="O3588" s="4"/>
      <c r="P3588" s="3" t="s">
        <v>295</v>
      </c>
      <c r="Q3588" s="4"/>
      <c r="R3588" s="4"/>
      <c r="S3588" s="9" t="str">
        <f>HYPERLINK("https://pbs.twimg.com/profile_images/983670584361062401/wyBuDabl.jpg","View")</f>
        <v>View</v>
      </c>
    </row>
    <row r="3589" spans="1:19" ht="40">
      <c r="A3589" s="8">
        <v>43341.920474537037</v>
      </c>
      <c r="B3589" s="11" t="str">
        <f>HYPERLINK("https://twitter.com/rez65bah","@rez65bah")</f>
        <v>@rez65bah</v>
      </c>
      <c r="C3589" s="6" t="s">
        <v>6804</v>
      </c>
      <c r="D3589" s="5" t="s">
        <v>7461</v>
      </c>
      <c r="E3589" s="9" t="str">
        <f>HYPERLINK("https://twitter.com/rez65bah/status/1034857080262471680","1034857080262471680")</f>
        <v>1034857080262471680</v>
      </c>
      <c r="F3589" s="4"/>
      <c r="G3589" s="10" t="s">
        <v>7460</v>
      </c>
      <c r="H3589" s="4"/>
      <c r="I3589" s="10" t="str">
        <f>HYPERLINK("https://mobile.twitter.com","Twitter Lite")</f>
        <v>Twitter Lite</v>
      </c>
      <c r="J3589" s="2">
        <v>1768</v>
      </c>
      <c r="K3589" s="2">
        <v>362</v>
      </c>
      <c r="L3589" s="2">
        <v>6</v>
      </c>
      <c r="M3589" s="2"/>
      <c r="N3589" s="8">
        <v>42815.058252314819</v>
      </c>
      <c r="O3589" s="4"/>
      <c r="P3589" s="3" t="s">
        <v>6801</v>
      </c>
      <c r="Q3589" s="4"/>
      <c r="R3589" s="4"/>
      <c r="S3589" s="9" t="str">
        <f>HYPERLINK("https://pbs.twimg.com/profile_images/1017918964406673410/fbzsZBq-.jpg","View")</f>
        <v>View</v>
      </c>
    </row>
    <row r="3590" spans="1:19" ht="20">
      <c r="A3590" s="8">
        <v>43341.919247685189</v>
      </c>
      <c r="B3590" s="11" t="str">
        <f>HYPERLINK("https://twitter.com/nakhoda_dozde","@nakhoda_dozde")</f>
        <v>@nakhoda_dozde</v>
      </c>
      <c r="C3590" s="6" t="s">
        <v>7459</v>
      </c>
      <c r="D3590" s="5" t="s">
        <v>7458</v>
      </c>
      <c r="E3590" s="9" t="str">
        <f>HYPERLINK("https://twitter.com/nakhoda_dozde/status/1034856635343167488","1034856635343167488")</f>
        <v>1034856635343167488</v>
      </c>
      <c r="F3590" s="4"/>
      <c r="G3590" s="4"/>
      <c r="H3590" s="4"/>
      <c r="I3590" s="10" t="str">
        <f>HYPERLINK("http://twitter.com/download/android","Twitter for Android")</f>
        <v>Twitter for Android</v>
      </c>
      <c r="J3590" s="2">
        <v>0</v>
      </c>
      <c r="K3590" s="2">
        <v>0</v>
      </c>
      <c r="L3590" s="2">
        <v>0</v>
      </c>
      <c r="M3590" s="2"/>
      <c r="N3590" s="8">
        <v>43341.026840277773</v>
      </c>
      <c r="O3590" s="4"/>
      <c r="P3590" s="3" t="s">
        <v>7457</v>
      </c>
      <c r="Q3590" s="4"/>
      <c r="R3590" s="4"/>
      <c r="S3590" s="9" t="str">
        <f>HYPERLINK("https://pbs.twimg.com/profile_images/1034535299253194760/FSnOzIra.jpg","View")</f>
        <v>View</v>
      </c>
    </row>
    <row r="3591" spans="1:19" ht="30">
      <c r="A3591" s="8">
        <v>43341.918634259258</v>
      </c>
      <c r="B3591" s="11" t="str">
        <f>HYPERLINK("https://twitter.com/alef_ein_alef","@alef_ein_alef")</f>
        <v>@alef_ein_alef</v>
      </c>
      <c r="C3591" s="6" t="s">
        <v>7456</v>
      </c>
      <c r="D3591" s="5" t="s">
        <v>7455</v>
      </c>
      <c r="E3591" s="9" t="str">
        <f>HYPERLINK("https://twitter.com/alef_ein_alef/status/1034856413166796801","1034856413166796801")</f>
        <v>1034856413166796801</v>
      </c>
      <c r="F3591" s="4"/>
      <c r="G3591" s="4"/>
      <c r="H3591" s="4"/>
      <c r="I3591" s="10" t="str">
        <f>HYPERLINK("http://twitter.com/download/android","Twitter for Android")</f>
        <v>Twitter for Android</v>
      </c>
      <c r="J3591" s="2">
        <v>74</v>
      </c>
      <c r="K3591" s="2">
        <v>272</v>
      </c>
      <c r="L3591" s="2">
        <v>0</v>
      </c>
      <c r="M3591" s="2"/>
      <c r="N3591" s="8">
        <v>43106.115266203706</v>
      </c>
      <c r="O3591" s="4" t="s">
        <v>34</v>
      </c>
      <c r="P3591" s="3" t="s">
        <v>7454</v>
      </c>
      <c r="Q3591" s="4"/>
      <c r="R3591" s="4"/>
      <c r="S3591" s="9" t="str">
        <f>HYPERLINK("https://pbs.twimg.com/profile_images/949420788087689216/cEbTOMqe.jpg","View")</f>
        <v>View</v>
      </c>
    </row>
    <row r="3592" spans="1:19" ht="12.5">
      <c r="A3592" s="8">
        <v>43341.917083333334</v>
      </c>
      <c r="B3592" s="11" t="str">
        <f>HYPERLINK("https://twitter.com/Trendfa","@Trendfa")</f>
        <v>@Trendfa</v>
      </c>
      <c r="C3592" s="6" t="s">
        <v>1847</v>
      </c>
      <c r="D3592" s="5" t="s">
        <v>7453</v>
      </c>
      <c r="E3592" s="9" t="str">
        <f>HYPERLINK("https://twitter.com/Trendfa/status/1034855850194567168","1034855850194567168")</f>
        <v>1034855850194567168</v>
      </c>
      <c r="F3592" s="4"/>
      <c r="G3592" s="4"/>
      <c r="H3592" s="4"/>
      <c r="I3592" s="10" t="str">
        <f>HYPERLINK("http://trendfa.mostafar.com","TrendFa")</f>
        <v>TrendFa</v>
      </c>
      <c r="J3592" s="2">
        <v>1257</v>
      </c>
      <c r="K3592" s="2">
        <v>638</v>
      </c>
      <c r="L3592" s="2">
        <v>9</v>
      </c>
      <c r="M3592" s="2"/>
      <c r="N3592" s="8">
        <v>42854.236793981487</v>
      </c>
      <c r="O3592" s="4" t="s">
        <v>1770</v>
      </c>
      <c r="P3592" s="3" t="s">
        <v>1845</v>
      </c>
      <c r="Q3592" s="4"/>
      <c r="R3592" s="4"/>
      <c r="S3592" s="9" t="str">
        <f>HYPERLINK("https://pbs.twimg.com/profile_images/861706286957682689/0zDr9duE.jpg","View")</f>
        <v>View</v>
      </c>
    </row>
    <row r="3593" spans="1:19" ht="20">
      <c r="A3593" s="8">
        <v>43341.91305555556</v>
      </c>
      <c r="B3593" s="11" t="str">
        <f>HYPERLINK("https://twitter.com/behzadghobadi_","@behzadghobadi_")</f>
        <v>@behzadghobadi_</v>
      </c>
      <c r="C3593" s="6" t="s">
        <v>2489</v>
      </c>
      <c r="D3593" s="5" t="s">
        <v>7452</v>
      </c>
      <c r="E3593" s="9" t="str">
        <f>HYPERLINK("https://twitter.com/behzadghobadi_/status/1034854392086900737","1034854392086900737")</f>
        <v>1034854392086900737</v>
      </c>
      <c r="F3593" s="4"/>
      <c r="G3593" s="4"/>
      <c r="H3593" s="4"/>
      <c r="I3593" s="10" t="str">
        <f>HYPERLINK("http://twitter.com/download/android","Twitter for Android")</f>
        <v>Twitter for Android</v>
      </c>
      <c r="J3593" s="2">
        <v>61</v>
      </c>
      <c r="K3593" s="2">
        <v>118</v>
      </c>
      <c r="L3593" s="2">
        <v>0</v>
      </c>
      <c r="M3593" s="2"/>
      <c r="N3593" s="8">
        <v>42914.156643518523</v>
      </c>
      <c r="O3593" s="4"/>
      <c r="P3593" s="3" t="s">
        <v>2487</v>
      </c>
      <c r="Q3593" s="4"/>
      <c r="R3593" s="4"/>
      <c r="S3593" s="9" t="str">
        <f>HYPERLINK("https://pbs.twimg.com/profile_images/1034401444579880961/Uj4S_Mvg.jpg","View")</f>
        <v>View</v>
      </c>
    </row>
    <row r="3594" spans="1:19" ht="20">
      <c r="A3594" s="8">
        <v>43341.911898148144</v>
      </c>
      <c r="B3594" s="11" t="str">
        <f>HYPERLINK("https://twitter.com/alirezakhoram81","@alirezakhoram81")</f>
        <v>@alirezakhoram81</v>
      </c>
      <c r="C3594" s="6" t="s">
        <v>7451</v>
      </c>
      <c r="D3594" s="5" t="s">
        <v>7450</v>
      </c>
      <c r="E3594" s="9" t="str">
        <f>HYPERLINK("https://twitter.com/alirezakhoram81/status/1034853972954296321","1034853972954296321")</f>
        <v>1034853972954296321</v>
      </c>
      <c r="F3594" s="4"/>
      <c r="G3594" s="10" t="s">
        <v>7449</v>
      </c>
      <c r="H3594" s="4"/>
      <c r="I3594" s="10" t="str">
        <f>HYPERLINK("http://twitter.com/download/android","Twitter for Android")</f>
        <v>Twitter for Android</v>
      </c>
      <c r="J3594" s="2">
        <v>49</v>
      </c>
      <c r="K3594" s="2">
        <v>115</v>
      </c>
      <c r="L3594" s="2">
        <v>0</v>
      </c>
      <c r="M3594" s="2"/>
      <c r="N3594" s="8">
        <v>42846.618402777778</v>
      </c>
      <c r="O3594" s="4"/>
      <c r="P3594" s="3"/>
      <c r="Q3594" s="4"/>
      <c r="R3594" s="4"/>
      <c r="S3594" s="9" t="str">
        <f>HYPERLINK("https://pbs.twimg.com/profile_images/1024908598298722304/mP7IObQD.jpg","View")</f>
        <v>View</v>
      </c>
    </row>
    <row r="3595" spans="1:19" ht="20">
      <c r="A3595" s="8">
        <v>43341.910949074074</v>
      </c>
      <c r="B3595" s="11" t="str">
        <f>HYPERLINK("https://twitter.com/jahangardam","@jahangardam")</f>
        <v>@jahangardam</v>
      </c>
      <c r="C3595" s="6" t="s">
        <v>6366</v>
      </c>
      <c r="D3595" s="5" t="s">
        <v>7448</v>
      </c>
      <c r="E3595" s="9" t="str">
        <f>HYPERLINK("https://twitter.com/jahangardam/status/1034853630212550656","1034853630212550656")</f>
        <v>1034853630212550656</v>
      </c>
      <c r="F3595" s="4"/>
      <c r="G3595" s="10" t="s">
        <v>7447</v>
      </c>
      <c r="H3595" s="4"/>
      <c r="I3595" s="10" t="str">
        <f>HYPERLINK("http://twitter.com/download/android","Twitter for Android")</f>
        <v>Twitter for Android</v>
      </c>
      <c r="J3595" s="2">
        <v>536</v>
      </c>
      <c r="K3595" s="2">
        <v>240</v>
      </c>
      <c r="L3595" s="2">
        <v>3</v>
      </c>
      <c r="M3595" s="2"/>
      <c r="N3595" s="8">
        <v>43083.040960648148</v>
      </c>
      <c r="O3595" s="4"/>
      <c r="P3595" s="3" t="s">
        <v>6363</v>
      </c>
      <c r="Q3595" s="4"/>
      <c r="R3595" s="4"/>
      <c r="S3595" s="9" t="str">
        <f>HYPERLINK("https://pbs.twimg.com/profile_images/1023991505294450693/HPBi9ahH.jpg","View")</f>
        <v>View</v>
      </c>
    </row>
    <row r="3596" spans="1:19" ht="20">
      <c r="A3596" s="8">
        <v>43341.909444444449</v>
      </c>
      <c r="B3596" s="11" t="str">
        <f>HYPERLINK("https://twitter.com/saadollahzarei","@saadollahzarei")</f>
        <v>@saadollahzarei</v>
      </c>
      <c r="C3596" s="6" t="s">
        <v>7446</v>
      </c>
      <c r="D3596" s="5" t="s">
        <v>7445</v>
      </c>
      <c r="E3596" s="9" t="str">
        <f>HYPERLINK("https://twitter.com/saadollahzarei/status/1034853083774418945","1034853083774418945")</f>
        <v>1034853083774418945</v>
      </c>
      <c r="F3596" s="4"/>
      <c r="G3596" s="4"/>
      <c r="H3596" s="4"/>
      <c r="I3596" s="10" t="str">
        <f>HYPERLINK("http://twitter.com/download/android","Twitter for Android")</f>
        <v>Twitter for Android</v>
      </c>
      <c r="J3596" s="2">
        <v>1098</v>
      </c>
      <c r="K3596" s="2">
        <v>330</v>
      </c>
      <c r="L3596" s="2">
        <v>10</v>
      </c>
      <c r="M3596" s="2"/>
      <c r="N3596" s="8">
        <v>43217.989212962959</v>
      </c>
      <c r="O3596" s="4" t="s">
        <v>17</v>
      </c>
      <c r="P3596" s="3" t="s">
        <v>7444</v>
      </c>
      <c r="Q3596" s="10" t="s">
        <v>7443</v>
      </c>
      <c r="R3596" s="4"/>
      <c r="S3596" s="9" t="str">
        <f>HYPERLINK("https://pbs.twimg.com/profile_images/1024607307601084416/vN-gHq-k.jpg","View")</f>
        <v>View</v>
      </c>
    </row>
    <row r="3597" spans="1:19" ht="40">
      <c r="A3597" s="8">
        <v>43341.908564814818</v>
      </c>
      <c r="B3597" s="11" t="str">
        <f>HYPERLINK("https://twitter.com/morkazemian","@morkazemian")</f>
        <v>@morkazemian</v>
      </c>
      <c r="C3597" s="6" t="s">
        <v>6816</v>
      </c>
      <c r="D3597" s="5" t="s">
        <v>7442</v>
      </c>
      <c r="E3597" s="9" t="str">
        <f>HYPERLINK("https://twitter.com/morkazemian/status/1034852765707784193","1034852765707784193")</f>
        <v>1034852765707784193</v>
      </c>
      <c r="F3597" s="10" t="s">
        <v>7441</v>
      </c>
      <c r="G3597" s="10" t="s">
        <v>7440</v>
      </c>
      <c r="H3597" s="4"/>
      <c r="I3597" s="10" t="str">
        <f>HYPERLINK("http://twitter.com/download/iphone","Twitter for iPhone")</f>
        <v>Twitter for iPhone</v>
      </c>
      <c r="J3597" s="2">
        <v>8059</v>
      </c>
      <c r="K3597" s="2">
        <v>441</v>
      </c>
      <c r="L3597" s="2">
        <v>56</v>
      </c>
      <c r="M3597" s="2"/>
      <c r="N3597" s="8">
        <v>42853.619421296295</v>
      </c>
      <c r="O3597" s="4"/>
      <c r="P3597" s="3" t="s">
        <v>6814</v>
      </c>
      <c r="Q3597" s="4"/>
      <c r="R3597" s="4"/>
      <c r="S3597" s="9" t="str">
        <f>HYPERLINK("https://pbs.twimg.com/profile_images/986641923208286208/2-mQF-li.jpg","View")</f>
        <v>View</v>
      </c>
    </row>
    <row r="3598" spans="1:19" ht="20">
      <c r="A3598" s="8">
        <v>43341.906400462962</v>
      </c>
      <c r="B3598" s="11" t="str">
        <f>HYPERLINK("https://twitter.com/omidiaanhossein","@omidiaanhossein")</f>
        <v>@omidiaanhossein</v>
      </c>
      <c r="C3598" s="6" t="s">
        <v>4100</v>
      </c>
      <c r="D3598" s="5" t="s">
        <v>7439</v>
      </c>
      <c r="E3598" s="9" t="str">
        <f>HYPERLINK("https://twitter.com/omidiaanhossein/status/1034851978713677825","1034851978713677825")</f>
        <v>1034851978713677825</v>
      </c>
      <c r="F3598" s="4"/>
      <c r="G3598" s="4"/>
      <c r="H3598" s="4"/>
      <c r="I3598" s="10" t="str">
        <f>HYPERLINK("http://twitter.com/download/android","Twitter for Android")</f>
        <v>Twitter for Android</v>
      </c>
      <c r="J3598" s="2">
        <v>826</v>
      </c>
      <c r="K3598" s="2">
        <v>125</v>
      </c>
      <c r="L3598" s="2">
        <v>2</v>
      </c>
      <c r="M3598" s="2"/>
      <c r="N3598" s="8">
        <v>42861.451238425929</v>
      </c>
      <c r="O3598" s="4" t="s">
        <v>4096</v>
      </c>
      <c r="P3598" s="3" t="s">
        <v>4095</v>
      </c>
      <c r="Q3598" s="4"/>
      <c r="R3598" s="4"/>
      <c r="S3598" s="9" t="str">
        <f>HYPERLINK("https://pbs.twimg.com/profile_images/990529862145277953/6-7gESqw.jpg","View")</f>
        <v>View</v>
      </c>
    </row>
    <row r="3599" spans="1:19" ht="40">
      <c r="A3599" s="8">
        <v>43341.906284722223</v>
      </c>
      <c r="B3599" s="11" t="str">
        <f>HYPERLINK("https://twitter.com/AbbasKhalaji","@AbbasKhalaji")</f>
        <v>@AbbasKhalaji</v>
      </c>
      <c r="C3599" s="6" t="s">
        <v>7438</v>
      </c>
      <c r="D3599" s="5" t="s">
        <v>7437</v>
      </c>
      <c r="E3599" s="9" t="str">
        <f>HYPERLINK("https://twitter.com/AbbasKhalaji/status/1034851940688048128","1034851940688048128")</f>
        <v>1034851940688048128</v>
      </c>
      <c r="F3599" s="4"/>
      <c r="G3599" s="4"/>
      <c r="H3599" s="4"/>
      <c r="I3599" s="10" t="str">
        <f>HYPERLINK("http://twitter.com","Twitter Web Client")</f>
        <v>Twitter Web Client</v>
      </c>
      <c r="J3599" s="2">
        <v>174</v>
      </c>
      <c r="K3599" s="2">
        <v>609</v>
      </c>
      <c r="L3599" s="2">
        <v>0</v>
      </c>
      <c r="M3599" s="2"/>
      <c r="N3599" s="8">
        <v>42162.463888888888</v>
      </c>
      <c r="O3599" s="4" t="s">
        <v>7436</v>
      </c>
      <c r="P3599" s="3" t="s">
        <v>7435</v>
      </c>
      <c r="Q3599" s="4"/>
      <c r="R3599" s="4"/>
      <c r="S3599" s="9" t="str">
        <f>HYPERLINK("https://pbs.twimg.com/profile_images/880315908920442880/saEgp0Fc.jpg","View")</f>
        <v>View</v>
      </c>
    </row>
    <row r="3600" spans="1:19" ht="40">
      <c r="A3600" s="8">
        <v>43341.905289351853</v>
      </c>
      <c r="B3600" s="11" t="str">
        <f>HYPERLINK("https://twitter.com/Rozbehtavakoli","@Rozbehtavakoli")</f>
        <v>@Rozbehtavakoli</v>
      </c>
      <c r="C3600" s="6" t="s">
        <v>7434</v>
      </c>
      <c r="D3600" s="5" t="s">
        <v>7433</v>
      </c>
      <c r="E3600" s="9" t="str">
        <f>HYPERLINK("https://twitter.com/Rozbehtavakoli/status/1034851577461440519","1034851577461440519")</f>
        <v>1034851577461440519</v>
      </c>
      <c r="F3600" s="4"/>
      <c r="G3600" s="10" t="s">
        <v>7432</v>
      </c>
      <c r="H3600" s="4"/>
      <c r="I3600" s="10" t="str">
        <f>HYPERLINK("http://twitter.com/download/android","Twitter for Android")</f>
        <v>Twitter for Android</v>
      </c>
      <c r="J3600" s="2">
        <v>352</v>
      </c>
      <c r="K3600" s="2">
        <v>350</v>
      </c>
      <c r="L3600" s="2">
        <v>4</v>
      </c>
      <c r="M3600" s="2"/>
      <c r="N3600" s="8">
        <v>42920.433530092589</v>
      </c>
      <c r="O3600" s="4" t="s">
        <v>34</v>
      </c>
      <c r="P3600" s="3" t="s">
        <v>7431</v>
      </c>
      <c r="Q3600" s="4"/>
      <c r="R3600" s="4"/>
      <c r="S3600" s="9" t="str">
        <f>HYPERLINK("https://pbs.twimg.com/profile_images/882121655430111232/uz-Lx7dK.jpg","View")</f>
        <v>View</v>
      </c>
    </row>
    <row r="3601" spans="1:19" ht="40">
      <c r="A3601" s="8">
        <v>43341.905115740738</v>
      </c>
      <c r="B3601" s="11" t="str">
        <f>HYPERLINK("https://twitter.com/amerkhanloo","@amerkhanloo")</f>
        <v>@amerkhanloo</v>
      </c>
      <c r="C3601" s="6" t="s">
        <v>7272</v>
      </c>
      <c r="D3601" s="5" t="s">
        <v>7430</v>
      </c>
      <c r="E3601" s="9" t="str">
        <f>HYPERLINK("https://twitter.com/amerkhanloo/status/1034851515666710528","1034851515666710528")</f>
        <v>1034851515666710528</v>
      </c>
      <c r="F3601" s="4"/>
      <c r="G3601" s="4"/>
      <c r="H3601" s="4"/>
      <c r="I3601" s="10" t="str">
        <f>HYPERLINK("http://twitter.com/download/android","Twitter for Android")</f>
        <v>Twitter for Android</v>
      </c>
      <c r="J3601" s="2">
        <v>162</v>
      </c>
      <c r="K3601" s="2">
        <v>69</v>
      </c>
      <c r="L3601" s="2">
        <v>0</v>
      </c>
      <c r="M3601" s="2"/>
      <c r="N3601" s="8">
        <v>42905.636377314819</v>
      </c>
      <c r="O3601" s="4"/>
      <c r="P3601" s="3" t="s">
        <v>7270</v>
      </c>
      <c r="Q3601" s="4"/>
      <c r="R3601" s="4"/>
      <c r="S3601" s="9" t="str">
        <f>HYPERLINK("https://pbs.twimg.com/profile_images/1002937233006088194/hdYVgZjc.jpg","View")</f>
        <v>View</v>
      </c>
    </row>
    <row r="3602" spans="1:19" ht="40">
      <c r="A3602" s="8">
        <v>43341.901840277773</v>
      </c>
      <c r="B3602" s="11" t="str">
        <f>HYPERLINK("https://twitter.com/shahinshayea","@shahinshayea")</f>
        <v>@shahinshayea</v>
      </c>
      <c r="C3602" s="6" t="s">
        <v>4018</v>
      </c>
      <c r="D3602" s="5" t="s">
        <v>7429</v>
      </c>
      <c r="E3602" s="9" t="str">
        <f>HYPERLINK("https://twitter.com/shahinshayea/status/1034850326342447105","1034850326342447105")</f>
        <v>1034850326342447105</v>
      </c>
      <c r="F3602" s="4"/>
      <c r="G3602" s="4"/>
      <c r="H3602" s="4"/>
      <c r="I3602" s="10" t="str">
        <f>HYPERLINK("http://twitter.com/download/android","Twitter for Android")</f>
        <v>Twitter for Android</v>
      </c>
      <c r="J3602" s="2">
        <v>2132</v>
      </c>
      <c r="K3602" s="2">
        <v>2445</v>
      </c>
      <c r="L3602" s="2">
        <v>1</v>
      </c>
      <c r="M3602" s="2"/>
      <c r="N3602" s="8">
        <v>43305.017557870371</v>
      </c>
      <c r="O3602" s="4" t="s">
        <v>4016</v>
      </c>
      <c r="P3602" s="3" t="s">
        <v>4015</v>
      </c>
      <c r="Q3602" s="4"/>
      <c r="R3602" s="4"/>
      <c r="S3602" s="9" t="str">
        <f>HYPERLINK("https://pbs.twimg.com/profile_images/1031152226956390400/4NwL2VTk.jpg","View")</f>
        <v>View</v>
      </c>
    </row>
    <row r="3603" spans="1:19" ht="20">
      <c r="A3603" s="8">
        <v>43341.900370370371</v>
      </c>
      <c r="B3603" s="11" t="str">
        <f>HYPERLINK("https://twitter.com/bardiya2000","@bardiya2000")</f>
        <v>@bardiya2000</v>
      </c>
      <c r="C3603" s="6" t="s">
        <v>6602</v>
      </c>
      <c r="D3603" s="5" t="s">
        <v>7428</v>
      </c>
      <c r="E3603" s="9" t="str">
        <f>HYPERLINK("https://twitter.com/bardiya2000/status/1034849794517286913","1034849794517286913")</f>
        <v>1034849794517286913</v>
      </c>
      <c r="F3603" s="4"/>
      <c r="G3603" s="4"/>
      <c r="H3603" s="4"/>
      <c r="I3603" s="10" t="str">
        <f>HYPERLINK("http://twitter.com/download/android","Twitter for Android")</f>
        <v>Twitter for Android</v>
      </c>
      <c r="J3603" s="2">
        <v>11023</v>
      </c>
      <c r="K3603" s="2">
        <v>12099</v>
      </c>
      <c r="L3603" s="2">
        <v>4</v>
      </c>
      <c r="M3603" s="2"/>
      <c r="N3603" s="8">
        <v>43130.489201388889</v>
      </c>
      <c r="O3603" s="4" t="s">
        <v>104</v>
      </c>
      <c r="P3603" s="3" t="s">
        <v>6600</v>
      </c>
      <c r="Q3603" s="4"/>
      <c r="R3603" s="4"/>
      <c r="S3603" s="9" t="str">
        <f>HYPERLINK("https://pbs.twimg.com/profile_images/959171152081014784/1feOJkR-.jpg","View")</f>
        <v>View</v>
      </c>
    </row>
    <row r="3604" spans="1:19" ht="20">
      <c r="A3604" s="8">
        <v>43341.900081018517</v>
      </c>
      <c r="B3604" s="11" t="str">
        <f>HYPERLINK("https://twitter.com/mrreza_jan","@mrreza_jan")</f>
        <v>@mrreza_jan</v>
      </c>
      <c r="C3604" s="6" t="s">
        <v>7427</v>
      </c>
      <c r="D3604" s="5" t="s">
        <v>7426</v>
      </c>
      <c r="E3604" s="9" t="str">
        <f>HYPERLINK("https://twitter.com/mrreza_jan/status/1034849689663881217","1034849689663881217")</f>
        <v>1034849689663881217</v>
      </c>
      <c r="F3604" s="4"/>
      <c r="G3604" s="4"/>
      <c r="H3604" s="4"/>
      <c r="I3604" s="10" t="str">
        <f>HYPERLINK("http://twitter.com/download/android","Twitter for Android")</f>
        <v>Twitter for Android</v>
      </c>
      <c r="J3604" s="2">
        <v>28</v>
      </c>
      <c r="K3604" s="2">
        <v>29</v>
      </c>
      <c r="L3604" s="2">
        <v>0</v>
      </c>
      <c r="M3604" s="2"/>
      <c r="N3604" s="8">
        <v>43221.846238425926</v>
      </c>
      <c r="O3604" s="4" t="s">
        <v>7425</v>
      </c>
      <c r="P3604" s="3" t="s">
        <v>7424</v>
      </c>
      <c r="Q3604" s="4"/>
      <c r="R3604" s="4"/>
      <c r="S3604" s="9" t="str">
        <f>HYPERLINK("https://pbs.twimg.com/profile_images/991443522761973761/xaJbUqLu.jpg","View")</f>
        <v>View</v>
      </c>
    </row>
    <row r="3605" spans="1:19" ht="40">
      <c r="A3605" s="8">
        <v>43341.896736111114</v>
      </c>
      <c r="B3605" s="11" t="str">
        <f>HYPERLINK("https://twitter.com/MorshediAmir","@MorshediAmir")</f>
        <v>@MorshediAmir</v>
      </c>
      <c r="C3605" s="6" t="s">
        <v>298</v>
      </c>
      <c r="D3605" s="5" t="s">
        <v>7423</v>
      </c>
      <c r="E3605" s="9" t="str">
        <f>HYPERLINK("https://twitter.com/MorshediAmir/status/1034848478697082880","1034848478697082880")</f>
        <v>1034848478697082880</v>
      </c>
      <c r="F3605" s="4"/>
      <c r="G3605" s="4"/>
      <c r="H3605" s="4"/>
      <c r="I3605" s="10" t="str">
        <f>HYPERLINK("http://twitter.com/download/android","Twitter for Android")</f>
        <v>Twitter for Android</v>
      </c>
      <c r="J3605" s="2">
        <v>303</v>
      </c>
      <c r="K3605" s="2">
        <v>163</v>
      </c>
      <c r="L3605" s="2">
        <v>3</v>
      </c>
      <c r="M3605" s="2"/>
      <c r="N3605" s="8">
        <v>42358.495324074072</v>
      </c>
      <c r="O3605" s="4"/>
      <c r="P3605" s="3" t="s">
        <v>295</v>
      </c>
      <c r="Q3605" s="4"/>
      <c r="R3605" s="4"/>
      <c r="S3605" s="9" t="str">
        <f>HYPERLINK("https://pbs.twimg.com/profile_images/983670584361062401/wyBuDabl.jpg","View")</f>
        <v>View</v>
      </c>
    </row>
    <row r="3606" spans="1:19" ht="20">
      <c r="A3606" s="8">
        <v>43341.895416666666</v>
      </c>
      <c r="B3606" s="11" t="str">
        <f>HYPERLINK("https://twitter.com/antiwar2017","@antiwar2017")</f>
        <v>@antiwar2017</v>
      </c>
      <c r="C3606" s="6" t="s">
        <v>7422</v>
      </c>
      <c r="D3606" s="5" t="s">
        <v>7421</v>
      </c>
      <c r="E3606" s="9" t="str">
        <f>HYPERLINK("https://twitter.com/antiwar2017/status/1034848002203103233","1034848002203103233")</f>
        <v>1034848002203103233</v>
      </c>
      <c r="F3606" s="4"/>
      <c r="G3606" s="4"/>
      <c r="H3606" s="4"/>
      <c r="I3606" s="10" t="str">
        <f>HYPERLINK("http://twitter.com/download/iphone","Twitter for iPhone")</f>
        <v>Twitter for iPhone</v>
      </c>
      <c r="J3606" s="2">
        <v>1621</v>
      </c>
      <c r="K3606" s="2">
        <v>2325</v>
      </c>
      <c r="L3606" s="2">
        <v>2</v>
      </c>
      <c r="M3606" s="2"/>
      <c r="N3606" s="8">
        <v>42864.712824074071</v>
      </c>
      <c r="O3606" s="4"/>
      <c r="P3606" s="3" t="s">
        <v>7420</v>
      </c>
      <c r="Q3606" s="4"/>
      <c r="R3606" s="4"/>
      <c r="S3606" s="9" t="str">
        <f>HYPERLINK("https://pbs.twimg.com/profile_images/1023450058459475969/muQDUaCp.jpg","View")</f>
        <v>View</v>
      </c>
    </row>
    <row r="3607" spans="1:19" ht="20">
      <c r="A3607" s="8">
        <v>43341.894756944443</v>
      </c>
      <c r="B3607" s="11" t="str">
        <f>HYPERLINK("https://twitter.com/der_butt","@der_butt")</f>
        <v>@der_butt</v>
      </c>
      <c r="C3607" s="6" t="s">
        <v>7266</v>
      </c>
      <c r="D3607" s="5" t="s">
        <v>7419</v>
      </c>
      <c r="E3607" s="9" t="str">
        <f>HYPERLINK("https://twitter.com/der_butt/status/1034847759663128576","1034847759663128576")</f>
        <v>1034847759663128576</v>
      </c>
      <c r="F3607" s="4"/>
      <c r="G3607" s="4"/>
      <c r="H3607" s="4"/>
      <c r="I3607" s="10" t="str">
        <f>HYPERLINK("http://twitter.com","Twitter Web Client")</f>
        <v>Twitter Web Client</v>
      </c>
      <c r="J3607" s="2">
        <v>0</v>
      </c>
      <c r="K3607" s="2">
        <v>0</v>
      </c>
      <c r="L3607" s="2">
        <v>0</v>
      </c>
      <c r="M3607" s="2"/>
      <c r="N3607" s="8">
        <v>43312.574826388889</v>
      </c>
      <c r="O3607" s="4"/>
      <c r="P3607" s="3"/>
      <c r="Q3607" s="4"/>
      <c r="R3607" s="4"/>
      <c r="S3607" s="9" t="str">
        <f>HYPERLINK("https://pbs.twimg.com/profile_images/1024226830700572674/VXclaoOv.jpg","View")</f>
        <v>View</v>
      </c>
    </row>
    <row r="3608" spans="1:19" ht="30">
      <c r="A3608" s="8">
        <v>43341.894675925927</v>
      </c>
      <c r="B3608" s="11" t="str">
        <f>HYPERLINK("https://twitter.com/persianhuman","@persianhuman")</f>
        <v>@persianhuman</v>
      </c>
      <c r="C3608" s="6" t="s">
        <v>7418</v>
      </c>
      <c r="D3608" s="5" t="s">
        <v>7417</v>
      </c>
      <c r="E3608" s="9" t="str">
        <f>HYPERLINK("https://twitter.com/persianhuman/status/1034847730059890688","1034847730059890688")</f>
        <v>1034847730059890688</v>
      </c>
      <c r="F3608" s="4"/>
      <c r="G3608" s="4"/>
      <c r="H3608" s="4"/>
      <c r="I3608" s="10" t="str">
        <f>HYPERLINK("http://twitter.com/download/android","Twitter for Android")</f>
        <v>Twitter for Android</v>
      </c>
      <c r="J3608" s="2">
        <v>3808</v>
      </c>
      <c r="K3608" s="2">
        <v>714</v>
      </c>
      <c r="L3608" s="2">
        <v>24</v>
      </c>
      <c r="M3608" s="2"/>
      <c r="N3608" s="8">
        <v>42553.062222222223</v>
      </c>
      <c r="O3608" s="4"/>
      <c r="P3608" s="3" t="s">
        <v>7416</v>
      </c>
      <c r="Q3608" s="4"/>
      <c r="R3608" s="4"/>
      <c r="S3608" s="9" t="str">
        <f>HYPERLINK("https://pbs.twimg.com/profile_images/1011836920077410304/1soeQ2cn.jpg","View")</f>
        <v>View</v>
      </c>
    </row>
    <row r="3609" spans="1:19" ht="30">
      <c r="A3609" s="8">
        <v>43341.893657407403</v>
      </c>
      <c r="B3609" s="11" t="str">
        <f>HYPERLINK("https://twitter.com/shahedbaniasadi","@shahedbaniasadi")</f>
        <v>@shahedbaniasadi</v>
      </c>
      <c r="C3609" s="6" t="s">
        <v>7415</v>
      </c>
      <c r="D3609" s="5" t="s">
        <v>7414</v>
      </c>
      <c r="E3609" s="9" t="str">
        <f>HYPERLINK("https://twitter.com/shahedbaniasadi/status/1034847362429202437","1034847362429202437")</f>
        <v>1034847362429202437</v>
      </c>
      <c r="F3609" s="4"/>
      <c r="G3609" s="4"/>
      <c r="H3609" s="4"/>
      <c r="I3609" s="10" t="str">
        <f>HYPERLINK("http://twitter.com/download/iphone","Twitter for iPhone")</f>
        <v>Twitter for iPhone</v>
      </c>
      <c r="J3609" s="2">
        <v>5081</v>
      </c>
      <c r="K3609" s="2">
        <v>4500</v>
      </c>
      <c r="L3609" s="2">
        <v>4</v>
      </c>
      <c r="M3609" s="2"/>
      <c r="N3609" s="8">
        <v>42278.869155092594</v>
      </c>
      <c r="O3609" s="4" t="s">
        <v>190</v>
      </c>
      <c r="P3609" s="3" t="s">
        <v>7413</v>
      </c>
      <c r="Q3609" s="4"/>
      <c r="R3609" s="4"/>
      <c r="S3609" s="9" t="str">
        <f>HYPERLINK("https://pbs.twimg.com/profile_images/986554727419740160/Bjmy0xBZ.jpg","View")</f>
        <v>View</v>
      </c>
    </row>
    <row r="3610" spans="1:19" ht="20">
      <c r="A3610" s="8">
        <v>43341.893460648149</v>
      </c>
      <c r="B3610" s="11" t="str">
        <f>HYPERLINK("https://twitter.com/Fnews_Persian","@Fnews_Persian")</f>
        <v>@Fnews_Persian</v>
      </c>
      <c r="C3610" s="6" t="s">
        <v>919</v>
      </c>
      <c r="D3610" s="5" t="s">
        <v>7412</v>
      </c>
      <c r="E3610" s="9" t="str">
        <f>HYPERLINK("https://twitter.com/Fnews_Persian/status/1034847290899529729","1034847290899529729")</f>
        <v>1034847290899529729</v>
      </c>
      <c r="F3610" s="4"/>
      <c r="G3610" s="10" t="s">
        <v>7411</v>
      </c>
      <c r="H3610" s="4"/>
      <c r="I3610" s="10" t="str">
        <f>HYPERLINK("http://twitter.com","Twitter Web Client")</f>
        <v>Twitter Web Client</v>
      </c>
      <c r="J3610" s="2">
        <v>58357</v>
      </c>
      <c r="K3610" s="2">
        <v>8</v>
      </c>
      <c r="L3610" s="2">
        <v>8</v>
      </c>
      <c r="M3610" s="2"/>
      <c r="N3610" s="8">
        <v>42445.668726851851</v>
      </c>
      <c r="O3610" s="4" t="s">
        <v>916</v>
      </c>
      <c r="P3610" s="3" t="s">
        <v>915</v>
      </c>
      <c r="Q3610" s="4"/>
      <c r="R3610" s="4"/>
      <c r="S3610" s="9" t="str">
        <f>HYPERLINK("https://pbs.twimg.com/profile_images/962248284151734272/-yEY7hhB.jpg","View")</f>
        <v>View</v>
      </c>
    </row>
    <row r="3611" spans="1:19" ht="40">
      <c r="A3611" s="8">
        <v>43341.889745370368</v>
      </c>
      <c r="B3611" s="11" t="str">
        <f>HYPERLINK("https://twitter.com/AliQajar_","@AliQajar_")</f>
        <v>@AliQajar_</v>
      </c>
      <c r="C3611" s="6" t="s">
        <v>7410</v>
      </c>
      <c r="D3611" s="5" t="s">
        <v>7409</v>
      </c>
      <c r="E3611" s="9" t="str">
        <f>HYPERLINK("https://twitter.com/AliQajar_/status/1034845947174445056","1034845947174445056")</f>
        <v>1034845947174445056</v>
      </c>
      <c r="F3611" s="10" t="s">
        <v>6470</v>
      </c>
      <c r="G3611" s="4"/>
      <c r="H3611" s="4"/>
      <c r="I3611" s="10" t="str">
        <f>HYPERLINK("http://twitter.com/download/android","Twitter for Android")</f>
        <v>Twitter for Android</v>
      </c>
      <c r="J3611" s="2">
        <v>79</v>
      </c>
      <c r="K3611" s="2">
        <v>84</v>
      </c>
      <c r="L3611" s="2">
        <v>0</v>
      </c>
      <c r="M3611" s="2"/>
      <c r="N3611" s="8">
        <v>42887.618078703701</v>
      </c>
      <c r="O3611" s="4" t="s">
        <v>34</v>
      </c>
      <c r="P3611" s="3" t="s">
        <v>7408</v>
      </c>
      <c r="Q3611" s="4"/>
      <c r="R3611" s="4"/>
      <c r="S3611" s="9" t="str">
        <f>HYPERLINK("https://pbs.twimg.com/profile_images/1028729823110352896/bwoL2HOH.jpg","View")</f>
        <v>View</v>
      </c>
    </row>
    <row r="3612" spans="1:19" ht="40">
      <c r="A3612" s="8">
        <v>43341.887141203704</v>
      </c>
      <c r="B3612" s="11" t="str">
        <f>HYPERLINK("https://twitter.com/lasttangoiniran","@lasttangoiniran")</f>
        <v>@lasttangoiniran</v>
      </c>
      <c r="C3612" s="6" t="s">
        <v>7407</v>
      </c>
      <c r="D3612" s="5" t="s">
        <v>7406</v>
      </c>
      <c r="E3612" s="9" t="str">
        <f>HYPERLINK("https://twitter.com/lasttangoiniran/status/1034845001761665024","1034845001761665024")</f>
        <v>1034845001761665024</v>
      </c>
      <c r="F3612" s="4"/>
      <c r="G3612" s="4"/>
      <c r="H3612" s="4"/>
      <c r="I3612" s="10" t="str">
        <f>HYPERLINK("http://twitter.com/download/android","Twitter for Android")</f>
        <v>Twitter for Android</v>
      </c>
      <c r="J3612" s="2">
        <v>10</v>
      </c>
      <c r="K3612" s="2">
        <v>7</v>
      </c>
      <c r="L3612" s="2">
        <v>0</v>
      </c>
      <c r="M3612" s="2"/>
      <c r="N3612" s="8">
        <v>43210.518877314811</v>
      </c>
      <c r="O3612" s="4"/>
      <c r="P3612" s="3"/>
      <c r="Q3612" s="4"/>
      <c r="R3612" s="4"/>
      <c r="S3612" s="9" t="str">
        <f>HYPERLINK("https://pbs.twimg.com/profile_images/991288635164160000/J6z7KU8r.jpg","View")</f>
        <v>View</v>
      </c>
    </row>
    <row r="3613" spans="1:19" ht="40">
      <c r="A3613" s="8">
        <v>43341.880972222221</v>
      </c>
      <c r="B3613" s="11" t="str">
        <f>HYPERLINK("https://twitter.com/mehrdadmehraba1","@mehrdadmehraba1")</f>
        <v>@mehrdadmehraba1</v>
      </c>
      <c r="C3613" s="6" t="s">
        <v>7405</v>
      </c>
      <c r="D3613" s="5" t="s">
        <v>7404</v>
      </c>
      <c r="E3613" s="9" t="str">
        <f>HYPERLINK("https://twitter.com/mehrdadmehraba1/status/1034842765828534272","1034842765828534272")</f>
        <v>1034842765828534272</v>
      </c>
      <c r="F3613" s="4"/>
      <c r="G3613" s="4"/>
      <c r="H3613" s="4"/>
      <c r="I3613" s="10" t="str">
        <f>HYPERLINK("http://twitter.com","Twitter Web Client")</f>
        <v>Twitter Web Client</v>
      </c>
      <c r="J3613" s="2">
        <v>770</v>
      </c>
      <c r="K3613" s="2">
        <v>805</v>
      </c>
      <c r="L3613" s="2">
        <v>1</v>
      </c>
      <c r="M3613" s="2"/>
      <c r="N3613" s="8">
        <v>43171.105624999997</v>
      </c>
      <c r="O3613" s="4" t="s">
        <v>7403</v>
      </c>
      <c r="P3613" s="3" t="s">
        <v>7402</v>
      </c>
      <c r="Q3613" s="4"/>
      <c r="R3613" s="4"/>
      <c r="S3613" s="9" t="str">
        <f>HYPERLINK("https://pbs.twimg.com/profile_images/972976679403520002/b5NW5Haq.jpg","View")</f>
        <v>View</v>
      </c>
    </row>
    <row r="3614" spans="1:19" ht="40">
      <c r="A3614" s="8">
        <v>43341.880312499998</v>
      </c>
      <c r="B3614" s="11" t="str">
        <f>HYPERLINK("https://twitter.com/m_amoushahi","@m_amoushahi")</f>
        <v>@m_amoushahi</v>
      </c>
      <c r="C3614" s="6" t="s">
        <v>7401</v>
      </c>
      <c r="D3614" s="5" t="s">
        <v>7400</v>
      </c>
      <c r="E3614" s="9" t="str">
        <f>HYPERLINK("https://twitter.com/m_amoushahi/status/1034842527764021249","1034842527764021249")</f>
        <v>1034842527764021249</v>
      </c>
      <c r="F3614" s="4"/>
      <c r="G3614" s="4"/>
      <c r="H3614" s="4"/>
      <c r="I3614" s="10" t="str">
        <f>HYPERLINK("http://twitter.com/download/android","Twitter for Android")</f>
        <v>Twitter for Android</v>
      </c>
      <c r="J3614" s="2">
        <v>363</v>
      </c>
      <c r="K3614" s="2">
        <v>676</v>
      </c>
      <c r="L3614" s="2">
        <v>2</v>
      </c>
      <c r="M3614" s="2"/>
      <c r="N3614" s="8">
        <v>42747.863344907411</v>
      </c>
      <c r="O3614" s="4" t="s">
        <v>7399</v>
      </c>
      <c r="P3614" s="3" t="s">
        <v>7398</v>
      </c>
      <c r="Q3614" s="10" t="s">
        <v>7397</v>
      </c>
      <c r="R3614" s="4"/>
      <c r="S3614" s="9" t="str">
        <f>HYPERLINK("https://pbs.twimg.com/profile_images/819595131393339392/nm4tqg6q.jpg","View")</f>
        <v>View</v>
      </c>
    </row>
    <row r="3615" spans="1:19" ht="20">
      <c r="A3615" s="8">
        <v>43341.879120370373</v>
      </c>
      <c r="B3615" s="11" t="str">
        <f>HYPERLINK("https://twitter.com/ata_afs","@ata_afs")</f>
        <v>@ata_afs</v>
      </c>
      <c r="C3615" s="6" t="s">
        <v>1217</v>
      </c>
      <c r="D3615" s="5" t="s">
        <v>7396</v>
      </c>
      <c r="E3615" s="9" t="str">
        <f>HYPERLINK("https://twitter.com/ata_afs/status/1034842095905726464","1034842095905726464")</f>
        <v>1034842095905726464</v>
      </c>
      <c r="F3615" s="4"/>
      <c r="G3615" s="4"/>
      <c r="H3615" s="4"/>
      <c r="I3615" s="10" t="str">
        <f>HYPERLINK("http://twitter.com/download/iphone","Twitter for iPhone")</f>
        <v>Twitter for iPhone</v>
      </c>
      <c r="J3615" s="2">
        <v>367</v>
      </c>
      <c r="K3615" s="2">
        <v>693</v>
      </c>
      <c r="L3615" s="2">
        <v>0</v>
      </c>
      <c r="M3615" s="2"/>
      <c r="N3615" s="8">
        <v>41833.536099537036</v>
      </c>
      <c r="O3615" s="4" t="s">
        <v>34</v>
      </c>
      <c r="P3615" s="3" t="s">
        <v>1213</v>
      </c>
      <c r="Q3615" s="4"/>
      <c r="R3615" s="4"/>
      <c r="S3615" s="9" t="str">
        <f>HYPERLINK("https://pbs.twimg.com/profile_images/958374868008960000/IRXSv5-C.jpg","View")</f>
        <v>View</v>
      </c>
    </row>
    <row r="3616" spans="1:19" ht="40">
      <c r="A3616" s="8">
        <v>43341.878703703704</v>
      </c>
      <c r="B3616" s="11" t="str">
        <f>HYPERLINK("https://twitter.com/zomorodian2","@zomorodian2")</f>
        <v>@zomorodian2</v>
      </c>
      <c r="C3616" s="6" t="s">
        <v>7395</v>
      </c>
      <c r="D3616" s="5" t="s">
        <v>7394</v>
      </c>
      <c r="E3616" s="9" t="str">
        <f>HYPERLINK("https://twitter.com/zomorodian2/status/1034841944483160066","1034841944483160066")</f>
        <v>1034841944483160066</v>
      </c>
      <c r="F3616" s="10" t="s">
        <v>7106</v>
      </c>
      <c r="G3616" s="4"/>
      <c r="H3616" s="4"/>
      <c r="I3616" s="10" t="str">
        <f>HYPERLINK("http://twitter.com/download/iphone","Twitter for iPhone")</f>
        <v>Twitter for iPhone</v>
      </c>
      <c r="J3616" s="2">
        <v>297</v>
      </c>
      <c r="K3616" s="2">
        <v>243</v>
      </c>
      <c r="L3616" s="2">
        <v>0</v>
      </c>
      <c r="M3616" s="2"/>
      <c r="N3616" s="8">
        <v>43176.067604166667</v>
      </c>
      <c r="O3616" s="4"/>
      <c r="P3616" s="3" t="s">
        <v>7393</v>
      </c>
      <c r="Q3616" s="4"/>
      <c r="R3616" s="4"/>
      <c r="S3616" s="9" t="str">
        <f>HYPERLINK("https://pbs.twimg.com/profile_images/975071772998623235/ycaouAzP.jpg","View")</f>
        <v>View</v>
      </c>
    </row>
    <row r="3617" spans="1:19" ht="40">
      <c r="A3617" s="8">
        <v>43341.876747685186</v>
      </c>
      <c r="B3617" s="11" t="str">
        <f>HYPERLINK("https://twitter.com/EbiEskafi","@EbiEskafi")</f>
        <v>@EbiEskafi</v>
      </c>
      <c r="C3617" s="6" t="s">
        <v>7392</v>
      </c>
      <c r="D3617" s="5" t="s">
        <v>7391</v>
      </c>
      <c r="E3617" s="9" t="str">
        <f>HYPERLINK("https://twitter.com/EbiEskafi/status/1034841233632518147","1034841233632518147")</f>
        <v>1034841233632518147</v>
      </c>
      <c r="F3617" s="4"/>
      <c r="G3617" s="4"/>
      <c r="H3617" s="4"/>
      <c r="I3617" s="10" t="str">
        <f>HYPERLINK("http://twitter.com/download/android","Twitter for Android")</f>
        <v>Twitter for Android</v>
      </c>
      <c r="J3617" s="2">
        <v>1114</v>
      </c>
      <c r="K3617" s="2">
        <v>365</v>
      </c>
      <c r="L3617" s="2">
        <v>8</v>
      </c>
      <c r="M3617" s="2"/>
      <c r="N3617" s="8">
        <v>39979.613275462965</v>
      </c>
      <c r="O3617" s="4" t="s">
        <v>34</v>
      </c>
      <c r="P3617" s="3" t="s">
        <v>7390</v>
      </c>
      <c r="Q3617" s="10" t="s">
        <v>7389</v>
      </c>
      <c r="R3617" s="4"/>
      <c r="S3617" s="9" t="str">
        <f>HYPERLINK("https://pbs.twimg.com/profile_images/977982014933667840/KQrMFN8e.jpg","View")</f>
        <v>View</v>
      </c>
    </row>
    <row r="3618" spans="1:19" ht="50">
      <c r="A3618" s="8">
        <v>43341.87537037037</v>
      </c>
      <c r="B3618" s="11" t="str">
        <f>HYPERLINK("https://twitter.com/manOfMistakes","@manOfMistakes")</f>
        <v>@manOfMistakes</v>
      </c>
      <c r="C3618" s="6" t="s">
        <v>368</v>
      </c>
      <c r="D3618" s="5" t="s">
        <v>7388</v>
      </c>
      <c r="E3618" s="9" t="str">
        <f>HYPERLINK("https://twitter.com/manOfMistakes/status/1034840735135059968","1034840735135059968")</f>
        <v>1034840735135059968</v>
      </c>
      <c r="F3618" s="4"/>
      <c r="G3618" s="10" t="s">
        <v>7387</v>
      </c>
      <c r="H3618" s="4"/>
      <c r="I3618" s="10" t="str">
        <f>HYPERLINK("http://twitter.com/download/iphone","Twitter for iPhone")</f>
        <v>Twitter for iPhone</v>
      </c>
      <c r="J3618" s="2">
        <v>146</v>
      </c>
      <c r="K3618" s="2">
        <v>275</v>
      </c>
      <c r="L3618" s="2">
        <v>0</v>
      </c>
      <c r="M3618" s="2"/>
      <c r="N3618" s="8">
        <v>43304.329965277779</v>
      </c>
      <c r="O3618" s="4" t="s">
        <v>34</v>
      </c>
      <c r="P3618" s="3" t="s">
        <v>366</v>
      </c>
      <c r="Q3618" s="4"/>
      <c r="R3618" s="4"/>
      <c r="S3618" s="9" t="str">
        <f>HYPERLINK("https://pbs.twimg.com/profile_images/1028755362831204352/MbdRKhM9.jpg","View")</f>
        <v>View</v>
      </c>
    </row>
    <row r="3619" spans="1:19" ht="60">
      <c r="A3619" s="8">
        <v>43341.875254629631</v>
      </c>
      <c r="B3619" s="11" t="str">
        <f>HYPERLINK("https://twitter.com/semnaniha","@semnaniha")</f>
        <v>@semnaniha</v>
      </c>
      <c r="C3619" s="6" t="s">
        <v>7386</v>
      </c>
      <c r="D3619" s="5" t="s">
        <v>7385</v>
      </c>
      <c r="E3619" s="9" t="str">
        <f>HYPERLINK("https://twitter.com/semnaniha/status/1034840695691988997","1034840695691988997")</f>
        <v>1034840695691988997</v>
      </c>
      <c r="F3619" s="10" t="s">
        <v>7079</v>
      </c>
      <c r="G3619" s="10" t="s">
        <v>6824</v>
      </c>
      <c r="H3619" s="4"/>
      <c r="I3619" s="10" t="str">
        <f>HYPERLINK("http://twitter.com/download/android","Twitter for Android")</f>
        <v>Twitter for Android</v>
      </c>
      <c r="J3619" s="2">
        <v>1082</v>
      </c>
      <c r="K3619" s="2">
        <v>2025</v>
      </c>
      <c r="L3619" s="2">
        <v>4</v>
      </c>
      <c r="M3619" s="2"/>
      <c r="N3619" s="8">
        <v>42944.836041666669</v>
      </c>
      <c r="O3619" s="4" t="s">
        <v>7384</v>
      </c>
      <c r="P3619" s="3" t="s">
        <v>7383</v>
      </c>
      <c r="Q3619" s="4"/>
      <c r="R3619" s="4"/>
      <c r="S3619" s="9" t="str">
        <f>HYPERLINK("https://pbs.twimg.com/profile_images/987607354194743296/uxciDE63.jpg","View")</f>
        <v>View</v>
      </c>
    </row>
    <row r="3620" spans="1:19" ht="40">
      <c r="A3620" s="8">
        <v>43341.873854166668</v>
      </c>
      <c r="B3620" s="11" t="str">
        <f>HYPERLINK("https://twitter.com/MorshediAmir","@MorshediAmir")</f>
        <v>@MorshediAmir</v>
      </c>
      <c r="C3620" s="6" t="s">
        <v>298</v>
      </c>
      <c r="D3620" s="5" t="s">
        <v>7382</v>
      </c>
      <c r="E3620" s="9" t="str">
        <f>HYPERLINK("https://twitter.com/MorshediAmir/status/1034840185131937797","1034840185131937797")</f>
        <v>1034840185131937797</v>
      </c>
      <c r="F3620" s="4"/>
      <c r="G3620" s="4"/>
      <c r="H3620" s="4"/>
      <c r="I3620" s="10" t="str">
        <f>HYPERLINK("http://twitter.com/download/android","Twitter for Android")</f>
        <v>Twitter for Android</v>
      </c>
      <c r="J3620" s="2">
        <v>302</v>
      </c>
      <c r="K3620" s="2">
        <v>163</v>
      </c>
      <c r="L3620" s="2">
        <v>3</v>
      </c>
      <c r="M3620" s="2"/>
      <c r="N3620" s="8">
        <v>42358.495324074072</v>
      </c>
      <c r="O3620" s="4"/>
      <c r="P3620" s="3" t="s">
        <v>295</v>
      </c>
      <c r="Q3620" s="4"/>
      <c r="R3620" s="4"/>
      <c r="S3620" s="9" t="str">
        <f>HYPERLINK("https://pbs.twimg.com/profile_images/983670584361062401/wyBuDabl.jpg","View")</f>
        <v>View</v>
      </c>
    </row>
    <row r="3621" spans="1:19" ht="20">
      <c r="A3621" s="8">
        <v>43341.871851851851</v>
      </c>
      <c r="B3621" s="11" t="str">
        <f>HYPERLINK("https://twitter.com/Negative1400","@Negative1400")</f>
        <v>@Negative1400</v>
      </c>
      <c r="C3621" s="6" t="s">
        <v>7381</v>
      </c>
      <c r="D3621" s="5" t="s">
        <v>7380</v>
      </c>
      <c r="E3621" s="9" t="str">
        <f>HYPERLINK("https://twitter.com/Negative1400/status/1034839459949248512","1034839459949248512")</f>
        <v>1034839459949248512</v>
      </c>
      <c r="F3621" s="4"/>
      <c r="G3621" s="4"/>
      <c r="H3621" s="4"/>
      <c r="I3621" s="10" t="str">
        <f>HYPERLINK("http://twitter.com","Twitter Web Client")</f>
        <v>Twitter Web Client</v>
      </c>
      <c r="J3621" s="2">
        <v>221</v>
      </c>
      <c r="K3621" s="2">
        <v>751</v>
      </c>
      <c r="L3621" s="2">
        <v>1</v>
      </c>
      <c r="M3621" s="2"/>
      <c r="N3621" s="8">
        <v>43190.128437499996</v>
      </c>
      <c r="O3621" s="4"/>
      <c r="P3621" s="3" t="s">
        <v>7379</v>
      </c>
      <c r="Q3621" s="4"/>
      <c r="R3621" s="4"/>
      <c r="S3621" s="9" t="str">
        <f>HYPERLINK("https://pbs.twimg.com/profile_images/979852368606056449/fzzfs0gL.jpg","View")</f>
        <v>View</v>
      </c>
    </row>
    <row r="3622" spans="1:19" ht="40">
      <c r="A3622" s="8">
        <v>43341.871319444443</v>
      </c>
      <c r="B3622" s="11" t="str">
        <f>HYPERLINK("https://twitter.com/TaherAgaei","@TaherAgaei")</f>
        <v>@TaherAgaei</v>
      </c>
      <c r="C3622" s="6" t="s">
        <v>7378</v>
      </c>
      <c r="D3622" s="5" t="s">
        <v>7377</v>
      </c>
      <c r="E3622" s="9" t="str">
        <f>HYPERLINK("https://twitter.com/TaherAgaei/status/1034839268672368646","1034839268672368646")</f>
        <v>1034839268672368646</v>
      </c>
      <c r="F3622" s="4"/>
      <c r="G3622" s="4"/>
      <c r="H3622" s="4"/>
      <c r="I3622" s="10" t="str">
        <f>HYPERLINK("https://mobile.twitter.com","Twitter Lite")</f>
        <v>Twitter Lite</v>
      </c>
      <c r="J3622" s="2">
        <v>10</v>
      </c>
      <c r="K3622" s="2">
        <v>23</v>
      </c>
      <c r="L3622" s="2">
        <v>0</v>
      </c>
      <c r="M3622" s="2"/>
      <c r="N3622" s="8">
        <v>42197.554398148146</v>
      </c>
      <c r="O3622" s="4" t="s">
        <v>219</v>
      </c>
      <c r="P3622" s="3"/>
      <c r="Q3622" s="4"/>
      <c r="R3622" s="4"/>
      <c r="S3622" s="9" t="str">
        <f>HYPERLINK("https://pbs.twimg.com/profile_images/1028227997323681792/Thc83Z7f.jpg","View")</f>
        <v>View</v>
      </c>
    </row>
    <row r="3623" spans="1:19" ht="20">
      <c r="A3623" s="8">
        <v>43341.871238425927</v>
      </c>
      <c r="B3623" s="11" t="str">
        <f>HYPERLINK("https://twitter.com/milad_cervantes","@milad_cervantes")</f>
        <v>@milad_cervantes</v>
      </c>
      <c r="C3623" s="6" t="s">
        <v>7376</v>
      </c>
      <c r="D3623" s="5" t="s">
        <v>7375</v>
      </c>
      <c r="E3623" s="9" t="str">
        <f>HYPERLINK("https://twitter.com/milad_cervantes/status/1034839239639220225","1034839239639220225")</f>
        <v>1034839239639220225</v>
      </c>
      <c r="F3623" s="4"/>
      <c r="G3623" s="4"/>
      <c r="H3623" s="4"/>
      <c r="I3623" s="10" t="str">
        <f>HYPERLINK("http://twitter.com/download/android","Twitter for Android")</f>
        <v>Twitter for Android</v>
      </c>
      <c r="J3623" s="2">
        <v>104</v>
      </c>
      <c r="K3623" s="2">
        <v>81</v>
      </c>
      <c r="L3623" s="2">
        <v>0</v>
      </c>
      <c r="M3623" s="2"/>
      <c r="N3623" s="8">
        <v>42748.533125000002</v>
      </c>
      <c r="O3623" s="4"/>
      <c r="P3623" s="3" t="s">
        <v>7374</v>
      </c>
      <c r="Q3623" s="4"/>
      <c r="R3623" s="4"/>
      <c r="S3623" s="9" t="str">
        <f>HYPERLINK("https://pbs.twimg.com/profile_images/971804356180922368/zR50ExUe.jpg","View")</f>
        <v>View</v>
      </c>
    </row>
    <row r="3624" spans="1:19" ht="40">
      <c r="A3624" s="8">
        <v>43341.870462962965</v>
      </c>
      <c r="B3624" s="11" t="str">
        <f>HYPERLINK("https://twitter.com/hussein_Moradi","@hussein_Moradi")</f>
        <v>@hussein_Moradi</v>
      </c>
      <c r="C3624" s="6" t="s">
        <v>361</v>
      </c>
      <c r="D3624" s="5" t="s">
        <v>7373</v>
      </c>
      <c r="E3624" s="9" t="str">
        <f>HYPERLINK("https://twitter.com/hussein_Moradi/status/1034838958503587840","1034838958503587840")</f>
        <v>1034838958503587840</v>
      </c>
      <c r="F3624" s="4"/>
      <c r="G3624" s="4"/>
      <c r="H3624" s="4"/>
      <c r="I3624" s="10" t="str">
        <f>HYPERLINK("http://twitter.com/download/iphone","Twitter for iPhone")</f>
        <v>Twitter for iPhone</v>
      </c>
      <c r="J3624" s="2">
        <v>438</v>
      </c>
      <c r="K3624" s="2">
        <v>410</v>
      </c>
      <c r="L3624" s="2">
        <v>0</v>
      </c>
      <c r="M3624" s="2"/>
      <c r="N3624" s="8">
        <v>43131.863796296297</v>
      </c>
      <c r="O3624" s="4" t="s">
        <v>34</v>
      </c>
      <c r="P3624" s="3" t="s">
        <v>359</v>
      </c>
      <c r="Q3624" s="4"/>
      <c r="R3624" s="4"/>
      <c r="S3624" s="9" t="str">
        <f>HYPERLINK("https://pbs.twimg.com/profile_images/1032227000902184961/6sakncVx.jpg","View")</f>
        <v>View</v>
      </c>
    </row>
    <row r="3625" spans="1:19" ht="40">
      <c r="A3625" s="8">
        <v>43341.86991898148</v>
      </c>
      <c r="B3625" s="11" t="str">
        <f>HYPERLINK("https://twitter.com/a_amini80","@a_amini80")</f>
        <v>@a_amini80</v>
      </c>
      <c r="C3625" s="6" t="s">
        <v>7372</v>
      </c>
      <c r="D3625" s="5" t="s">
        <v>7371</v>
      </c>
      <c r="E3625" s="9" t="str">
        <f>HYPERLINK("https://twitter.com/a_amini80/status/1034838758800150531","1034838758800150531")</f>
        <v>1034838758800150531</v>
      </c>
      <c r="F3625" s="4"/>
      <c r="G3625" s="4"/>
      <c r="H3625" s="4"/>
      <c r="I3625" s="10" t="str">
        <f>HYPERLINK("http://twitter.com/download/iphone","Twitter for iPhone")</f>
        <v>Twitter for iPhone</v>
      </c>
      <c r="J3625" s="2">
        <v>18</v>
      </c>
      <c r="K3625" s="2">
        <v>30</v>
      </c>
      <c r="L3625" s="2">
        <v>0</v>
      </c>
      <c r="M3625" s="2"/>
      <c r="N3625" s="8">
        <v>40477.641921296294</v>
      </c>
      <c r="O3625" s="4"/>
      <c r="P3625" s="3"/>
      <c r="Q3625" s="4"/>
      <c r="R3625" s="4"/>
      <c r="S3625" s="9" t="str">
        <f>HYPERLINK("https://pbs.twimg.com/profile_images/891498917292068864/Fcwb1jwB.jpg","View")</f>
        <v>View</v>
      </c>
    </row>
    <row r="3626" spans="1:19" ht="20">
      <c r="A3626" s="8">
        <v>43341.868113425924</v>
      </c>
      <c r="B3626" s="11" t="str">
        <f>HYPERLINK("https://twitter.com/RouhaniMeter","@RouhaniMeter")</f>
        <v>@RouhaniMeter</v>
      </c>
      <c r="C3626" s="6" t="s">
        <v>3172</v>
      </c>
      <c r="D3626" s="5" t="s">
        <v>7370</v>
      </c>
      <c r="E3626" s="9" t="str">
        <f>HYPERLINK("https://twitter.com/RouhaniMeter/status/1034838106434953216","1034838106434953216")</f>
        <v>1034838106434953216</v>
      </c>
      <c r="F3626" s="10" t="s">
        <v>7369</v>
      </c>
      <c r="G3626" s="10" t="s">
        <v>7368</v>
      </c>
      <c r="H3626" s="4"/>
      <c r="I3626" s="10" t="str">
        <f>HYPERLINK("https://coschedule.com","CoSchedule")</f>
        <v>CoSchedule</v>
      </c>
      <c r="J3626" s="2">
        <v>5550</v>
      </c>
      <c r="K3626" s="2">
        <v>229</v>
      </c>
      <c r="L3626" s="2">
        <v>49</v>
      </c>
      <c r="M3626" s="2"/>
      <c r="N3626" s="8">
        <v>41443.730347222227</v>
      </c>
      <c r="O3626" s="4"/>
      <c r="P3626" s="3" t="s">
        <v>3168</v>
      </c>
      <c r="Q3626" s="10" t="s">
        <v>3167</v>
      </c>
      <c r="R3626" s="4"/>
      <c r="S3626" s="9" t="str">
        <f>HYPERLINK("https://pbs.twimg.com/profile_images/675451482406150144/8X7mV4Al.jpg","View")</f>
        <v>View</v>
      </c>
    </row>
    <row r="3627" spans="1:19" ht="40">
      <c r="A3627" s="8">
        <v>43341.866574074069</v>
      </c>
      <c r="B3627" s="11" t="str">
        <f>HYPERLINK("https://twitter.com/SaeedAganji","@SaeedAganji")</f>
        <v>@SaeedAganji</v>
      </c>
      <c r="C3627" s="6" t="s">
        <v>1288</v>
      </c>
      <c r="D3627" s="5" t="s">
        <v>7367</v>
      </c>
      <c r="E3627" s="9" t="str">
        <f>HYPERLINK("https://twitter.com/SaeedAganji/status/1034837547732688897","1034837547732688897")</f>
        <v>1034837547732688897</v>
      </c>
      <c r="F3627" s="4"/>
      <c r="G3627" s="4"/>
      <c r="H3627" s="4"/>
      <c r="I3627" s="10" t="str">
        <f>HYPERLINK("http://twitter.com/download/android","Twitter for Android")</f>
        <v>Twitter for Android</v>
      </c>
      <c r="J3627" s="2">
        <v>825</v>
      </c>
      <c r="K3627" s="2">
        <v>919</v>
      </c>
      <c r="L3627" s="2">
        <v>8</v>
      </c>
      <c r="M3627" s="2"/>
      <c r="N3627" s="8">
        <v>40720.87877314815</v>
      </c>
      <c r="O3627" s="4" t="s">
        <v>1286</v>
      </c>
      <c r="P3627" s="3" t="s">
        <v>1285</v>
      </c>
      <c r="Q3627" s="4"/>
      <c r="R3627" s="4"/>
      <c r="S3627" s="9" t="str">
        <f>HYPERLINK("https://pbs.twimg.com/profile_images/807996199760490497/b10LUFfD.jpg","View")</f>
        <v>View</v>
      </c>
    </row>
    <row r="3628" spans="1:19" ht="40">
      <c r="A3628" s="8">
        <v>43341.864351851851</v>
      </c>
      <c r="B3628" s="11" t="str">
        <f>HYPERLINK("https://twitter.com/FarhadMohseni5","@FarhadMohseni5")</f>
        <v>@FarhadMohseni5</v>
      </c>
      <c r="C3628" s="6" t="s">
        <v>7366</v>
      </c>
      <c r="D3628" s="5" t="s">
        <v>7365</v>
      </c>
      <c r="E3628" s="9" t="str">
        <f>HYPERLINK("https://twitter.com/FarhadMohseni5/status/1034836744808660992","1034836744808660992")</f>
        <v>1034836744808660992</v>
      </c>
      <c r="F3628" s="4"/>
      <c r="G3628" s="4"/>
      <c r="H3628" s="4"/>
      <c r="I3628" s="10" t="str">
        <f>HYPERLINK("http://twitter.com/download/android","Twitter for Android")</f>
        <v>Twitter for Android</v>
      </c>
      <c r="J3628" s="2">
        <v>4390</v>
      </c>
      <c r="K3628" s="2">
        <v>5142</v>
      </c>
      <c r="L3628" s="2">
        <v>7</v>
      </c>
      <c r="M3628" s="2"/>
      <c r="N3628" s="8">
        <v>43104.667812500003</v>
      </c>
      <c r="O3628" s="4" t="s">
        <v>34</v>
      </c>
      <c r="P3628" s="3" t="s">
        <v>7364</v>
      </c>
      <c r="Q3628" s="4"/>
      <c r="R3628" s="4"/>
      <c r="S3628" s="9" t="str">
        <f>HYPERLINK("https://pbs.twimg.com/profile_images/1029748622953463808/_OIKm7hZ.jpg","View")</f>
        <v>View</v>
      </c>
    </row>
    <row r="3629" spans="1:19" ht="30">
      <c r="A3629" s="8">
        <v>43341.864120370374</v>
      </c>
      <c r="B3629" s="11" t="str">
        <f>HYPERLINK("https://twitter.com/rmoshiry","@rmoshiry")</f>
        <v>@rmoshiry</v>
      </c>
      <c r="C3629" s="6" t="s">
        <v>7363</v>
      </c>
      <c r="D3629" s="5" t="s">
        <v>7362</v>
      </c>
      <c r="E3629" s="9" t="str">
        <f>HYPERLINK("https://twitter.com/rmoshiry/status/1034836658208866309","1034836658208866309")</f>
        <v>1034836658208866309</v>
      </c>
      <c r="F3629" s="4"/>
      <c r="G3629" s="4"/>
      <c r="H3629" s="4"/>
      <c r="I3629" s="10" t="str">
        <f>HYPERLINK("http://twitter.com/download/iphone","Twitter for iPhone")</f>
        <v>Twitter for iPhone</v>
      </c>
      <c r="J3629" s="2">
        <v>164</v>
      </c>
      <c r="K3629" s="2">
        <v>226</v>
      </c>
      <c r="L3629" s="2">
        <v>1</v>
      </c>
      <c r="M3629" s="2"/>
      <c r="N3629" s="8">
        <v>41235.574074074073</v>
      </c>
      <c r="O3629" s="4" t="s">
        <v>3191</v>
      </c>
      <c r="P3629" s="3" t="s">
        <v>7361</v>
      </c>
      <c r="Q3629" s="4"/>
      <c r="R3629" s="4"/>
      <c r="S3629" s="9" t="str">
        <f>HYPERLINK("https://pbs.twimg.com/profile_images/1023907658418536448/azgsRZWl.jpg","View")</f>
        <v>View</v>
      </c>
    </row>
    <row r="3630" spans="1:19" ht="20">
      <c r="A3630" s="8">
        <v>43341.863483796296</v>
      </c>
      <c r="B3630" s="11" t="str">
        <f>HYPERLINK("https://twitter.com/SharryMo","@SharryMo")</f>
        <v>@SharryMo</v>
      </c>
      <c r="C3630" s="6" t="s">
        <v>7360</v>
      </c>
      <c r="D3630" s="5" t="s">
        <v>7359</v>
      </c>
      <c r="E3630" s="9" t="str">
        <f>HYPERLINK("https://twitter.com/SharryMo/status/1034836428956397570","1034836428956397570")</f>
        <v>1034836428956397570</v>
      </c>
      <c r="F3630" s="4"/>
      <c r="G3630" s="4"/>
      <c r="H3630" s="4"/>
      <c r="I3630" s="10" t="str">
        <f>HYPERLINK("http://twitter.com/download/iphone","Twitter for iPhone")</f>
        <v>Twitter for iPhone</v>
      </c>
      <c r="J3630" s="2">
        <v>1288</v>
      </c>
      <c r="K3630" s="2">
        <v>821</v>
      </c>
      <c r="L3630" s="2">
        <v>1</v>
      </c>
      <c r="M3630" s="2"/>
      <c r="N3630" s="8">
        <v>42281.897361111114</v>
      </c>
      <c r="O3630" s="4" t="s">
        <v>7358</v>
      </c>
      <c r="P3630" s="3" t="s">
        <v>7357</v>
      </c>
      <c r="Q3630" s="4"/>
      <c r="R3630" s="4"/>
      <c r="S3630" s="9" t="str">
        <f>HYPERLINK("https://pbs.twimg.com/profile_images/1013927785390211073/23TvoDcy.jpg","View")</f>
        <v>View</v>
      </c>
    </row>
    <row r="3631" spans="1:19" ht="12.5">
      <c r="A3631" s="8">
        <v>43341.861087962963</v>
      </c>
      <c r="B3631" s="11" t="str">
        <f>HYPERLINK("https://twitter.com/shamseighth","@shamseighth")</f>
        <v>@shamseighth</v>
      </c>
      <c r="C3631" s="6" t="s">
        <v>6842</v>
      </c>
      <c r="D3631" s="5" t="s">
        <v>7356</v>
      </c>
      <c r="E3631" s="9" t="str">
        <f>HYPERLINK("https://twitter.com/shamseighth/status/1034835561641639937","1034835561641639937")</f>
        <v>1034835561641639937</v>
      </c>
      <c r="F3631" s="10" t="s">
        <v>7355</v>
      </c>
      <c r="G3631" s="4"/>
      <c r="H3631" s="4"/>
      <c r="I3631" s="10" t="str">
        <f>HYPERLINK("http://twitter.com/download/android","Twitter for Android")</f>
        <v>Twitter for Android</v>
      </c>
      <c r="J3631" s="2">
        <v>4335</v>
      </c>
      <c r="K3631" s="2">
        <v>4624</v>
      </c>
      <c r="L3631" s="2">
        <v>14</v>
      </c>
      <c r="M3631" s="2"/>
      <c r="N3631" s="8">
        <v>42872.903148148151</v>
      </c>
      <c r="O3631" s="4"/>
      <c r="P3631" s="3" t="s">
        <v>6840</v>
      </c>
      <c r="Q3631" s="4"/>
      <c r="R3631" s="4"/>
      <c r="S3631" s="9" t="str">
        <f>HYPERLINK("https://pbs.twimg.com/profile_images/964229894216458240/mWnarH4i.jpg","View")</f>
        <v>View</v>
      </c>
    </row>
    <row r="3632" spans="1:19" ht="30">
      <c r="A3632" s="8">
        <v>43341.860243055555</v>
      </c>
      <c r="B3632" s="11" t="str">
        <f>HYPERLINK("https://twitter.com/y51NYjZYZMqympJ","@y51NYjZYZMqympJ")</f>
        <v>@y51NYjZYZMqympJ</v>
      </c>
      <c r="C3632" s="6" t="s">
        <v>2307</v>
      </c>
      <c r="D3632" s="5" t="s">
        <v>7354</v>
      </c>
      <c r="E3632" s="9" t="str">
        <f>HYPERLINK("https://twitter.com/y51NYjZYZMqympJ/status/1034835255188844549","1034835255188844549")</f>
        <v>1034835255188844549</v>
      </c>
      <c r="F3632" s="4"/>
      <c r="G3632" s="4"/>
      <c r="H3632" s="4"/>
      <c r="I3632" s="10" t="str">
        <f>HYPERLINK("http://twitter.com/download/iphone","Twitter for iPhone")</f>
        <v>Twitter for iPhone</v>
      </c>
      <c r="J3632" s="2">
        <v>2011</v>
      </c>
      <c r="K3632" s="2">
        <v>2257</v>
      </c>
      <c r="L3632" s="2">
        <v>0</v>
      </c>
      <c r="M3632" s="2"/>
      <c r="N3632" s="8">
        <v>43224.33393518519</v>
      </c>
      <c r="O3632" s="4"/>
      <c r="P3632" s="3" t="s">
        <v>2305</v>
      </c>
      <c r="Q3632" s="4"/>
      <c r="R3632" s="4"/>
      <c r="S3632" s="9" t="str">
        <f>HYPERLINK("https://pbs.twimg.com/profile_images/1007676908077658112/e4wgReq9.jpg","View")</f>
        <v>View</v>
      </c>
    </row>
    <row r="3633" spans="1:19" ht="20">
      <c r="A3633" s="8">
        <v>43341.858043981483</v>
      </c>
      <c r="B3633" s="11" t="str">
        <f>HYPERLINK("https://twitter.com/mohtashamiali","@mohtashamiali")</f>
        <v>@mohtashamiali</v>
      </c>
      <c r="C3633" s="6" t="s">
        <v>7353</v>
      </c>
      <c r="D3633" s="5" t="s">
        <v>7352</v>
      </c>
      <c r="E3633" s="9" t="str">
        <f>HYPERLINK("https://twitter.com/mohtashamiali/status/1034834456522178560","1034834456522178560")</f>
        <v>1034834456522178560</v>
      </c>
      <c r="F3633" s="4"/>
      <c r="G3633" s="4"/>
      <c r="H3633" s="4"/>
      <c r="I3633" s="10" t="str">
        <f>HYPERLINK("http://twitter.com/download/android","Twitter for Android")</f>
        <v>Twitter for Android</v>
      </c>
      <c r="J3633" s="2">
        <v>88</v>
      </c>
      <c r="K3633" s="2">
        <v>328</v>
      </c>
      <c r="L3633" s="2">
        <v>0</v>
      </c>
      <c r="M3633" s="2"/>
      <c r="N3633" s="8">
        <v>41009.426215277781</v>
      </c>
      <c r="O3633" s="4" t="s">
        <v>17</v>
      </c>
      <c r="P3633" s="3" t="s">
        <v>7351</v>
      </c>
      <c r="Q3633" s="4"/>
      <c r="R3633" s="4"/>
      <c r="S3633" s="9" t="str">
        <f>HYPERLINK("https://pbs.twimg.com/profile_images/1034659948733640704/K5xyZzEd.jpg","View")</f>
        <v>View</v>
      </c>
    </row>
    <row r="3634" spans="1:19" ht="20">
      <c r="A3634" s="8">
        <v>43341.85533564815</v>
      </c>
      <c r="B3634" s="11" t="str">
        <f>HYPERLINK("https://twitter.com/y51NYjZYZMqympJ","@y51NYjZYZMqympJ")</f>
        <v>@y51NYjZYZMqympJ</v>
      </c>
      <c r="C3634" s="6" t="s">
        <v>2307</v>
      </c>
      <c r="D3634" s="5" t="s">
        <v>7350</v>
      </c>
      <c r="E3634" s="9" t="str">
        <f>HYPERLINK("https://twitter.com/y51NYjZYZMqympJ/status/1034833475906334720","1034833475906334720")</f>
        <v>1034833475906334720</v>
      </c>
      <c r="F3634" s="4"/>
      <c r="G3634" s="4"/>
      <c r="H3634" s="4"/>
      <c r="I3634" s="10" t="str">
        <f>HYPERLINK("http://twitter.com/download/iphone","Twitter for iPhone")</f>
        <v>Twitter for iPhone</v>
      </c>
      <c r="J3634" s="2">
        <v>2011</v>
      </c>
      <c r="K3634" s="2">
        <v>2257</v>
      </c>
      <c r="L3634" s="2">
        <v>0</v>
      </c>
      <c r="M3634" s="2"/>
      <c r="N3634" s="8">
        <v>43224.33393518519</v>
      </c>
      <c r="O3634" s="4"/>
      <c r="P3634" s="3" t="s">
        <v>2305</v>
      </c>
      <c r="Q3634" s="4"/>
      <c r="R3634" s="4"/>
      <c r="S3634" s="9" t="str">
        <f>HYPERLINK("https://pbs.twimg.com/profile_images/1007676908077658112/e4wgReq9.jpg","View")</f>
        <v>View</v>
      </c>
    </row>
    <row r="3635" spans="1:19" ht="20">
      <c r="A3635" s="8">
        <v>43341.854363425926</v>
      </c>
      <c r="B3635" s="11" t="str">
        <f>HYPERLINK("https://twitter.com/aliasadi0013","@aliasadi0013")</f>
        <v>@aliasadi0013</v>
      </c>
      <c r="C3635" s="6" t="s">
        <v>7040</v>
      </c>
      <c r="D3635" s="5" t="s">
        <v>7349</v>
      </c>
      <c r="E3635" s="9" t="str">
        <f>HYPERLINK("https://twitter.com/aliasadi0013/status/1034833123714977798","1034833123714977798")</f>
        <v>1034833123714977798</v>
      </c>
      <c r="F3635" s="4"/>
      <c r="G3635" s="10" t="s">
        <v>7348</v>
      </c>
      <c r="H3635" s="4"/>
      <c r="I3635" s="10" t="str">
        <f>HYPERLINK("http://twitter.com/download/android","Twitter for Android")</f>
        <v>Twitter for Android</v>
      </c>
      <c r="J3635" s="2">
        <v>234</v>
      </c>
      <c r="K3635" s="2">
        <v>196</v>
      </c>
      <c r="L3635" s="2">
        <v>1</v>
      </c>
      <c r="M3635" s="2"/>
      <c r="N3635" s="8">
        <v>42799.711562500001</v>
      </c>
      <c r="O3635" s="4" t="s">
        <v>324</v>
      </c>
      <c r="P3635" s="3" t="s">
        <v>7347</v>
      </c>
      <c r="Q3635" s="4"/>
      <c r="R3635" s="4"/>
      <c r="S3635" s="9" t="str">
        <f>HYPERLINK("https://pbs.twimg.com/profile_images/1025460334029623296/Ij77heGF.jpg","View")</f>
        <v>View</v>
      </c>
    </row>
    <row r="3636" spans="1:19" ht="30">
      <c r="A3636" s="8">
        <v>43341.853865740741</v>
      </c>
      <c r="B3636" s="11" t="str">
        <f>HYPERLINK("https://twitter.com/EhsanMzdi","@EhsanMzdi")</f>
        <v>@EhsanMzdi</v>
      </c>
      <c r="C3636" s="6" t="s">
        <v>4498</v>
      </c>
      <c r="D3636" s="5" t="s">
        <v>7346</v>
      </c>
      <c r="E3636" s="9" t="str">
        <f>HYPERLINK("https://twitter.com/EhsanMzdi/status/1034832943846436865","1034832943846436865")</f>
        <v>1034832943846436865</v>
      </c>
      <c r="F3636" s="4"/>
      <c r="G3636" s="4"/>
      <c r="H3636" s="4"/>
      <c r="I3636" s="10" t="str">
        <f>HYPERLINK("http://twitter.com/download/android","Twitter for Android")</f>
        <v>Twitter for Android</v>
      </c>
      <c r="J3636" s="2">
        <v>2</v>
      </c>
      <c r="K3636" s="2">
        <v>27</v>
      </c>
      <c r="L3636" s="2">
        <v>0</v>
      </c>
      <c r="M3636" s="2"/>
      <c r="N3636" s="8">
        <v>43323.430821759262</v>
      </c>
      <c r="O3636" s="4" t="s">
        <v>25</v>
      </c>
      <c r="P3636" s="3" t="s">
        <v>5395</v>
      </c>
      <c r="Q3636" s="4"/>
      <c r="R3636" s="4"/>
      <c r="S3636" s="9" t="str">
        <f>HYPERLINK("https://pbs.twimg.com/profile_images/1033941152507064322/rnbeRUU4.jpg","View")</f>
        <v>View</v>
      </c>
    </row>
    <row r="3637" spans="1:19" ht="30">
      <c r="A3637" s="8">
        <v>43341.8512037037</v>
      </c>
      <c r="B3637" s="11" t="str">
        <f>HYPERLINK("https://twitter.com/ManotoNews","@ManotoNews")</f>
        <v>@ManotoNews</v>
      </c>
      <c r="C3637" s="6" t="s">
        <v>1174</v>
      </c>
      <c r="D3637" s="5" t="s">
        <v>7345</v>
      </c>
      <c r="E3637" s="9" t="str">
        <f>HYPERLINK("https://twitter.com/ManotoNews/status/1034831977273278464","1034831977273278464")</f>
        <v>1034831977273278464</v>
      </c>
      <c r="F3637" s="4"/>
      <c r="G3637" s="10" t="s">
        <v>7344</v>
      </c>
      <c r="H3637" s="4"/>
      <c r="I3637" s="10" t="str">
        <f>HYPERLINK("http://www.socialflow.com","SocialFlow")</f>
        <v>SocialFlow</v>
      </c>
      <c r="J3637" s="2">
        <v>446947</v>
      </c>
      <c r="K3637" s="2">
        <v>17</v>
      </c>
      <c r="L3637" s="2">
        <v>614</v>
      </c>
      <c r="M3637" s="2" t="s">
        <v>80</v>
      </c>
      <c r="N3637" s="8">
        <v>40859.711631944447</v>
      </c>
      <c r="O3637" s="4" t="s">
        <v>460</v>
      </c>
      <c r="P3637" s="3" t="s">
        <v>1171</v>
      </c>
      <c r="Q3637" s="10" t="s">
        <v>1170</v>
      </c>
      <c r="R3637" s="4"/>
      <c r="S3637" s="9" t="str">
        <f>HYPERLINK("https://pbs.twimg.com/profile_images/976899507744051201/07FIeivp.jpg","View")</f>
        <v>View</v>
      </c>
    </row>
    <row r="3638" spans="1:19" ht="90">
      <c r="A3638" s="8">
        <v>43341.851168981477</v>
      </c>
      <c r="B3638" s="11" t="str">
        <f>HYPERLINK("https://twitter.com/KianpourAlireza","@KianpourAlireza")</f>
        <v>@KianpourAlireza</v>
      </c>
      <c r="C3638" s="6" t="s">
        <v>7343</v>
      </c>
      <c r="D3638" s="5" t="s">
        <v>7342</v>
      </c>
      <c r="E3638" s="9" t="str">
        <f>HYPERLINK("https://twitter.com/KianpourAlireza/status/1034831963495051266","1034831963495051266")</f>
        <v>1034831963495051266</v>
      </c>
      <c r="F3638" s="10" t="s">
        <v>7341</v>
      </c>
      <c r="G3638" s="10" t="s">
        <v>7340</v>
      </c>
      <c r="H3638" s="4"/>
      <c r="I3638" s="10" t="str">
        <f>HYPERLINK("http://twitter.com","Twitter Web Client")</f>
        <v>Twitter Web Client</v>
      </c>
      <c r="J3638" s="2">
        <v>8806</v>
      </c>
      <c r="K3638" s="2">
        <v>1180</v>
      </c>
      <c r="L3638" s="2">
        <v>44</v>
      </c>
      <c r="M3638" s="2"/>
      <c r="N3638" s="8">
        <v>42200.033715277779</v>
      </c>
      <c r="O3638" s="4" t="s">
        <v>133</v>
      </c>
      <c r="P3638" s="3" t="s">
        <v>7339</v>
      </c>
      <c r="Q3638" s="10" t="s">
        <v>7338</v>
      </c>
      <c r="R3638" s="4"/>
      <c r="S3638" s="9" t="str">
        <f>HYPERLINK("https://pbs.twimg.com/profile_images/921850258757431296/8DcEogQz.jpg","View")</f>
        <v>View</v>
      </c>
    </row>
    <row r="3639" spans="1:19" ht="40">
      <c r="A3639" s="8">
        <v>43341.850370370375</v>
      </c>
      <c r="B3639" s="11" t="str">
        <f>HYPERLINK("https://twitter.com/sadaf0499","@sadaf0499")</f>
        <v>@sadaf0499</v>
      </c>
      <c r="C3639" s="6" t="s">
        <v>7337</v>
      </c>
      <c r="D3639" s="5" t="s">
        <v>7336</v>
      </c>
      <c r="E3639" s="9" t="str">
        <f>HYPERLINK("https://twitter.com/sadaf0499/status/1034831676931600386","1034831676931600386")</f>
        <v>1034831676931600386</v>
      </c>
      <c r="F3639" s="4"/>
      <c r="G3639" s="4"/>
      <c r="H3639" s="4"/>
      <c r="I3639" s="10" t="str">
        <f>HYPERLINK("http://twitter.com/download/iphone","Twitter for iPhone")</f>
        <v>Twitter for iPhone</v>
      </c>
      <c r="J3639" s="2">
        <v>2200</v>
      </c>
      <c r="K3639" s="2">
        <v>1371</v>
      </c>
      <c r="L3639" s="2">
        <v>3</v>
      </c>
      <c r="M3639" s="2"/>
      <c r="N3639" s="8">
        <v>43111.887986111113</v>
      </c>
      <c r="O3639" s="4" t="s">
        <v>7335</v>
      </c>
      <c r="P3639" s="3" t="s">
        <v>7334</v>
      </c>
      <c r="Q3639" s="4"/>
      <c r="R3639" s="4"/>
      <c r="S3639" s="9" t="str">
        <f>HYPERLINK("https://pbs.twimg.com/profile_images/1026184055572901889/jPzek_ov.jpg","View")</f>
        <v>View</v>
      </c>
    </row>
    <row r="3640" spans="1:19" ht="40">
      <c r="A3640" s="8">
        <v>43341.850104166668</v>
      </c>
      <c r="B3640" s="11" t="str">
        <f>HYPERLINK("https://twitter.com/MandanaParsiN","@MandanaParsiN")</f>
        <v>@MandanaParsiN</v>
      </c>
      <c r="C3640" s="6" t="s">
        <v>7333</v>
      </c>
      <c r="D3640" s="5" t="s">
        <v>7332</v>
      </c>
      <c r="E3640" s="9" t="str">
        <f>HYPERLINK("https://twitter.com/MandanaParsiN/status/1034831579397451776","1034831579397451776")</f>
        <v>1034831579397451776</v>
      </c>
      <c r="F3640" s="4"/>
      <c r="G3640" s="4"/>
      <c r="H3640" s="4"/>
      <c r="I3640" s="10" t="str">
        <f>HYPERLINK("http://twitter.com/download/android","Twitter for Android")</f>
        <v>Twitter for Android</v>
      </c>
      <c r="J3640" s="2">
        <v>112</v>
      </c>
      <c r="K3640" s="2">
        <v>43</v>
      </c>
      <c r="L3640" s="2">
        <v>0</v>
      </c>
      <c r="M3640" s="2"/>
      <c r="N3640" s="8">
        <v>42703.782442129625</v>
      </c>
      <c r="O3640" s="4"/>
      <c r="P3640" s="3"/>
      <c r="Q3640" s="4"/>
      <c r="R3640" s="4"/>
      <c r="S3640" s="9" t="str">
        <f>HYPERLINK("https://pbs.twimg.com/profile_images/984568332685787136/mp6kNTQV.jpg","View")</f>
        <v>View</v>
      </c>
    </row>
    <row r="3641" spans="1:19" ht="20">
      <c r="A3641" s="8">
        <v>43341.849444444444</v>
      </c>
      <c r="B3641" s="11" t="str">
        <f>HYPERLINK("https://twitter.com/vahidviator","@vahidviator")</f>
        <v>@vahidviator</v>
      </c>
      <c r="C3641" s="6" t="s">
        <v>7331</v>
      </c>
      <c r="D3641" s="5" t="s">
        <v>7330</v>
      </c>
      <c r="E3641" s="9" t="str">
        <f>HYPERLINK("https://twitter.com/vahidviator/status/1034831340938715136","1034831340938715136")</f>
        <v>1034831340938715136</v>
      </c>
      <c r="F3641" s="4"/>
      <c r="G3641" s="10" t="s">
        <v>7329</v>
      </c>
      <c r="H3641" s="4"/>
      <c r="I3641" s="10" t="str">
        <f>HYPERLINK("http://twitter.com/download/iphone","Twitter for iPhone")</f>
        <v>Twitter for iPhone</v>
      </c>
      <c r="J3641" s="2">
        <v>6</v>
      </c>
      <c r="K3641" s="2">
        <v>12</v>
      </c>
      <c r="L3641" s="2">
        <v>0</v>
      </c>
      <c r="M3641" s="2"/>
      <c r="N3641" s="8">
        <v>43181.914131944446</v>
      </c>
      <c r="O3641" s="4" t="s">
        <v>7328</v>
      </c>
      <c r="P3641" s="3" t="s">
        <v>7327</v>
      </c>
      <c r="Q3641" s="10" t="s">
        <v>7326</v>
      </c>
      <c r="R3641" s="4"/>
      <c r="S3641" s="9" t="str">
        <f>HYPERLINK("https://pbs.twimg.com/profile_images/1024653528776814595/reBcODts.jpg","View")</f>
        <v>View</v>
      </c>
    </row>
    <row r="3642" spans="1:19" ht="40">
      <c r="A3642" s="8">
        <v>43341.848622685182</v>
      </c>
      <c r="B3642" s="11" t="str">
        <f>HYPERLINK("https://twitter.com/daneshjoo_12","@daneshjoo_12")</f>
        <v>@daneshjoo_12</v>
      </c>
      <c r="C3642" s="6" t="s">
        <v>7151</v>
      </c>
      <c r="D3642" s="5" t="s">
        <v>7325</v>
      </c>
      <c r="E3642" s="9" t="str">
        <f>HYPERLINK("https://twitter.com/daneshjoo_12/status/1034831043575144460","1034831043575144460")</f>
        <v>1034831043575144460</v>
      </c>
      <c r="F3642" s="4"/>
      <c r="G3642" s="4"/>
      <c r="H3642" s="4"/>
      <c r="I3642" s="10" t="str">
        <f>HYPERLINK("http://twitter.com/download/android","Twitter for Android")</f>
        <v>Twitter for Android</v>
      </c>
      <c r="J3642" s="2">
        <v>4754</v>
      </c>
      <c r="K3642" s="2">
        <v>5028</v>
      </c>
      <c r="L3642" s="2">
        <v>13</v>
      </c>
      <c r="M3642" s="2"/>
      <c r="N3642" s="8">
        <v>42818.541597222225</v>
      </c>
      <c r="O3642" s="4" t="s">
        <v>25</v>
      </c>
      <c r="P3642" s="3" t="s">
        <v>7148</v>
      </c>
      <c r="Q3642" s="4"/>
      <c r="R3642" s="4"/>
      <c r="S3642" s="9" t="str">
        <f>HYPERLINK("https://pbs.twimg.com/profile_images/983351378889379840/7aRHDbVY.jpg","View")</f>
        <v>View</v>
      </c>
    </row>
    <row r="3643" spans="1:19" ht="40">
      <c r="A3643" s="8">
        <v>43341.846504629633</v>
      </c>
      <c r="B3643" s="11" t="str">
        <f>HYPERLINK("https://twitter.com/mike_tehranii","@mike_tehranii")</f>
        <v>@mike_tehranii</v>
      </c>
      <c r="C3643" s="6" t="s">
        <v>7324</v>
      </c>
      <c r="D3643" s="5" t="s">
        <v>7323</v>
      </c>
      <c r="E3643" s="9" t="str">
        <f>HYPERLINK("https://twitter.com/mike_tehranii/status/1034830273849044992","1034830273849044992")</f>
        <v>1034830273849044992</v>
      </c>
      <c r="F3643" s="4"/>
      <c r="G3643" s="4"/>
      <c r="H3643" s="4"/>
      <c r="I3643" s="10" t="str">
        <f>HYPERLINK("http://twitter.com/download/iphone","Twitter for iPhone")</f>
        <v>Twitter for iPhone</v>
      </c>
      <c r="J3643" s="2">
        <v>193</v>
      </c>
      <c r="K3643" s="2">
        <v>121</v>
      </c>
      <c r="L3643" s="2">
        <v>1</v>
      </c>
      <c r="M3643" s="2"/>
      <c r="N3643" s="8">
        <v>42783.795532407406</v>
      </c>
      <c r="O3643" s="4"/>
      <c r="P3643" s="3"/>
      <c r="Q3643" s="4"/>
      <c r="R3643" s="4"/>
      <c r="S3643" s="9" t="str">
        <f>HYPERLINK("https://pbs.twimg.com/profile_images/985966686024200193/9t8Rgnq3.jpg","View")</f>
        <v>View</v>
      </c>
    </row>
    <row r="3644" spans="1:19" ht="12.5">
      <c r="A3644" s="8">
        <v>43341.844456018516</v>
      </c>
      <c r="B3644" s="11" t="str">
        <f>HYPERLINK("https://twitter.com/Narges_parsaa","@Narges_parsaa")</f>
        <v>@Narges_parsaa</v>
      </c>
      <c r="C3644" s="6" t="s">
        <v>7322</v>
      </c>
      <c r="D3644" s="5" t="s">
        <v>7321</v>
      </c>
      <c r="E3644" s="9" t="str">
        <f>HYPERLINK("https://twitter.com/Narges_parsaa/status/1034829533273370625","1034829533273370625")</f>
        <v>1034829533273370625</v>
      </c>
      <c r="F3644" s="4"/>
      <c r="G3644" s="10" t="s">
        <v>7320</v>
      </c>
      <c r="H3644" s="4"/>
      <c r="I3644" s="10" t="str">
        <f>HYPERLINK("http://twitter.com/download/android","Twitter for Android")</f>
        <v>Twitter for Android</v>
      </c>
      <c r="J3644" s="2">
        <v>1622</v>
      </c>
      <c r="K3644" s="2">
        <v>2728</v>
      </c>
      <c r="L3644" s="2">
        <v>0</v>
      </c>
      <c r="M3644" s="2"/>
      <c r="N3644" s="8">
        <v>43276.325023148151</v>
      </c>
      <c r="O3644" s="4" t="s">
        <v>34</v>
      </c>
      <c r="P3644" s="3"/>
      <c r="Q3644" s="4"/>
      <c r="R3644" s="4"/>
      <c r="S3644" s="9" t="str">
        <f>HYPERLINK("https://pbs.twimg.com/profile_images/1011132524452564993/CnI6RXC3.jpg","View")</f>
        <v>View</v>
      </c>
    </row>
    <row r="3645" spans="1:19" ht="70">
      <c r="A3645" s="8">
        <v>43341.84438657407</v>
      </c>
      <c r="B3645" s="11" t="str">
        <f>HYPERLINK("https://twitter.com/hassanhomayoni1","@hassanhomayoni1")</f>
        <v>@hassanhomayoni1</v>
      </c>
      <c r="C3645" s="6" t="s">
        <v>7319</v>
      </c>
      <c r="D3645" s="5" t="s">
        <v>7318</v>
      </c>
      <c r="E3645" s="9" t="str">
        <f>HYPERLINK("https://twitter.com/hassanhomayoni1/status/1034829509306900482","1034829509306900482")</f>
        <v>1034829509306900482</v>
      </c>
      <c r="F3645" s="10" t="s">
        <v>7317</v>
      </c>
      <c r="G3645" s="10" t="s">
        <v>7316</v>
      </c>
      <c r="H3645" s="4"/>
      <c r="I3645" s="10" t="str">
        <f>HYPERLINK("http://twitter.com","Twitter Web Client")</f>
        <v>Twitter Web Client</v>
      </c>
      <c r="J3645" s="2">
        <v>956</v>
      </c>
      <c r="K3645" s="2">
        <v>1955</v>
      </c>
      <c r="L3645" s="2">
        <v>7</v>
      </c>
      <c r="M3645" s="2"/>
      <c r="N3645" s="8">
        <v>42495.845810185187</v>
      </c>
      <c r="O3645" s="4"/>
      <c r="P3645" s="3"/>
      <c r="Q3645" s="4"/>
      <c r="R3645" s="4"/>
      <c r="S3645" s="9" t="str">
        <f>HYPERLINK("https://pbs.twimg.com/profile_images/999676051444776960/3pjXYnyW.jpg","View")</f>
        <v>View</v>
      </c>
    </row>
    <row r="3646" spans="1:19" ht="40">
      <c r="A3646" s="8">
        <v>43341.840775462959</v>
      </c>
      <c r="B3646" s="11" t="str">
        <f>HYPERLINK("https://twitter.com/voisfarsi","@voisfarsi")</f>
        <v>@voisfarsi</v>
      </c>
      <c r="C3646" s="6" t="s">
        <v>7314</v>
      </c>
      <c r="D3646" s="5" t="s">
        <v>7315</v>
      </c>
      <c r="E3646" s="9" t="str">
        <f>HYPERLINK("https://twitter.com/voisfarsi/status/1034828197341392897","1034828197341392897")</f>
        <v>1034828197341392897</v>
      </c>
      <c r="F3646" s="4"/>
      <c r="G3646" s="4"/>
      <c r="H3646" s="4"/>
      <c r="I3646" s="10" t="str">
        <f>HYPERLINK("http://twitter.com","Twitter Web Client")</f>
        <v>Twitter Web Client</v>
      </c>
      <c r="J3646" s="2">
        <v>2551</v>
      </c>
      <c r="K3646" s="2">
        <v>245</v>
      </c>
      <c r="L3646" s="2">
        <v>20</v>
      </c>
      <c r="M3646" s="2"/>
      <c r="N3646" s="8">
        <v>43100.632245370369</v>
      </c>
      <c r="O3646" s="4" t="s">
        <v>7312</v>
      </c>
      <c r="P3646" s="3" t="s">
        <v>7311</v>
      </c>
      <c r="Q3646" s="10" t="s">
        <v>7310</v>
      </c>
      <c r="R3646" s="4"/>
      <c r="S3646" s="9" t="str">
        <f>HYPERLINK("https://pbs.twimg.com/profile_images/979016995441205254/08XBTEce.jpg","View")</f>
        <v>View</v>
      </c>
    </row>
    <row r="3647" spans="1:19" ht="20">
      <c r="A3647" s="8">
        <v>43341.83966435185</v>
      </c>
      <c r="B3647" s="11" t="str">
        <f>HYPERLINK("https://twitter.com/voisfarsi","@voisfarsi")</f>
        <v>@voisfarsi</v>
      </c>
      <c r="C3647" s="6" t="s">
        <v>7314</v>
      </c>
      <c r="D3647" s="5" t="s">
        <v>7313</v>
      </c>
      <c r="E3647" s="9" t="str">
        <f>HYPERLINK("https://twitter.com/voisfarsi/status/1034827798291144710","1034827798291144710")</f>
        <v>1034827798291144710</v>
      </c>
      <c r="F3647" s="4"/>
      <c r="G3647" s="4"/>
      <c r="H3647" s="4"/>
      <c r="I3647" s="10" t="str">
        <f>HYPERLINK("http://twitter.com","Twitter Web Client")</f>
        <v>Twitter Web Client</v>
      </c>
      <c r="J3647" s="2">
        <v>2551</v>
      </c>
      <c r="K3647" s="2">
        <v>245</v>
      </c>
      <c r="L3647" s="2">
        <v>20</v>
      </c>
      <c r="M3647" s="2"/>
      <c r="N3647" s="8">
        <v>43100.632245370369</v>
      </c>
      <c r="O3647" s="4" t="s">
        <v>7312</v>
      </c>
      <c r="P3647" s="3" t="s">
        <v>7311</v>
      </c>
      <c r="Q3647" s="10" t="s">
        <v>7310</v>
      </c>
      <c r="R3647" s="4"/>
      <c r="S3647" s="9" t="str">
        <f>HYPERLINK("https://pbs.twimg.com/profile_images/979016995441205254/08XBTEce.jpg","View")</f>
        <v>View</v>
      </c>
    </row>
    <row r="3648" spans="1:19" ht="30">
      <c r="A3648" s="8">
        <v>43341.838923611111</v>
      </c>
      <c r="B3648" s="11" t="str">
        <f>HYPERLINK("https://twitter.com/ASadighha","@ASadighha")</f>
        <v>@ASadighha</v>
      </c>
      <c r="C3648" s="6" t="s">
        <v>7199</v>
      </c>
      <c r="D3648" s="5" t="s">
        <v>7309</v>
      </c>
      <c r="E3648" s="9" t="str">
        <f>HYPERLINK("https://twitter.com/ASadighha/status/1034827526281916416","1034827526281916416")</f>
        <v>1034827526281916416</v>
      </c>
      <c r="F3648" s="4"/>
      <c r="G3648" s="4"/>
      <c r="H3648" s="4"/>
      <c r="I3648" s="10" t="str">
        <f>HYPERLINK("http://twitter.com/download/iphone","Twitter for iPhone")</f>
        <v>Twitter for iPhone</v>
      </c>
      <c r="J3648" s="2">
        <v>4</v>
      </c>
      <c r="K3648" s="2">
        <v>31</v>
      </c>
      <c r="L3648" s="2">
        <v>0</v>
      </c>
      <c r="M3648" s="2"/>
      <c r="N3648" s="8">
        <v>43332.686087962968</v>
      </c>
      <c r="O3648" s="4"/>
      <c r="P3648" s="3" t="s">
        <v>7197</v>
      </c>
      <c r="Q3648" s="4"/>
      <c r="R3648" s="4"/>
      <c r="S3648" s="2" t="s">
        <v>155</v>
      </c>
    </row>
    <row r="3649" spans="1:19" ht="40">
      <c r="A3649" s="8">
        <v>43341.837870370371</v>
      </c>
      <c r="B3649" s="11" t="str">
        <f>HYPERLINK("https://twitter.com/DavoodSeid","@DavoodSeid")</f>
        <v>@DavoodSeid</v>
      </c>
      <c r="C3649" s="6" t="s">
        <v>7308</v>
      </c>
      <c r="D3649" s="5" t="s">
        <v>7307</v>
      </c>
      <c r="E3649" s="9" t="str">
        <f>HYPERLINK("https://twitter.com/DavoodSeid/status/1034827146362068992","1034827146362068992")</f>
        <v>1034827146362068992</v>
      </c>
      <c r="F3649" s="4"/>
      <c r="G3649" s="4"/>
      <c r="H3649" s="4"/>
      <c r="I3649" s="10" t="str">
        <f>HYPERLINK("https://mobile.twitter.com","Twitter Lite")</f>
        <v>Twitter Lite</v>
      </c>
      <c r="J3649" s="2">
        <v>48</v>
      </c>
      <c r="K3649" s="2">
        <v>63</v>
      </c>
      <c r="L3649" s="2">
        <v>0</v>
      </c>
      <c r="M3649" s="2"/>
      <c r="N3649" s="8">
        <v>43328.518206018518</v>
      </c>
      <c r="O3649" s="4"/>
      <c r="P3649" s="3" t="s">
        <v>7306</v>
      </c>
      <c r="Q3649" s="4"/>
      <c r="R3649" s="4"/>
      <c r="S3649" s="9" t="str">
        <f>HYPERLINK("https://pbs.twimg.com/profile_images/1030189768901107712/KMYrQGpl.jpg","View")</f>
        <v>View</v>
      </c>
    </row>
    <row r="3650" spans="1:19" ht="20">
      <c r="A3650" s="8">
        <v>43341.836354166662</v>
      </c>
      <c r="B3650" s="11" t="str">
        <f>HYPERLINK("https://twitter.com/nouri_seyamak","@nouri_seyamak")</f>
        <v>@nouri_seyamak</v>
      </c>
      <c r="C3650" s="6" t="s">
        <v>7305</v>
      </c>
      <c r="D3650" s="5" t="s">
        <v>7304</v>
      </c>
      <c r="E3650" s="9" t="str">
        <f>HYPERLINK("https://twitter.com/nouri_seyamak/status/1034826597805838336","1034826597805838336")</f>
        <v>1034826597805838336</v>
      </c>
      <c r="F3650" s="4"/>
      <c r="G3650" s="10" t="s">
        <v>7303</v>
      </c>
      <c r="H3650" s="4"/>
      <c r="I3650" s="10" t="str">
        <f>HYPERLINK("http://twitter.com/download/android","Twitter for Android")</f>
        <v>Twitter for Android</v>
      </c>
      <c r="J3650" s="2">
        <v>201</v>
      </c>
      <c r="K3650" s="2">
        <v>55</v>
      </c>
      <c r="L3650" s="2">
        <v>1</v>
      </c>
      <c r="M3650" s="2"/>
      <c r="N3650" s="8">
        <v>43267.106759259259</v>
      </c>
      <c r="O3650" s="4" t="s">
        <v>7302</v>
      </c>
      <c r="P3650" s="3" t="s">
        <v>7301</v>
      </c>
      <c r="Q3650" s="4"/>
      <c r="R3650" s="4"/>
      <c r="S3650" s="9" t="str">
        <f>HYPERLINK("https://pbs.twimg.com/profile_images/1032581961112584192/1aNGuHSF.jpg","View")</f>
        <v>View</v>
      </c>
    </row>
    <row r="3651" spans="1:19" ht="40">
      <c r="A3651" s="8">
        <v>43341.836331018523</v>
      </c>
      <c r="B3651" s="11" t="str">
        <f>HYPERLINK("https://twitter.com/Mary39001852","@Mary39001852")</f>
        <v>@Mary39001852</v>
      </c>
      <c r="C3651" s="6" t="s">
        <v>7300</v>
      </c>
      <c r="D3651" s="5" t="s">
        <v>7299</v>
      </c>
      <c r="E3651" s="9" t="str">
        <f>HYPERLINK("https://twitter.com/Mary39001852/status/1034826587005366278","1034826587005366278")</f>
        <v>1034826587005366278</v>
      </c>
      <c r="F3651" s="4"/>
      <c r="G3651" s="4"/>
      <c r="H3651" s="4"/>
      <c r="I3651" s="10" t="str">
        <f>HYPERLINK("http://twitter.com/download/iphone","Twitter for iPhone")</f>
        <v>Twitter for iPhone</v>
      </c>
      <c r="J3651" s="2">
        <v>1</v>
      </c>
      <c r="K3651" s="2">
        <v>78</v>
      </c>
      <c r="L3651" s="2">
        <v>0</v>
      </c>
      <c r="M3651" s="2"/>
      <c r="N3651" s="8">
        <v>42782.337650462963</v>
      </c>
      <c r="O3651" s="4" t="s">
        <v>7298</v>
      </c>
      <c r="P3651" s="3"/>
      <c r="Q3651" s="4"/>
      <c r="R3651" s="4"/>
      <c r="S3651" s="2" t="s">
        <v>155</v>
      </c>
    </row>
    <row r="3652" spans="1:19" ht="40">
      <c r="A3652" s="8">
        <v>43341.833032407405</v>
      </c>
      <c r="B3652" s="11" t="str">
        <f>HYPERLINK("https://twitter.com/ShabahangAli","@ShabahangAli")</f>
        <v>@ShabahangAli</v>
      </c>
      <c r="C3652" s="6" t="s">
        <v>7297</v>
      </c>
      <c r="D3652" s="5" t="s">
        <v>7296</v>
      </c>
      <c r="E3652" s="9" t="str">
        <f>HYPERLINK("https://twitter.com/ShabahangAli/status/1034825395172990978","1034825395172990978")</f>
        <v>1034825395172990978</v>
      </c>
      <c r="F3652" s="4"/>
      <c r="G3652" s="4"/>
      <c r="H3652" s="4"/>
      <c r="I3652" s="10" t="str">
        <f>HYPERLINK("http://twitter.com","Twitter Web Client")</f>
        <v>Twitter Web Client</v>
      </c>
      <c r="J3652" s="2">
        <v>533</v>
      </c>
      <c r="K3652" s="2">
        <v>528</v>
      </c>
      <c r="L3652" s="2">
        <v>0</v>
      </c>
      <c r="M3652" s="2"/>
      <c r="N3652" s="8">
        <v>43143.462870370371</v>
      </c>
      <c r="O3652" s="4"/>
      <c r="P3652" s="3" t="s">
        <v>7295</v>
      </c>
      <c r="Q3652" s="4"/>
      <c r="R3652" s="4"/>
      <c r="S3652" s="9" t="str">
        <f>HYPERLINK("https://pbs.twimg.com/profile_images/1021238639433535490/2Rr8Culs.jpg","View")</f>
        <v>View</v>
      </c>
    </row>
    <row r="3653" spans="1:19" ht="40">
      <c r="A3653" s="8">
        <v>43341.832291666666</v>
      </c>
      <c r="B3653" s="11" t="str">
        <f>HYPERLINK("https://twitter.com/shomarasane","@shomarasane")</f>
        <v>@shomarasane</v>
      </c>
      <c r="C3653" s="6" t="s">
        <v>7294</v>
      </c>
      <c r="D3653" s="5" t="s">
        <v>7293</v>
      </c>
      <c r="E3653" s="9" t="str">
        <f>HYPERLINK("https://twitter.com/shomarasane/status/1034825125496016896","1034825125496016896")</f>
        <v>1034825125496016896</v>
      </c>
      <c r="F3653" s="4"/>
      <c r="G3653" s="10" t="s">
        <v>7292</v>
      </c>
      <c r="H3653" s="4"/>
      <c r="I3653" s="10" t="str">
        <f>HYPERLINK("http://twitter.com/download/android","Twitter for Android")</f>
        <v>Twitter for Android</v>
      </c>
      <c r="J3653" s="2">
        <v>682</v>
      </c>
      <c r="K3653" s="2">
        <v>40</v>
      </c>
      <c r="L3653" s="2">
        <v>8</v>
      </c>
      <c r="M3653" s="2"/>
      <c r="N3653" s="8">
        <v>42903.791817129633</v>
      </c>
      <c r="O3653" s="4"/>
      <c r="P3653" s="3" t="s">
        <v>7291</v>
      </c>
      <c r="Q3653" s="10" t="s">
        <v>7290</v>
      </c>
      <c r="R3653" s="4"/>
      <c r="S3653" s="9" t="str">
        <f>HYPERLINK("https://pbs.twimg.com/profile_images/892701661201911808/sBktvc57.jpg","View")</f>
        <v>View</v>
      </c>
    </row>
    <row r="3654" spans="1:19" ht="30">
      <c r="A3654" s="8">
        <v>43341.831307870365</v>
      </c>
      <c r="B3654" s="11" t="str">
        <f>HYPERLINK("https://twitter.com/Amirhosein9_3","@Amirhosein9_3")</f>
        <v>@Amirhosein9_3</v>
      </c>
      <c r="C3654" s="6" t="s">
        <v>7289</v>
      </c>
      <c r="D3654" s="5" t="s">
        <v>7288</v>
      </c>
      <c r="E3654" s="9" t="str">
        <f>HYPERLINK("https://twitter.com/Amirhosein9_3/status/1034824768606875648","1034824768606875648")</f>
        <v>1034824768606875648</v>
      </c>
      <c r="F3654" s="4"/>
      <c r="G3654" s="4"/>
      <c r="H3654" s="4"/>
      <c r="I3654" s="10" t="str">
        <f>HYPERLINK("http://twitter.com","Twitter Web Client")</f>
        <v>Twitter Web Client</v>
      </c>
      <c r="J3654" s="2">
        <v>3</v>
      </c>
      <c r="K3654" s="2">
        <v>35</v>
      </c>
      <c r="L3654" s="2">
        <v>0</v>
      </c>
      <c r="M3654" s="2"/>
      <c r="N3654" s="8">
        <v>41241.440960648149</v>
      </c>
      <c r="O3654" s="4" t="s">
        <v>34</v>
      </c>
      <c r="P3654" s="3"/>
      <c r="Q3654" s="4"/>
      <c r="R3654" s="4"/>
      <c r="S3654" s="9" t="str">
        <f>HYPERLINK("https://pbs.twimg.com/profile_images/1034743403739660293/XARlgJfN.jpg","View")</f>
        <v>View</v>
      </c>
    </row>
    <row r="3655" spans="1:19" ht="20">
      <c r="A3655" s="8">
        <v>43341.829259259262</v>
      </c>
      <c r="B3655" s="11" t="str">
        <f>HYPERLINK("https://twitter.com/shaghnaak","@shaghnaak")</f>
        <v>@shaghnaak</v>
      </c>
      <c r="C3655" s="6" t="s">
        <v>7287</v>
      </c>
      <c r="D3655" s="5" t="s">
        <v>7286</v>
      </c>
      <c r="E3655" s="9" t="str">
        <f>HYPERLINK("https://twitter.com/shaghnaak/status/1034824025703411713","1034824025703411713")</f>
        <v>1034824025703411713</v>
      </c>
      <c r="F3655" s="4"/>
      <c r="G3655" s="10" t="s">
        <v>7285</v>
      </c>
      <c r="H3655" s="4"/>
      <c r="I3655" s="10" t="str">
        <f>HYPERLINK("http://twitter.com/download/android","Twitter for Android")</f>
        <v>Twitter for Android</v>
      </c>
      <c r="J3655" s="2">
        <v>100</v>
      </c>
      <c r="K3655" s="2">
        <v>75</v>
      </c>
      <c r="L3655" s="2">
        <v>0</v>
      </c>
      <c r="M3655" s="2"/>
      <c r="N3655" s="8">
        <v>43326.751516203702</v>
      </c>
      <c r="O3655" s="4"/>
      <c r="P3655" s="3" t="s">
        <v>7284</v>
      </c>
      <c r="Q3655" s="4"/>
      <c r="R3655" s="4"/>
      <c r="S3655" s="9" t="str">
        <f>HYPERLINK("https://pbs.twimg.com/profile_images/1029361973077729280/qc0rtdOA.jpg","View")</f>
        <v>View</v>
      </c>
    </row>
    <row r="3656" spans="1:19" ht="30">
      <c r="A3656" s="8">
        <v>43341.82813657407</v>
      </c>
      <c r="B3656" s="11" t="str">
        <f>HYPERLINK("https://twitter.com/Yasmin4freedom","@Yasmin4freedom")</f>
        <v>@Yasmin4freedom</v>
      </c>
      <c r="C3656" s="6" t="s">
        <v>7283</v>
      </c>
      <c r="D3656" s="5" t="s">
        <v>7282</v>
      </c>
      <c r="E3656" s="9" t="str">
        <f>HYPERLINK("https://twitter.com/Yasmin4freedom/status/1034823618969198592","1034823618969198592")</f>
        <v>1034823618969198592</v>
      </c>
      <c r="F3656" s="4"/>
      <c r="G3656" s="10" t="s">
        <v>7281</v>
      </c>
      <c r="H3656" s="4"/>
      <c r="I3656" s="10" t="str">
        <f>HYPERLINK("http://twitter.com/download/iphone","Twitter for iPhone")</f>
        <v>Twitter for iPhone</v>
      </c>
      <c r="J3656" s="2">
        <v>338</v>
      </c>
      <c r="K3656" s="2">
        <v>31</v>
      </c>
      <c r="L3656" s="2">
        <v>1</v>
      </c>
      <c r="M3656" s="2"/>
      <c r="N3656" s="8">
        <v>43104.552708333329</v>
      </c>
      <c r="O3656" s="4"/>
      <c r="P3656" s="3" t="s">
        <v>7280</v>
      </c>
      <c r="Q3656" s="4"/>
      <c r="R3656" s="4"/>
      <c r="S3656" s="9" t="str">
        <f>HYPERLINK("https://pbs.twimg.com/profile_images/952625461556908033/leYjCAW8.jpg","View")</f>
        <v>View</v>
      </c>
    </row>
    <row r="3657" spans="1:19" ht="50">
      <c r="A3657" s="8">
        <v>43341.827499999999</v>
      </c>
      <c r="B3657" s="11" t="str">
        <f>HYPERLINK("https://twitter.com/daneshjoo_12","@daneshjoo_12")</f>
        <v>@daneshjoo_12</v>
      </c>
      <c r="C3657" s="6" t="s">
        <v>7151</v>
      </c>
      <c r="D3657" s="5" t="s">
        <v>7279</v>
      </c>
      <c r="E3657" s="9" t="str">
        <f>HYPERLINK("https://twitter.com/daneshjoo_12/status/1034823389322592257","1034823389322592257")</f>
        <v>1034823389322592257</v>
      </c>
      <c r="F3657" s="4"/>
      <c r="G3657" s="4"/>
      <c r="H3657" s="4"/>
      <c r="I3657" s="10" t="str">
        <f>HYPERLINK("http://twitter.com/download/android","Twitter for Android")</f>
        <v>Twitter for Android</v>
      </c>
      <c r="J3657" s="2">
        <v>4755</v>
      </c>
      <c r="K3657" s="2">
        <v>5028</v>
      </c>
      <c r="L3657" s="2">
        <v>13</v>
      </c>
      <c r="M3657" s="2"/>
      <c r="N3657" s="8">
        <v>42818.541597222225</v>
      </c>
      <c r="O3657" s="4" t="s">
        <v>25</v>
      </c>
      <c r="P3657" s="3" t="s">
        <v>7148</v>
      </c>
      <c r="Q3657" s="4"/>
      <c r="R3657" s="4"/>
      <c r="S3657" s="9" t="str">
        <f>HYPERLINK("https://pbs.twimg.com/profile_images/983351378889379840/7aRHDbVY.jpg","View")</f>
        <v>View</v>
      </c>
    </row>
    <row r="3658" spans="1:19" ht="20">
      <c r="A3658" s="8">
        <v>43341.826296296298</v>
      </c>
      <c r="B3658" s="11" t="str">
        <f>HYPERLINK("https://twitter.com/emir_salehi","@emir_salehi")</f>
        <v>@emir_salehi</v>
      </c>
      <c r="C3658" s="6" t="s">
        <v>7278</v>
      </c>
      <c r="D3658" s="5" t="s">
        <v>7277</v>
      </c>
      <c r="E3658" s="9" t="str">
        <f>HYPERLINK("https://twitter.com/emir_salehi/status/1034822952435556352","1034822952435556352")</f>
        <v>1034822952435556352</v>
      </c>
      <c r="F3658" s="4"/>
      <c r="G3658" s="4"/>
      <c r="H3658" s="4"/>
      <c r="I3658" s="10" t="str">
        <f>HYPERLINK("http://twitter.com/download/android","Twitter for Android")</f>
        <v>Twitter for Android</v>
      </c>
      <c r="J3658" s="2">
        <v>118</v>
      </c>
      <c r="K3658" s="2">
        <v>118</v>
      </c>
      <c r="L3658" s="2">
        <v>0</v>
      </c>
      <c r="M3658" s="2"/>
      <c r="N3658" s="8">
        <v>43128.629583333328</v>
      </c>
      <c r="O3658" s="4" t="s">
        <v>894</v>
      </c>
      <c r="P3658" s="3" t="s">
        <v>7276</v>
      </c>
      <c r="Q3658" s="4"/>
      <c r="R3658" s="4"/>
      <c r="S3658" s="9" t="str">
        <f>HYPERLINK("https://pbs.twimg.com/profile_images/1013918778151747585/uLGUO_dY.jpg","View")</f>
        <v>View</v>
      </c>
    </row>
    <row r="3659" spans="1:19" ht="30">
      <c r="A3659" s="8">
        <v>43341.824155092589</v>
      </c>
      <c r="B3659" s="11" t="str">
        <f>HYPERLINK("https://twitter.com/raad_nima","@raad_nima")</f>
        <v>@raad_nima</v>
      </c>
      <c r="C3659" s="6" t="s">
        <v>7275</v>
      </c>
      <c r="D3659" s="5" t="s">
        <v>7274</v>
      </c>
      <c r="E3659" s="9" t="str">
        <f>HYPERLINK("https://twitter.com/raad_nima/status/1034822177529491458","1034822177529491458")</f>
        <v>1034822177529491458</v>
      </c>
      <c r="F3659" s="4"/>
      <c r="G3659" s="4"/>
      <c r="H3659" s="4"/>
      <c r="I3659" s="10" t="str">
        <f>HYPERLINK("http://twitter.com/#!/download/ipad","Twitter for iPad")</f>
        <v>Twitter for iPad</v>
      </c>
      <c r="J3659" s="2">
        <v>693</v>
      </c>
      <c r="K3659" s="2">
        <v>365</v>
      </c>
      <c r="L3659" s="2">
        <v>3</v>
      </c>
      <c r="M3659" s="2"/>
      <c r="N3659" s="8">
        <v>41320.835648148146</v>
      </c>
      <c r="O3659" s="4" t="s">
        <v>1415</v>
      </c>
      <c r="P3659" s="3" t="s">
        <v>1434</v>
      </c>
      <c r="Q3659" s="10" t="s">
        <v>7273</v>
      </c>
      <c r="R3659" s="4"/>
      <c r="S3659" s="9" t="str">
        <f>HYPERLINK("https://pbs.twimg.com/profile_images/950861143161090049/-FbOJBys.jpg","View")</f>
        <v>View</v>
      </c>
    </row>
    <row r="3660" spans="1:19" ht="30">
      <c r="A3660" s="8">
        <v>43341.823969907404</v>
      </c>
      <c r="B3660" s="11" t="str">
        <f>HYPERLINK("https://twitter.com/amerkhanloo","@amerkhanloo")</f>
        <v>@amerkhanloo</v>
      </c>
      <c r="C3660" s="6" t="s">
        <v>7272</v>
      </c>
      <c r="D3660" s="5" t="s">
        <v>7271</v>
      </c>
      <c r="E3660" s="9" t="str">
        <f>HYPERLINK("https://twitter.com/amerkhanloo/status/1034822110928138241","1034822110928138241")</f>
        <v>1034822110928138241</v>
      </c>
      <c r="F3660" s="4"/>
      <c r="G3660" s="4"/>
      <c r="H3660" s="4"/>
      <c r="I3660" s="10" t="str">
        <f>HYPERLINK("http://twitter.com/download/android","Twitter for Android")</f>
        <v>Twitter for Android</v>
      </c>
      <c r="J3660" s="2">
        <v>162</v>
      </c>
      <c r="K3660" s="2">
        <v>69</v>
      </c>
      <c r="L3660" s="2">
        <v>0</v>
      </c>
      <c r="M3660" s="2"/>
      <c r="N3660" s="8">
        <v>42905.636377314819</v>
      </c>
      <c r="O3660" s="4"/>
      <c r="P3660" s="3" t="s">
        <v>7270</v>
      </c>
      <c r="Q3660" s="4"/>
      <c r="R3660" s="4"/>
      <c r="S3660" s="9" t="str">
        <f>HYPERLINK("https://pbs.twimg.com/profile_images/1002937233006088194/hdYVgZjc.jpg","View")</f>
        <v>View</v>
      </c>
    </row>
    <row r="3661" spans="1:19" ht="20">
      <c r="A3661" s="8">
        <v>43341.823449074072</v>
      </c>
      <c r="B3661" s="11" t="str">
        <f>HYPERLINK("https://twitter.com/MahmoodyAli","@MahmoodyAli")</f>
        <v>@MahmoodyAli</v>
      </c>
      <c r="C3661" s="6" t="s">
        <v>7269</v>
      </c>
      <c r="D3661" s="5" t="s">
        <v>7268</v>
      </c>
      <c r="E3661" s="9" t="str">
        <f>HYPERLINK("https://twitter.com/MahmoodyAli/status/1034821921743851526","1034821921743851526")</f>
        <v>1034821921743851526</v>
      </c>
      <c r="F3661" s="4"/>
      <c r="G3661" s="10" t="s">
        <v>7267</v>
      </c>
      <c r="H3661" s="4"/>
      <c r="I3661" s="10" t="str">
        <f>HYPERLINK("http://twitter.com","Twitter Web Client")</f>
        <v>Twitter Web Client</v>
      </c>
      <c r="J3661" s="2">
        <v>243</v>
      </c>
      <c r="K3661" s="2">
        <v>518</v>
      </c>
      <c r="L3661" s="2">
        <v>1</v>
      </c>
      <c r="M3661" s="2"/>
      <c r="N3661" s="8">
        <v>42919.53806712963</v>
      </c>
      <c r="O3661" s="4"/>
      <c r="P3661" s="3"/>
      <c r="Q3661" s="4"/>
      <c r="R3661" s="4"/>
      <c r="S3661" s="9" t="str">
        <f>HYPERLINK("https://pbs.twimg.com/profile_images/1023228268437233665/9dcEnhOZ.jpg","View")</f>
        <v>View</v>
      </c>
    </row>
    <row r="3662" spans="1:19" ht="30">
      <c r="A3662" s="8">
        <v>43341.8205787037</v>
      </c>
      <c r="B3662" s="11" t="str">
        <f>HYPERLINK("https://twitter.com/der_butt","@der_butt")</f>
        <v>@der_butt</v>
      </c>
      <c r="C3662" s="6" t="s">
        <v>7266</v>
      </c>
      <c r="D3662" s="5" t="s">
        <v>7265</v>
      </c>
      <c r="E3662" s="9" t="str">
        <f>HYPERLINK("https://twitter.com/der_butt/status/1034820881967509504","1034820881967509504")</f>
        <v>1034820881967509504</v>
      </c>
      <c r="F3662" s="4"/>
      <c r="G3662" s="4"/>
      <c r="H3662" s="4"/>
      <c r="I3662" s="10" t="str">
        <f>HYPERLINK("http://twitter.com","Twitter Web Client")</f>
        <v>Twitter Web Client</v>
      </c>
      <c r="J3662" s="2">
        <v>0</v>
      </c>
      <c r="K3662" s="2">
        <v>0</v>
      </c>
      <c r="L3662" s="2">
        <v>0</v>
      </c>
      <c r="M3662" s="2"/>
      <c r="N3662" s="8">
        <v>43312.574826388889</v>
      </c>
      <c r="O3662" s="4"/>
      <c r="P3662" s="3"/>
      <c r="Q3662" s="4"/>
      <c r="R3662" s="4"/>
      <c r="S3662" s="9" t="str">
        <f>HYPERLINK("https://pbs.twimg.com/profile_images/1024226830700572674/VXclaoOv.jpg","View")</f>
        <v>View</v>
      </c>
    </row>
    <row r="3663" spans="1:19" ht="40">
      <c r="A3663" s="8">
        <v>43341.819062499999</v>
      </c>
      <c r="B3663" s="11" t="str">
        <f>HYPERLINK("https://twitter.com/factnameh","@factnameh")</f>
        <v>@factnameh</v>
      </c>
      <c r="C3663" s="6" t="s">
        <v>7264</v>
      </c>
      <c r="D3663" s="5" t="s">
        <v>7263</v>
      </c>
      <c r="E3663" s="9" t="str">
        <f>HYPERLINK("https://twitter.com/factnameh/status/1034820330387329025","1034820330387329025")</f>
        <v>1034820330387329025</v>
      </c>
      <c r="F3663" s="10" t="s">
        <v>7262</v>
      </c>
      <c r="G3663" s="10" t="s">
        <v>7261</v>
      </c>
      <c r="H3663" s="4"/>
      <c r="I3663" s="10" t="str">
        <f>HYPERLINK("https://coschedule.com","CoSchedule")</f>
        <v>CoSchedule</v>
      </c>
      <c r="J3663" s="2">
        <v>5573</v>
      </c>
      <c r="K3663" s="2">
        <v>148</v>
      </c>
      <c r="L3663" s="2">
        <v>47</v>
      </c>
      <c r="M3663" s="2"/>
      <c r="N3663" s="8">
        <v>42760.805451388893</v>
      </c>
      <c r="O3663" s="4"/>
      <c r="P3663" s="3" t="s">
        <v>7260</v>
      </c>
      <c r="Q3663" s="10" t="s">
        <v>7259</v>
      </c>
      <c r="R3663" s="4"/>
      <c r="S3663" s="9" t="str">
        <f>HYPERLINK("https://pbs.twimg.com/profile_images/1015270781301870592/_50TZAu7.jpg","View")</f>
        <v>View</v>
      </c>
    </row>
    <row r="3664" spans="1:19" ht="30">
      <c r="A3664" s="8">
        <v>43341.816886574074</v>
      </c>
      <c r="B3664" s="11" t="str">
        <f>HYPERLINK("https://twitter.com/ebrahimi441","@ebrahimi441")</f>
        <v>@ebrahimi441</v>
      </c>
      <c r="C3664" s="6" t="s">
        <v>7258</v>
      </c>
      <c r="D3664" s="5" t="s">
        <v>7257</v>
      </c>
      <c r="E3664" s="9" t="str">
        <f>HYPERLINK("https://twitter.com/ebrahimi441/status/1034819541161992192","1034819541161992192")</f>
        <v>1034819541161992192</v>
      </c>
      <c r="F3664" s="4"/>
      <c r="G3664" s="4"/>
      <c r="H3664" s="4"/>
      <c r="I3664" s="10" t="str">
        <f>HYPERLINK("http://twitter.com/download/android","Twitter for Android")</f>
        <v>Twitter for Android</v>
      </c>
      <c r="J3664" s="2">
        <v>273</v>
      </c>
      <c r="K3664" s="2">
        <v>461</v>
      </c>
      <c r="L3664" s="2">
        <v>5</v>
      </c>
      <c r="M3664" s="2"/>
      <c r="N3664" s="8">
        <v>42841.626655092594</v>
      </c>
      <c r="O3664" s="4" t="s">
        <v>17</v>
      </c>
      <c r="P3664" s="3" t="s">
        <v>7256</v>
      </c>
      <c r="Q3664" s="4"/>
      <c r="R3664" s="4"/>
      <c r="S3664" s="9" t="str">
        <f>HYPERLINK("https://pbs.twimg.com/profile_images/1027650239891746821/ravm8o7A.jpg","View")</f>
        <v>View</v>
      </c>
    </row>
    <row r="3665" spans="1:19" ht="40">
      <c r="A3665" s="8">
        <v>43341.816678240742</v>
      </c>
      <c r="B3665" s="11" t="str">
        <f>HYPERLINK("https://twitter.com/HesamFatemi","@HesamFatemi")</f>
        <v>@HesamFatemi</v>
      </c>
      <c r="C3665" s="6" t="s">
        <v>7255</v>
      </c>
      <c r="D3665" s="5" t="s">
        <v>7254</v>
      </c>
      <c r="E3665" s="9" t="str">
        <f>HYPERLINK("https://twitter.com/HesamFatemi/status/1034819466918600705","1034819466918600705")</f>
        <v>1034819466918600705</v>
      </c>
      <c r="F3665" s="4"/>
      <c r="G3665" s="10" t="s">
        <v>7253</v>
      </c>
      <c r="H3665" s="4"/>
      <c r="I3665" s="10" t="str">
        <f>HYPERLINK("http://twitter.com/download/android","Twitter for Android")</f>
        <v>Twitter for Android</v>
      </c>
      <c r="J3665" s="2">
        <v>4434</v>
      </c>
      <c r="K3665" s="2">
        <v>4232</v>
      </c>
      <c r="L3665" s="2">
        <v>3</v>
      </c>
      <c r="M3665" s="2"/>
      <c r="N3665" s="8">
        <v>42959.340115740742</v>
      </c>
      <c r="O3665" s="4" t="s">
        <v>324</v>
      </c>
      <c r="P3665" s="3" t="s">
        <v>7252</v>
      </c>
      <c r="Q3665" s="10" t="s">
        <v>7251</v>
      </c>
      <c r="R3665" s="4"/>
      <c r="S3665" s="9" t="str">
        <f>HYPERLINK("https://pbs.twimg.com/profile_images/898754912275881990/dSsFVgio.jpg","View")</f>
        <v>View</v>
      </c>
    </row>
    <row r="3666" spans="1:19" ht="20">
      <c r="A3666" s="8">
        <v>43341.81486111111</v>
      </c>
      <c r="B3666" s="11" t="str">
        <f>HYPERLINK("https://twitter.com/alimojtahedzade","@alimojtahedzade")</f>
        <v>@alimojtahedzade</v>
      </c>
      <c r="C3666" s="6" t="s">
        <v>6236</v>
      </c>
      <c r="D3666" s="5" t="s">
        <v>7250</v>
      </c>
      <c r="E3666" s="9" t="str">
        <f>HYPERLINK("https://twitter.com/alimojtahedzade/status/1034818809142468609","1034818809142468609")</f>
        <v>1034818809142468609</v>
      </c>
      <c r="F3666" s="4"/>
      <c r="G3666" s="10" t="s">
        <v>7249</v>
      </c>
      <c r="H3666" s="4"/>
      <c r="I3666" s="10" t="str">
        <f>HYPERLINK("http://twitter.com/download/iphone","Twitter for iPhone")</f>
        <v>Twitter for iPhone</v>
      </c>
      <c r="J3666" s="2">
        <v>3832</v>
      </c>
      <c r="K3666" s="2">
        <v>225</v>
      </c>
      <c r="L3666" s="2">
        <v>19</v>
      </c>
      <c r="M3666" s="2"/>
      <c r="N3666" s="8">
        <v>42966.573171296295</v>
      </c>
      <c r="O3666" s="4" t="s">
        <v>34</v>
      </c>
      <c r="P3666" s="3" t="s">
        <v>6234</v>
      </c>
      <c r="Q3666" s="4"/>
      <c r="R3666" s="4"/>
      <c r="S3666" s="9" t="str">
        <f>HYPERLINK("https://pbs.twimg.com/profile_images/898837126468521984/doITVPG2.jpg","View")</f>
        <v>View</v>
      </c>
    </row>
    <row r="3667" spans="1:19" ht="30">
      <c r="A3667" s="8">
        <v>43341.814537037033</v>
      </c>
      <c r="B3667" s="11" t="str">
        <f>HYPERLINK("https://twitter.com/LEOaak_1988","@LEOaak_1988")</f>
        <v>@LEOaak_1988</v>
      </c>
      <c r="C3667" s="6" t="s">
        <v>7248</v>
      </c>
      <c r="D3667" s="5" t="s">
        <v>7247</v>
      </c>
      <c r="E3667" s="9" t="str">
        <f>HYPERLINK("https://twitter.com/LEOaak_1988/status/1034818690863325185","1034818690863325185")</f>
        <v>1034818690863325185</v>
      </c>
      <c r="F3667" s="4"/>
      <c r="G3667" s="4"/>
      <c r="H3667" s="4"/>
      <c r="I3667" s="10" t="str">
        <f>HYPERLINK("http://twitter.com/download/android","Twitter for Android")</f>
        <v>Twitter for Android</v>
      </c>
      <c r="J3667" s="2">
        <v>4</v>
      </c>
      <c r="K3667" s="2">
        <v>21</v>
      </c>
      <c r="L3667" s="2">
        <v>0</v>
      </c>
      <c r="M3667" s="2"/>
      <c r="N3667" s="8">
        <v>43340.678715277776</v>
      </c>
      <c r="O3667" s="4" t="s">
        <v>7246</v>
      </c>
      <c r="P3667" s="3" t="s">
        <v>7245</v>
      </c>
      <c r="Q3667" s="4"/>
      <c r="R3667" s="4"/>
      <c r="S3667" s="9" t="str">
        <f>HYPERLINK("https://pbs.twimg.com/profile_images/1034411512193011712/YW37Iyli.jpg","View")</f>
        <v>View</v>
      </c>
    </row>
    <row r="3668" spans="1:19" ht="40">
      <c r="A3668" s="8">
        <v>43341.810370370367</v>
      </c>
      <c r="B3668" s="11" t="str">
        <f>HYPERLINK("https://twitter.com/ahang_baharmast","@ahang_baharmast")</f>
        <v>@ahang_baharmast</v>
      </c>
      <c r="C3668" s="6" t="s">
        <v>7244</v>
      </c>
      <c r="D3668" s="5" t="s">
        <v>7243</v>
      </c>
      <c r="E3668" s="9" t="str">
        <f>HYPERLINK("https://twitter.com/ahang_baharmast/status/1034817178653155328","1034817178653155328")</f>
        <v>1034817178653155328</v>
      </c>
      <c r="F3668" s="4"/>
      <c r="G3668" s="4"/>
      <c r="H3668" s="4"/>
      <c r="I3668" s="10" t="str">
        <f>HYPERLINK("http://twitter.com","Twitter Web Client")</f>
        <v>Twitter Web Client</v>
      </c>
      <c r="J3668" s="2">
        <v>234</v>
      </c>
      <c r="K3668" s="2">
        <v>219</v>
      </c>
      <c r="L3668" s="2">
        <v>0</v>
      </c>
      <c r="M3668" s="2"/>
      <c r="N3668" s="8">
        <v>42885.790254629625</v>
      </c>
      <c r="O3668" s="4"/>
      <c r="P3668" s="3"/>
      <c r="Q3668" s="4"/>
      <c r="R3668" s="4"/>
      <c r="S3668" s="9" t="str">
        <f>HYPERLINK("https://pbs.twimg.com/profile_images/884080302443855874/Xa01yx5v.jpg","View")</f>
        <v>View</v>
      </c>
    </row>
    <row r="3669" spans="1:19" ht="40">
      <c r="A3669" s="8">
        <v>43341.807962962965</v>
      </c>
      <c r="B3669" s="11" t="str">
        <f>HYPERLINK("https://twitter.com/restart_0ho0","@restart_0ho0")</f>
        <v>@restart_0ho0</v>
      </c>
      <c r="C3669" s="6" t="s">
        <v>1889</v>
      </c>
      <c r="D3669" s="5" t="s">
        <v>7242</v>
      </c>
      <c r="E3669" s="9" t="str">
        <f>HYPERLINK("https://twitter.com/restart_0ho0/status/1034816307093544962","1034816307093544962")</f>
        <v>1034816307093544962</v>
      </c>
      <c r="F3669" s="4"/>
      <c r="G3669" s="10" t="s">
        <v>7241</v>
      </c>
      <c r="H3669" s="4"/>
      <c r="I3669" s="10" t="str">
        <f>HYPERLINK("http://twitter.com/download/android","Twitter for Android")</f>
        <v>Twitter for Android</v>
      </c>
      <c r="J3669" s="2">
        <v>363</v>
      </c>
      <c r="K3669" s="2">
        <v>115</v>
      </c>
      <c r="L3669" s="2">
        <v>1</v>
      </c>
      <c r="M3669" s="2"/>
      <c r="N3669" s="8">
        <v>43135.789837962962</v>
      </c>
      <c r="O3669" s="4"/>
      <c r="P3669" s="3" t="s">
        <v>1887</v>
      </c>
      <c r="Q3669" s="10" t="s">
        <v>1886</v>
      </c>
      <c r="R3669" s="4"/>
      <c r="S3669" s="9" t="str">
        <f>HYPERLINK("https://pbs.twimg.com/profile_images/1018264481938460672/Z4-ZxVhg.jpg","View")</f>
        <v>View</v>
      </c>
    </row>
    <row r="3670" spans="1:19" ht="30">
      <c r="A3670" s="8">
        <v>43341.805960648147</v>
      </c>
      <c r="B3670" s="11" t="str">
        <f>HYPERLINK("https://twitter.com/gahangirghashg2","@gahangirghashg2")</f>
        <v>@gahangirghashg2</v>
      </c>
      <c r="C3670" s="6" t="s">
        <v>7240</v>
      </c>
      <c r="D3670" s="5" t="s">
        <v>6085</v>
      </c>
      <c r="E3670" s="9" t="str">
        <f>HYPERLINK("https://twitter.com/gahangirghashg2/status/1034815583479627777","1034815583479627777")</f>
        <v>1034815583479627777</v>
      </c>
      <c r="F3670" s="4"/>
      <c r="G3670" s="10" t="s">
        <v>6084</v>
      </c>
      <c r="H3670" s="4"/>
      <c r="I3670" s="10" t="str">
        <f>HYPERLINK("http://twitter.com","Twitter Web Client")</f>
        <v>Twitter Web Client</v>
      </c>
      <c r="J3670" s="2">
        <v>109</v>
      </c>
      <c r="K3670" s="2">
        <v>196</v>
      </c>
      <c r="L3670" s="2">
        <v>0</v>
      </c>
      <c r="M3670" s="2"/>
      <c r="N3670" s="8">
        <v>43160.427106481482</v>
      </c>
      <c r="O3670" s="4" t="s">
        <v>7239</v>
      </c>
      <c r="P3670" s="3" t="s">
        <v>7238</v>
      </c>
      <c r="Q3670" s="4"/>
      <c r="R3670" s="4"/>
      <c r="S3670" s="9" t="str">
        <f>HYPERLINK("https://pbs.twimg.com/profile_images/1033232123157794816/jCIzeFgB.jpg","View")</f>
        <v>View</v>
      </c>
    </row>
    <row r="3671" spans="1:19" ht="40">
      <c r="A3671" s="8">
        <v>43341.805925925924</v>
      </c>
      <c r="B3671" s="11" t="str">
        <f>HYPERLINK("https://twitter.com/Vote366988","@Vote366988")</f>
        <v>@Vote366988</v>
      </c>
      <c r="C3671" s="6" t="s">
        <v>7237</v>
      </c>
      <c r="D3671" s="5" t="s">
        <v>7236</v>
      </c>
      <c r="E3671" s="9" t="str">
        <f>HYPERLINK("https://twitter.com/Vote366988/status/1034815568921223173","1034815568921223173")</f>
        <v>1034815568921223173</v>
      </c>
      <c r="F3671" s="4"/>
      <c r="G3671" s="10" t="s">
        <v>7235</v>
      </c>
      <c r="H3671" s="4"/>
      <c r="I3671" s="10" t="str">
        <f>HYPERLINK("http://twitter.com/download/android","Twitter for Android")</f>
        <v>Twitter for Android</v>
      </c>
      <c r="J3671" s="2">
        <v>41</v>
      </c>
      <c r="K3671" s="2">
        <v>46</v>
      </c>
      <c r="L3671" s="2">
        <v>0</v>
      </c>
      <c r="M3671" s="2"/>
      <c r="N3671" s="8">
        <v>43266.905821759261</v>
      </c>
      <c r="O3671" s="4"/>
      <c r="P3671" s="3" t="s">
        <v>7234</v>
      </c>
      <c r="Q3671" s="4"/>
      <c r="R3671" s="4"/>
      <c r="S3671" s="9" t="str">
        <f>HYPERLINK("https://pbs.twimg.com/profile_images/1007876750561431553/uDbEGbZ9.jpg","View")</f>
        <v>View</v>
      </c>
    </row>
    <row r="3672" spans="1:19" ht="30">
      <c r="A3672" s="8">
        <v>43341.805312500001</v>
      </c>
      <c r="B3672" s="11" t="str">
        <f>HYPERLINK("https://twitter.com/gringottsboss","@gringottsboss")</f>
        <v>@gringottsboss</v>
      </c>
      <c r="C3672" s="6" t="s">
        <v>7233</v>
      </c>
      <c r="D3672" s="5" t="s">
        <v>7232</v>
      </c>
      <c r="E3672" s="9" t="str">
        <f>HYPERLINK("https://twitter.com/gringottsboss/status/1034815347050860545","1034815347050860545")</f>
        <v>1034815347050860545</v>
      </c>
      <c r="F3672" s="4"/>
      <c r="G3672" s="10" t="s">
        <v>7231</v>
      </c>
      <c r="H3672" s="4"/>
      <c r="I3672" s="10" t="str">
        <f>HYPERLINK("http://twitter.com/download/android","Twitter for Android")</f>
        <v>Twitter for Android</v>
      </c>
      <c r="J3672" s="2">
        <v>310</v>
      </c>
      <c r="K3672" s="2">
        <v>875</v>
      </c>
      <c r="L3672" s="2">
        <v>2</v>
      </c>
      <c r="M3672" s="2"/>
      <c r="N3672" s="8">
        <v>42618.816527777773</v>
      </c>
      <c r="O3672" s="4" t="s">
        <v>1207</v>
      </c>
      <c r="P3672" s="3" t="s">
        <v>7230</v>
      </c>
      <c r="Q3672" s="4"/>
      <c r="R3672" s="4"/>
      <c r="S3672" s="9" t="str">
        <f>HYPERLINK("https://pbs.twimg.com/profile_images/1030443807391850496/1i2-yiWm.jpg","View")</f>
        <v>View</v>
      </c>
    </row>
    <row r="3673" spans="1:19" ht="40">
      <c r="A3673" s="8">
        <v>43341.804733796293</v>
      </c>
      <c r="B3673" s="11" t="str">
        <f>HYPERLINK("https://twitter.com/Gavaazn","@Gavaazn")</f>
        <v>@Gavaazn</v>
      </c>
      <c r="C3673" s="6" t="s">
        <v>7229</v>
      </c>
      <c r="D3673" s="5" t="s">
        <v>7228</v>
      </c>
      <c r="E3673" s="9" t="str">
        <f>HYPERLINK("https://twitter.com/Gavaazn/status/1034815138585604097","1034815138585604097")</f>
        <v>1034815138585604097</v>
      </c>
      <c r="F3673" s="4"/>
      <c r="G3673" s="4"/>
      <c r="H3673" s="4"/>
      <c r="I3673" s="10" t="str">
        <f>HYPERLINK("http://twitter.com/download/android","Twitter for Android")</f>
        <v>Twitter for Android</v>
      </c>
      <c r="J3673" s="2">
        <v>27266</v>
      </c>
      <c r="K3673" s="2">
        <v>173</v>
      </c>
      <c r="L3673" s="2">
        <v>97</v>
      </c>
      <c r="M3673" s="2"/>
      <c r="N3673" s="8">
        <v>40597.545011574075</v>
      </c>
      <c r="O3673" s="4" t="s">
        <v>7227</v>
      </c>
      <c r="P3673" s="3" t="s">
        <v>7226</v>
      </c>
      <c r="Q3673" s="4"/>
      <c r="R3673" s="4"/>
      <c r="S3673" s="9" t="str">
        <f>HYPERLINK("https://pbs.twimg.com/profile_images/1013293995919802369/ef_hQ1Lm.jpg","View")</f>
        <v>View</v>
      </c>
    </row>
    <row r="3674" spans="1:19" ht="30">
      <c r="A3674" s="8">
        <v>43341.803310185191</v>
      </c>
      <c r="B3674" s="11" t="str">
        <f>HYPERLINK("https://twitter.com/MilaniMostafa","@MilaniMostafa")</f>
        <v>@MilaniMostafa</v>
      </c>
      <c r="C3674" s="6" t="s">
        <v>7225</v>
      </c>
      <c r="D3674" s="5" t="s">
        <v>7224</v>
      </c>
      <c r="E3674" s="9" t="str">
        <f>HYPERLINK("https://twitter.com/MilaniMostafa/status/1034814622673588226","1034814622673588226")</f>
        <v>1034814622673588226</v>
      </c>
      <c r="F3674" s="4"/>
      <c r="G3674" s="4"/>
      <c r="H3674" s="4"/>
      <c r="I3674" s="10" t="str">
        <f>HYPERLINK("http://twitter.com/download/android","Twitter for Android")</f>
        <v>Twitter for Android</v>
      </c>
      <c r="J3674" s="2">
        <v>19</v>
      </c>
      <c r="K3674" s="2">
        <v>49</v>
      </c>
      <c r="L3674" s="2">
        <v>0</v>
      </c>
      <c r="M3674" s="2"/>
      <c r="N3674" s="8">
        <v>43273.886354166665</v>
      </c>
      <c r="O3674" s="4" t="s">
        <v>7223</v>
      </c>
      <c r="P3674" s="3" t="s">
        <v>7222</v>
      </c>
      <c r="Q3674" s="4"/>
      <c r="R3674" s="4"/>
      <c r="S3674" s="9" t="str">
        <f>HYPERLINK("https://pbs.twimg.com/profile_images/1010204180189974528/Vtsd53in.jpg","View")</f>
        <v>View</v>
      </c>
    </row>
    <row r="3675" spans="1:19" ht="40">
      <c r="A3675" s="8">
        <v>43341.801701388889</v>
      </c>
      <c r="B3675" s="11" t="str">
        <f>HYPERLINK("https://twitter.com/mhmehrzad","@mhmehrzad")</f>
        <v>@mhmehrzad</v>
      </c>
      <c r="C3675" s="6" t="s">
        <v>7221</v>
      </c>
      <c r="D3675" s="5" t="s">
        <v>7220</v>
      </c>
      <c r="E3675" s="9" t="str">
        <f>HYPERLINK("https://twitter.com/mhmehrzad/status/1034814040751648769","1034814040751648769")</f>
        <v>1034814040751648769</v>
      </c>
      <c r="F3675" s="4"/>
      <c r="G3675" s="4"/>
      <c r="H3675" s="4"/>
      <c r="I3675" s="10" t="str">
        <f>HYPERLINK("http://twitter.com/download/iphone","Twitter for iPhone")</f>
        <v>Twitter for iPhone</v>
      </c>
      <c r="J3675" s="2">
        <v>5457</v>
      </c>
      <c r="K3675" s="2">
        <v>458</v>
      </c>
      <c r="L3675" s="2">
        <v>38</v>
      </c>
      <c r="M3675" s="2"/>
      <c r="N3675" s="8">
        <v>41175.759548611109</v>
      </c>
      <c r="O3675" s="4" t="s">
        <v>894</v>
      </c>
      <c r="P3675" s="3" t="s">
        <v>704</v>
      </c>
      <c r="Q3675" s="4"/>
      <c r="R3675" s="4"/>
      <c r="S3675" s="9" t="str">
        <f>HYPERLINK("https://pbs.twimg.com/profile_images/714800560168419329/TTMOiEt5.jpg","View")</f>
        <v>View</v>
      </c>
    </row>
    <row r="3676" spans="1:19" ht="30">
      <c r="A3676" s="8">
        <v>43341.798935185187</v>
      </c>
      <c r="B3676" s="11" t="str">
        <f>HYPERLINK("https://twitter.com/khanoomemofrad","@khanoomemofrad")</f>
        <v>@khanoomemofrad</v>
      </c>
      <c r="C3676" s="6" t="s">
        <v>7219</v>
      </c>
      <c r="D3676" s="5" t="s">
        <v>7218</v>
      </c>
      <c r="E3676" s="9" t="str">
        <f>HYPERLINK("https://twitter.com/khanoomemofrad/status/1034813037637783552","1034813037637783552")</f>
        <v>1034813037637783552</v>
      </c>
      <c r="F3676" s="4"/>
      <c r="G3676" s="4"/>
      <c r="H3676" s="4"/>
      <c r="I3676" s="10" t="str">
        <f>HYPERLINK("http://twitter.com","Twitter Web Client")</f>
        <v>Twitter Web Client</v>
      </c>
      <c r="J3676" s="2">
        <v>1264</v>
      </c>
      <c r="K3676" s="2">
        <v>1734</v>
      </c>
      <c r="L3676" s="2">
        <v>2</v>
      </c>
      <c r="M3676" s="2"/>
      <c r="N3676" s="8">
        <v>43244.438946759255</v>
      </c>
      <c r="O3676" s="4" t="s">
        <v>7217</v>
      </c>
      <c r="P3676" s="3"/>
      <c r="Q3676" s="4"/>
      <c r="R3676" s="4"/>
      <c r="S3676" s="9" t="str">
        <f>HYPERLINK("https://pbs.twimg.com/profile_images/1006895642688409602/wrbjOBn-.jpg","View")</f>
        <v>View</v>
      </c>
    </row>
    <row r="3677" spans="1:19" ht="30">
      <c r="A3677" s="8">
        <v>43341.797824074078</v>
      </c>
      <c r="B3677" s="11" t="str">
        <f>HYPERLINK("https://twitter.com/ata_afs","@ata_afs")</f>
        <v>@ata_afs</v>
      </c>
      <c r="C3677" s="6" t="s">
        <v>1217</v>
      </c>
      <c r="D3677" s="5" t="s">
        <v>7216</v>
      </c>
      <c r="E3677" s="9" t="str">
        <f>HYPERLINK("https://twitter.com/ata_afs/status/1034812635319914496","1034812635319914496")</f>
        <v>1034812635319914496</v>
      </c>
      <c r="F3677" s="4"/>
      <c r="G3677" s="4"/>
      <c r="H3677" s="4"/>
      <c r="I3677" s="10" t="str">
        <f>HYPERLINK("http://twitter.com/download/iphone","Twitter for iPhone")</f>
        <v>Twitter for iPhone</v>
      </c>
      <c r="J3677" s="2">
        <v>366</v>
      </c>
      <c r="K3677" s="2">
        <v>693</v>
      </c>
      <c r="L3677" s="2">
        <v>0</v>
      </c>
      <c r="M3677" s="2"/>
      <c r="N3677" s="8">
        <v>41833.536099537036</v>
      </c>
      <c r="O3677" s="4" t="s">
        <v>34</v>
      </c>
      <c r="P3677" s="3" t="s">
        <v>1213</v>
      </c>
      <c r="Q3677" s="4"/>
      <c r="R3677" s="4"/>
      <c r="S3677" s="9" t="str">
        <f>HYPERLINK("https://pbs.twimg.com/profile_images/958374868008960000/IRXSv5-C.jpg","View")</f>
        <v>View</v>
      </c>
    </row>
    <row r="3678" spans="1:19" ht="20">
      <c r="A3678" s="8">
        <v>43341.794710648144</v>
      </c>
      <c r="B3678" s="11" t="str">
        <f>HYPERLINK("https://twitter.com/mirzadeh_ali","@mirzadeh_ali")</f>
        <v>@mirzadeh_ali</v>
      </c>
      <c r="C3678" s="6" t="s">
        <v>7215</v>
      </c>
      <c r="D3678" s="5" t="s">
        <v>7214</v>
      </c>
      <c r="E3678" s="9" t="str">
        <f>HYPERLINK("https://twitter.com/mirzadeh_ali/status/1034811505550733317","1034811505550733317")</f>
        <v>1034811505550733317</v>
      </c>
      <c r="F3678" s="4"/>
      <c r="G3678" s="10" t="s">
        <v>7213</v>
      </c>
      <c r="H3678" s="4"/>
      <c r="I3678" s="10" t="str">
        <f>HYPERLINK("http://twitter.com/download/android","Twitter for Android")</f>
        <v>Twitter for Android</v>
      </c>
      <c r="J3678" s="2">
        <v>11</v>
      </c>
      <c r="K3678" s="2">
        <v>39</v>
      </c>
      <c r="L3678" s="2">
        <v>0</v>
      </c>
      <c r="M3678" s="2"/>
      <c r="N3678" s="8">
        <v>43270.900127314817</v>
      </c>
      <c r="O3678" s="4"/>
      <c r="P3678" s="3" t="s">
        <v>7212</v>
      </c>
      <c r="Q3678" s="4"/>
      <c r="R3678" s="4"/>
      <c r="S3678" s="9" t="str">
        <f>HYPERLINK("https://pbs.twimg.com/profile_images/1009121440220827648/didJGnzH.jpg","View")</f>
        <v>View</v>
      </c>
    </row>
    <row r="3679" spans="1:19" ht="20">
      <c r="A3679" s="8">
        <v>43341.794537037036</v>
      </c>
      <c r="B3679" s="11" t="str">
        <f>HYPERLINK("https://twitter.com/ASadighha","@ASadighha")</f>
        <v>@ASadighha</v>
      </c>
      <c r="C3679" s="6" t="s">
        <v>7199</v>
      </c>
      <c r="D3679" s="5" t="s">
        <v>7211</v>
      </c>
      <c r="E3679" s="9" t="str">
        <f>HYPERLINK("https://twitter.com/ASadighha/status/1034811442308861952","1034811442308861952")</f>
        <v>1034811442308861952</v>
      </c>
      <c r="F3679" s="4"/>
      <c r="G3679" s="4"/>
      <c r="H3679" s="4"/>
      <c r="I3679" s="10" t="str">
        <f>HYPERLINK("http://twitter.com/download/iphone","Twitter for iPhone")</f>
        <v>Twitter for iPhone</v>
      </c>
      <c r="J3679" s="2">
        <v>4</v>
      </c>
      <c r="K3679" s="2">
        <v>31</v>
      </c>
      <c r="L3679" s="2">
        <v>0</v>
      </c>
      <c r="M3679" s="2"/>
      <c r="N3679" s="8">
        <v>43332.686087962968</v>
      </c>
      <c r="O3679" s="4"/>
      <c r="P3679" s="3" t="s">
        <v>7197</v>
      </c>
      <c r="Q3679" s="4"/>
      <c r="R3679" s="4"/>
      <c r="S3679" s="2" t="s">
        <v>155</v>
      </c>
    </row>
    <row r="3680" spans="1:19" ht="30">
      <c r="A3680" s="8">
        <v>43341.794074074074</v>
      </c>
      <c r="B3680" s="11" t="str">
        <f>HYPERLINK("https://twitter.com/Amoo_Sibilou","@Amoo_Sibilou")</f>
        <v>@Amoo_Sibilou</v>
      </c>
      <c r="C3680" s="6" t="s">
        <v>1463</v>
      </c>
      <c r="D3680" s="5" t="s">
        <v>7210</v>
      </c>
      <c r="E3680" s="9" t="str">
        <f>HYPERLINK("https://twitter.com/Amoo_Sibilou/status/1034811274075492354","1034811274075492354")</f>
        <v>1034811274075492354</v>
      </c>
      <c r="F3680" s="4"/>
      <c r="G3680" s="4"/>
      <c r="H3680" s="4"/>
      <c r="I3680" s="10" t="str">
        <f>HYPERLINK("http://twitter.com/download/iphone","Twitter for iPhone")</f>
        <v>Twitter for iPhone</v>
      </c>
      <c r="J3680" s="2">
        <v>463</v>
      </c>
      <c r="K3680" s="2">
        <v>312</v>
      </c>
      <c r="L3680" s="2">
        <v>0</v>
      </c>
      <c r="M3680" s="2"/>
      <c r="N3680" s="8">
        <v>43101.114201388889</v>
      </c>
      <c r="O3680" s="4" t="s">
        <v>4543</v>
      </c>
      <c r="P3680" s="3" t="s">
        <v>4542</v>
      </c>
      <c r="Q3680" s="4"/>
      <c r="R3680" s="4"/>
      <c r="S3680" s="9" t="str">
        <f>HYPERLINK("https://pbs.twimg.com/profile_images/1030554319446106112/lrtsaY6a.jpg","View")</f>
        <v>View</v>
      </c>
    </row>
    <row r="3681" spans="1:19" ht="30">
      <c r="A3681" s="8">
        <v>43341.79310185185</v>
      </c>
      <c r="B3681" s="11" t="str">
        <f>HYPERLINK("https://twitter.com/Mohammad_tak19","@Mohammad_tak19")</f>
        <v>@Mohammad_tak19</v>
      </c>
      <c r="C3681" s="6" t="s">
        <v>3278</v>
      </c>
      <c r="D3681" s="5" t="s">
        <v>7209</v>
      </c>
      <c r="E3681" s="9" t="str">
        <f>HYPERLINK("https://twitter.com/Mohammad_tak19/status/1034810921468784642","1034810921468784642")</f>
        <v>1034810921468784642</v>
      </c>
      <c r="F3681" s="4"/>
      <c r="G3681" s="4"/>
      <c r="H3681" s="4"/>
      <c r="I3681" s="10" t="str">
        <f>HYPERLINK("http://twitter.com/download/android","Twitter for Android")</f>
        <v>Twitter for Android</v>
      </c>
      <c r="J3681" s="2">
        <v>62</v>
      </c>
      <c r="K3681" s="2">
        <v>94</v>
      </c>
      <c r="L3681" s="2">
        <v>0</v>
      </c>
      <c r="M3681" s="2"/>
      <c r="N3681" s="8">
        <v>42912.565752314811</v>
      </c>
      <c r="O3681" s="4"/>
      <c r="P3681" s="3"/>
      <c r="Q3681" s="4"/>
      <c r="R3681" s="4"/>
      <c r="S3681" s="9" t="str">
        <f>HYPERLINK("https://pbs.twimg.com/profile_images/989831020726947840/mQLC-eCI.jpg","View")</f>
        <v>View</v>
      </c>
    </row>
    <row r="3682" spans="1:19" ht="50">
      <c r="A3682" s="8">
        <v>43341.792951388888</v>
      </c>
      <c r="B3682" s="11" t="str">
        <f>HYPERLINK("https://twitter.com/kahenazam","@kahenazam")</f>
        <v>@kahenazam</v>
      </c>
      <c r="C3682" s="6" t="s">
        <v>429</v>
      </c>
      <c r="D3682" s="5" t="s">
        <v>7208</v>
      </c>
      <c r="E3682" s="9" t="str">
        <f>HYPERLINK("https://twitter.com/kahenazam/status/1034810867756478464","1034810867756478464")</f>
        <v>1034810867756478464</v>
      </c>
      <c r="F3682" s="4"/>
      <c r="G3682" s="4"/>
      <c r="H3682" s="4"/>
      <c r="I3682" s="10" t="str">
        <f>HYPERLINK("http://twitter.com/download/android","Twitter for Android")</f>
        <v>Twitter for Android</v>
      </c>
      <c r="J3682" s="2">
        <v>943</v>
      </c>
      <c r="K3682" s="2">
        <v>935</v>
      </c>
      <c r="L3682" s="2">
        <v>0</v>
      </c>
      <c r="M3682" s="2"/>
      <c r="N3682" s="8">
        <v>43269.098993055552</v>
      </c>
      <c r="O3682" s="4" t="s">
        <v>426</v>
      </c>
      <c r="P3682" s="3" t="s">
        <v>425</v>
      </c>
      <c r="Q3682" s="4"/>
      <c r="R3682" s="4"/>
      <c r="S3682" s="9" t="str">
        <f>HYPERLINK("https://pbs.twimg.com/profile_images/1011209672462827523/KSpmjdN6.jpg","View")</f>
        <v>View</v>
      </c>
    </row>
    <row r="3683" spans="1:19" ht="80">
      <c r="A3683" s="8">
        <v>43341.792754629627</v>
      </c>
      <c r="B3683" s="11" t="str">
        <f>HYPERLINK("https://twitter.com/Ak_alireza","@Ak_alireza")</f>
        <v>@Ak_alireza</v>
      </c>
      <c r="C3683" s="6" t="s">
        <v>7207</v>
      </c>
      <c r="D3683" s="5" t="s">
        <v>7206</v>
      </c>
      <c r="E3683" s="9" t="str">
        <f>HYPERLINK("https://twitter.com/Ak_alireza/status/1034810798328168450","1034810798328168450")</f>
        <v>1034810798328168450</v>
      </c>
      <c r="F3683" s="10" t="s">
        <v>7205</v>
      </c>
      <c r="G3683" s="10" t="s">
        <v>6950</v>
      </c>
      <c r="H3683" s="4"/>
      <c r="I3683" s="10" t="str">
        <f>HYPERLINK("http://twitter.com/download/iphone","Twitter for iPhone")</f>
        <v>Twitter for iPhone</v>
      </c>
      <c r="J3683" s="2">
        <v>292</v>
      </c>
      <c r="K3683" s="2">
        <v>1145</v>
      </c>
      <c r="L3683" s="2">
        <v>1</v>
      </c>
      <c r="M3683" s="2"/>
      <c r="N3683" s="8">
        <v>41478.900752314818</v>
      </c>
      <c r="O3683" s="4" t="s">
        <v>7204</v>
      </c>
      <c r="P3683" s="3" t="s">
        <v>7203</v>
      </c>
      <c r="Q3683" s="4"/>
      <c r="R3683" s="4"/>
      <c r="S3683" s="9" t="str">
        <f>HYPERLINK("https://pbs.twimg.com/profile_images/1023832841623429121/8abEFhOf.jpg","View")</f>
        <v>View</v>
      </c>
    </row>
    <row r="3684" spans="1:19" ht="20">
      <c r="A3684" s="8">
        <v>43341.791886574079</v>
      </c>
      <c r="B3684" s="11" t="str">
        <f>HYPERLINK("https://twitter.com/Mohsen46827799","@Mohsen46827799")</f>
        <v>@Mohsen46827799</v>
      </c>
      <c r="C3684" s="6" t="s">
        <v>49</v>
      </c>
      <c r="D3684" s="5" t="s">
        <v>7202</v>
      </c>
      <c r="E3684" s="9" t="str">
        <f>HYPERLINK("https://twitter.com/Mohsen46827799/status/1034810483101102082","1034810483101102082")</f>
        <v>1034810483101102082</v>
      </c>
      <c r="F3684" s="4"/>
      <c r="G3684" s="4"/>
      <c r="H3684" s="4"/>
      <c r="I3684" s="10" t="str">
        <f>HYPERLINK("http://twitter.com/download/android","Twitter for Android")</f>
        <v>Twitter for Android</v>
      </c>
      <c r="J3684" s="2">
        <v>182</v>
      </c>
      <c r="K3684" s="2">
        <v>67</v>
      </c>
      <c r="L3684" s="2">
        <v>0</v>
      </c>
      <c r="M3684" s="2"/>
      <c r="N3684" s="8">
        <v>43282.08929398148</v>
      </c>
      <c r="O3684" s="4"/>
      <c r="P3684" s="3" t="s">
        <v>47</v>
      </c>
      <c r="Q3684" s="4"/>
      <c r="R3684" s="4"/>
      <c r="S3684" s="9" t="str">
        <f>HYPERLINK("https://pbs.twimg.com/profile_images/1030824684663783424/Igfrv82s.jpg","View")</f>
        <v>View</v>
      </c>
    </row>
    <row r="3685" spans="1:19" ht="20">
      <c r="A3685" s="8">
        <v>43341.79178240741</v>
      </c>
      <c r="B3685" s="11" t="str">
        <f>HYPERLINK("https://twitter.com/Entekhab_News","@Entekhab_News")</f>
        <v>@Entekhab_News</v>
      </c>
      <c r="C3685" s="6" t="s">
        <v>519</v>
      </c>
      <c r="D3685" s="5" t="s">
        <v>7201</v>
      </c>
      <c r="E3685" s="9" t="str">
        <f>HYPERLINK("https://twitter.com/Entekhab_News/status/1034810442558984192","1034810442558984192")</f>
        <v>1034810442558984192</v>
      </c>
      <c r="F3685" s="4"/>
      <c r="G3685" s="10" t="s">
        <v>7200</v>
      </c>
      <c r="H3685" s="4"/>
      <c r="I3685" s="10" t="str">
        <f>HYPERLINK("http://twitter.com/download/android","Twitter for Android")</f>
        <v>Twitter for Android</v>
      </c>
      <c r="J3685" s="2">
        <v>16187</v>
      </c>
      <c r="K3685" s="2">
        <v>0</v>
      </c>
      <c r="L3685" s="2">
        <v>152</v>
      </c>
      <c r="M3685" s="2"/>
      <c r="N3685" s="8">
        <v>41846.90483796296</v>
      </c>
      <c r="O3685" s="4" t="s">
        <v>244</v>
      </c>
      <c r="P3685" s="3" t="s">
        <v>517</v>
      </c>
      <c r="Q3685" s="10" t="s">
        <v>516</v>
      </c>
      <c r="R3685" s="4"/>
      <c r="S3685" s="9" t="str">
        <f>HYPERLINK("https://pbs.twimg.com/profile_images/840302676332146689/objFI1sw.jpg","View")</f>
        <v>View</v>
      </c>
    </row>
    <row r="3686" spans="1:19" ht="20">
      <c r="A3686" s="8">
        <v>43341.79173611111</v>
      </c>
      <c r="B3686" s="11" t="str">
        <f>HYPERLINK("https://twitter.com/ASadighha","@ASadighha")</f>
        <v>@ASadighha</v>
      </c>
      <c r="C3686" s="6" t="s">
        <v>7199</v>
      </c>
      <c r="D3686" s="5" t="s">
        <v>7198</v>
      </c>
      <c r="E3686" s="9" t="str">
        <f>HYPERLINK("https://twitter.com/ASadighha/status/1034810428361043968","1034810428361043968")</f>
        <v>1034810428361043968</v>
      </c>
      <c r="F3686" s="4"/>
      <c r="G3686" s="4"/>
      <c r="H3686" s="4"/>
      <c r="I3686" s="10" t="str">
        <f>HYPERLINK("http://twitter.com/download/iphone","Twitter for iPhone")</f>
        <v>Twitter for iPhone</v>
      </c>
      <c r="J3686" s="2">
        <v>4</v>
      </c>
      <c r="K3686" s="2">
        <v>31</v>
      </c>
      <c r="L3686" s="2">
        <v>0</v>
      </c>
      <c r="M3686" s="2"/>
      <c r="N3686" s="8">
        <v>43332.686087962968</v>
      </c>
      <c r="O3686" s="4"/>
      <c r="P3686" s="3" t="s">
        <v>7197</v>
      </c>
      <c r="Q3686" s="4"/>
      <c r="R3686" s="4"/>
      <c r="S3686" s="2" t="s">
        <v>155</v>
      </c>
    </row>
    <row r="3687" spans="1:19" ht="40">
      <c r="A3687" s="8">
        <v>43341.791724537034</v>
      </c>
      <c r="B3687" s="11" t="str">
        <f>HYPERLINK("https://twitter.com/arash_hooshmand","@arash_hooshmand")</f>
        <v>@arash_hooshmand</v>
      </c>
      <c r="C3687" s="6" t="s">
        <v>7196</v>
      </c>
      <c r="D3687" s="5" t="s">
        <v>7195</v>
      </c>
      <c r="E3687" s="9" t="str">
        <f>HYPERLINK("https://twitter.com/arash_hooshmand/status/1034810421717487616","1034810421717487616")</f>
        <v>1034810421717487616</v>
      </c>
      <c r="F3687" s="4"/>
      <c r="G3687" s="4"/>
      <c r="H3687" s="4"/>
      <c r="I3687" s="10" t="str">
        <f>HYPERLINK("http://twitter.com","Twitter Web Client")</f>
        <v>Twitter Web Client</v>
      </c>
      <c r="J3687" s="2">
        <v>242</v>
      </c>
      <c r="K3687" s="2">
        <v>67</v>
      </c>
      <c r="L3687" s="2">
        <v>4</v>
      </c>
      <c r="M3687" s="2"/>
      <c r="N3687" s="8">
        <v>39983.13722222222</v>
      </c>
      <c r="O3687" s="4"/>
      <c r="P3687" s="3" t="s">
        <v>7194</v>
      </c>
      <c r="Q3687" s="4"/>
      <c r="R3687" s="4"/>
      <c r="S3687" s="9" t="str">
        <f>HYPERLINK("https://pbs.twimg.com/profile_images/270088753/Hooshmand_Arash_April_2008.jpg","View")</f>
        <v>View</v>
      </c>
    </row>
    <row r="3688" spans="1:19" ht="20">
      <c r="A3688" s="8">
        <v>43341.7893287037</v>
      </c>
      <c r="B3688" s="11" t="str">
        <f>HYPERLINK("https://twitter.com/2wZBX5ZjIXuUUjp","@2wZBX5ZjIXuUUjp")</f>
        <v>@2wZBX5ZjIXuUUjp</v>
      </c>
      <c r="C3688" s="6" t="s">
        <v>7193</v>
      </c>
      <c r="D3688" s="5" t="s">
        <v>7192</v>
      </c>
      <c r="E3688" s="9" t="str">
        <f>HYPERLINK("https://twitter.com/2wZBX5ZjIXuUUjp/status/1034809554264055809","1034809554264055809")</f>
        <v>1034809554264055809</v>
      </c>
      <c r="F3688" s="4"/>
      <c r="G3688" s="10" t="s">
        <v>7191</v>
      </c>
      <c r="H3688" s="4"/>
      <c r="I3688" s="10" t="str">
        <f>HYPERLINK("http://twitter.com/download/android","Twitter for Android")</f>
        <v>Twitter for Android</v>
      </c>
      <c r="J3688" s="2">
        <v>16</v>
      </c>
      <c r="K3688" s="2">
        <v>20</v>
      </c>
      <c r="L3688" s="2">
        <v>0</v>
      </c>
      <c r="M3688" s="2"/>
      <c r="N3688" s="8">
        <v>43329.861805555556</v>
      </c>
      <c r="O3688" s="4"/>
      <c r="P3688" s="3" t="s">
        <v>7190</v>
      </c>
      <c r="Q3688" s="4"/>
      <c r="R3688" s="4"/>
      <c r="S3688" s="9" t="str">
        <f>HYPERLINK("https://pbs.twimg.com/profile_images/1030522263362318336/Bp9iLWPi.jpg","View")</f>
        <v>View</v>
      </c>
    </row>
    <row r="3689" spans="1:19" ht="40">
      <c r="A3689" s="8">
        <v>43341.789143518516</v>
      </c>
      <c r="B3689" s="11" t="str">
        <f>HYPERLINK("https://twitter.com/kourosh_torabi","@kourosh_torabi")</f>
        <v>@kourosh_torabi</v>
      </c>
      <c r="C3689" s="6" t="s">
        <v>2314</v>
      </c>
      <c r="D3689" s="5" t="s">
        <v>7189</v>
      </c>
      <c r="E3689" s="9" t="str">
        <f>HYPERLINK("https://twitter.com/kourosh_torabi/status/1034809489415790592","1034809489415790592")</f>
        <v>1034809489415790592</v>
      </c>
      <c r="F3689" s="4"/>
      <c r="G3689" s="4"/>
      <c r="H3689" s="4"/>
      <c r="I3689" s="10" t="str">
        <f>HYPERLINK("http://twitter.com/download/android","Twitter for Android")</f>
        <v>Twitter for Android</v>
      </c>
      <c r="J3689" s="2">
        <v>395</v>
      </c>
      <c r="K3689" s="2">
        <v>2119</v>
      </c>
      <c r="L3689" s="2">
        <v>1</v>
      </c>
      <c r="M3689" s="2"/>
      <c r="N3689" s="8">
        <v>42899.699155092589</v>
      </c>
      <c r="O3689" s="4" t="s">
        <v>34</v>
      </c>
      <c r="P3689" s="3" t="s">
        <v>2312</v>
      </c>
      <c r="Q3689" s="4"/>
      <c r="R3689" s="4"/>
      <c r="S3689" s="9" t="str">
        <f>HYPERLINK("https://pbs.twimg.com/profile_images/879795634764750849/34v1vnrg.jpg","View")</f>
        <v>View</v>
      </c>
    </row>
    <row r="3690" spans="1:19" ht="20">
      <c r="A3690" s="8">
        <v>43341.787569444445</v>
      </c>
      <c r="B3690" s="11" t="str">
        <f>HYPERLINK("https://twitter.com/hossein1440","@hossein1440")</f>
        <v>@hossein1440</v>
      </c>
      <c r="C3690" s="6" t="s">
        <v>206</v>
      </c>
      <c r="D3690" s="5" t="s">
        <v>7188</v>
      </c>
      <c r="E3690" s="9" t="str">
        <f>HYPERLINK("https://twitter.com/hossein1440/status/1034808919682674688","1034808919682674688")</f>
        <v>1034808919682674688</v>
      </c>
      <c r="F3690" s="4"/>
      <c r="G3690" s="10" t="s">
        <v>7187</v>
      </c>
      <c r="H3690" s="4"/>
      <c r="I3690" s="10" t="str">
        <f>HYPERLINK("http://twitter.com/download/android","Twitter for Android")</f>
        <v>Twitter for Android</v>
      </c>
      <c r="J3690" s="2">
        <v>242</v>
      </c>
      <c r="K3690" s="2">
        <v>395</v>
      </c>
      <c r="L3690" s="2">
        <v>0</v>
      </c>
      <c r="M3690" s="2"/>
      <c r="N3690" s="8">
        <v>43259.933495370366</v>
      </c>
      <c r="O3690" s="4" t="s">
        <v>17</v>
      </c>
      <c r="P3690" s="3" t="s">
        <v>204</v>
      </c>
      <c r="Q3690" s="4"/>
      <c r="R3690" s="4"/>
      <c r="S3690" s="9" t="str">
        <f>HYPERLINK("https://pbs.twimg.com/profile_images/1023239182867681281/A18ja227.jpg","View")</f>
        <v>View</v>
      </c>
    </row>
    <row r="3691" spans="1:19" ht="30">
      <c r="A3691" s="8">
        <v>43341.787002314813</v>
      </c>
      <c r="B3691" s="11" t="str">
        <f>HYPERLINK("https://twitter.com/believeunn","@believeunn")</f>
        <v>@believeunn</v>
      </c>
      <c r="C3691" s="6" t="s">
        <v>7186</v>
      </c>
      <c r="D3691" s="5" t="s">
        <v>7185</v>
      </c>
      <c r="E3691" s="9" t="str">
        <f>HYPERLINK("https://twitter.com/believeunn/status/1034808712236617729","1034808712236617729")</f>
        <v>1034808712236617729</v>
      </c>
      <c r="F3691" s="4"/>
      <c r="G3691" s="4"/>
      <c r="H3691" s="4"/>
      <c r="I3691" s="10" t="str">
        <f>HYPERLINK("http://twitter.com/download/android","Twitter for Android")</f>
        <v>Twitter for Android</v>
      </c>
      <c r="J3691" s="2">
        <v>62</v>
      </c>
      <c r="K3691" s="2">
        <v>88</v>
      </c>
      <c r="L3691" s="2">
        <v>1</v>
      </c>
      <c r="M3691" s="2"/>
      <c r="N3691" s="8">
        <v>43059.994525462964</v>
      </c>
      <c r="O3691" s="4" t="s">
        <v>104</v>
      </c>
      <c r="P3691" s="3" t="s">
        <v>7184</v>
      </c>
      <c r="Q3691" s="4"/>
      <c r="R3691" s="4"/>
      <c r="S3691" s="9" t="str">
        <f>HYPERLINK("https://pbs.twimg.com/profile_images/936515982595706880/Cj8XkViJ.jpg","View")</f>
        <v>View</v>
      </c>
    </row>
    <row r="3692" spans="1:19" ht="30">
      <c r="A3692" s="8">
        <v>43341.786574074074</v>
      </c>
      <c r="B3692" s="11" t="str">
        <f>HYPERLINK("https://twitter.com/emelianozpt","@emelianozpt")</f>
        <v>@emelianozpt</v>
      </c>
      <c r="C3692" s="6" t="s">
        <v>2405</v>
      </c>
      <c r="D3692" s="5" t="s">
        <v>7183</v>
      </c>
      <c r="E3692" s="9" t="str">
        <f>HYPERLINK("https://twitter.com/emelianozpt/status/1034808557395435521","1034808557395435521")</f>
        <v>1034808557395435521</v>
      </c>
      <c r="F3692" s="4"/>
      <c r="G3692" s="4"/>
      <c r="H3692" s="4"/>
      <c r="I3692" s="10" t="str">
        <f>HYPERLINK("http://twitter.com","Twitter Web Client")</f>
        <v>Twitter Web Client</v>
      </c>
      <c r="J3692" s="2">
        <v>7750</v>
      </c>
      <c r="K3692" s="2">
        <v>2021</v>
      </c>
      <c r="L3692" s="2">
        <v>34</v>
      </c>
      <c r="M3692" s="2"/>
      <c r="N3692" s="8">
        <v>42841.908067129625</v>
      </c>
      <c r="O3692" s="4" t="s">
        <v>2403</v>
      </c>
      <c r="P3692" s="3" t="s">
        <v>2402</v>
      </c>
      <c r="Q3692" s="4"/>
      <c r="R3692" s="4"/>
      <c r="S3692" s="9" t="str">
        <f>HYPERLINK("https://pbs.twimg.com/profile_images/1025257729127075840/yKvSI7yL.jpg","View")</f>
        <v>View</v>
      </c>
    </row>
    <row r="3693" spans="1:19" ht="40">
      <c r="A3693" s="8">
        <v>43341.785879629635</v>
      </c>
      <c r="B3693" s="11" t="str">
        <f>HYPERLINK("https://twitter.com/Revolut78687786","@Revolut78687786")</f>
        <v>@Revolut78687786</v>
      </c>
      <c r="C3693" s="6" t="s">
        <v>7182</v>
      </c>
      <c r="D3693" s="5" t="s">
        <v>7181</v>
      </c>
      <c r="E3693" s="9" t="str">
        <f>HYPERLINK("https://twitter.com/Revolut78687786/status/1034808306546573312","1034808306546573312")</f>
        <v>1034808306546573312</v>
      </c>
      <c r="F3693" s="4"/>
      <c r="G3693" s="4"/>
      <c r="H3693" s="4"/>
      <c r="I3693" s="10" t="str">
        <f>HYPERLINK("http://twitter.com/download/android","Twitter for Android")</f>
        <v>Twitter for Android</v>
      </c>
      <c r="J3693" s="2">
        <v>702</v>
      </c>
      <c r="K3693" s="2">
        <v>1406</v>
      </c>
      <c r="L3693" s="2">
        <v>0</v>
      </c>
      <c r="M3693" s="2"/>
      <c r="N3693" s="8">
        <v>43305.912905092591</v>
      </c>
      <c r="O3693" s="4"/>
      <c r="P3693" s="3" t="s">
        <v>7180</v>
      </c>
      <c r="Q3693" s="4"/>
      <c r="R3693" s="4"/>
      <c r="S3693" s="9" t="str">
        <f>HYPERLINK("https://pbs.twimg.com/profile_images/1034700075266711552/zlfs3CLC.jpg","View")</f>
        <v>View</v>
      </c>
    </row>
    <row r="3694" spans="1:19" ht="20">
      <c r="A3694" s="8">
        <v>43341.784756944442</v>
      </c>
      <c r="B3694" s="11" t="str">
        <f>HYPERLINK("https://twitter.com/_SepahSalar","@_SepahSalar")</f>
        <v>@_SepahSalar</v>
      </c>
      <c r="C3694" s="6" t="s">
        <v>3730</v>
      </c>
      <c r="D3694" s="5" t="s">
        <v>7179</v>
      </c>
      <c r="E3694" s="9" t="str">
        <f>HYPERLINK("https://twitter.com/_SepahSalar/status/1034807896868048897","1034807896868048897")</f>
        <v>1034807896868048897</v>
      </c>
      <c r="F3694" s="4"/>
      <c r="G3694" s="10" t="s">
        <v>7178</v>
      </c>
      <c r="H3694" s="4"/>
      <c r="I3694" s="10" t="str">
        <f>HYPERLINK("http://twitter.com/download/android","Twitter for Android")</f>
        <v>Twitter for Android</v>
      </c>
      <c r="J3694" s="2">
        <v>1013</v>
      </c>
      <c r="K3694" s="2">
        <v>663</v>
      </c>
      <c r="L3694" s="2">
        <v>4</v>
      </c>
      <c r="M3694" s="2"/>
      <c r="N3694" s="8">
        <v>43038.902962962966</v>
      </c>
      <c r="O3694" s="4" t="s">
        <v>104</v>
      </c>
      <c r="P3694" s="3" t="s">
        <v>3728</v>
      </c>
      <c r="Q3694" s="4"/>
      <c r="R3694" s="4"/>
      <c r="S3694" s="9" t="str">
        <f>HYPERLINK("https://pbs.twimg.com/profile_images/983765135893454851/3QQtg4-I.jpg","View")</f>
        <v>View</v>
      </c>
    </row>
    <row r="3695" spans="1:19" ht="30">
      <c r="A3695" s="8">
        <v>43341.78396990741</v>
      </c>
      <c r="B3695" s="11" t="str">
        <f>HYPERLINK("https://twitter.com/zalilolroaya","@zalilolroaya")</f>
        <v>@zalilolroaya</v>
      </c>
      <c r="C3695" s="6" t="s">
        <v>7177</v>
      </c>
      <c r="D3695" s="5" t="s">
        <v>7176</v>
      </c>
      <c r="E3695" s="9" t="str">
        <f>HYPERLINK("https://twitter.com/zalilolroaya/status/1034807613047943168","1034807613047943168")</f>
        <v>1034807613047943168</v>
      </c>
      <c r="F3695" s="4"/>
      <c r="G3695" s="4"/>
      <c r="H3695" s="4"/>
      <c r="I3695" s="10" t="str">
        <f>HYPERLINK("http://twitter.com/download/iphone","Twitter for iPhone")</f>
        <v>Twitter for iPhone</v>
      </c>
      <c r="J3695" s="2">
        <v>1610</v>
      </c>
      <c r="K3695" s="2">
        <v>1575</v>
      </c>
      <c r="L3695" s="2">
        <v>2</v>
      </c>
      <c r="M3695" s="2"/>
      <c r="N3695" s="8">
        <v>42889.506053240737</v>
      </c>
      <c r="O3695" s="4" t="s">
        <v>7175</v>
      </c>
      <c r="P3695" s="3" t="s">
        <v>7174</v>
      </c>
      <c r="Q3695" s="4"/>
      <c r="R3695" s="4"/>
      <c r="S3695" s="9" t="str">
        <f>HYPERLINK("https://pbs.twimg.com/profile_images/870909870085734400/12tAqNWZ.jpg","View")</f>
        <v>View</v>
      </c>
    </row>
    <row r="3696" spans="1:19" ht="40">
      <c r="A3696" s="8">
        <v>43341.78334490741</v>
      </c>
      <c r="B3696" s="11" t="str">
        <f>HYPERLINK("https://twitter.com/barbarossa202","@barbarossa202")</f>
        <v>@barbarossa202</v>
      </c>
      <c r="C3696" s="6" t="s">
        <v>7173</v>
      </c>
      <c r="D3696" s="5" t="s">
        <v>7172</v>
      </c>
      <c r="E3696" s="9" t="str">
        <f>HYPERLINK("https://twitter.com/barbarossa202/status/1034807385406222346","1034807385406222346")</f>
        <v>1034807385406222346</v>
      </c>
      <c r="F3696" s="4"/>
      <c r="G3696" s="4"/>
      <c r="H3696" s="4"/>
      <c r="I3696" s="10" t="str">
        <f>HYPERLINK("http://twitter.com/download/android","Twitter for Android")</f>
        <v>Twitter for Android</v>
      </c>
      <c r="J3696" s="2">
        <v>68</v>
      </c>
      <c r="K3696" s="2">
        <v>210</v>
      </c>
      <c r="L3696" s="2">
        <v>0</v>
      </c>
      <c r="M3696" s="2"/>
      <c r="N3696" s="8">
        <v>42887.51966435185</v>
      </c>
      <c r="O3696" s="4" t="s">
        <v>7171</v>
      </c>
      <c r="P3696" s="3" t="s">
        <v>7170</v>
      </c>
      <c r="Q3696" s="4"/>
      <c r="R3696" s="4"/>
      <c r="S3696" s="2" t="s">
        <v>155</v>
      </c>
    </row>
    <row r="3697" spans="1:19" ht="40">
      <c r="A3697" s="8">
        <v>43341.782094907408</v>
      </c>
      <c r="B3697" s="11" t="str">
        <f>HYPERLINK("https://twitter.com/poriya996","@poriya996")</f>
        <v>@poriya996</v>
      </c>
      <c r="C3697" s="6" t="s">
        <v>7169</v>
      </c>
      <c r="D3697" s="5" t="s">
        <v>1456</v>
      </c>
      <c r="E3697" s="9" t="str">
        <f>HYPERLINK("https://twitter.com/poriya996/status/1034806934493454336","1034806934493454336")</f>
        <v>1034806934493454336</v>
      </c>
      <c r="F3697" s="4"/>
      <c r="G3697" s="4"/>
      <c r="H3697" s="4"/>
      <c r="I3697" s="10" t="str">
        <f>HYPERLINK("http://twitter.com/download/android","Twitter for Android")</f>
        <v>Twitter for Android</v>
      </c>
      <c r="J3697" s="2">
        <v>16</v>
      </c>
      <c r="K3697" s="2">
        <v>15</v>
      </c>
      <c r="L3697" s="2">
        <v>0</v>
      </c>
      <c r="M3697" s="2"/>
      <c r="N3697" s="8">
        <v>43287.580185185187</v>
      </c>
      <c r="O3697" s="4"/>
      <c r="P3697" s="3" t="s">
        <v>7168</v>
      </c>
      <c r="Q3697" s="4"/>
      <c r="R3697" s="4"/>
      <c r="S3697" s="9" t="str">
        <f>HYPERLINK("https://pbs.twimg.com/profile_images/1022238957550092288/ICJcTV-f.jpg","View")</f>
        <v>View</v>
      </c>
    </row>
    <row r="3698" spans="1:19" ht="30">
      <c r="A3698" s="8">
        <v>43341.781828703708</v>
      </c>
      <c r="B3698" s="11" t="str">
        <f>HYPERLINK("https://twitter.com/ShahrivarDokht","@ShahrivarDokht")</f>
        <v>@ShahrivarDokht</v>
      </c>
      <c r="C3698" s="6" t="s">
        <v>1096</v>
      </c>
      <c r="D3698" s="5" t="s">
        <v>7167</v>
      </c>
      <c r="E3698" s="9" t="str">
        <f>HYPERLINK("https://twitter.com/ShahrivarDokht/status/1034806839395926017","1034806839395926017")</f>
        <v>1034806839395926017</v>
      </c>
      <c r="F3698" s="10" t="s">
        <v>7166</v>
      </c>
      <c r="G3698" s="4"/>
      <c r="H3698" s="4"/>
      <c r="I3698" s="10" t="str">
        <f>HYPERLINK("http://twitter.com/download/android","Twitter for Android")</f>
        <v>Twitter for Android</v>
      </c>
      <c r="J3698" s="2">
        <v>2841</v>
      </c>
      <c r="K3698" s="2">
        <v>2941</v>
      </c>
      <c r="L3698" s="2">
        <v>4</v>
      </c>
      <c r="M3698" s="2"/>
      <c r="N3698" s="8">
        <v>43232.907650462963</v>
      </c>
      <c r="O3698" s="4" t="s">
        <v>17</v>
      </c>
      <c r="P3698" s="3" t="s">
        <v>1094</v>
      </c>
      <c r="Q3698" s="4"/>
      <c r="R3698" s="4"/>
      <c r="S3698" s="9" t="str">
        <f>HYPERLINK("https://pbs.twimg.com/profile_images/1009806470165225472/0jnAt4qJ.jpg","View")</f>
        <v>View</v>
      </c>
    </row>
    <row r="3699" spans="1:19" ht="20">
      <c r="A3699" s="8">
        <v>43341.780914351853</v>
      </c>
      <c r="B3699" s="11" t="str">
        <f>HYPERLINK("https://twitter.com/mohammedhojjati","@mohammedhojjati")</f>
        <v>@mohammedhojjati</v>
      </c>
      <c r="C3699" s="6" t="s">
        <v>7165</v>
      </c>
      <c r="D3699" s="5" t="s">
        <v>7164</v>
      </c>
      <c r="E3699" s="9" t="str">
        <f>HYPERLINK("https://twitter.com/mohammedhojjati/status/1034806504422035457","1034806504422035457")</f>
        <v>1034806504422035457</v>
      </c>
      <c r="F3699" s="4"/>
      <c r="G3699" s="4"/>
      <c r="H3699" s="4"/>
      <c r="I3699" s="10" t="str">
        <f>HYPERLINK("http://twitter.com/download/android","Twitter for Android")</f>
        <v>Twitter for Android</v>
      </c>
      <c r="J3699" s="2">
        <v>3140</v>
      </c>
      <c r="K3699" s="2">
        <v>3408</v>
      </c>
      <c r="L3699" s="2">
        <v>0</v>
      </c>
      <c r="M3699" s="2"/>
      <c r="N3699" s="8">
        <v>42182.656412037039</v>
      </c>
      <c r="O3699" s="4"/>
      <c r="P3699" s="3" t="s">
        <v>7163</v>
      </c>
      <c r="Q3699" s="4"/>
      <c r="R3699" s="4"/>
      <c r="S3699" s="9" t="str">
        <f>HYPERLINK("https://pbs.twimg.com/profile_images/989203452847886337/Gg4URPQB.jpg","View")</f>
        <v>View</v>
      </c>
    </row>
    <row r="3700" spans="1:19" ht="20">
      <c r="A3700" s="8">
        <v>43341.780624999999</v>
      </c>
      <c r="B3700" s="11" t="str">
        <f>HYPERLINK("https://twitter.com/RoozPortal","@RoozPortal")</f>
        <v>@RoozPortal</v>
      </c>
      <c r="C3700" s="6" t="s">
        <v>103</v>
      </c>
      <c r="D3700" s="5" t="s">
        <v>7162</v>
      </c>
      <c r="E3700" s="9" t="str">
        <f>HYPERLINK("https://twitter.com/RoozPortal/status/1034806403096080385","1034806403096080385")</f>
        <v>1034806403096080385</v>
      </c>
      <c r="F3700" s="10" t="s">
        <v>7161</v>
      </c>
      <c r="G3700" s="4"/>
      <c r="H3700" s="4"/>
      <c r="I3700" s="10" t="str">
        <f>HYPERLINK("http://twitter.com","Twitter Web Client")</f>
        <v>Twitter Web Client</v>
      </c>
      <c r="J3700" s="2">
        <v>709</v>
      </c>
      <c r="K3700" s="2">
        <v>66</v>
      </c>
      <c r="L3700" s="2">
        <v>0</v>
      </c>
      <c r="M3700" s="2"/>
      <c r="N3700" s="8">
        <v>42955.651608796295</v>
      </c>
      <c r="O3700" s="4"/>
      <c r="P3700" s="3" t="s">
        <v>100</v>
      </c>
      <c r="Q3700" s="10" t="s">
        <v>99</v>
      </c>
      <c r="R3700" s="4"/>
      <c r="S3700" s="9" t="str">
        <f>HYPERLINK("https://pbs.twimg.com/profile_images/894879327573114884/JSAl1mw-.jpg","View")</f>
        <v>View</v>
      </c>
    </row>
    <row r="3701" spans="1:19" ht="20">
      <c r="A3701" s="8">
        <v>43341.780092592591</v>
      </c>
      <c r="B3701" s="11" t="str">
        <f>HYPERLINK("https://twitter.com/hassansafarika","@hassansafarika")</f>
        <v>@hassansafarika</v>
      </c>
      <c r="C3701" s="6" t="s">
        <v>7160</v>
      </c>
      <c r="D3701" s="5" t="s">
        <v>7159</v>
      </c>
      <c r="E3701" s="9" t="str">
        <f>HYPERLINK("https://twitter.com/hassansafarika/status/1034806209964953600","1034806209964953600")</f>
        <v>1034806209964953600</v>
      </c>
      <c r="F3701" s="4"/>
      <c r="G3701" s="4"/>
      <c r="H3701" s="4"/>
      <c r="I3701" s="10" t="str">
        <f>HYPERLINK("http://twitter.com","Twitter Web Client")</f>
        <v>Twitter Web Client</v>
      </c>
      <c r="J3701" s="2">
        <v>1161</v>
      </c>
      <c r="K3701" s="2">
        <v>2193</v>
      </c>
      <c r="L3701" s="2">
        <v>3</v>
      </c>
      <c r="M3701" s="2"/>
      <c r="N3701" s="8">
        <v>43135.556874999995</v>
      </c>
      <c r="O3701" s="4" t="s">
        <v>17</v>
      </c>
      <c r="P3701" s="3" t="s">
        <v>7158</v>
      </c>
      <c r="Q3701" s="4"/>
      <c r="R3701" s="4"/>
      <c r="S3701" s="9" t="str">
        <f>HYPERLINK("https://pbs.twimg.com/profile_images/1009028943242985472/Rm6iR6ZA.jpg","View")</f>
        <v>View</v>
      </c>
    </row>
    <row r="3702" spans="1:19" ht="40">
      <c r="A3702" s="8">
        <v>43341.779479166667</v>
      </c>
      <c r="B3702" s="11" t="str">
        <f>HYPERLINK("https://twitter.com/Solidarity_ir","@Solidarity_ir")</f>
        <v>@Solidarity_ir</v>
      </c>
      <c r="C3702" s="6" t="s">
        <v>7157</v>
      </c>
      <c r="D3702" s="5" t="s">
        <v>7156</v>
      </c>
      <c r="E3702" s="9" t="str">
        <f>HYPERLINK("https://twitter.com/Solidarity_ir/status/1034805985817194496","1034805985817194496")</f>
        <v>1034805985817194496</v>
      </c>
      <c r="F3702" s="4"/>
      <c r="G3702" s="10" t="s">
        <v>7155</v>
      </c>
      <c r="H3702" s="4"/>
      <c r="I3702" s="10" t="str">
        <f>HYPERLINK("http://twitter.com/download/android","Twitter for Android")</f>
        <v>Twitter for Android</v>
      </c>
      <c r="J3702" s="2">
        <v>339</v>
      </c>
      <c r="K3702" s="2">
        <v>30</v>
      </c>
      <c r="L3702" s="2">
        <v>0</v>
      </c>
      <c r="M3702" s="2"/>
      <c r="N3702" s="8">
        <v>43000.750902777778</v>
      </c>
      <c r="O3702" s="4" t="s">
        <v>7154</v>
      </c>
      <c r="P3702" s="3" t="s">
        <v>7153</v>
      </c>
      <c r="Q3702" s="10" t="s">
        <v>7152</v>
      </c>
      <c r="R3702" s="4"/>
      <c r="S3702" s="9" t="str">
        <f>HYPERLINK("https://pbs.twimg.com/profile_images/948797318962163712/80Ttr-hg.jpg","View")</f>
        <v>View</v>
      </c>
    </row>
    <row r="3703" spans="1:19" ht="90">
      <c r="A3703" s="8">
        <v>43341.776666666672</v>
      </c>
      <c r="B3703" s="11" t="str">
        <f>HYPERLINK("https://twitter.com/daneshjoo_12","@daneshjoo_12")</f>
        <v>@daneshjoo_12</v>
      </c>
      <c r="C3703" s="6" t="s">
        <v>7151</v>
      </c>
      <c r="D3703" s="5" t="s">
        <v>7150</v>
      </c>
      <c r="E3703" s="9" t="str">
        <f>HYPERLINK("https://twitter.com/daneshjoo_12/status/1034804967960465408","1034804967960465408")</f>
        <v>1034804967960465408</v>
      </c>
      <c r="F3703" s="10" t="s">
        <v>7149</v>
      </c>
      <c r="G3703" s="4"/>
      <c r="H3703" s="4"/>
      <c r="I3703" s="10" t="str">
        <f>HYPERLINK("http://twitter.com/download/android","Twitter for Android")</f>
        <v>Twitter for Android</v>
      </c>
      <c r="J3703" s="2">
        <v>4754</v>
      </c>
      <c r="K3703" s="2">
        <v>5027</v>
      </c>
      <c r="L3703" s="2">
        <v>13</v>
      </c>
      <c r="M3703" s="2"/>
      <c r="N3703" s="8">
        <v>42818.541597222225</v>
      </c>
      <c r="O3703" s="4" t="s">
        <v>25</v>
      </c>
      <c r="P3703" s="3" t="s">
        <v>7148</v>
      </c>
      <c r="Q3703" s="4"/>
      <c r="R3703" s="4"/>
      <c r="S3703" s="9" t="str">
        <f>HYPERLINK("https://pbs.twimg.com/profile_images/983351378889379840/7aRHDbVY.jpg","View")</f>
        <v>View</v>
      </c>
    </row>
    <row r="3704" spans="1:19" ht="20">
      <c r="A3704" s="8">
        <v>43341.776597222226</v>
      </c>
      <c r="B3704" s="11" t="str">
        <f>HYPERLINK("https://twitter.com/asmayegharib","@asmayegharib")</f>
        <v>@asmayegharib</v>
      </c>
      <c r="C3704" s="6" t="s">
        <v>3526</v>
      </c>
      <c r="D3704" s="5" t="s">
        <v>7147</v>
      </c>
      <c r="E3704" s="9" t="str">
        <f>HYPERLINK("https://twitter.com/asmayegharib/status/1034804941976739840","1034804941976739840")</f>
        <v>1034804941976739840</v>
      </c>
      <c r="F3704" s="4"/>
      <c r="G3704" s="4"/>
      <c r="H3704" s="4"/>
      <c r="I3704" s="10" t="str">
        <f>HYPERLINK("http://twitter.com/download/android","Twitter for Android")</f>
        <v>Twitter for Android</v>
      </c>
      <c r="J3704" s="2">
        <v>775</v>
      </c>
      <c r="K3704" s="2">
        <v>642</v>
      </c>
      <c r="L3704" s="2">
        <v>1</v>
      </c>
      <c r="M3704" s="2"/>
      <c r="N3704" s="8">
        <v>43291.017094907409</v>
      </c>
      <c r="O3704" s="4" t="s">
        <v>3523</v>
      </c>
      <c r="P3704" s="3" t="s">
        <v>3522</v>
      </c>
      <c r="Q3704" s="4"/>
      <c r="R3704" s="4"/>
      <c r="S3704" s="9" t="str">
        <f>HYPERLINK("https://pbs.twimg.com/profile_images/1034207644683264000/eSXW1kDY.jpg","View")</f>
        <v>View</v>
      </c>
    </row>
    <row r="3705" spans="1:19" ht="30">
      <c r="A3705" s="8">
        <v>43341.774861111116</v>
      </c>
      <c r="B3705" s="11" t="str">
        <f>HYPERLINK("https://twitter.com/Reza90592636","@Reza90592636")</f>
        <v>@Reza90592636</v>
      </c>
      <c r="C3705" s="11" t="s">
        <v>7146</v>
      </c>
      <c r="D3705" s="5" t="s">
        <v>7145</v>
      </c>
      <c r="E3705" s="9" t="str">
        <f>HYPERLINK("https://twitter.com/Reza90592636/status/1034804313003053056","1034804313003053056")</f>
        <v>1034804313003053056</v>
      </c>
      <c r="F3705" s="4"/>
      <c r="G3705" s="4"/>
      <c r="H3705" s="4"/>
      <c r="I3705" s="10" t="str">
        <f>HYPERLINK("http://twitter.com/download/android","Twitter for Android")</f>
        <v>Twitter for Android</v>
      </c>
      <c r="J3705" s="2">
        <v>3268</v>
      </c>
      <c r="K3705" s="2">
        <v>3523</v>
      </c>
      <c r="L3705" s="2">
        <v>1</v>
      </c>
      <c r="M3705" s="2"/>
      <c r="N3705" s="8">
        <v>43250.612685185188</v>
      </c>
      <c r="O3705" s="4"/>
      <c r="P3705" s="3"/>
      <c r="Q3705" s="4"/>
      <c r="R3705" s="4"/>
      <c r="S3705" s="9" t="str">
        <f>HYPERLINK("https://pbs.twimg.com/profile_images/1001769154771324929/nGd4t8IP.jpg","View")</f>
        <v>View</v>
      </c>
    </row>
    <row r="3706" spans="1:19" ht="30">
      <c r="A3706" s="8">
        <v>43341.774317129632</v>
      </c>
      <c r="B3706" s="11" t="str">
        <f>HYPERLINK("https://twitter.com/rozhban","@rozhban")</f>
        <v>@rozhban</v>
      </c>
      <c r="C3706" s="6" t="s">
        <v>7144</v>
      </c>
      <c r="D3706" s="5" t="s">
        <v>7143</v>
      </c>
      <c r="E3706" s="9" t="str">
        <f>HYPERLINK("https://twitter.com/rozhban/status/1034804114289504258","1034804114289504258")</f>
        <v>1034804114289504258</v>
      </c>
      <c r="F3706" s="4"/>
      <c r="G3706" s="4"/>
      <c r="H3706" s="4"/>
      <c r="I3706" s="10" t="str">
        <f>HYPERLINK("http://twitter.com/download/android","Twitter for Android")</f>
        <v>Twitter for Android</v>
      </c>
      <c r="J3706" s="2">
        <v>208</v>
      </c>
      <c r="K3706" s="2">
        <v>253</v>
      </c>
      <c r="L3706" s="2">
        <v>1</v>
      </c>
      <c r="M3706" s="2"/>
      <c r="N3706" s="8">
        <v>43156.687465277777</v>
      </c>
      <c r="O3706" s="4"/>
      <c r="P3706" s="3" t="s">
        <v>7142</v>
      </c>
      <c r="Q3706" s="4"/>
      <c r="R3706" s="4"/>
      <c r="S3706" s="9" t="str">
        <f>HYPERLINK("https://pbs.twimg.com/profile_images/999647791629582337/4s4xmw7C.jpg","View")</f>
        <v>View</v>
      </c>
    </row>
    <row r="3707" spans="1:19" ht="40">
      <c r="A3707" s="8">
        <v>43341.773217592592</v>
      </c>
      <c r="B3707" s="11" t="str">
        <f>HYPERLINK("https://twitter.com/dall_nun","@dall_nun")</f>
        <v>@dall_nun</v>
      </c>
      <c r="C3707" s="6" t="s">
        <v>7141</v>
      </c>
      <c r="D3707" s="5" t="s">
        <v>7140</v>
      </c>
      <c r="E3707" s="9" t="str">
        <f>HYPERLINK("https://twitter.com/dall_nun/status/1034803715952308224","1034803715952308224")</f>
        <v>1034803715952308224</v>
      </c>
      <c r="F3707" s="4"/>
      <c r="G3707" s="4"/>
      <c r="H3707" s="4"/>
      <c r="I3707" s="10" t="str">
        <f>HYPERLINK("http://twitter.com/download/android","Twitter for Android")</f>
        <v>Twitter for Android</v>
      </c>
      <c r="J3707" s="2">
        <v>95</v>
      </c>
      <c r="K3707" s="2">
        <v>392</v>
      </c>
      <c r="L3707" s="2">
        <v>0</v>
      </c>
      <c r="M3707" s="2"/>
      <c r="N3707" s="8">
        <v>43102.197766203702</v>
      </c>
      <c r="O3707" s="4" t="s">
        <v>7139</v>
      </c>
      <c r="P3707" s="3" t="s">
        <v>7138</v>
      </c>
      <c r="Q3707" s="4"/>
      <c r="R3707" s="4"/>
      <c r="S3707" s="9" t="str">
        <f>HYPERLINK("https://pbs.twimg.com/profile_images/1028854264259522560/fGIfLe1M.jpg","View")</f>
        <v>View</v>
      </c>
    </row>
    <row r="3708" spans="1:19" ht="30">
      <c r="A3708" s="8">
        <v>43341.772465277776</v>
      </c>
      <c r="B3708" s="11" t="str">
        <f>HYPERLINK("https://twitter.com/Cane_Of_Moses","@Cane_Of_Moses")</f>
        <v>@Cane_Of_Moses</v>
      </c>
      <c r="C3708" s="6" t="s">
        <v>7137</v>
      </c>
      <c r="D3708" s="5" t="s">
        <v>7136</v>
      </c>
      <c r="E3708" s="9" t="str">
        <f>HYPERLINK("https://twitter.com/Cane_Of_Moses/status/1034803444031225857","1034803444031225857")</f>
        <v>1034803444031225857</v>
      </c>
      <c r="F3708" s="4"/>
      <c r="G3708" s="4"/>
      <c r="H3708" s="4"/>
      <c r="I3708" s="10" t="str">
        <f>HYPERLINK("http://twitter.com/download/android","Twitter for Android")</f>
        <v>Twitter for Android</v>
      </c>
      <c r="J3708" s="2">
        <v>301</v>
      </c>
      <c r="K3708" s="2">
        <v>224</v>
      </c>
      <c r="L3708" s="2">
        <v>3</v>
      </c>
      <c r="M3708" s="2"/>
      <c r="N3708" s="8">
        <v>43231.755254629628</v>
      </c>
      <c r="O3708" s="4"/>
      <c r="P3708" s="3"/>
      <c r="Q3708" s="4"/>
      <c r="R3708" s="4"/>
      <c r="S3708" s="9" t="str">
        <f>HYPERLINK("https://pbs.twimg.com/profile_images/1006833979268399104/IP727nto.jpg","View")</f>
        <v>View</v>
      </c>
    </row>
    <row r="3709" spans="1:19" ht="20">
      <c r="A3709" s="8">
        <v>43341.772349537037</v>
      </c>
      <c r="B3709" s="11" t="str">
        <f>HYPERLINK("https://twitter.com/hossein1440","@hossein1440")</f>
        <v>@hossein1440</v>
      </c>
      <c r="C3709" s="6" t="s">
        <v>206</v>
      </c>
      <c r="D3709" s="5" t="s">
        <v>7135</v>
      </c>
      <c r="E3709" s="9" t="str">
        <f>HYPERLINK("https://twitter.com/hossein1440/status/1034803403464093696","1034803403464093696")</f>
        <v>1034803403464093696</v>
      </c>
      <c r="F3709" s="4"/>
      <c r="G3709" s="10" t="s">
        <v>7134</v>
      </c>
      <c r="H3709" s="4"/>
      <c r="I3709" s="10" t="str">
        <f>HYPERLINK("http://twitter.com/download/android","Twitter for Android")</f>
        <v>Twitter for Android</v>
      </c>
      <c r="J3709" s="2">
        <v>242</v>
      </c>
      <c r="K3709" s="2">
        <v>395</v>
      </c>
      <c r="L3709" s="2">
        <v>0</v>
      </c>
      <c r="M3709" s="2"/>
      <c r="N3709" s="8">
        <v>43259.933495370366</v>
      </c>
      <c r="O3709" s="4" t="s">
        <v>17</v>
      </c>
      <c r="P3709" s="3" t="s">
        <v>204</v>
      </c>
      <c r="Q3709" s="4"/>
      <c r="R3709" s="4"/>
      <c r="S3709" s="9" t="str">
        <f>HYPERLINK("https://pbs.twimg.com/profile_images/1023239182867681281/A18ja227.jpg","View")</f>
        <v>View</v>
      </c>
    </row>
    <row r="3710" spans="1:19" ht="30">
      <c r="A3710" s="8">
        <v>43341.771041666667</v>
      </c>
      <c r="B3710" s="11" t="str">
        <f>HYPERLINK("https://twitter.com/AbolfazlDvm","@AbolfazlDvm")</f>
        <v>@AbolfazlDvm</v>
      </c>
      <c r="C3710" s="6" t="s">
        <v>7133</v>
      </c>
      <c r="D3710" s="5" t="s">
        <v>7132</v>
      </c>
      <c r="E3710" s="9" t="str">
        <f>HYPERLINK("https://twitter.com/AbolfazlDvm/status/1034802930380169216","1034802930380169216")</f>
        <v>1034802930380169216</v>
      </c>
      <c r="F3710" s="4"/>
      <c r="G3710" s="4"/>
      <c r="H3710" s="4"/>
      <c r="I3710" s="10" t="str">
        <f>HYPERLINK("http://twitter.com/download/iphone","Twitter for iPhone")</f>
        <v>Twitter for iPhone</v>
      </c>
      <c r="J3710" s="2">
        <v>29</v>
      </c>
      <c r="K3710" s="2">
        <v>28</v>
      </c>
      <c r="L3710" s="2">
        <v>0</v>
      </c>
      <c r="M3710" s="2"/>
      <c r="N3710" s="8">
        <v>43265.763275462959</v>
      </c>
      <c r="O3710" s="4"/>
      <c r="P3710" s="3" t="s">
        <v>7131</v>
      </c>
      <c r="Q3710" s="4"/>
      <c r="R3710" s="4"/>
      <c r="S3710" s="9" t="str">
        <f>HYPERLINK("https://pbs.twimg.com/profile_images/1007260997843914754/8QBO4RHS.jpg","View")</f>
        <v>View</v>
      </c>
    </row>
    <row r="3711" spans="1:19" ht="40">
      <c r="A3711" s="8">
        <v>43341.769907407404</v>
      </c>
      <c r="B3711" s="11" t="str">
        <f>HYPERLINK("https://twitter.com/Ghoghnus11","@Ghoghnus11")</f>
        <v>@Ghoghnus11</v>
      </c>
      <c r="C3711" s="6" t="s">
        <v>15</v>
      </c>
      <c r="D3711" s="5" t="s">
        <v>7130</v>
      </c>
      <c r="E3711" s="9" t="str">
        <f>HYPERLINK("https://twitter.com/Ghoghnus11/status/1034802516259680256","1034802516259680256")</f>
        <v>1034802516259680256</v>
      </c>
      <c r="F3711" s="4"/>
      <c r="G3711" s="4"/>
      <c r="H3711" s="4"/>
      <c r="I3711" s="10" t="str">
        <f>HYPERLINK("http://twitter.com/download/android","Twitter for Android")</f>
        <v>Twitter for Android</v>
      </c>
      <c r="J3711" s="2">
        <v>1275</v>
      </c>
      <c r="K3711" s="2">
        <v>1478</v>
      </c>
      <c r="L3711" s="2">
        <v>2</v>
      </c>
      <c r="M3711" s="2"/>
      <c r="N3711" s="8">
        <v>43145.030578703707</v>
      </c>
      <c r="O3711" s="4"/>
      <c r="P3711" s="3" t="s">
        <v>13</v>
      </c>
      <c r="Q3711" s="4"/>
      <c r="R3711" s="4"/>
      <c r="S3711" s="9" t="str">
        <f>HYPERLINK("https://pbs.twimg.com/profile_images/998733120865091584/fgjpCWOH.jpg","View")</f>
        <v>View</v>
      </c>
    </row>
    <row r="3712" spans="1:19" ht="20">
      <c r="A3712" s="8">
        <v>43341.76966435185</v>
      </c>
      <c r="B3712" s="11" t="str">
        <f>HYPERLINK("https://twitter.com/ShamimeSobh","@ShamimeSobh")</f>
        <v>@ShamimeSobh</v>
      </c>
      <c r="C3712" s="6" t="s">
        <v>4003</v>
      </c>
      <c r="D3712" s="5" t="s">
        <v>7129</v>
      </c>
      <c r="E3712" s="9" t="str">
        <f>HYPERLINK("https://twitter.com/ShamimeSobh/status/1034802430498811904","1034802430498811904")</f>
        <v>1034802430498811904</v>
      </c>
      <c r="F3712" s="4"/>
      <c r="G3712" s="10" t="s">
        <v>7128</v>
      </c>
      <c r="H3712" s="4"/>
      <c r="I3712" s="10" t="str">
        <f>HYPERLINK("http://twitter.com/download/android","Twitter for Android")</f>
        <v>Twitter for Android</v>
      </c>
      <c r="J3712" s="2">
        <v>309</v>
      </c>
      <c r="K3712" s="2">
        <v>285</v>
      </c>
      <c r="L3712" s="2">
        <v>1</v>
      </c>
      <c r="M3712" s="2"/>
      <c r="N3712" s="8">
        <v>43305.441562499997</v>
      </c>
      <c r="O3712" s="4" t="s">
        <v>4001</v>
      </c>
      <c r="P3712" s="3"/>
      <c r="Q3712" s="4"/>
      <c r="R3712" s="4"/>
      <c r="S3712" s="9" t="str">
        <f>HYPERLINK("https://pbs.twimg.com/profile_images/1022085883498037249/PTRjVWOj.jpg","View")</f>
        <v>View</v>
      </c>
    </row>
    <row r="3713" spans="1:19" ht="20">
      <c r="A3713" s="8">
        <v>43341.76771990741</v>
      </c>
      <c r="B3713" s="11" t="str">
        <f>HYPERLINK("https://twitter.com/mah_ki5","@mah_ki5")</f>
        <v>@mah_ki5</v>
      </c>
      <c r="C3713" s="6" t="s">
        <v>7127</v>
      </c>
      <c r="D3713" s="5" t="s">
        <v>7126</v>
      </c>
      <c r="E3713" s="9" t="str">
        <f>HYPERLINK("https://twitter.com/mah_ki5/status/1034801724517543937","1034801724517543937")</f>
        <v>1034801724517543937</v>
      </c>
      <c r="F3713" s="4"/>
      <c r="G3713" s="4"/>
      <c r="H3713" s="4"/>
      <c r="I3713" s="10" t="str">
        <f>HYPERLINK("http://twitter.com","Twitter Web Client")</f>
        <v>Twitter Web Client</v>
      </c>
      <c r="J3713" s="2">
        <v>111</v>
      </c>
      <c r="K3713" s="2">
        <v>152</v>
      </c>
      <c r="L3713" s="2">
        <v>0</v>
      </c>
      <c r="M3713" s="2"/>
      <c r="N3713" s="8">
        <v>43317.551377314812</v>
      </c>
      <c r="O3713" s="4" t="s">
        <v>7125</v>
      </c>
      <c r="P3713" s="3" t="s">
        <v>7124</v>
      </c>
      <c r="Q3713" s="4"/>
      <c r="R3713" s="4"/>
      <c r="S3713" s="9" t="str">
        <f>HYPERLINK("https://pbs.twimg.com/profile_images/1032237971905204224/jFqJL2Jd.jpg","View")</f>
        <v>View</v>
      </c>
    </row>
    <row r="3714" spans="1:19" ht="40">
      <c r="A3714" s="8">
        <v>43341.76762731481</v>
      </c>
      <c r="B3714" s="11" t="str">
        <f>HYPERLINK("https://twitter.com/Fateme146","@Fateme146")</f>
        <v>@Fateme146</v>
      </c>
      <c r="C3714" s="6" t="s">
        <v>7123</v>
      </c>
      <c r="D3714" s="5" t="s">
        <v>7122</v>
      </c>
      <c r="E3714" s="9" t="str">
        <f>HYPERLINK("https://twitter.com/Fateme146/status/1034801691072163840","1034801691072163840")</f>
        <v>1034801691072163840</v>
      </c>
      <c r="F3714" s="4"/>
      <c r="G3714" s="4"/>
      <c r="H3714" s="4"/>
      <c r="I3714" s="10" t="str">
        <f>HYPERLINK("http://twitter.com/download/android","Twitter for Android")</f>
        <v>Twitter for Android</v>
      </c>
      <c r="J3714" s="2">
        <v>215</v>
      </c>
      <c r="K3714" s="2">
        <v>154</v>
      </c>
      <c r="L3714" s="2">
        <v>1</v>
      </c>
      <c r="M3714" s="2"/>
      <c r="N3714" s="8">
        <v>42783.092835648145</v>
      </c>
      <c r="O3714" s="4"/>
      <c r="P3714" s="3" t="s">
        <v>7121</v>
      </c>
      <c r="Q3714" s="4"/>
      <c r="R3714" s="4"/>
      <c r="S3714" s="9" t="str">
        <f>HYPERLINK("https://pbs.twimg.com/profile_images/1027478293690216448/YvHi8Btb.jpg","View")</f>
        <v>View</v>
      </c>
    </row>
    <row r="3715" spans="1:19" ht="30">
      <c r="A3715" s="8">
        <v>43341.76762731481</v>
      </c>
      <c r="B3715" s="11" t="str">
        <f>HYPERLINK("https://twitter.com/_SepahSalar","@_SepahSalar")</f>
        <v>@_SepahSalar</v>
      </c>
      <c r="C3715" s="6" t="s">
        <v>3730</v>
      </c>
      <c r="D3715" s="5" t="s">
        <v>7120</v>
      </c>
      <c r="E3715" s="9" t="str">
        <f>HYPERLINK("https://twitter.com/_SepahSalar/status/1034801689566633984","1034801689566633984")</f>
        <v>1034801689566633984</v>
      </c>
      <c r="F3715" s="4"/>
      <c r="G3715" s="10" t="s">
        <v>7119</v>
      </c>
      <c r="H3715" s="4"/>
      <c r="I3715" s="10" t="str">
        <f>HYPERLINK("http://twitter.com/download/android","Twitter for Android")</f>
        <v>Twitter for Android</v>
      </c>
      <c r="J3715" s="2">
        <v>1013</v>
      </c>
      <c r="K3715" s="2">
        <v>663</v>
      </c>
      <c r="L3715" s="2">
        <v>4</v>
      </c>
      <c r="M3715" s="2"/>
      <c r="N3715" s="8">
        <v>43038.902962962966</v>
      </c>
      <c r="O3715" s="4" t="s">
        <v>104</v>
      </c>
      <c r="P3715" s="3" t="s">
        <v>3728</v>
      </c>
      <c r="Q3715" s="4"/>
      <c r="R3715" s="4"/>
      <c r="S3715" s="9" t="str">
        <f>HYPERLINK("https://pbs.twimg.com/profile_images/983765135893454851/3QQtg4-I.jpg","View")</f>
        <v>View</v>
      </c>
    </row>
    <row r="3716" spans="1:19" ht="30">
      <c r="A3716" s="8">
        <v>43341.763877314814</v>
      </c>
      <c r="B3716" s="11" t="str">
        <f>HYPERLINK("https://twitter.com/golshan124","@golshan124")</f>
        <v>@golshan124</v>
      </c>
      <c r="C3716" s="6" t="s">
        <v>7118</v>
      </c>
      <c r="D3716" s="5" t="s">
        <v>7117</v>
      </c>
      <c r="E3716" s="9" t="str">
        <f>HYPERLINK("https://twitter.com/golshan124/status/1034800333946404866","1034800333946404866")</f>
        <v>1034800333946404866</v>
      </c>
      <c r="F3716" s="4"/>
      <c r="G3716" s="10" t="s">
        <v>7116</v>
      </c>
      <c r="H3716" s="4"/>
      <c r="I3716" s="10" t="str">
        <f>HYPERLINK("http://twitter.com","Twitter Web Client")</f>
        <v>Twitter Web Client</v>
      </c>
      <c r="J3716" s="2">
        <v>507</v>
      </c>
      <c r="K3716" s="2">
        <v>525</v>
      </c>
      <c r="L3716" s="2">
        <v>0</v>
      </c>
      <c r="M3716" s="2"/>
      <c r="N3716" s="8">
        <v>42808.623449074075</v>
      </c>
      <c r="O3716" s="4"/>
      <c r="P3716" s="3" t="s">
        <v>7115</v>
      </c>
      <c r="Q3716" s="4"/>
      <c r="R3716" s="4"/>
      <c r="S3716" s="9" t="str">
        <f>HYPERLINK("https://pbs.twimg.com/profile_images/997792284929241088/aHsUd1xV.jpg","View")</f>
        <v>View</v>
      </c>
    </row>
    <row r="3717" spans="1:19" ht="40">
      <c r="A3717" s="8">
        <v>43341.762152777781</v>
      </c>
      <c r="B3717" s="11" t="str">
        <f>HYPERLINK("https://twitter.com/kafka1300","@kafka1300")</f>
        <v>@kafka1300</v>
      </c>
      <c r="C3717" s="6" t="s">
        <v>2378</v>
      </c>
      <c r="D3717" s="5" t="s">
        <v>7114</v>
      </c>
      <c r="E3717" s="9" t="str">
        <f>HYPERLINK("https://twitter.com/kafka1300/status/1034799708785586176","1034799708785586176")</f>
        <v>1034799708785586176</v>
      </c>
      <c r="F3717" s="4"/>
      <c r="G3717" s="4"/>
      <c r="H3717" s="4"/>
      <c r="I3717" s="10" t="str">
        <f>HYPERLINK("http://twitter.com/download/android","Twitter for Android")</f>
        <v>Twitter for Android</v>
      </c>
      <c r="J3717" s="2">
        <v>788</v>
      </c>
      <c r="K3717" s="2">
        <v>1053</v>
      </c>
      <c r="L3717" s="2">
        <v>7</v>
      </c>
      <c r="M3717" s="2"/>
      <c r="N3717" s="8">
        <v>42452.001099537039</v>
      </c>
      <c r="O3717" s="4" t="s">
        <v>17</v>
      </c>
      <c r="P3717" s="3" t="s">
        <v>2376</v>
      </c>
      <c r="Q3717" s="4"/>
      <c r="R3717" s="4"/>
      <c r="S3717" s="9" t="str">
        <f>HYPERLINK("https://pbs.twimg.com/profile_images/713058953693933571/WDLIoeiD.jpg","View")</f>
        <v>View</v>
      </c>
    </row>
    <row r="3718" spans="1:19" ht="30">
      <c r="A3718" s="8">
        <v>43341.762152777781</v>
      </c>
      <c r="B3718" s="11" t="str">
        <f>HYPERLINK("https://twitter.com/_Danial_rashidi","@_Danial_rashidi")</f>
        <v>@_Danial_rashidi</v>
      </c>
      <c r="C3718" s="6" t="s">
        <v>7113</v>
      </c>
      <c r="D3718" s="5" t="s">
        <v>7112</v>
      </c>
      <c r="E3718" s="9" t="str">
        <f>HYPERLINK("https://twitter.com/_Danial_rashidi/status/1034799705820155909","1034799705820155909")</f>
        <v>1034799705820155909</v>
      </c>
      <c r="F3718" s="4"/>
      <c r="G3718" s="4"/>
      <c r="H3718" s="4"/>
      <c r="I3718" s="10" t="str">
        <f>HYPERLINK("http://twitter.com/download/android","Twitter for Android")</f>
        <v>Twitter for Android</v>
      </c>
      <c r="J3718" s="2">
        <v>28</v>
      </c>
      <c r="K3718" s="2">
        <v>84</v>
      </c>
      <c r="L3718" s="2">
        <v>0</v>
      </c>
      <c r="M3718" s="2"/>
      <c r="N3718" s="8">
        <v>42793.055277777778</v>
      </c>
      <c r="O3718" s="4"/>
      <c r="P3718" s="3" t="s">
        <v>7111</v>
      </c>
      <c r="Q3718" s="4"/>
      <c r="R3718" s="4"/>
      <c r="S3718" s="9" t="str">
        <f>HYPERLINK("https://pbs.twimg.com/profile_images/1024269441817882624/Tu5MSWjd.jpg","View")</f>
        <v>View</v>
      </c>
    </row>
    <row r="3719" spans="1:19" ht="30">
      <c r="A3719" s="8">
        <v>43341.759432870371</v>
      </c>
      <c r="B3719" s="11" t="str">
        <f>HYPERLINK("https://twitter.com/SushiansH","@SushiansH")</f>
        <v>@SushiansH</v>
      </c>
      <c r="C3719" s="6" t="s">
        <v>2231</v>
      </c>
      <c r="D3719" s="5" t="s">
        <v>7110</v>
      </c>
      <c r="E3719" s="9" t="str">
        <f>HYPERLINK("https://twitter.com/SushiansH/status/1034798719844147200","1034798719844147200")</f>
        <v>1034798719844147200</v>
      </c>
      <c r="F3719" s="4"/>
      <c r="G3719" s="4"/>
      <c r="H3719" s="4"/>
      <c r="I3719" s="10" t="str">
        <f>HYPERLINK("http://twitter.com/download/android","Twitter for Android")</f>
        <v>Twitter for Android</v>
      </c>
      <c r="J3719" s="2">
        <v>57</v>
      </c>
      <c r="K3719" s="2">
        <v>152</v>
      </c>
      <c r="L3719" s="2">
        <v>0</v>
      </c>
      <c r="M3719" s="2"/>
      <c r="N3719" s="8">
        <v>43261.064687499995</v>
      </c>
      <c r="O3719" s="4" t="s">
        <v>34</v>
      </c>
      <c r="P3719" s="3" t="s">
        <v>2229</v>
      </c>
      <c r="Q3719" s="4"/>
      <c r="R3719" s="4"/>
      <c r="S3719" s="9" t="str">
        <f>HYPERLINK("https://pbs.twimg.com/profile_images/1005558117738926080/jT-GBMIX.jpg","View")</f>
        <v>View</v>
      </c>
    </row>
    <row r="3720" spans="1:19" ht="40">
      <c r="A3720" s="8">
        <v>43341.756400462968</v>
      </c>
      <c r="B3720" s="11" t="str">
        <f>HYPERLINK("https://twitter.com/iribnewsFa","@iribnewsFa")</f>
        <v>@iribnewsFa</v>
      </c>
      <c r="C3720" s="6" t="s">
        <v>6161</v>
      </c>
      <c r="D3720" s="5" t="s">
        <v>7109</v>
      </c>
      <c r="E3720" s="9" t="str">
        <f>HYPERLINK("https://twitter.com/iribnewsFa/status/1034797623105007616","1034797623105007616")</f>
        <v>1034797623105007616</v>
      </c>
      <c r="F3720" s="4"/>
      <c r="G3720" s="4"/>
      <c r="H3720" s="4"/>
      <c r="I3720" s="10" t="str">
        <f>HYPERLINK("http://twitter.com","Twitter Web Client")</f>
        <v>Twitter Web Client</v>
      </c>
      <c r="J3720" s="2">
        <v>193</v>
      </c>
      <c r="K3720" s="2">
        <v>89</v>
      </c>
      <c r="L3720" s="2">
        <v>4</v>
      </c>
      <c r="M3720" s="2"/>
      <c r="N3720" s="8">
        <v>43297.475810185184</v>
      </c>
      <c r="O3720" s="4" t="s">
        <v>34</v>
      </c>
      <c r="P3720" s="3" t="s">
        <v>6159</v>
      </c>
      <c r="Q3720" s="4"/>
      <c r="R3720" s="4"/>
      <c r="S3720" s="9" t="str">
        <f>HYPERLINK("https://pbs.twimg.com/profile_images/1018766929786560512/S7nJiRM5.jpg","View")</f>
        <v>View</v>
      </c>
    </row>
    <row r="3721" spans="1:19" ht="30">
      <c r="A3721" s="8">
        <v>43341.756365740745</v>
      </c>
      <c r="B3721" s="11" t="str">
        <f>HYPERLINK("https://twitter.com/HosseinTavangar","@HosseinTavangar")</f>
        <v>@HosseinTavangar</v>
      </c>
      <c r="C3721" s="6" t="s">
        <v>7108</v>
      </c>
      <c r="D3721" s="5" t="s">
        <v>7107</v>
      </c>
      <c r="E3721" s="9" t="str">
        <f>HYPERLINK("https://twitter.com/HosseinTavangar/status/1034797608794025985","1034797608794025985")</f>
        <v>1034797608794025985</v>
      </c>
      <c r="F3721" s="10" t="s">
        <v>7106</v>
      </c>
      <c r="G3721" s="4"/>
      <c r="H3721" s="4"/>
      <c r="I3721" s="10" t="str">
        <f>HYPERLINK("http://twitter.com","Twitter Web Client")</f>
        <v>Twitter Web Client</v>
      </c>
      <c r="J3721" s="2">
        <v>134</v>
      </c>
      <c r="K3721" s="2">
        <v>241</v>
      </c>
      <c r="L3721" s="2">
        <v>2</v>
      </c>
      <c r="M3721" s="2"/>
      <c r="N3721" s="8">
        <v>41372.64329861111</v>
      </c>
      <c r="O3721" s="4" t="s">
        <v>219</v>
      </c>
      <c r="P3721" s="3" t="s">
        <v>7105</v>
      </c>
      <c r="Q3721" s="4"/>
      <c r="R3721" s="4"/>
      <c r="S3721" s="9" t="str">
        <f>HYPERLINK("https://pbs.twimg.com/profile_images/846457940844429316/SAWVJOeC.jpg","View")</f>
        <v>View</v>
      </c>
    </row>
    <row r="3722" spans="1:19" ht="40">
      <c r="A3722" s="8">
        <v>43341.755844907406</v>
      </c>
      <c r="B3722" s="11" t="str">
        <f>HYPERLINK("https://twitter.com/mohsen__rezaee","@mohsen__rezaee")</f>
        <v>@mohsen__rezaee</v>
      </c>
      <c r="C3722" s="6" t="s">
        <v>2462</v>
      </c>
      <c r="D3722" s="5" t="s">
        <v>7104</v>
      </c>
      <c r="E3722" s="9" t="str">
        <f>HYPERLINK("https://twitter.com/mohsen__rezaee/status/1034797421052809217","1034797421052809217")</f>
        <v>1034797421052809217</v>
      </c>
      <c r="F3722" s="4"/>
      <c r="G3722" s="4"/>
      <c r="H3722" s="4"/>
      <c r="I3722" s="10" t="str">
        <f>HYPERLINK("http://twitter.com/download/android","Twitter for Android")</f>
        <v>Twitter for Android</v>
      </c>
      <c r="J3722" s="2">
        <v>79</v>
      </c>
      <c r="K3722" s="2">
        <v>89</v>
      </c>
      <c r="L3722" s="2">
        <v>1</v>
      </c>
      <c r="M3722" s="2"/>
      <c r="N3722" s="8">
        <v>43131.679039351853</v>
      </c>
      <c r="O3722" s="4" t="s">
        <v>17</v>
      </c>
      <c r="P3722" s="3" t="s">
        <v>2460</v>
      </c>
      <c r="Q3722" s="10" t="s">
        <v>2459</v>
      </c>
      <c r="R3722" s="4"/>
      <c r="S3722" s="9" t="str">
        <f>HYPERLINK("https://pbs.twimg.com/profile_images/961347514015338497/jsbsMa2y.jpg","View")</f>
        <v>View</v>
      </c>
    </row>
    <row r="3723" spans="1:19" ht="30">
      <c r="A3723" s="8">
        <v>43341.755300925928</v>
      </c>
      <c r="B3723" s="11" t="str">
        <f>HYPERLINK("https://twitter.com/erfan_shaigan","@erfan_shaigan")</f>
        <v>@erfan_shaigan</v>
      </c>
      <c r="C3723" s="6" t="s">
        <v>7103</v>
      </c>
      <c r="D3723" s="5" t="s">
        <v>7102</v>
      </c>
      <c r="E3723" s="9" t="str">
        <f>HYPERLINK("https://twitter.com/erfan_shaigan/status/1034797224163725318","1034797224163725318")</f>
        <v>1034797224163725318</v>
      </c>
      <c r="F3723" s="4"/>
      <c r="G3723" s="10" t="s">
        <v>7101</v>
      </c>
      <c r="H3723" s="4"/>
      <c r="I3723" s="10" t="str">
        <f>HYPERLINK("http://twitter.com/download/android","Twitter for Android")</f>
        <v>Twitter for Android</v>
      </c>
      <c r="J3723" s="2">
        <v>33</v>
      </c>
      <c r="K3723" s="2">
        <v>13</v>
      </c>
      <c r="L3723" s="2">
        <v>0</v>
      </c>
      <c r="M3723" s="2"/>
      <c r="N3723" s="8">
        <v>43125.7581712963</v>
      </c>
      <c r="O3723" s="4"/>
      <c r="P3723" s="3" t="s">
        <v>7100</v>
      </c>
      <c r="Q3723" s="4"/>
      <c r="R3723" s="4"/>
      <c r="S3723" s="9" t="str">
        <f>HYPERLINK("https://pbs.twimg.com/profile_images/988174125016363010/Q-Lh3WpG.jpg","View")</f>
        <v>View</v>
      </c>
    </row>
    <row r="3724" spans="1:19" ht="30">
      <c r="A3724" s="8">
        <v>43341.755057870367</v>
      </c>
      <c r="B3724" s="11" t="str">
        <f>HYPERLINK("https://twitter.com/sanamqmanas","@sanamqmanas")</f>
        <v>@sanamqmanas</v>
      </c>
      <c r="C3724" s="6" t="s">
        <v>7099</v>
      </c>
      <c r="D3724" s="5" t="s">
        <v>7098</v>
      </c>
      <c r="E3724" s="9" t="str">
        <f>HYPERLINK("https://twitter.com/sanamqmanas/status/1034797134384693256","1034797134384693256")</f>
        <v>1034797134384693256</v>
      </c>
      <c r="F3724" s="4"/>
      <c r="G3724" s="10" t="s">
        <v>7097</v>
      </c>
      <c r="H3724" s="4"/>
      <c r="I3724" s="10" t="str">
        <f>HYPERLINK("http://twitter.com","Twitter Web Client")</f>
        <v>Twitter Web Client</v>
      </c>
      <c r="J3724" s="2">
        <v>151</v>
      </c>
      <c r="K3724" s="2">
        <v>200</v>
      </c>
      <c r="L3724" s="2">
        <v>0</v>
      </c>
      <c r="M3724" s="2"/>
      <c r="N3724" s="8">
        <v>43183.958680555559</v>
      </c>
      <c r="O3724" s="4" t="s">
        <v>7096</v>
      </c>
      <c r="P3724" s="3" t="s">
        <v>7095</v>
      </c>
      <c r="Q3724" s="4"/>
      <c r="R3724" s="4"/>
      <c r="S3724" s="9" t="str">
        <f>HYPERLINK("https://pbs.twimg.com/profile_images/977617778202038273/jR37zARG.jpg","View")</f>
        <v>View</v>
      </c>
    </row>
    <row r="3725" spans="1:19" ht="20">
      <c r="A3725" s="8">
        <v>43341.754525462966</v>
      </c>
      <c r="B3725" s="11" t="str">
        <f>HYPERLINK("https://twitter.com/saeideh_sadeghi","@saeideh_sadeghi")</f>
        <v>@saeideh_sadeghi</v>
      </c>
      <c r="C3725" s="6" t="s">
        <v>7094</v>
      </c>
      <c r="D3725" s="5" t="s">
        <v>7093</v>
      </c>
      <c r="E3725" s="9" t="str">
        <f>HYPERLINK("https://twitter.com/saeideh_sadeghi/status/1034796941195046912","1034796941195046912")</f>
        <v>1034796941195046912</v>
      </c>
      <c r="F3725" s="4"/>
      <c r="G3725" s="4"/>
      <c r="H3725" s="4"/>
      <c r="I3725" s="10" t="str">
        <f>HYPERLINK("http://twitter.com/download/iphone","Twitter for iPhone")</f>
        <v>Twitter for iPhone</v>
      </c>
      <c r="J3725" s="2">
        <v>12</v>
      </c>
      <c r="K3725" s="2">
        <v>66</v>
      </c>
      <c r="L3725" s="2">
        <v>0</v>
      </c>
      <c r="M3725" s="2"/>
      <c r="N3725" s="8">
        <v>40584.050474537034</v>
      </c>
      <c r="O3725" s="4"/>
      <c r="P3725" s="3"/>
      <c r="Q3725" s="4"/>
      <c r="R3725" s="4"/>
      <c r="S3725" s="9" t="str">
        <f>HYPERLINK("https://pbs.twimg.com/profile_images/926536873710899201/TGtE_yIq.jpg","View")</f>
        <v>View</v>
      </c>
    </row>
    <row r="3726" spans="1:19" ht="20">
      <c r="A3726" s="8">
        <v>43341.753344907411</v>
      </c>
      <c r="B3726" s="11" t="str">
        <f>HYPERLINK("https://twitter.com/iamalirostami","@iamalirostami")</f>
        <v>@iamalirostami</v>
      </c>
      <c r="C3726" s="6" t="s">
        <v>7092</v>
      </c>
      <c r="D3726" s="5" t="s">
        <v>7091</v>
      </c>
      <c r="E3726" s="9" t="str">
        <f>HYPERLINK("https://twitter.com/iamalirostami/status/1034796514613370880","1034796514613370880")</f>
        <v>1034796514613370880</v>
      </c>
      <c r="F3726" s="4"/>
      <c r="G3726" s="10" t="s">
        <v>7090</v>
      </c>
      <c r="H3726" s="4"/>
      <c r="I3726" s="10" t="str">
        <f>HYPERLINK("http://twitter.com/download/android","Twitter for Android")</f>
        <v>Twitter for Android</v>
      </c>
      <c r="J3726" s="2">
        <v>743</v>
      </c>
      <c r="K3726" s="2">
        <v>763</v>
      </c>
      <c r="L3726" s="2">
        <v>0</v>
      </c>
      <c r="M3726" s="2"/>
      <c r="N3726" s="8">
        <v>42456.118796296301</v>
      </c>
      <c r="O3726" s="4" t="s">
        <v>34</v>
      </c>
      <c r="P3726" s="3" t="s">
        <v>7089</v>
      </c>
      <c r="Q3726" s="10" t="s">
        <v>7088</v>
      </c>
      <c r="R3726" s="4"/>
      <c r="S3726" s="9" t="str">
        <f>HYPERLINK("https://pbs.twimg.com/profile_images/1023307429235359747/p1gs4xra.jpg","View")</f>
        <v>View</v>
      </c>
    </row>
    <row r="3727" spans="1:19" ht="70">
      <c r="A3727" s="8">
        <v>43341.753182870365</v>
      </c>
      <c r="B3727" s="11" t="str">
        <f>HYPERLINK("https://twitter.com/mxyzh","@mxyzh")</f>
        <v>@mxyzh</v>
      </c>
      <c r="C3727" s="6" t="s">
        <v>1129</v>
      </c>
      <c r="D3727" s="5" t="s">
        <v>7087</v>
      </c>
      <c r="E3727" s="9" t="str">
        <f>HYPERLINK("https://twitter.com/mxyzh/status/1034796456933318657","1034796456933318657")</f>
        <v>1034796456933318657</v>
      </c>
      <c r="F3727" s="10" t="s">
        <v>7086</v>
      </c>
      <c r="G3727" s="4"/>
      <c r="H3727" s="4"/>
      <c r="I3727" s="10" t="str">
        <f>HYPERLINK("http://twitter.com/download/android","Twitter for Android")</f>
        <v>Twitter for Android</v>
      </c>
      <c r="J3727" s="2">
        <v>851</v>
      </c>
      <c r="K3727" s="2">
        <v>453</v>
      </c>
      <c r="L3727" s="2">
        <v>5</v>
      </c>
      <c r="M3727" s="2"/>
      <c r="N3727" s="8">
        <v>40732.049108796295</v>
      </c>
      <c r="O3727" s="4" t="s">
        <v>1127</v>
      </c>
      <c r="P3727" s="3" t="s">
        <v>1126</v>
      </c>
      <c r="Q3727" s="4"/>
      <c r="R3727" s="4"/>
      <c r="S3727" s="9" t="str">
        <f>HYPERLINK("https://pbs.twimg.com/profile_images/878004688922267650/P0BEig0M.jpg","View")</f>
        <v>View</v>
      </c>
    </row>
    <row r="3728" spans="1:19" ht="20">
      <c r="A3728" s="8">
        <v>43341.752569444448</v>
      </c>
      <c r="B3728" s="11" t="str">
        <f>HYPERLINK("https://twitter.com/amirabar1","@amirabar1")</f>
        <v>@amirabar1</v>
      </c>
      <c r="C3728" s="6" t="s">
        <v>7085</v>
      </c>
      <c r="D3728" s="5" t="s">
        <v>7084</v>
      </c>
      <c r="E3728" s="9" t="str">
        <f>HYPERLINK("https://twitter.com/amirabar1/status/1034796235662798851","1034796235662798851")</f>
        <v>1034796235662798851</v>
      </c>
      <c r="F3728" s="4"/>
      <c r="G3728" s="4"/>
      <c r="H3728" s="4"/>
      <c r="I3728" s="10" t="str">
        <f>HYPERLINK("http://twitter.com/download/android","Twitter for Android")</f>
        <v>Twitter for Android</v>
      </c>
      <c r="J3728" s="2">
        <v>210</v>
      </c>
      <c r="K3728" s="2">
        <v>270</v>
      </c>
      <c r="L3728" s="2">
        <v>3</v>
      </c>
      <c r="M3728" s="2"/>
      <c r="N3728" s="8">
        <v>41352.702013888891</v>
      </c>
      <c r="O3728" s="4" t="s">
        <v>34</v>
      </c>
      <c r="P3728" s="3" t="s">
        <v>7083</v>
      </c>
      <c r="Q3728" s="4"/>
      <c r="R3728" s="4"/>
      <c r="S3728" s="9" t="str">
        <f>HYPERLINK("https://pbs.twimg.com/profile_images/1030748707581509632/7ILo7FcV.jpg","View")</f>
        <v>View</v>
      </c>
    </row>
    <row r="3729" spans="1:19" ht="20">
      <c r="A3729" s="8">
        <v>43341.751967592594</v>
      </c>
      <c r="B3729" s="11" t="str">
        <f>HYPERLINK("https://twitter.com/mahmoodjavan","@mahmoodjavan")</f>
        <v>@mahmoodjavan</v>
      </c>
      <c r="C3729" s="6" t="s">
        <v>2072</v>
      </c>
      <c r="D3729" s="5" t="s">
        <v>7082</v>
      </c>
      <c r="E3729" s="9" t="str">
        <f>HYPERLINK("https://twitter.com/mahmoodjavan/status/1034796014690025472","1034796014690025472")</f>
        <v>1034796014690025472</v>
      </c>
      <c r="F3729" s="4"/>
      <c r="G3729" s="4"/>
      <c r="H3729" s="4"/>
      <c r="I3729" s="10" t="str">
        <f>HYPERLINK("http://twitter.com","Twitter Web Client")</f>
        <v>Twitter Web Client</v>
      </c>
      <c r="J3729" s="2">
        <v>1651</v>
      </c>
      <c r="K3729" s="2">
        <v>2470</v>
      </c>
      <c r="L3729" s="2">
        <v>6</v>
      </c>
      <c r="M3729" s="2"/>
      <c r="N3729" s="8">
        <v>42466.026932870373</v>
      </c>
      <c r="O3729" s="4" t="s">
        <v>2069</v>
      </c>
      <c r="P3729" s="3"/>
      <c r="Q3729" s="10" t="s">
        <v>2068</v>
      </c>
      <c r="R3729" s="4"/>
      <c r="S3729" s="9" t="str">
        <f>HYPERLINK("https://pbs.twimg.com/profile_images/1015659093443448832/aVRJq0n5.jpg","View")</f>
        <v>View</v>
      </c>
    </row>
    <row r="3730" spans="1:19" ht="60">
      <c r="A3730" s="8">
        <v>43341.751087962963</v>
      </c>
      <c r="B3730" s="11" t="str">
        <f>HYPERLINK("https://twitter.com/moiengraph","@moiengraph")</f>
        <v>@moiengraph</v>
      </c>
      <c r="C3730" s="6" t="s">
        <v>7081</v>
      </c>
      <c r="D3730" s="5" t="s">
        <v>7080</v>
      </c>
      <c r="E3730" s="9" t="str">
        <f>HYPERLINK("https://twitter.com/moiengraph/status/1034795698242445312","1034795698242445312")</f>
        <v>1034795698242445312</v>
      </c>
      <c r="F3730" s="10" t="s">
        <v>7079</v>
      </c>
      <c r="G3730" s="10" t="s">
        <v>6824</v>
      </c>
      <c r="H3730" s="4"/>
      <c r="I3730" s="10" t="str">
        <f>HYPERLINK("http://twitter.com/download/android","Twitter for Android")</f>
        <v>Twitter for Android</v>
      </c>
      <c r="J3730" s="2">
        <v>340</v>
      </c>
      <c r="K3730" s="2">
        <v>236</v>
      </c>
      <c r="L3730" s="2">
        <v>4</v>
      </c>
      <c r="M3730" s="2"/>
      <c r="N3730" s="8">
        <v>41506.747800925928</v>
      </c>
      <c r="O3730" s="4" t="s">
        <v>4643</v>
      </c>
      <c r="P3730" s="3" t="s">
        <v>7078</v>
      </c>
      <c r="Q3730" s="10" t="s">
        <v>7077</v>
      </c>
      <c r="R3730" s="4"/>
      <c r="S3730" s="9" t="str">
        <f>HYPERLINK("https://pbs.twimg.com/profile_images/1034467453152182272/JUAiLAPM.jpg","View")</f>
        <v>View</v>
      </c>
    </row>
    <row r="3731" spans="1:19" ht="40">
      <c r="A3731" s="8">
        <v>43341.748113425929</v>
      </c>
      <c r="B3731" s="11" t="str">
        <f>HYPERLINK("https://twitter.com/mahdim_61","@mahdim_61")</f>
        <v>@mahdim_61</v>
      </c>
      <c r="C3731" s="6" t="s">
        <v>1372</v>
      </c>
      <c r="D3731" s="5" t="s">
        <v>7076</v>
      </c>
      <c r="E3731" s="9" t="str">
        <f>HYPERLINK("https://twitter.com/mahdim_61/status/1034794621363253248","1034794621363253248")</f>
        <v>1034794621363253248</v>
      </c>
      <c r="F3731" s="4"/>
      <c r="G3731" s="4"/>
      <c r="H3731" s="4"/>
      <c r="I3731" s="10" t="str">
        <f>HYPERLINK("http://twitter.com/download/iphone","Twitter for iPhone")</f>
        <v>Twitter for iPhone</v>
      </c>
      <c r="J3731" s="2">
        <v>2433</v>
      </c>
      <c r="K3731" s="2">
        <v>2723</v>
      </c>
      <c r="L3731" s="2">
        <v>5</v>
      </c>
      <c r="M3731" s="2"/>
      <c r="N3731" s="8">
        <v>43120.900173611109</v>
      </c>
      <c r="O3731" s="4"/>
      <c r="P3731" s="3" t="s">
        <v>1370</v>
      </c>
      <c r="Q3731" s="10" t="s">
        <v>1369</v>
      </c>
      <c r="R3731" s="4"/>
      <c r="S3731" s="9" t="str">
        <f>HYPERLINK("https://pbs.twimg.com/profile_images/1015906511132995584/NJ32LAt6.jpg","View")</f>
        <v>View</v>
      </c>
    </row>
    <row r="3732" spans="1:19" ht="20">
      <c r="A3732" s="8">
        <v>43341.747939814813</v>
      </c>
      <c r="B3732" s="11" t="str">
        <f>HYPERLINK("https://twitter.com/babaei_yasser","@babaei_yasser")</f>
        <v>@babaei_yasser</v>
      </c>
      <c r="C3732" s="6" t="s">
        <v>6516</v>
      </c>
      <c r="D3732" s="5" t="s">
        <v>7075</v>
      </c>
      <c r="E3732" s="9" t="str">
        <f>HYPERLINK("https://twitter.com/babaei_yasser/status/1034794556330598405","1034794556330598405")</f>
        <v>1034794556330598405</v>
      </c>
      <c r="F3732" s="4"/>
      <c r="G3732" s="4"/>
      <c r="H3732" s="4"/>
      <c r="I3732" s="10" t="str">
        <f>HYPERLINK("http://twitter.com/download/android","Twitter for Android")</f>
        <v>Twitter for Android</v>
      </c>
      <c r="J3732" s="2">
        <v>35</v>
      </c>
      <c r="K3732" s="2">
        <v>52</v>
      </c>
      <c r="L3732" s="2">
        <v>0</v>
      </c>
      <c r="M3732" s="2"/>
      <c r="N3732" s="8">
        <v>43282.520092592589</v>
      </c>
      <c r="O3732" s="4"/>
      <c r="P3732" s="3" t="s">
        <v>6514</v>
      </c>
      <c r="Q3732" s="10" t="s">
        <v>6513</v>
      </c>
      <c r="R3732" s="4"/>
      <c r="S3732" s="9" t="str">
        <f>HYPERLINK("https://pbs.twimg.com/profile_images/1034007301919842305/5MwiaNPR.jpg","View")</f>
        <v>View</v>
      </c>
    </row>
    <row r="3733" spans="1:19" ht="20">
      <c r="A3733" s="8">
        <v>43341.746886574074</v>
      </c>
      <c r="B3733" s="11" t="str">
        <f>HYPERLINK("https://twitter.com/ramkalsharif","@ramkalsharif")</f>
        <v>@ramkalsharif</v>
      </c>
      <c r="C3733" s="6" t="s">
        <v>5320</v>
      </c>
      <c r="D3733" s="5" t="s">
        <v>7074</v>
      </c>
      <c r="E3733" s="9" t="str">
        <f>HYPERLINK("https://twitter.com/ramkalsharif/status/1034794174695071744","1034794174695071744")</f>
        <v>1034794174695071744</v>
      </c>
      <c r="F3733" s="10" t="s">
        <v>5318</v>
      </c>
      <c r="G3733" s="10" t="s">
        <v>5317</v>
      </c>
      <c r="H3733" s="4"/>
      <c r="I3733" s="10" t="str">
        <f>HYPERLINK("http://twitter.com/download/android","Twitter for Android")</f>
        <v>Twitter for Android</v>
      </c>
      <c r="J3733" s="2">
        <v>256</v>
      </c>
      <c r="K3733" s="2">
        <v>478</v>
      </c>
      <c r="L3733" s="2">
        <v>1</v>
      </c>
      <c r="M3733" s="2"/>
      <c r="N3733" s="8">
        <v>43279.26017361111</v>
      </c>
      <c r="O3733" s="4"/>
      <c r="P3733" s="3" t="s">
        <v>5316</v>
      </c>
      <c r="Q3733" s="4"/>
      <c r="R3733" s="4"/>
      <c r="S3733" s="9" t="str">
        <f>HYPERLINK("https://pbs.twimg.com/profile_images/1012162878500212736/YzOJxGCq.jpg","View")</f>
        <v>View</v>
      </c>
    </row>
    <row r="3734" spans="1:19" ht="20">
      <c r="A3734" s="8">
        <v>43341.745856481481</v>
      </c>
      <c r="B3734" s="11" t="str">
        <f>HYPERLINK("https://twitter.com/yasereza","@yasereza")</f>
        <v>@yasereza</v>
      </c>
      <c r="C3734" s="6" t="s">
        <v>2973</v>
      </c>
      <c r="D3734" s="5" t="s">
        <v>7073</v>
      </c>
      <c r="E3734" s="9" t="str">
        <f>HYPERLINK("https://twitter.com/yasereza/status/1034793801297084416","1034793801297084416")</f>
        <v>1034793801297084416</v>
      </c>
      <c r="F3734" s="4"/>
      <c r="G3734" s="4"/>
      <c r="H3734" s="4"/>
      <c r="I3734" s="10" t="str">
        <f>HYPERLINK("http://twitter.com/download/android","Twitter for Android")</f>
        <v>Twitter for Android</v>
      </c>
      <c r="J3734" s="2">
        <v>158</v>
      </c>
      <c r="K3734" s="2">
        <v>221</v>
      </c>
      <c r="L3734" s="2">
        <v>1</v>
      </c>
      <c r="M3734" s="2"/>
      <c r="N3734" s="8">
        <v>40945.026296296295</v>
      </c>
      <c r="O3734" s="4" t="s">
        <v>2971</v>
      </c>
      <c r="P3734" s="3" t="s">
        <v>2970</v>
      </c>
      <c r="Q3734" s="4"/>
      <c r="R3734" s="4"/>
      <c r="S3734" s="9" t="str">
        <f>HYPERLINK("https://pbs.twimg.com/profile_images/968442271690579968/psy8ET8o.jpg","View")</f>
        <v>View</v>
      </c>
    </row>
    <row r="3735" spans="1:19" ht="30">
      <c r="A3735" s="8">
        <v>43341.743657407409</v>
      </c>
      <c r="B3735" s="11" t="str">
        <f>HYPERLINK("https://twitter.com/Alirezakameli1","@Alirezakameli1")</f>
        <v>@Alirezakameli1</v>
      </c>
      <c r="C3735" s="6" t="s">
        <v>7072</v>
      </c>
      <c r="D3735" s="5" t="s">
        <v>7071</v>
      </c>
      <c r="E3735" s="9" t="str">
        <f>HYPERLINK("https://twitter.com/Alirezakameli1/status/1034793005776089089","1034793005776089089")</f>
        <v>1034793005776089089</v>
      </c>
      <c r="F3735" s="4"/>
      <c r="G3735" s="4"/>
      <c r="H3735" s="4"/>
      <c r="I3735" s="10" t="str">
        <f>HYPERLINK("http://twitter.com/download/iphone","Twitter for iPhone")</f>
        <v>Twitter for iPhone</v>
      </c>
      <c r="J3735" s="2">
        <v>3</v>
      </c>
      <c r="K3735" s="2">
        <v>34</v>
      </c>
      <c r="L3735" s="2">
        <v>0</v>
      </c>
      <c r="M3735" s="2"/>
      <c r="N3735" s="8">
        <v>43326.476620370369</v>
      </c>
      <c r="O3735" s="4" t="s">
        <v>133</v>
      </c>
      <c r="P3735" s="3" t="s">
        <v>7070</v>
      </c>
      <c r="Q3735" s="4"/>
      <c r="R3735" s="4"/>
      <c r="S3735" s="9" t="str">
        <f>HYPERLINK("https://pbs.twimg.com/profile_images/1029263507278192640/aKWqxGRm.jpg","View")</f>
        <v>View</v>
      </c>
    </row>
    <row r="3736" spans="1:19" ht="20">
      <c r="A3736" s="8">
        <v>43341.742268518516</v>
      </c>
      <c r="B3736" s="11" t="str">
        <f>HYPERLINK("https://twitter.com/alirezazarabad","@alirezazarabad")</f>
        <v>@alirezazarabad</v>
      </c>
      <c r="C3736" s="6" t="s">
        <v>7069</v>
      </c>
      <c r="D3736" s="5" t="s">
        <v>7068</v>
      </c>
      <c r="E3736" s="9" t="str">
        <f>HYPERLINK("https://twitter.com/alirezazarabad/status/1034792500723105792","1034792500723105792")</f>
        <v>1034792500723105792</v>
      </c>
      <c r="F3736" s="4"/>
      <c r="G3736" s="10" t="s">
        <v>7067</v>
      </c>
      <c r="H3736" s="4"/>
      <c r="I3736" s="10" t="str">
        <f>HYPERLINK("http://twitter.com","Twitter Web Client")</f>
        <v>Twitter Web Client</v>
      </c>
      <c r="J3736" s="2">
        <v>1825</v>
      </c>
      <c r="K3736" s="2">
        <v>1598</v>
      </c>
      <c r="L3736" s="2">
        <v>4</v>
      </c>
      <c r="M3736" s="2"/>
      <c r="N3736" s="8">
        <v>42816.981226851851</v>
      </c>
      <c r="O3736" s="4"/>
      <c r="P3736" s="3" t="s">
        <v>7066</v>
      </c>
      <c r="Q3736" s="4"/>
      <c r="R3736" s="4"/>
      <c r="S3736" s="9" t="str">
        <f>HYPERLINK("https://pbs.twimg.com/profile_images/996688264730894336/Jw2pI7QZ.jpg","View")</f>
        <v>View</v>
      </c>
    </row>
    <row r="3737" spans="1:19" ht="30">
      <c r="A3737" s="8">
        <v>43341.741759259261</v>
      </c>
      <c r="B3737" s="11" t="str">
        <f>HYPERLINK("https://twitter.com/FatemehDanaei","@FatemehDanaei")</f>
        <v>@FatemehDanaei</v>
      </c>
      <c r="C3737" s="6" t="s">
        <v>7065</v>
      </c>
      <c r="D3737" s="5" t="s">
        <v>7064</v>
      </c>
      <c r="E3737" s="9" t="str">
        <f>HYPERLINK("https://twitter.com/FatemehDanaei/status/1034792317285228546","1034792317285228546")</f>
        <v>1034792317285228546</v>
      </c>
      <c r="F3737" s="4"/>
      <c r="G3737" s="10" t="s">
        <v>7063</v>
      </c>
      <c r="H3737" s="4"/>
      <c r="I3737" s="10" t="str">
        <f>HYPERLINK("http://twitter.com","Twitter Web Client")</f>
        <v>Twitter Web Client</v>
      </c>
      <c r="J3737" s="2">
        <v>2427</v>
      </c>
      <c r="K3737" s="2">
        <v>3298</v>
      </c>
      <c r="L3737" s="2">
        <v>3</v>
      </c>
      <c r="M3737" s="2"/>
      <c r="N3737" s="8">
        <v>42880.444004629629</v>
      </c>
      <c r="O3737" s="4" t="s">
        <v>7062</v>
      </c>
      <c r="P3737" s="3" t="s">
        <v>7061</v>
      </c>
      <c r="Q3737" s="10" t="s">
        <v>7060</v>
      </c>
      <c r="R3737" s="4"/>
      <c r="S3737" s="9" t="str">
        <f>HYPERLINK("https://pbs.twimg.com/profile_images/904264413284315136/O88dZKRP.jpg","View")</f>
        <v>View</v>
      </c>
    </row>
    <row r="3738" spans="1:19" ht="30">
      <c r="A3738" s="8">
        <v>43341.737696759257</v>
      </c>
      <c r="B3738" s="11" t="str">
        <f>HYPERLINK("https://twitter.com/_OmidNk","@_OmidNk")</f>
        <v>@_OmidNk</v>
      </c>
      <c r="C3738" s="6" t="s">
        <v>7059</v>
      </c>
      <c r="D3738" s="5" t="s">
        <v>7058</v>
      </c>
      <c r="E3738" s="9" t="str">
        <f>HYPERLINK("https://twitter.com/_OmidNk/status/1034790842567983107","1034790842567983107")</f>
        <v>1034790842567983107</v>
      </c>
      <c r="F3738" s="4"/>
      <c r="G3738" s="10" t="s">
        <v>7057</v>
      </c>
      <c r="H3738" s="4"/>
      <c r="I3738" s="10" t="str">
        <f>HYPERLINK("http://twitter.com/download/android","Twitter for Android")</f>
        <v>Twitter for Android</v>
      </c>
      <c r="J3738" s="2">
        <v>1146</v>
      </c>
      <c r="K3738" s="2">
        <v>646</v>
      </c>
      <c r="L3738" s="2">
        <v>10</v>
      </c>
      <c r="M3738" s="2"/>
      <c r="N3738" s="8">
        <v>42839.562106481477</v>
      </c>
      <c r="O3738" s="4" t="s">
        <v>7056</v>
      </c>
      <c r="P3738" s="3" t="s">
        <v>7055</v>
      </c>
      <c r="Q3738" s="10" t="s">
        <v>7054</v>
      </c>
      <c r="R3738" s="4"/>
      <c r="S3738" s="9" t="str">
        <f>HYPERLINK("https://pbs.twimg.com/profile_images/996666635300700160/wEGdW_OY.jpg","View")</f>
        <v>View</v>
      </c>
    </row>
    <row r="3739" spans="1:19" ht="20">
      <c r="A3739" s="8">
        <v>43341.737361111111</v>
      </c>
      <c r="B3739" s="11" t="str">
        <f>HYPERLINK("https://twitter.com/Shayaaan8","@Shayaaan8")</f>
        <v>@Shayaaan8</v>
      </c>
      <c r="C3739" s="6" t="s">
        <v>7053</v>
      </c>
      <c r="D3739" s="5" t="s">
        <v>7052</v>
      </c>
      <c r="E3739" s="9" t="str">
        <f>HYPERLINK("https://twitter.com/Shayaaan8/status/1034790723411959808","1034790723411959808")</f>
        <v>1034790723411959808</v>
      </c>
      <c r="F3739" s="4"/>
      <c r="G3739" s="4"/>
      <c r="H3739" s="4"/>
      <c r="I3739" s="10" t="str">
        <f>HYPERLINK("http://twitter.com/download/iphone","Twitter for iPhone")</f>
        <v>Twitter for iPhone</v>
      </c>
      <c r="J3739" s="2">
        <v>178</v>
      </c>
      <c r="K3739" s="2">
        <v>36</v>
      </c>
      <c r="L3739" s="2">
        <v>0</v>
      </c>
      <c r="M3739" s="2"/>
      <c r="N3739" s="8">
        <v>43047.413310185184</v>
      </c>
      <c r="O3739" s="4"/>
      <c r="P3739" s="3" t="s">
        <v>7051</v>
      </c>
      <c r="Q3739" s="4"/>
      <c r="R3739" s="4"/>
      <c r="S3739" s="9" t="str">
        <f>HYPERLINK("https://pbs.twimg.com/profile_images/1034686605158703104/OK8mm-MG.jpg","View")</f>
        <v>View</v>
      </c>
    </row>
    <row r="3740" spans="1:19" ht="30">
      <c r="A3740" s="8">
        <v>43341.735844907409</v>
      </c>
      <c r="B3740" s="11" t="str">
        <f>HYPERLINK("https://twitter.com/AhmadPo","@AhmadPo")</f>
        <v>@AhmadPo</v>
      </c>
      <c r="C3740" s="6" t="s">
        <v>7050</v>
      </c>
      <c r="D3740" s="5" t="s">
        <v>7049</v>
      </c>
      <c r="E3740" s="9" t="str">
        <f>HYPERLINK("https://twitter.com/AhmadPo/status/1034790172267831296","1034790172267831296")</f>
        <v>1034790172267831296</v>
      </c>
      <c r="F3740" s="4"/>
      <c r="G3740" s="4"/>
      <c r="H3740" s="4"/>
      <c r="I3740" s="10" t="str">
        <f>HYPERLINK("http://twitter.com/download/android","Twitter for Android")</f>
        <v>Twitter for Android</v>
      </c>
      <c r="J3740" s="2">
        <v>511</v>
      </c>
      <c r="K3740" s="2">
        <v>450</v>
      </c>
      <c r="L3740" s="2">
        <v>2</v>
      </c>
      <c r="M3740" s="2"/>
      <c r="N3740" s="8">
        <v>40703.467581018514</v>
      </c>
      <c r="O3740" s="4"/>
      <c r="P3740" s="3" t="s">
        <v>7048</v>
      </c>
      <c r="Q3740" s="4"/>
      <c r="R3740" s="4"/>
      <c r="S3740" s="9" t="str">
        <f>HYPERLINK("https://pbs.twimg.com/profile_images/994659791980060672/QIGBrCRs.jpg","View")</f>
        <v>View</v>
      </c>
    </row>
    <row r="3741" spans="1:19" ht="30">
      <c r="A3741" s="8">
        <v>43341.735821759255</v>
      </c>
      <c r="B3741" s="11" t="str">
        <f>HYPERLINK("https://twitter.com/falak_959","@falak_959")</f>
        <v>@falak_959</v>
      </c>
      <c r="C3741" s="6" t="s">
        <v>7047</v>
      </c>
      <c r="D3741" s="5" t="s">
        <v>7046</v>
      </c>
      <c r="E3741" s="9" t="str">
        <f>HYPERLINK("https://twitter.com/falak_959/status/1034790165695418368","1034790165695418368")</f>
        <v>1034790165695418368</v>
      </c>
      <c r="F3741" s="4"/>
      <c r="G3741" s="4"/>
      <c r="H3741" s="4"/>
      <c r="I3741" s="10" t="str">
        <f>HYPERLINK("http://twitter.com/download/android","Twitter for Android")</f>
        <v>Twitter for Android</v>
      </c>
      <c r="J3741" s="2">
        <v>2588</v>
      </c>
      <c r="K3741" s="2">
        <v>2237</v>
      </c>
      <c r="L3741" s="2">
        <v>1</v>
      </c>
      <c r="M3741" s="2"/>
      <c r="N3741" s="8">
        <v>42734.693206018521</v>
      </c>
      <c r="O3741" s="4" t="s">
        <v>7045</v>
      </c>
      <c r="P3741" s="3" t="s">
        <v>7044</v>
      </c>
      <c r="Q3741" s="4"/>
      <c r="R3741" s="4"/>
      <c r="S3741" s="9" t="str">
        <f>HYPERLINK("https://pbs.twimg.com/profile_images/1034505988643205125/nl_6OE9q.jpg","View")</f>
        <v>View</v>
      </c>
    </row>
    <row r="3742" spans="1:19" ht="30">
      <c r="A3742" s="8">
        <v>43341.733437499999</v>
      </c>
      <c r="B3742" s="11" t="str">
        <f>HYPERLINK("https://twitter.com/rezaabdifard","@rezaabdifard")</f>
        <v>@rezaabdifard</v>
      </c>
      <c r="C3742" s="6" t="s">
        <v>7043</v>
      </c>
      <c r="D3742" s="5" t="s">
        <v>7042</v>
      </c>
      <c r="E3742" s="9" t="str">
        <f>HYPERLINK("https://twitter.com/rezaabdifard/status/1034789299479371776","1034789299479371776")</f>
        <v>1034789299479371776</v>
      </c>
      <c r="F3742" s="4"/>
      <c r="G3742" s="4"/>
      <c r="H3742" s="4"/>
      <c r="I3742" s="10" t="str">
        <f>HYPERLINK("http://twitter.com/download/iphone","Twitter for iPhone")</f>
        <v>Twitter for iPhone</v>
      </c>
      <c r="J3742" s="2">
        <v>26</v>
      </c>
      <c r="K3742" s="2">
        <v>55</v>
      </c>
      <c r="L3742" s="2">
        <v>0</v>
      </c>
      <c r="M3742" s="2"/>
      <c r="N3742" s="8">
        <v>43314.774097222224</v>
      </c>
      <c r="O3742" s="4"/>
      <c r="P3742" s="3" t="s">
        <v>7041</v>
      </c>
      <c r="Q3742" s="4"/>
      <c r="R3742" s="4"/>
      <c r="S3742" s="9" t="str">
        <f>HYPERLINK("https://pbs.twimg.com/profile_images/1031898132886351872/W4GE4KhP.jpg","View")</f>
        <v>View</v>
      </c>
    </row>
    <row r="3743" spans="1:19" ht="30">
      <c r="A3743" s="8">
        <v>43341.733240740738</v>
      </c>
      <c r="B3743" s="11" t="str">
        <f>HYPERLINK("https://twitter.com/aliasadi0013","@aliasadi0013")</f>
        <v>@aliasadi0013</v>
      </c>
      <c r="C3743" s="6" t="s">
        <v>7040</v>
      </c>
      <c r="D3743" s="5" t="s">
        <v>7039</v>
      </c>
      <c r="E3743" s="9" t="str">
        <f>HYPERLINK("https://twitter.com/aliasadi0013/status/1034789231330254848","1034789231330254848")</f>
        <v>1034789231330254848</v>
      </c>
      <c r="F3743" s="4"/>
      <c r="G3743" s="4"/>
      <c r="H3743" s="4"/>
      <c r="I3743" s="10" t="str">
        <f>HYPERLINK("http://twitter.com/download/android","Twitter for Android")</f>
        <v>Twitter for Android</v>
      </c>
      <c r="J3743" s="2">
        <v>234</v>
      </c>
      <c r="K3743" s="2">
        <v>189</v>
      </c>
      <c r="L3743" s="2">
        <v>1</v>
      </c>
      <c r="M3743" s="2"/>
      <c r="N3743" s="8">
        <v>42799.711562500001</v>
      </c>
      <c r="O3743" s="4" t="s">
        <v>34</v>
      </c>
      <c r="P3743" s="3" t="s">
        <v>7038</v>
      </c>
      <c r="Q3743" s="4"/>
      <c r="R3743" s="4"/>
      <c r="S3743" s="9" t="str">
        <f>HYPERLINK("https://pbs.twimg.com/profile_images/1025460334029623296/Ij77heGF.jpg","View")</f>
        <v>View</v>
      </c>
    </row>
    <row r="3744" spans="1:19" ht="20">
      <c r="A3744" s="8">
        <v>43341.733171296291</v>
      </c>
      <c r="B3744" s="11" t="str">
        <f>HYPERLINK("https://twitter.com/Mahdiye06678873","@Mahdiye06678873")</f>
        <v>@Mahdiye06678873</v>
      </c>
      <c r="C3744" s="6" t="s">
        <v>7037</v>
      </c>
      <c r="D3744" s="5" t="s">
        <v>7036</v>
      </c>
      <c r="E3744" s="9" t="str">
        <f>HYPERLINK("https://twitter.com/Mahdiye06678873/status/1034789206458073088","1034789206458073088")</f>
        <v>1034789206458073088</v>
      </c>
      <c r="F3744" s="4"/>
      <c r="G3744" s="4"/>
      <c r="H3744" s="4"/>
      <c r="I3744" s="10" t="str">
        <f>HYPERLINK("http://twitter.com/download/iphone","Twitter for iPhone")</f>
        <v>Twitter for iPhone</v>
      </c>
      <c r="J3744" s="2">
        <v>11</v>
      </c>
      <c r="K3744" s="2">
        <v>50</v>
      </c>
      <c r="L3744" s="2">
        <v>0</v>
      </c>
      <c r="M3744" s="2"/>
      <c r="N3744" s="8">
        <v>43016.641898148147</v>
      </c>
      <c r="O3744" s="4" t="s">
        <v>133</v>
      </c>
      <c r="P3744" s="3" t="s">
        <v>7035</v>
      </c>
      <c r="Q3744" s="4"/>
      <c r="R3744" s="4"/>
      <c r="S3744" s="9" t="str">
        <f>HYPERLINK("https://pbs.twimg.com/profile_images/1032021067118923778/lIUl-Mb2.jpg","View")</f>
        <v>View</v>
      </c>
    </row>
    <row r="3745" spans="1:19" ht="30">
      <c r="A3745" s="8">
        <v>43341.732662037037</v>
      </c>
      <c r="B3745" s="11" t="str">
        <f>HYPERLINK("https://twitter.com/bardiya2000","@bardiya2000")</f>
        <v>@bardiya2000</v>
      </c>
      <c r="C3745" s="6" t="s">
        <v>6602</v>
      </c>
      <c r="D3745" s="5" t="s">
        <v>7034</v>
      </c>
      <c r="E3745" s="9" t="str">
        <f>HYPERLINK("https://twitter.com/bardiya2000/status/1034789019219976193","1034789019219976193")</f>
        <v>1034789019219976193</v>
      </c>
      <c r="F3745" s="4"/>
      <c r="G3745" s="10" t="s">
        <v>7033</v>
      </c>
      <c r="H3745" s="4"/>
      <c r="I3745" s="10" t="str">
        <f>HYPERLINK("http://twitter.com","Twitter Web Client")</f>
        <v>Twitter Web Client</v>
      </c>
      <c r="J3745" s="2">
        <v>10975</v>
      </c>
      <c r="K3745" s="2">
        <v>11866</v>
      </c>
      <c r="L3745" s="2">
        <v>5</v>
      </c>
      <c r="M3745" s="2"/>
      <c r="N3745" s="8">
        <v>43130.489201388889</v>
      </c>
      <c r="O3745" s="4" t="s">
        <v>104</v>
      </c>
      <c r="P3745" s="3" t="s">
        <v>6600</v>
      </c>
      <c r="Q3745" s="4"/>
      <c r="R3745" s="4"/>
      <c r="S3745" s="9" t="str">
        <f>HYPERLINK("https://pbs.twimg.com/profile_images/959171152081014784/1feOJkR-.jpg","View")</f>
        <v>View</v>
      </c>
    </row>
    <row r="3746" spans="1:19" ht="40">
      <c r="A3746" s="8">
        <v>43341.732662037037</v>
      </c>
      <c r="B3746" s="11" t="str">
        <f>HYPERLINK("https://twitter.com/458_reza","@458_reza")</f>
        <v>@458_reza</v>
      </c>
      <c r="C3746" s="6" t="s">
        <v>1221</v>
      </c>
      <c r="D3746" s="5" t="s">
        <v>7032</v>
      </c>
      <c r="E3746" s="9" t="str">
        <f>HYPERLINK("https://twitter.com/458_reza/status/1034789019085885441","1034789019085885441")</f>
        <v>1034789019085885441</v>
      </c>
      <c r="F3746" s="10" t="s">
        <v>7031</v>
      </c>
      <c r="G3746" s="10" t="s">
        <v>7030</v>
      </c>
      <c r="H3746" s="4"/>
      <c r="I3746" s="10" t="str">
        <f>HYPERLINK("http://twitter.com/download/iphone","Twitter for iPhone")</f>
        <v>Twitter for iPhone</v>
      </c>
      <c r="J3746" s="2">
        <v>125</v>
      </c>
      <c r="K3746" s="2">
        <v>181</v>
      </c>
      <c r="L3746" s="2">
        <v>0</v>
      </c>
      <c r="M3746" s="2"/>
      <c r="N3746" s="8">
        <v>41812.539317129631</v>
      </c>
      <c r="O3746" s="4" t="s">
        <v>1219</v>
      </c>
      <c r="P3746" s="3" t="s">
        <v>1218</v>
      </c>
      <c r="Q3746" s="4"/>
      <c r="R3746" s="4"/>
      <c r="S3746" s="9" t="str">
        <f>HYPERLINK("https://pbs.twimg.com/profile_images/940287487728947201/gzGWxfmy.jpg","View")</f>
        <v>View</v>
      </c>
    </row>
    <row r="3747" spans="1:19" ht="12.5">
      <c r="A3747" s="8">
        <v>43341.732094907406</v>
      </c>
      <c r="B3747" s="11" t="str">
        <f>HYPERLINK("https://twitter.com/aliakrami6","@aliakrami6")</f>
        <v>@aliakrami6</v>
      </c>
      <c r="C3747" s="6" t="s">
        <v>7029</v>
      </c>
      <c r="D3747" s="5" t="s">
        <v>7028</v>
      </c>
      <c r="E3747" s="9" t="str">
        <f>HYPERLINK("https://twitter.com/aliakrami6/status/1034788813837463552","1034788813837463552")</f>
        <v>1034788813837463552</v>
      </c>
      <c r="F3747" s="4"/>
      <c r="G3747" s="4"/>
      <c r="H3747" s="4"/>
      <c r="I3747" s="10" t="str">
        <f>HYPERLINK("http://twitter.com/download/android","Twitter for Android")</f>
        <v>Twitter for Android</v>
      </c>
      <c r="J3747" s="2">
        <v>1393</v>
      </c>
      <c r="K3747" s="2">
        <v>1225</v>
      </c>
      <c r="L3747" s="2">
        <v>3</v>
      </c>
      <c r="M3747" s="2"/>
      <c r="N3747" s="8">
        <v>41745.853182870371</v>
      </c>
      <c r="O3747" s="4" t="s">
        <v>682</v>
      </c>
      <c r="P3747" s="3"/>
      <c r="Q3747" s="4"/>
      <c r="R3747" s="4"/>
      <c r="S3747" s="9" t="str">
        <f>HYPERLINK("https://pbs.twimg.com/profile_images/1023652273241632769/BfYEx1UY.jpg","View")</f>
        <v>View</v>
      </c>
    </row>
    <row r="3748" spans="1:19" ht="20">
      <c r="A3748" s="8">
        <v>43341.730775462958</v>
      </c>
      <c r="B3748" s="11" t="str">
        <f>HYPERLINK("https://twitter.com/Leon65nm","@Leon65nm")</f>
        <v>@Leon65nm</v>
      </c>
      <c r="C3748" s="6" t="s">
        <v>929</v>
      </c>
      <c r="D3748" s="5" t="s">
        <v>7027</v>
      </c>
      <c r="E3748" s="9" t="str">
        <f>HYPERLINK("https://twitter.com/Leon65nm/status/1034788335141703681","1034788335141703681")</f>
        <v>1034788335141703681</v>
      </c>
      <c r="F3748" s="4"/>
      <c r="G3748" s="4"/>
      <c r="H3748" s="4"/>
      <c r="I3748" s="10" t="str">
        <f>HYPERLINK("http://twitter.com/download/android","Twitter for Android")</f>
        <v>Twitter for Android</v>
      </c>
      <c r="J3748" s="2">
        <v>6</v>
      </c>
      <c r="K3748" s="2">
        <v>17</v>
      </c>
      <c r="L3748" s="2">
        <v>0</v>
      </c>
      <c r="M3748" s="2"/>
      <c r="N3748" s="8">
        <v>43226.442523148144</v>
      </c>
      <c r="O3748" s="4"/>
      <c r="P3748" s="3"/>
      <c r="Q3748" s="4"/>
      <c r="R3748" s="4"/>
      <c r="S3748" s="9" t="str">
        <f>HYPERLINK("https://pbs.twimg.com/profile_images/993012338801496065/Q7wP_C1o.jpg","View")</f>
        <v>View</v>
      </c>
    </row>
    <row r="3749" spans="1:19" ht="40">
      <c r="A3749" s="8">
        <v>43341.729351851856</v>
      </c>
      <c r="B3749" s="11" t="str">
        <f>HYPERLINK("https://twitter.com/MohsenFattahi6","@MohsenFattahi6")</f>
        <v>@MohsenFattahi6</v>
      </c>
      <c r="C3749" s="6" t="s">
        <v>7026</v>
      </c>
      <c r="D3749" s="5" t="s">
        <v>7025</v>
      </c>
      <c r="E3749" s="9" t="str">
        <f>HYPERLINK("https://twitter.com/MohsenFattahi6/status/1034787820978819075","1034787820978819075")</f>
        <v>1034787820978819075</v>
      </c>
      <c r="F3749" s="4"/>
      <c r="G3749" s="4"/>
      <c r="H3749" s="4"/>
      <c r="I3749" s="10" t="str">
        <f>HYPERLINK("http://twitter.com/download/android","Twitter for Android")</f>
        <v>Twitter for Android</v>
      </c>
      <c r="J3749" s="2">
        <v>103</v>
      </c>
      <c r="K3749" s="2">
        <v>144</v>
      </c>
      <c r="L3749" s="2">
        <v>0</v>
      </c>
      <c r="M3749" s="2"/>
      <c r="N3749" s="8">
        <v>42878.996157407411</v>
      </c>
      <c r="O3749" s="4" t="s">
        <v>7024</v>
      </c>
      <c r="P3749" s="3" t="s">
        <v>7023</v>
      </c>
      <c r="Q3749" s="4"/>
      <c r="R3749" s="4"/>
      <c r="S3749" s="9" t="str">
        <f>HYPERLINK("https://pbs.twimg.com/profile_images/867102454902640640/Pmt7ip_K.jpg","View")</f>
        <v>View</v>
      </c>
    </row>
    <row r="3750" spans="1:19" ht="40">
      <c r="A3750" s="8">
        <v>43341.726435185185</v>
      </c>
      <c r="B3750" s="11" t="str">
        <f>HYPERLINK("https://twitter.com/majidpaksima","@majidpaksima")</f>
        <v>@majidpaksima</v>
      </c>
      <c r="C3750" s="6" t="s">
        <v>7022</v>
      </c>
      <c r="D3750" s="5" t="s">
        <v>7021</v>
      </c>
      <c r="E3750" s="9" t="str">
        <f>HYPERLINK("https://twitter.com/majidpaksima/status/1034786763124891649","1034786763124891649")</f>
        <v>1034786763124891649</v>
      </c>
      <c r="F3750" s="4"/>
      <c r="G3750" s="4"/>
      <c r="H3750" s="4"/>
      <c r="I3750" s="10" t="str">
        <f>HYPERLINK("http://twitter.com","Twitter Web Client")</f>
        <v>Twitter Web Client</v>
      </c>
      <c r="J3750" s="2">
        <v>1088</v>
      </c>
      <c r="K3750" s="2">
        <v>786</v>
      </c>
      <c r="L3750" s="2">
        <v>1</v>
      </c>
      <c r="M3750" s="2"/>
      <c r="N3750" s="8">
        <v>42608.821273148147</v>
      </c>
      <c r="O3750" s="4" t="s">
        <v>133</v>
      </c>
      <c r="P3750" s="3" t="s">
        <v>7020</v>
      </c>
      <c r="Q3750" s="4"/>
      <c r="R3750" s="4"/>
      <c r="S3750" s="9" t="str">
        <f>HYPERLINK("https://pbs.twimg.com/profile_images/961237403330588673/OV4ebEUW.jpg","View")</f>
        <v>View</v>
      </c>
    </row>
    <row r="3751" spans="1:19" ht="30">
      <c r="A3751" s="8">
        <v>43341.726134259261</v>
      </c>
      <c r="B3751" s="11" t="str">
        <f>HYPERLINK("https://twitter.com/Ali_mak46","@Ali_mak46")</f>
        <v>@Ali_mak46</v>
      </c>
      <c r="C3751" s="6" t="s">
        <v>7019</v>
      </c>
      <c r="D3751" s="5" t="s">
        <v>7018</v>
      </c>
      <c r="E3751" s="9" t="str">
        <f>HYPERLINK("https://twitter.com/Ali_mak46/status/1034786654953906177","1034786654953906177")</f>
        <v>1034786654953906177</v>
      </c>
      <c r="F3751" s="4"/>
      <c r="G3751" s="4"/>
      <c r="H3751" s="4"/>
      <c r="I3751" s="10" t="str">
        <f>HYPERLINK("http://twitter.com/download/iphone","Twitter for iPhone")</f>
        <v>Twitter for iPhone</v>
      </c>
      <c r="J3751" s="2">
        <v>178</v>
      </c>
      <c r="K3751" s="2">
        <v>349</v>
      </c>
      <c r="L3751" s="2">
        <v>0</v>
      </c>
      <c r="M3751" s="2"/>
      <c r="N3751" s="8">
        <v>40584.909803240742</v>
      </c>
      <c r="O3751" s="4" t="s">
        <v>34</v>
      </c>
      <c r="P3751" s="3" t="s">
        <v>7017</v>
      </c>
      <c r="Q3751" s="4"/>
      <c r="R3751" s="4"/>
      <c r="S3751" s="9" t="str">
        <f>HYPERLINK("https://pbs.twimg.com/profile_images/947599180385718273/yfsb2m7i.jpg","View")</f>
        <v>View</v>
      </c>
    </row>
    <row r="3752" spans="1:19" ht="80">
      <c r="A3752" s="8">
        <v>43341.726030092592</v>
      </c>
      <c r="B3752" s="11" t="str">
        <f>HYPERLINK("https://twitter.com/AminFzli","@AminFzli")</f>
        <v>@AminFzli</v>
      </c>
      <c r="C3752" s="6" t="s">
        <v>7016</v>
      </c>
      <c r="D3752" s="5" t="s">
        <v>7015</v>
      </c>
      <c r="E3752" s="9" t="str">
        <f>HYPERLINK("https://twitter.com/AminFzli/status/1034786615800094722","1034786615800094722")</f>
        <v>1034786615800094722</v>
      </c>
      <c r="F3752" s="10" t="s">
        <v>7014</v>
      </c>
      <c r="G3752" s="4"/>
      <c r="H3752" s="4"/>
      <c r="I3752" s="10" t="str">
        <f>HYPERLINK("http://twitter.com/download/android","Twitter for Android")</f>
        <v>Twitter for Android</v>
      </c>
      <c r="J3752" s="2">
        <v>101</v>
      </c>
      <c r="K3752" s="2">
        <v>25</v>
      </c>
      <c r="L3752" s="2">
        <v>0</v>
      </c>
      <c r="M3752" s="2"/>
      <c r="N3752" s="8">
        <v>43140.82032407407</v>
      </c>
      <c r="O3752" s="4"/>
      <c r="P3752" s="3"/>
      <c r="Q3752" s="4"/>
      <c r="R3752" s="4"/>
      <c r="S3752" s="9" t="str">
        <f>HYPERLINK("https://pbs.twimg.com/profile_images/965878244019986433/h44PGKYB.jpg","View")</f>
        <v>View</v>
      </c>
    </row>
    <row r="3753" spans="1:19" ht="30">
      <c r="A3753" s="8">
        <v>43341.725532407407</v>
      </c>
      <c r="B3753" s="11" t="str">
        <f>HYPERLINK("https://twitter.com/faghatkhodaa","@faghatkhodaa")</f>
        <v>@faghatkhodaa</v>
      </c>
      <c r="C3753" s="6" t="s">
        <v>4323</v>
      </c>
      <c r="D3753" s="5" t="s">
        <v>7013</v>
      </c>
      <c r="E3753" s="9" t="str">
        <f>HYPERLINK("https://twitter.com/faghatkhodaa/status/1034786437663809537","1034786437663809537")</f>
        <v>1034786437663809537</v>
      </c>
      <c r="F3753" s="4"/>
      <c r="G3753" s="4"/>
      <c r="H3753" s="4"/>
      <c r="I3753" s="10" t="str">
        <f>HYPERLINK("http://twitter.com/download/android","Twitter for Android")</f>
        <v>Twitter for Android</v>
      </c>
      <c r="J3753" s="2">
        <v>8778</v>
      </c>
      <c r="K3753" s="2">
        <v>8983</v>
      </c>
      <c r="L3753" s="2">
        <v>23</v>
      </c>
      <c r="M3753" s="2"/>
      <c r="N3753" s="8">
        <v>43126.628379629634</v>
      </c>
      <c r="O3753" s="4" t="s">
        <v>34</v>
      </c>
      <c r="P3753" s="3" t="s">
        <v>4321</v>
      </c>
      <c r="Q3753" s="4"/>
      <c r="R3753" s="4"/>
      <c r="S3753" s="9" t="str">
        <f>HYPERLINK("https://pbs.twimg.com/profile_images/1027942473103040514/73l8O29B.jpg","View")</f>
        <v>View</v>
      </c>
    </row>
    <row r="3754" spans="1:19" ht="30">
      <c r="A3754" s="8">
        <v>43341.724722222221</v>
      </c>
      <c r="B3754" s="11" t="str">
        <f>HYPERLINK("https://twitter.com/Beeman93397010","@Beeman93397010")</f>
        <v>@Beeman93397010</v>
      </c>
      <c r="C3754" s="6" t="s">
        <v>1335</v>
      </c>
      <c r="D3754" s="5" t="s">
        <v>7012</v>
      </c>
      <c r="E3754" s="9" t="str">
        <f>HYPERLINK("https://twitter.com/Beeman93397010/status/1034786144297406470","1034786144297406470")</f>
        <v>1034786144297406470</v>
      </c>
      <c r="F3754" s="4"/>
      <c r="G3754" s="4"/>
      <c r="H3754" s="4"/>
      <c r="I3754" s="10" t="str">
        <f>HYPERLINK("http://twitter.com/download/android","Twitter for Android")</f>
        <v>Twitter for Android</v>
      </c>
      <c r="J3754" s="2">
        <v>133</v>
      </c>
      <c r="K3754" s="2">
        <v>61</v>
      </c>
      <c r="L3754" s="2">
        <v>0</v>
      </c>
      <c r="M3754" s="2"/>
      <c r="N3754" s="8">
        <v>43201.467928240745</v>
      </c>
      <c r="O3754" s="4" t="s">
        <v>1333</v>
      </c>
      <c r="P3754" s="3" t="s">
        <v>1332</v>
      </c>
      <c r="Q3754" s="4"/>
      <c r="R3754" s="4"/>
      <c r="S3754" s="9" t="str">
        <f>HYPERLINK("https://pbs.twimg.com/profile_images/984098314026192896/-naFt74A.jpg","View")</f>
        <v>View</v>
      </c>
    </row>
    <row r="3755" spans="1:19" ht="20">
      <c r="A3755" s="8">
        <v>43341.724502314813</v>
      </c>
      <c r="B3755" s="11" t="str">
        <f>HYPERLINK("https://twitter.com/MohsenM18927370","@MohsenM18927370")</f>
        <v>@MohsenM18927370</v>
      </c>
      <c r="C3755" s="6" t="s">
        <v>782</v>
      </c>
      <c r="D3755" s="5" t="s">
        <v>7011</v>
      </c>
      <c r="E3755" s="9" t="str">
        <f>HYPERLINK("https://twitter.com/MohsenM18927370/status/1034786064467148801","1034786064467148801")</f>
        <v>1034786064467148801</v>
      </c>
      <c r="F3755" s="4"/>
      <c r="G3755" s="10" t="s">
        <v>7010</v>
      </c>
      <c r="H3755" s="4"/>
      <c r="I3755" s="10" t="str">
        <f>HYPERLINK("http://twitter.com/download/android","Twitter for Android")</f>
        <v>Twitter for Android</v>
      </c>
      <c r="J3755" s="2">
        <v>2202</v>
      </c>
      <c r="K3755" s="2">
        <v>3331</v>
      </c>
      <c r="L3755" s="2">
        <v>1</v>
      </c>
      <c r="M3755" s="2"/>
      <c r="N3755" s="8">
        <v>43235.390196759261</v>
      </c>
      <c r="O3755" s="4" t="s">
        <v>133</v>
      </c>
      <c r="P3755" s="3" t="s">
        <v>780</v>
      </c>
      <c r="Q3755" s="10" t="s">
        <v>779</v>
      </c>
      <c r="R3755" s="4"/>
      <c r="S3755" s="9" t="str">
        <f>HYPERLINK("https://pbs.twimg.com/profile_images/996264944495624192/KDFD3KaG.jpg","View")</f>
        <v>View</v>
      </c>
    </row>
    <row r="3756" spans="1:19" ht="30">
      <c r="A3756" s="8">
        <v>43341.724317129629</v>
      </c>
      <c r="B3756" s="11" t="str">
        <f>HYPERLINK("https://twitter.com/moalizaade","@moalizaade")</f>
        <v>@moalizaade</v>
      </c>
      <c r="C3756" s="6" t="s">
        <v>7009</v>
      </c>
      <c r="D3756" s="5" t="s">
        <v>7008</v>
      </c>
      <c r="E3756" s="9" t="str">
        <f>HYPERLINK("https://twitter.com/moalizaade/status/1034785997618339841","1034785997618339841")</f>
        <v>1034785997618339841</v>
      </c>
      <c r="F3756" s="4"/>
      <c r="G3756" s="4"/>
      <c r="H3756" s="4"/>
      <c r="I3756" s="10" t="str">
        <f>HYPERLINK("http://twitter.com","Twitter Web Client")</f>
        <v>Twitter Web Client</v>
      </c>
      <c r="J3756" s="2">
        <v>286</v>
      </c>
      <c r="K3756" s="2">
        <v>573</v>
      </c>
      <c r="L3756" s="2">
        <v>1</v>
      </c>
      <c r="M3756" s="2"/>
      <c r="N3756" s="8">
        <v>42751.747673611113</v>
      </c>
      <c r="O3756" s="4"/>
      <c r="P3756" s="3"/>
      <c r="Q3756" s="4"/>
      <c r="R3756" s="4"/>
      <c r="S3756" s="9" t="str">
        <f>HYPERLINK("https://pbs.twimg.com/profile_images/1034797385745133568/oUmNu4n6.jpg","View")</f>
        <v>View</v>
      </c>
    </row>
    <row r="3757" spans="1:19" ht="20">
      <c r="A3757" s="8">
        <v>43341.722592592589</v>
      </c>
      <c r="B3757" s="11" t="str">
        <f>HYPERLINK("https://twitter.com/eliyaomid","@eliyaomid")</f>
        <v>@eliyaomid</v>
      </c>
      <c r="C3757" s="6" t="s">
        <v>5821</v>
      </c>
      <c r="D3757" s="5" t="s">
        <v>7007</v>
      </c>
      <c r="E3757" s="9" t="str">
        <f>HYPERLINK("https://twitter.com/eliyaomid/status/1034785369487814657","1034785369487814657")</f>
        <v>1034785369487814657</v>
      </c>
      <c r="F3757" s="10" t="s">
        <v>7003</v>
      </c>
      <c r="G3757" s="10" t="s">
        <v>7006</v>
      </c>
      <c r="H3757" s="4"/>
      <c r="I3757" s="10" t="str">
        <f>HYPERLINK("http://tickethall.ir","Tickethall")</f>
        <v>Tickethall</v>
      </c>
      <c r="J3757" s="2">
        <v>42</v>
      </c>
      <c r="K3757" s="2">
        <v>39</v>
      </c>
      <c r="L3757" s="2">
        <v>1</v>
      </c>
      <c r="M3757" s="2"/>
      <c r="N3757" s="8">
        <v>41893.800821759258</v>
      </c>
      <c r="O3757" s="4"/>
      <c r="P3757" s="3" t="s">
        <v>5818</v>
      </c>
      <c r="Q3757" s="10" t="s">
        <v>5817</v>
      </c>
      <c r="R3757" s="4"/>
      <c r="S3757" s="2" t="s">
        <v>155</v>
      </c>
    </row>
    <row r="3758" spans="1:19" ht="40">
      <c r="A3758" s="8">
        <v>43341.720706018517</v>
      </c>
      <c r="B3758" s="11" t="str">
        <f>HYPERLINK("https://twitter.com/alishaeri89","@alishaeri89")</f>
        <v>@alishaeri89</v>
      </c>
      <c r="C3758" s="6" t="s">
        <v>1787</v>
      </c>
      <c r="D3758" s="5" t="s">
        <v>7005</v>
      </c>
      <c r="E3758" s="9" t="str">
        <f>HYPERLINK("https://twitter.com/alishaeri89/status/1034784687519150080","1034784687519150080")</f>
        <v>1034784687519150080</v>
      </c>
      <c r="F3758" s="4"/>
      <c r="G3758" s="4"/>
      <c r="H3758" s="4"/>
      <c r="I3758" s="10" t="str">
        <f>HYPERLINK("http://twitter.com/download/android","Twitter for Android")</f>
        <v>Twitter for Android</v>
      </c>
      <c r="J3758" s="2">
        <v>1198</v>
      </c>
      <c r="K3758" s="2">
        <v>1181</v>
      </c>
      <c r="L3758" s="2">
        <v>2</v>
      </c>
      <c r="M3758" s="2"/>
      <c r="N3758" s="8">
        <v>43248.747106481482</v>
      </c>
      <c r="O3758" s="4" t="s">
        <v>17</v>
      </c>
      <c r="P3758" s="3" t="s">
        <v>1784</v>
      </c>
      <c r="Q3758" s="4"/>
      <c r="R3758" s="4"/>
      <c r="S3758" s="9" t="str">
        <f>HYPERLINK("https://pbs.twimg.com/profile_images/1019917938999070720/VqHRCseB.jpg","View")</f>
        <v>View</v>
      </c>
    </row>
    <row r="3759" spans="1:19" ht="20">
      <c r="A3759" s="8">
        <v>43341.71980324074</v>
      </c>
      <c r="B3759" s="11" t="str">
        <f>HYPERLINK("https://twitter.com/eliyaomid","@eliyaomid")</f>
        <v>@eliyaomid</v>
      </c>
      <c r="C3759" s="6" t="s">
        <v>5821</v>
      </c>
      <c r="D3759" s="5" t="s">
        <v>7004</v>
      </c>
      <c r="E3759" s="9" t="str">
        <f>HYPERLINK("https://twitter.com/eliyaomid/status/1034784361449746433","1034784361449746433")</f>
        <v>1034784361449746433</v>
      </c>
      <c r="F3759" s="10" t="s">
        <v>7003</v>
      </c>
      <c r="G3759" s="10" t="s">
        <v>7002</v>
      </c>
      <c r="H3759" s="4"/>
      <c r="I3759" s="10" t="str">
        <f>HYPERLINK("http://tickethall.ir","Tickethall")</f>
        <v>Tickethall</v>
      </c>
      <c r="J3759" s="2">
        <v>42</v>
      </c>
      <c r="K3759" s="2">
        <v>39</v>
      </c>
      <c r="L3759" s="2">
        <v>1</v>
      </c>
      <c r="M3759" s="2"/>
      <c r="N3759" s="8">
        <v>41893.800821759258</v>
      </c>
      <c r="O3759" s="4"/>
      <c r="P3759" s="3" t="s">
        <v>5818</v>
      </c>
      <c r="Q3759" s="10" t="s">
        <v>5817</v>
      </c>
      <c r="R3759" s="4"/>
      <c r="S3759" s="2" t="s">
        <v>155</v>
      </c>
    </row>
    <row r="3760" spans="1:19" ht="40">
      <c r="A3760" s="8">
        <v>43341.719675925924</v>
      </c>
      <c r="B3760" s="11" t="str">
        <f>HYPERLINK("https://twitter.com/FarsNews_Agency","@FarsNews_Agency")</f>
        <v>@FarsNews_Agency</v>
      </c>
      <c r="C3760" s="6" t="s">
        <v>83</v>
      </c>
      <c r="D3760" s="5" t="s">
        <v>7001</v>
      </c>
      <c r="E3760" s="9" t="str">
        <f>HYPERLINK("https://twitter.com/FarsNews_Agency/status/1034784313567522817","1034784313567522817")</f>
        <v>1034784313567522817</v>
      </c>
      <c r="F3760" s="10" t="s">
        <v>5910</v>
      </c>
      <c r="G3760" s="10" t="s">
        <v>5901</v>
      </c>
      <c r="H3760" s="4"/>
      <c r="I3760" s="10" t="str">
        <f>HYPERLINK("http://twitter.com","Twitter Web Client")</f>
        <v>Twitter Web Client</v>
      </c>
      <c r="J3760" s="2">
        <v>54358</v>
      </c>
      <c r="K3760" s="2">
        <v>1</v>
      </c>
      <c r="L3760" s="2">
        <v>345</v>
      </c>
      <c r="M3760" s="2" t="s">
        <v>80</v>
      </c>
      <c r="N3760" s="8">
        <v>41779.409398148149</v>
      </c>
      <c r="O3760" s="4" t="s">
        <v>79</v>
      </c>
      <c r="P3760" s="3" t="s">
        <v>78</v>
      </c>
      <c r="Q3760" s="10" t="s">
        <v>77</v>
      </c>
      <c r="R3760" s="4"/>
      <c r="S3760" s="9" t="str">
        <f>HYPERLINK("https://pbs.twimg.com/profile_images/970300864257777664/8y7AvX_N.jpg","View")</f>
        <v>View</v>
      </c>
    </row>
    <row r="3761" spans="1:19" ht="30">
      <c r="A3761" s="8">
        <v>43341.719421296293</v>
      </c>
      <c r="B3761" s="11" t="str">
        <f>HYPERLINK("https://twitter.com/shoresh61","@shoresh61")</f>
        <v>@shoresh61</v>
      </c>
      <c r="C3761" s="6" t="s">
        <v>2540</v>
      </c>
      <c r="D3761" s="5" t="s">
        <v>7000</v>
      </c>
      <c r="E3761" s="9" t="str">
        <f>HYPERLINK("https://twitter.com/shoresh61/status/1034784220810502144","1034784220810502144")</f>
        <v>1034784220810502144</v>
      </c>
      <c r="F3761" s="4"/>
      <c r="G3761" s="4"/>
      <c r="H3761" s="4"/>
      <c r="I3761" s="10" t="str">
        <f>HYPERLINK("http://twitter.com/download/android","Twitter for Android")</f>
        <v>Twitter for Android</v>
      </c>
      <c r="J3761" s="2">
        <v>12150</v>
      </c>
      <c r="K3761" s="2">
        <v>7323</v>
      </c>
      <c r="L3761" s="2">
        <v>16</v>
      </c>
      <c r="M3761" s="2"/>
      <c r="N3761" s="8">
        <v>41707.846446759257</v>
      </c>
      <c r="O3761" s="4" t="s">
        <v>2538</v>
      </c>
      <c r="P3761" s="3" t="s">
        <v>2537</v>
      </c>
      <c r="Q3761" s="10" t="s">
        <v>2536</v>
      </c>
      <c r="R3761" s="4"/>
      <c r="S3761" s="9" t="str">
        <f>HYPERLINK("https://pbs.twimg.com/profile_images/944544717194301442/frY1ROFo.jpg","View")</f>
        <v>View</v>
      </c>
    </row>
    <row r="3762" spans="1:19" ht="20">
      <c r="A3762" s="8">
        <v>43341.718773148154</v>
      </c>
      <c r="B3762" s="11" t="str">
        <f>HYPERLINK("https://twitter.com/mmyussefi","@mmyussefi")</f>
        <v>@mmyussefi</v>
      </c>
      <c r="C3762" s="6" t="s">
        <v>6530</v>
      </c>
      <c r="D3762" s="5" t="s">
        <v>6999</v>
      </c>
      <c r="E3762" s="9" t="str">
        <f>HYPERLINK("https://twitter.com/mmyussefi/status/1034783986227273728","1034783986227273728")</f>
        <v>1034783986227273728</v>
      </c>
      <c r="F3762" s="4"/>
      <c r="G3762" s="4"/>
      <c r="H3762" s="4"/>
      <c r="I3762" s="10" t="str">
        <f>HYPERLINK("http://twitter.com/download/android","Twitter for Android")</f>
        <v>Twitter for Android</v>
      </c>
      <c r="J3762" s="2">
        <v>240</v>
      </c>
      <c r="K3762" s="2">
        <v>167</v>
      </c>
      <c r="L3762" s="2">
        <v>2</v>
      </c>
      <c r="M3762" s="2"/>
      <c r="N3762" s="8">
        <v>42677.402384259258</v>
      </c>
      <c r="O3762" s="4" t="s">
        <v>17</v>
      </c>
      <c r="P3762" s="3" t="s">
        <v>6526</v>
      </c>
      <c r="Q3762" s="4"/>
      <c r="R3762" s="4"/>
      <c r="S3762" s="9" t="str">
        <f>HYPERLINK("https://pbs.twimg.com/profile_images/971485722984288256/RHZSzcXq.jpg","View")</f>
        <v>View</v>
      </c>
    </row>
    <row r="3763" spans="1:19" ht="40">
      <c r="A3763" s="8">
        <v>43341.7184837963</v>
      </c>
      <c r="B3763" s="11" t="str">
        <f>HYPERLINK("https://twitter.com/mehdii_malek","@mehdii_malek")</f>
        <v>@mehdii_malek</v>
      </c>
      <c r="C3763" s="6" t="s">
        <v>6998</v>
      </c>
      <c r="D3763" s="5" t="s">
        <v>6997</v>
      </c>
      <c r="E3763" s="9" t="str">
        <f>HYPERLINK("https://twitter.com/mehdii_malek/status/1034783883827535874","1034783883827535874")</f>
        <v>1034783883827535874</v>
      </c>
      <c r="F3763" s="4"/>
      <c r="G3763" s="4"/>
      <c r="H3763" s="4"/>
      <c r="I3763" s="10" t="str">
        <f>HYPERLINK("http://twitter.com/download/iphone","Twitter for iPhone")</f>
        <v>Twitter for iPhone</v>
      </c>
      <c r="J3763" s="2">
        <v>3150</v>
      </c>
      <c r="K3763" s="2">
        <v>2586</v>
      </c>
      <c r="L3763" s="2">
        <v>6</v>
      </c>
      <c r="M3763" s="2"/>
      <c r="N3763" s="8">
        <v>39985.854502314818</v>
      </c>
      <c r="O3763" s="4" t="s">
        <v>6996</v>
      </c>
      <c r="P3763" s="3" t="s">
        <v>6995</v>
      </c>
      <c r="Q3763" s="10" t="s">
        <v>6994</v>
      </c>
      <c r="R3763" s="4"/>
      <c r="S3763" s="9" t="str">
        <f>HYPERLINK("https://pbs.twimg.com/profile_images/1034213221857730565/LsdmedOc.jpg","View")</f>
        <v>View</v>
      </c>
    </row>
    <row r="3764" spans="1:19" ht="40">
      <c r="A3764" s="8">
        <v>43341.714583333334</v>
      </c>
      <c r="B3764" s="11" t="str">
        <f>HYPERLINK("https://twitter.com/SherafSamandar","@SherafSamandar")</f>
        <v>@SherafSamandar</v>
      </c>
      <c r="C3764" s="6" t="s">
        <v>6993</v>
      </c>
      <c r="D3764" s="5" t="s">
        <v>6992</v>
      </c>
      <c r="E3764" s="9" t="str">
        <f>HYPERLINK("https://twitter.com/SherafSamandar/status/1034782470481178624","1034782470481178624")</f>
        <v>1034782470481178624</v>
      </c>
      <c r="F3764" s="4"/>
      <c r="G3764" s="4"/>
      <c r="H3764" s="4"/>
      <c r="I3764" s="10" t="str">
        <f>HYPERLINK("http://twitter.com/download/android","Twitter for Android")</f>
        <v>Twitter for Android</v>
      </c>
      <c r="J3764" s="2">
        <v>2</v>
      </c>
      <c r="K3764" s="2">
        <v>36</v>
      </c>
      <c r="L3764" s="2">
        <v>0</v>
      </c>
      <c r="M3764" s="2"/>
      <c r="N3764" s="8">
        <v>42498.538865740746</v>
      </c>
      <c r="O3764" s="4" t="s">
        <v>6673</v>
      </c>
      <c r="P3764" s="3" t="s">
        <v>6991</v>
      </c>
      <c r="Q3764" s="4"/>
      <c r="R3764" s="4"/>
      <c r="S3764" s="9" t="str">
        <f>HYPERLINK("https://pbs.twimg.com/profile_images/1033590356955328513/LdPJKcyU.jpg","View")</f>
        <v>View</v>
      </c>
    </row>
    <row r="3765" spans="1:19" ht="40">
      <c r="A3765" s="8">
        <v>43341.714155092588</v>
      </c>
      <c r="B3765" s="11" t="str">
        <f>HYPERLINK("https://twitter.com/boursenews_ir","@boursenews_ir")</f>
        <v>@boursenews_ir</v>
      </c>
      <c r="C3765" s="6" t="s">
        <v>1783</v>
      </c>
      <c r="D3765" s="5" t="s">
        <v>6990</v>
      </c>
      <c r="E3765" s="9" t="str">
        <f>HYPERLINK("https://twitter.com/boursenews_ir/status/1034782315061366785","1034782315061366785")</f>
        <v>1034782315061366785</v>
      </c>
      <c r="F3765" s="4"/>
      <c r="G3765" s="4"/>
      <c r="H3765" s="4"/>
      <c r="I3765" s="10" t="str">
        <f>HYPERLINK("http://twitter.com/download/android","Twitter for Android")</f>
        <v>Twitter for Android</v>
      </c>
      <c r="J3765" s="2">
        <v>305</v>
      </c>
      <c r="K3765" s="2">
        <v>59</v>
      </c>
      <c r="L3765" s="2">
        <v>4</v>
      </c>
      <c r="M3765" s="2"/>
      <c r="N3765" s="8">
        <v>43166.397280092591</v>
      </c>
      <c r="O3765" s="4"/>
      <c r="P3765" s="3" t="s">
        <v>1781</v>
      </c>
      <c r="Q3765" s="10" t="s">
        <v>1780</v>
      </c>
      <c r="R3765" s="4"/>
      <c r="S3765" s="9" t="str">
        <f>HYPERLINK("https://pbs.twimg.com/profile_images/989209833038647296/NI5wUhXg.jpg","View")</f>
        <v>View</v>
      </c>
    </row>
    <row r="3766" spans="1:19" ht="40">
      <c r="A3766" s="8">
        <v>43341.713402777779</v>
      </c>
      <c r="B3766" s="11" t="str">
        <f>HYPERLINK("https://twitter.com/ToufanAzizi","@ToufanAzizi")</f>
        <v>@ToufanAzizi</v>
      </c>
      <c r="C3766" s="6" t="s">
        <v>6989</v>
      </c>
      <c r="D3766" s="5" t="s">
        <v>6988</v>
      </c>
      <c r="E3766" s="9" t="str">
        <f>HYPERLINK("https://twitter.com/ToufanAzizi/status/1034782039113912320","1034782039113912320")</f>
        <v>1034782039113912320</v>
      </c>
      <c r="F3766" s="4"/>
      <c r="G3766" s="4"/>
      <c r="H3766" s="4"/>
      <c r="I3766" s="10" t="str">
        <f>HYPERLINK("https://mobile.twitter.com","Twitter Lite")</f>
        <v>Twitter Lite</v>
      </c>
      <c r="J3766" s="2">
        <v>119</v>
      </c>
      <c r="K3766" s="2">
        <v>147</v>
      </c>
      <c r="L3766" s="2">
        <v>0</v>
      </c>
      <c r="M3766" s="2"/>
      <c r="N3766" s="8">
        <v>42197.015428240746</v>
      </c>
      <c r="O3766" s="4" t="s">
        <v>133</v>
      </c>
      <c r="P3766" s="3" t="s">
        <v>6987</v>
      </c>
      <c r="Q3766" s="4"/>
      <c r="R3766" s="4"/>
      <c r="S3766" s="9" t="str">
        <f>HYPERLINK("https://pbs.twimg.com/profile_images/860204221852942337/YCu6Kkd_.jpg","View")</f>
        <v>View</v>
      </c>
    </row>
    <row r="3767" spans="1:19" ht="20">
      <c r="A3767" s="8">
        <v>43341.713287037041</v>
      </c>
      <c r="B3767" s="11" t="str">
        <f>HYPERLINK("https://twitter.com/ilnanews","@ilnanews")</f>
        <v>@ilnanews</v>
      </c>
      <c r="C3767" s="6" t="s">
        <v>6413</v>
      </c>
      <c r="D3767" s="5" t="s">
        <v>6986</v>
      </c>
      <c r="E3767" s="9" t="str">
        <f>HYPERLINK("https://twitter.com/ilnanews/status/1034781997632245760","1034781997632245760")</f>
        <v>1034781997632245760</v>
      </c>
      <c r="F3767" s="10" t="s">
        <v>6985</v>
      </c>
      <c r="G3767" s="10" t="s">
        <v>6984</v>
      </c>
      <c r="H3767" s="4"/>
      <c r="I3767" s="10" t="str">
        <f>HYPERLINK("http://twitter.com/download/android","Twitter for Android")</f>
        <v>Twitter for Android</v>
      </c>
      <c r="J3767" s="2">
        <v>32172</v>
      </c>
      <c r="K3767" s="2">
        <v>67</v>
      </c>
      <c r="L3767" s="2">
        <v>160</v>
      </c>
      <c r="M3767" s="2"/>
      <c r="N3767" s="8">
        <v>42062.024768518517</v>
      </c>
      <c r="O3767" s="4" t="s">
        <v>34</v>
      </c>
      <c r="P3767" s="3" t="s">
        <v>6409</v>
      </c>
      <c r="Q3767" s="10" t="s">
        <v>6408</v>
      </c>
      <c r="R3767" s="4"/>
      <c r="S3767" s="9" t="str">
        <f>HYPERLINK("https://pbs.twimg.com/profile_images/760387216782848000/TS1QyYLo.jpg","View")</f>
        <v>View</v>
      </c>
    </row>
    <row r="3768" spans="1:19" ht="40">
      <c r="A3768" s="8">
        <v>43341.713055555556</v>
      </c>
      <c r="B3768" s="11" t="str">
        <f>HYPERLINK("https://twitter.com/simayazaditv","@simayazaditv")</f>
        <v>@simayazaditv</v>
      </c>
      <c r="C3768" s="6" t="s">
        <v>1758</v>
      </c>
      <c r="D3768" s="5" t="s">
        <v>6983</v>
      </c>
      <c r="E3768" s="9" t="str">
        <f>HYPERLINK("https://twitter.com/simayazaditv/status/1034781913771327489","1034781913771327489")</f>
        <v>1034781913771327489</v>
      </c>
      <c r="F3768" s="4"/>
      <c r="G3768" s="10" t="s">
        <v>6982</v>
      </c>
      <c r="H3768" s="4"/>
      <c r="I3768" s="10" t="str">
        <f>HYPERLINK("http://twitter.com","Twitter Web Client")</f>
        <v>Twitter Web Client</v>
      </c>
      <c r="J3768" s="2">
        <v>6029</v>
      </c>
      <c r="K3768" s="2">
        <v>1</v>
      </c>
      <c r="L3768" s="2">
        <v>100</v>
      </c>
      <c r="M3768" s="2"/>
      <c r="N3768" s="8">
        <v>42209.662442129629</v>
      </c>
      <c r="O3768" s="4" t="s">
        <v>252</v>
      </c>
      <c r="P3768" s="3"/>
      <c r="Q3768" s="10" t="s">
        <v>1755</v>
      </c>
      <c r="R3768" s="4"/>
      <c r="S3768" s="9" t="str">
        <f>HYPERLINK("https://pbs.twimg.com/profile_images/624546008937144321/5aqccHix.png","View")</f>
        <v>View</v>
      </c>
    </row>
    <row r="3769" spans="1:19" ht="40">
      <c r="A3769" s="8">
        <v>43341.712118055555</v>
      </c>
      <c r="B3769" s="11" t="str">
        <f>HYPERLINK("https://twitter.com/Alikzm7","@Alikzm7")</f>
        <v>@Alikzm7</v>
      </c>
      <c r="C3769" s="6" t="s">
        <v>6981</v>
      </c>
      <c r="D3769" s="5" t="s">
        <v>6980</v>
      </c>
      <c r="E3769" s="9" t="str">
        <f>HYPERLINK("https://twitter.com/Alikzm7/status/1034781576570134529","1034781576570134529")</f>
        <v>1034781576570134529</v>
      </c>
      <c r="F3769" s="4"/>
      <c r="G3769" s="10" t="s">
        <v>6979</v>
      </c>
      <c r="H3769" s="4"/>
      <c r="I3769" s="10" t="str">
        <f>HYPERLINK("http://twitter.com/download/android","Twitter for Android")</f>
        <v>Twitter for Android</v>
      </c>
      <c r="J3769" s="2">
        <v>1201</v>
      </c>
      <c r="K3769" s="2">
        <v>635</v>
      </c>
      <c r="L3769" s="2">
        <v>4</v>
      </c>
      <c r="M3769" s="2"/>
      <c r="N3769" s="8">
        <v>41499.481516203705</v>
      </c>
      <c r="O3769" s="4" t="s">
        <v>6978</v>
      </c>
      <c r="P3769" s="3" t="s">
        <v>6977</v>
      </c>
      <c r="Q3769" s="4"/>
      <c r="R3769" s="4"/>
      <c r="S3769" s="9" t="str">
        <f>HYPERLINK("https://pbs.twimg.com/profile_images/1021378213916729344/8m2EfTeV.jpg","View")</f>
        <v>View</v>
      </c>
    </row>
    <row r="3770" spans="1:19" ht="30">
      <c r="A3770" s="8">
        <v>43341.709513888884</v>
      </c>
      <c r="B3770" s="11" t="str">
        <f>HYPERLINK("https://twitter.com/Mbt1397","@Mbt1397")</f>
        <v>@Mbt1397</v>
      </c>
      <c r="C3770" s="6" t="s">
        <v>6130</v>
      </c>
      <c r="D3770" s="5" t="s">
        <v>6129</v>
      </c>
      <c r="E3770" s="9" t="str">
        <f>HYPERLINK("https://twitter.com/Mbt1397/status/1034780629945212929","1034780629945212929")</f>
        <v>1034780629945212929</v>
      </c>
      <c r="F3770" s="4"/>
      <c r="G3770" s="4"/>
      <c r="H3770" s="4"/>
      <c r="I3770" s="10" t="str">
        <f>HYPERLINK("http://twitter.com","Twitter Web Client")</f>
        <v>Twitter Web Client</v>
      </c>
      <c r="J3770" s="2">
        <v>378</v>
      </c>
      <c r="K3770" s="2">
        <v>2124</v>
      </c>
      <c r="L3770" s="2">
        <v>1</v>
      </c>
      <c r="M3770" s="2"/>
      <c r="N3770" s="8">
        <v>43236.447615740741</v>
      </c>
      <c r="O3770" s="4"/>
      <c r="P3770" s="3" t="s">
        <v>6127</v>
      </c>
      <c r="Q3770" s="4"/>
      <c r="R3770" s="4"/>
      <c r="S3770" s="9" t="str">
        <f>HYPERLINK("https://pbs.twimg.com/profile_images/1029968548280578048/U7o9geK0.jpg","View")</f>
        <v>View</v>
      </c>
    </row>
    <row r="3771" spans="1:19" ht="40">
      <c r="A3771" s="8">
        <v>43341.707881944443</v>
      </c>
      <c r="B3771" s="11" t="str">
        <f>HYPERLINK("https://twitter.com/RafatiSiavash","@RafatiSiavash")</f>
        <v>@RafatiSiavash</v>
      </c>
      <c r="C3771" s="6" t="s">
        <v>3226</v>
      </c>
      <c r="D3771" s="5" t="s">
        <v>6976</v>
      </c>
      <c r="E3771" s="9" t="str">
        <f>HYPERLINK("https://twitter.com/RafatiSiavash/status/1034780038921691136","1034780038921691136")</f>
        <v>1034780038921691136</v>
      </c>
      <c r="F3771" s="10" t="s">
        <v>6975</v>
      </c>
      <c r="G3771" s="4"/>
      <c r="H3771" s="4"/>
      <c r="I3771" s="10" t="str">
        <f>HYPERLINK("http://twitter.com","Twitter Web Client")</f>
        <v>Twitter Web Client</v>
      </c>
      <c r="J3771" s="2">
        <v>288</v>
      </c>
      <c r="K3771" s="2">
        <v>231</v>
      </c>
      <c r="L3771" s="2">
        <v>87</v>
      </c>
      <c r="M3771" s="2"/>
      <c r="N3771" s="8">
        <v>41050.769884259258</v>
      </c>
      <c r="O3771" s="4"/>
      <c r="P3771" s="3" t="s">
        <v>3223</v>
      </c>
      <c r="Q3771" s="10" t="s">
        <v>3222</v>
      </c>
      <c r="R3771" s="4"/>
      <c r="S3771" s="9" t="str">
        <f>HYPERLINK("https://pbs.twimg.com/profile_images/821385868690751488/Qqe0I1Bk.jpg","View")</f>
        <v>View</v>
      </c>
    </row>
    <row r="3772" spans="1:19" ht="40">
      <c r="A3772" s="8">
        <v>43341.707800925928</v>
      </c>
      <c r="B3772" s="11" t="str">
        <f>HYPERLINK("https://twitter.com/AhmadiHanie","@AhmadiHanie")</f>
        <v>@AhmadiHanie</v>
      </c>
      <c r="C3772" s="6" t="s">
        <v>6974</v>
      </c>
      <c r="D3772" s="5" t="s">
        <v>6973</v>
      </c>
      <c r="E3772" s="9" t="str">
        <f>HYPERLINK("https://twitter.com/AhmadiHanie/status/1034780009402130438","1034780009402130438")</f>
        <v>1034780009402130438</v>
      </c>
      <c r="F3772" s="4"/>
      <c r="G3772" s="10" t="s">
        <v>6972</v>
      </c>
      <c r="H3772" s="4"/>
      <c r="I3772" s="10" t="str">
        <f>HYPERLINK("http://twitter.com/download/android","Twitter for Android")</f>
        <v>Twitter for Android</v>
      </c>
      <c r="J3772" s="2">
        <v>532</v>
      </c>
      <c r="K3772" s="2">
        <v>650</v>
      </c>
      <c r="L3772" s="2">
        <v>0</v>
      </c>
      <c r="M3772" s="2"/>
      <c r="N3772" s="8">
        <v>42963.504386574074</v>
      </c>
      <c r="O3772" s="4" t="s">
        <v>104</v>
      </c>
      <c r="P3772" s="3" t="s">
        <v>6971</v>
      </c>
      <c r="Q3772" s="4"/>
      <c r="R3772" s="4"/>
      <c r="S3772" s="9" t="str">
        <f>HYPERLINK("https://pbs.twimg.com/profile_images/1010598538986885121/pfp2TR8O.jpg","View")</f>
        <v>View</v>
      </c>
    </row>
    <row r="3773" spans="1:19" ht="30">
      <c r="A3773" s="8">
        <v>43341.707326388889</v>
      </c>
      <c r="B3773" s="11" t="str">
        <f>HYPERLINK("https://twitter.com/Kaveh1397","@Kaveh1397")</f>
        <v>@Kaveh1397</v>
      </c>
      <c r="C3773" s="6" t="s">
        <v>6964</v>
      </c>
      <c r="D3773" s="5" t="s">
        <v>6970</v>
      </c>
      <c r="E3773" s="9" t="str">
        <f>HYPERLINK("https://twitter.com/Kaveh1397/status/1034779838291304448","1034779838291304448")</f>
        <v>1034779838291304448</v>
      </c>
      <c r="F3773" s="4"/>
      <c r="G3773" s="4"/>
      <c r="H3773" s="4"/>
      <c r="I3773" s="10" t="str">
        <f>HYPERLINK("http://twitter.com","Twitter Web Client")</f>
        <v>Twitter Web Client</v>
      </c>
      <c r="J3773" s="2">
        <v>150</v>
      </c>
      <c r="K3773" s="2">
        <v>152</v>
      </c>
      <c r="L3773" s="2">
        <v>0</v>
      </c>
      <c r="M3773" s="2"/>
      <c r="N3773" s="8">
        <v>43096.68959490741</v>
      </c>
      <c r="O3773" s="4" t="s">
        <v>6962</v>
      </c>
      <c r="P3773" s="3" t="s">
        <v>6961</v>
      </c>
      <c r="Q3773" s="4"/>
      <c r="R3773" s="4"/>
      <c r="S3773" s="9" t="str">
        <f>HYPERLINK("https://pbs.twimg.com/profile_images/1025504204394319872/tcwgg9bF.jpg","View")</f>
        <v>View</v>
      </c>
    </row>
    <row r="3774" spans="1:19" ht="40">
      <c r="A3774" s="8">
        <v>43341.706145833334</v>
      </c>
      <c r="B3774" s="11" t="str">
        <f>HYPERLINK("https://twitter.com/news365_online","@news365_online")</f>
        <v>@news365_online</v>
      </c>
      <c r="C3774" s="6" t="s">
        <v>2325</v>
      </c>
      <c r="D3774" s="5" t="s">
        <v>6969</v>
      </c>
      <c r="E3774" s="9" t="str">
        <f>HYPERLINK("https://twitter.com/news365_online/status/1034779410241650688","1034779410241650688")</f>
        <v>1034779410241650688</v>
      </c>
      <c r="F3774" s="4"/>
      <c r="G3774" s="10" t="s">
        <v>6968</v>
      </c>
      <c r="H3774" s="4"/>
      <c r="I3774" s="10" t="str">
        <f>HYPERLINK("http://twitter.com/download/android","Twitter for Android")</f>
        <v>Twitter for Android</v>
      </c>
      <c r="J3774" s="2">
        <v>802</v>
      </c>
      <c r="K3774" s="2">
        <v>333</v>
      </c>
      <c r="L3774" s="2">
        <v>7</v>
      </c>
      <c r="M3774" s="2"/>
      <c r="N3774" s="8">
        <v>42809.003078703703</v>
      </c>
      <c r="O3774" s="4" t="s">
        <v>34</v>
      </c>
      <c r="P3774" s="3" t="s">
        <v>2322</v>
      </c>
      <c r="Q3774" s="10" t="s">
        <v>2321</v>
      </c>
      <c r="R3774" s="4"/>
      <c r="S3774" s="9" t="str">
        <f>HYPERLINK("https://pbs.twimg.com/profile_images/923199727667220480/A0Mv4a_i.jpg","View")</f>
        <v>View</v>
      </c>
    </row>
    <row r="3775" spans="1:19" ht="20">
      <c r="A3775" s="8">
        <v>43341.704953703702</v>
      </c>
      <c r="B3775" s="11" t="str">
        <f>HYPERLINK("https://twitter.com/abbaskomijani","@abbaskomijani")</f>
        <v>@abbaskomijani</v>
      </c>
      <c r="C3775" s="6" t="s">
        <v>6967</v>
      </c>
      <c r="D3775" s="5" t="s">
        <v>6966</v>
      </c>
      <c r="E3775" s="9" t="str">
        <f>HYPERLINK("https://twitter.com/abbaskomijani/status/1034778979536982016","1034778979536982016")</f>
        <v>1034778979536982016</v>
      </c>
      <c r="F3775" s="4"/>
      <c r="G3775" s="4"/>
      <c r="H3775" s="4"/>
      <c r="I3775" s="10" t="str">
        <f>HYPERLINK("http://twitter.com/download/android","Twitter for Android")</f>
        <v>Twitter for Android</v>
      </c>
      <c r="J3775" s="2">
        <v>57</v>
      </c>
      <c r="K3775" s="2">
        <v>62</v>
      </c>
      <c r="L3775" s="2">
        <v>0</v>
      </c>
      <c r="M3775" s="2"/>
      <c r="N3775" s="8">
        <v>43091.051388888889</v>
      </c>
      <c r="O3775" s="4" t="s">
        <v>34</v>
      </c>
      <c r="P3775" s="3" t="s">
        <v>6965</v>
      </c>
      <c r="Q3775" s="4"/>
      <c r="R3775" s="4"/>
      <c r="S3775" s="9" t="str">
        <f>HYPERLINK("https://pbs.twimg.com/profile_images/979370667631087616/tdSsHsC3.jpg","View")</f>
        <v>View</v>
      </c>
    </row>
    <row r="3776" spans="1:19" ht="30">
      <c r="A3776" s="8">
        <v>43341.704918981486</v>
      </c>
      <c r="B3776" s="11" t="str">
        <f>HYPERLINK("https://twitter.com/Kaveh1397","@Kaveh1397")</f>
        <v>@Kaveh1397</v>
      </c>
      <c r="C3776" s="6" t="s">
        <v>6964</v>
      </c>
      <c r="D3776" s="5" t="s">
        <v>6963</v>
      </c>
      <c r="E3776" s="9" t="str">
        <f>HYPERLINK("https://twitter.com/Kaveh1397/status/1034778966685634561","1034778966685634561")</f>
        <v>1034778966685634561</v>
      </c>
      <c r="F3776" s="4"/>
      <c r="G3776" s="4"/>
      <c r="H3776" s="4"/>
      <c r="I3776" s="10" t="str">
        <f>HYPERLINK("http://twitter.com","Twitter Web Client")</f>
        <v>Twitter Web Client</v>
      </c>
      <c r="J3776" s="2">
        <v>150</v>
      </c>
      <c r="K3776" s="2">
        <v>152</v>
      </c>
      <c r="L3776" s="2">
        <v>0</v>
      </c>
      <c r="M3776" s="2"/>
      <c r="N3776" s="8">
        <v>43096.68959490741</v>
      </c>
      <c r="O3776" s="4" t="s">
        <v>6962</v>
      </c>
      <c r="P3776" s="3" t="s">
        <v>6961</v>
      </c>
      <c r="Q3776" s="4"/>
      <c r="R3776" s="4"/>
      <c r="S3776" s="9" t="str">
        <f>HYPERLINK("https://pbs.twimg.com/profile_images/1025504204394319872/tcwgg9bF.jpg","View")</f>
        <v>View</v>
      </c>
    </row>
    <row r="3777" spans="1:19" ht="40">
      <c r="A3777" s="8">
        <v>43341.704675925925</v>
      </c>
      <c r="B3777" s="11" t="str">
        <f>HYPERLINK("https://twitter.com/mohamad_nazemi","@mohamad_nazemi")</f>
        <v>@mohamad_nazemi</v>
      </c>
      <c r="C3777" s="6" t="s">
        <v>6960</v>
      </c>
      <c r="D3777" s="5" t="s">
        <v>6959</v>
      </c>
      <c r="E3777" s="9" t="str">
        <f>HYPERLINK("https://twitter.com/mohamad_nazemi/status/1034778876721868800","1034778876721868800")</f>
        <v>1034778876721868800</v>
      </c>
      <c r="F3777" s="4"/>
      <c r="G3777" s="4"/>
      <c r="H3777" s="4"/>
      <c r="I3777" s="10" t="str">
        <f>HYPERLINK("http://twitter.com","Twitter Web Client")</f>
        <v>Twitter Web Client</v>
      </c>
      <c r="J3777" s="2">
        <v>181</v>
      </c>
      <c r="K3777" s="2">
        <v>87</v>
      </c>
      <c r="L3777" s="2">
        <v>1</v>
      </c>
      <c r="M3777" s="2"/>
      <c r="N3777" s="8">
        <v>42406.661226851851</v>
      </c>
      <c r="O3777" s="4" t="s">
        <v>34</v>
      </c>
      <c r="P3777" s="3" t="s">
        <v>6958</v>
      </c>
      <c r="Q3777" s="10" t="s">
        <v>6957</v>
      </c>
      <c r="R3777" s="4"/>
      <c r="S3777" s="9" t="str">
        <f>HYPERLINK("https://pbs.twimg.com/profile_images/903565226154524672/xVfOb_Nf.jpg","View")</f>
        <v>View</v>
      </c>
    </row>
    <row r="3778" spans="1:19" ht="20">
      <c r="A3778" s="8">
        <v>43341.702962962961</v>
      </c>
      <c r="B3778" s="11" t="str">
        <f>HYPERLINK("https://twitter.com/PooyanMahmoudi","@PooyanMahmoudi")</f>
        <v>@PooyanMahmoudi</v>
      </c>
      <c r="C3778" s="6" t="s">
        <v>6956</v>
      </c>
      <c r="D3778" s="5" t="s">
        <v>6955</v>
      </c>
      <c r="E3778" s="9" t="str">
        <f>HYPERLINK("https://twitter.com/PooyanMahmoudi/status/1034778258498367488","1034778258498367488")</f>
        <v>1034778258498367488</v>
      </c>
      <c r="F3778" s="4"/>
      <c r="G3778" s="4"/>
      <c r="H3778" s="4"/>
      <c r="I3778" s="10" t="str">
        <f>HYPERLINK("http://twitter.com/download/iphone","Twitter for iPhone")</f>
        <v>Twitter for iPhone</v>
      </c>
      <c r="J3778" s="2">
        <v>29</v>
      </c>
      <c r="K3778" s="2">
        <v>38</v>
      </c>
      <c r="L3778" s="2">
        <v>0</v>
      </c>
      <c r="M3778" s="2"/>
      <c r="N3778" s="8">
        <v>41479.327581018515</v>
      </c>
      <c r="O3778" s="4" t="s">
        <v>34</v>
      </c>
      <c r="P3778" s="3" t="s">
        <v>6954</v>
      </c>
      <c r="Q3778" s="10" t="s">
        <v>6953</v>
      </c>
      <c r="R3778" s="4"/>
      <c r="S3778" s="9" t="str">
        <f>HYPERLINK("https://pbs.twimg.com/profile_images/1006850196435857408/mBcJhSJF.jpg","View")</f>
        <v>View</v>
      </c>
    </row>
    <row r="3779" spans="1:19" ht="30">
      <c r="A3779" s="8">
        <v>43341.70211805556</v>
      </c>
      <c r="B3779" s="11" t="str">
        <f>HYPERLINK("https://twitter.com/alishaeri89","@alishaeri89")</f>
        <v>@alishaeri89</v>
      </c>
      <c r="C3779" s="6" t="s">
        <v>1787</v>
      </c>
      <c r="D3779" s="5" t="s">
        <v>6952</v>
      </c>
      <c r="E3779" s="9" t="str">
        <f>HYPERLINK("https://twitter.com/alishaeri89/status/1034777950871273472","1034777950871273472")</f>
        <v>1034777950871273472</v>
      </c>
      <c r="F3779" s="4"/>
      <c r="G3779" s="4"/>
      <c r="H3779" s="4"/>
      <c r="I3779" s="10" t="str">
        <f>HYPERLINK("http://twitter.com/download/android","Twitter for Android")</f>
        <v>Twitter for Android</v>
      </c>
      <c r="J3779" s="2">
        <v>1198</v>
      </c>
      <c r="K3779" s="2">
        <v>1181</v>
      </c>
      <c r="L3779" s="2">
        <v>2</v>
      </c>
      <c r="M3779" s="2"/>
      <c r="N3779" s="8">
        <v>43248.747106481482</v>
      </c>
      <c r="O3779" s="4" t="s">
        <v>17</v>
      </c>
      <c r="P3779" s="3" t="s">
        <v>1784</v>
      </c>
      <c r="Q3779" s="4"/>
      <c r="R3779" s="4"/>
      <c r="S3779" s="9" t="str">
        <f>HYPERLINK("https://pbs.twimg.com/profile_images/1019917938999070720/VqHRCseB.jpg","View")</f>
        <v>View</v>
      </c>
    </row>
    <row r="3780" spans="1:19" ht="40">
      <c r="A3780" s="8">
        <v>43341.701909722222</v>
      </c>
      <c r="B3780" s="11" t="str">
        <f>HYPERLINK("https://twitter.com/yaghma_fashkham","@yaghma_fashkham")</f>
        <v>@yaghma_fashkham</v>
      </c>
      <c r="C3780" s="6" t="s">
        <v>1981</v>
      </c>
      <c r="D3780" s="5" t="s">
        <v>6951</v>
      </c>
      <c r="E3780" s="9" t="str">
        <f>HYPERLINK("https://twitter.com/yaghma_fashkham/status/1034777875617120257","1034777875617120257")</f>
        <v>1034777875617120257</v>
      </c>
      <c r="F3780" s="4"/>
      <c r="G3780" s="10" t="s">
        <v>6950</v>
      </c>
      <c r="H3780" s="4"/>
      <c r="I3780" s="10" t="str">
        <f>HYPERLINK("http://twitter.com/download/android","Twitter for Android")</f>
        <v>Twitter for Android</v>
      </c>
      <c r="J3780" s="2">
        <v>2809</v>
      </c>
      <c r="K3780" s="2">
        <v>193</v>
      </c>
      <c r="L3780" s="2">
        <v>19</v>
      </c>
      <c r="M3780" s="2"/>
      <c r="N3780" s="8">
        <v>43179.734803240739</v>
      </c>
      <c r="O3780" s="4" t="s">
        <v>34</v>
      </c>
      <c r="P3780" s="3" t="s">
        <v>1979</v>
      </c>
      <c r="Q3780" s="4"/>
      <c r="R3780" s="4"/>
      <c r="S3780" s="9" t="str">
        <f>HYPERLINK("https://pbs.twimg.com/profile_images/976099342233817088/REHFW4Jv.jpg","View")</f>
        <v>View</v>
      </c>
    </row>
    <row r="3781" spans="1:19" ht="70">
      <c r="A3781" s="8">
        <v>43341.701840277776</v>
      </c>
      <c r="B3781" s="11" t="str">
        <f>HYPERLINK("https://twitter.com/Omidam_Hamin","@Omidam_Hamin")</f>
        <v>@Omidam_Hamin</v>
      </c>
      <c r="C3781" s="6" t="s">
        <v>6949</v>
      </c>
      <c r="D3781" s="5" t="s">
        <v>6948</v>
      </c>
      <c r="E3781" s="9" t="str">
        <f>HYPERLINK("https://twitter.com/Omidam_Hamin/status/1034777851235651584","1034777851235651584")</f>
        <v>1034777851235651584</v>
      </c>
      <c r="F3781" s="4" t="s">
        <v>6947</v>
      </c>
      <c r="G3781" s="4"/>
      <c r="H3781" s="4"/>
      <c r="I3781" s="10" t="str">
        <f>HYPERLINK("http://twitter.com/download/android","Twitter for Android")</f>
        <v>Twitter for Android</v>
      </c>
      <c r="J3781" s="2">
        <v>1334</v>
      </c>
      <c r="K3781" s="2">
        <v>1512</v>
      </c>
      <c r="L3781" s="2">
        <v>5</v>
      </c>
      <c r="M3781" s="2"/>
      <c r="N3781" s="8">
        <v>43134.987071759257</v>
      </c>
      <c r="O3781" s="4" t="s">
        <v>6946</v>
      </c>
      <c r="P3781" s="3" t="s">
        <v>6945</v>
      </c>
      <c r="Q3781" s="4"/>
      <c r="R3781" s="4"/>
      <c r="S3781" s="9" t="str">
        <f>HYPERLINK("https://pbs.twimg.com/profile_images/959884726608723970/p9MALHAG.jpg","View")</f>
        <v>View</v>
      </c>
    </row>
    <row r="3782" spans="1:19" ht="40">
      <c r="A3782" s="8">
        <v>43341.699895833328</v>
      </c>
      <c r="B3782" s="11" t="str">
        <f>HYPERLINK("https://twitter.com/mohamad_mirzaee","@mohamad_mirzaee")</f>
        <v>@mohamad_mirzaee</v>
      </c>
      <c r="C3782" s="6" t="s">
        <v>1767</v>
      </c>
      <c r="D3782" s="5" t="s">
        <v>6944</v>
      </c>
      <c r="E3782" s="9" t="str">
        <f>HYPERLINK("https://twitter.com/mohamad_mirzaee/status/1034777144591884289","1034777144591884289")</f>
        <v>1034777144591884289</v>
      </c>
      <c r="F3782" s="4"/>
      <c r="G3782" s="4"/>
      <c r="H3782" s="4"/>
      <c r="I3782" s="10" t="str">
        <f>HYPERLINK("http://twitter.com","Twitter Web Client")</f>
        <v>Twitter Web Client</v>
      </c>
      <c r="J3782" s="2">
        <v>2079</v>
      </c>
      <c r="K3782" s="2">
        <v>950</v>
      </c>
      <c r="L3782" s="2">
        <v>14</v>
      </c>
      <c r="M3782" s="2"/>
      <c r="N3782" s="8">
        <v>41759.529826388891</v>
      </c>
      <c r="O3782" s="4" t="s">
        <v>1765</v>
      </c>
      <c r="P3782" s="3" t="s">
        <v>1764</v>
      </c>
      <c r="Q3782" s="4"/>
      <c r="R3782" s="4"/>
      <c r="S3782" s="9" t="str">
        <f>HYPERLINK("https://pbs.twimg.com/profile_images/923885970738548736/dNupMYO3.jpg","View")</f>
        <v>View</v>
      </c>
    </row>
    <row r="3783" spans="1:19" ht="40">
      <c r="A3783" s="8">
        <v>43341.69667824074</v>
      </c>
      <c r="B3783" s="11" t="str">
        <f>HYPERLINK("https://twitter.com/news365_online","@news365_online")</f>
        <v>@news365_online</v>
      </c>
      <c r="C3783" s="6" t="s">
        <v>2325</v>
      </c>
      <c r="D3783" s="5" t="s">
        <v>6943</v>
      </c>
      <c r="E3783" s="9" t="str">
        <f>HYPERLINK("https://twitter.com/news365_online/status/1034775980878032897","1034775980878032897")</f>
        <v>1034775980878032897</v>
      </c>
      <c r="F3783" s="4"/>
      <c r="G3783" s="10" t="s">
        <v>6942</v>
      </c>
      <c r="H3783" s="4"/>
      <c r="I3783" s="10" t="str">
        <f>HYPERLINK("http://twitter.com/download/android","Twitter for Android")</f>
        <v>Twitter for Android</v>
      </c>
      <c r="J3783" s="2">
        <v>802</v>
      </c>
      <c r="K3783" s="2">
        <v>333</v>
      </c>
      <c r="L3783" s="2">
        <v>7</v>
      </c>
      <c r="M3783" s="2"/>
      <c r="N3783" s="8">
        <v>42809.003078703703</v>
      </c>
      <c r="O3783" s="4" t="s">
        <v>34</v>
      </c>
      <c r="P3783" s="3" t="s">
        <v>2322</v>
      </c>
      <c r="Q3783" s="10" t="s">
        <v>2321</v>
      </c>
      <c r="R3783" s="4"/>
      <c r="S3783" s="9" t="str">
        <f>HYPERLINK("https://pbs.twimg.com/profile_images/923199727667220480/A0Mv4a_i.jpg","View")</f>
        <v>View</v>
      </c>
    </row>
    <row r="3784" spans="1:19" ht="20">
      <c r="A3784" s="8">
        <v>43341.696168981478</v>
      </c>
      <c r="B3784" s="11" t="str">
        <f>HYPERLINK("https://twitter.com/hassanpahlavann","@hassanpahlavann")</f>
        <v>@hassanpahlavann</v>
      </c>
      <c r="C3784" s="6" t="s">
        <v>6941</v>
      </c>
      <c r="D3784" s="5" t="s">
        <v>6940</v>
      </c>
      <c r="E3784" s="9" t="str">
        <f>HYPERLINK("https://twitter.com/hassanpahlavann/status/1034775796811018240","1034775796811018240")</f>
        <v>1034775796811018240</v>
      </c>
      <c r="F3784" s="4"/>
      <c r="G3784" s="4"/>
      <c r="H3784" s="4"/>
      <c r="I3784" s="10" t="str">
        <f>HYPERLINK("http://t.me/RetweetBot","HsinBot")</f>
        <v>HsinBot</v>
      </c>
      <c r="J3784" s="2">
        <v>1188</v>
      </c>
      <c r="K3784" s="2">
        <v>768</v>
      </c>
      <c r="L3784" s="2">
        <v>1</v>
      </c>
      <c r="M3784" s="2"/>
      <c r="N3784" s="8">
        <v>42764.991956018523</v>
      </c>
      <c r="O3784" s="4"/>
      <c r="P3784" s="3" t="s">
        <v>6939</v>
      </c>
      <c r="Q3784" s="4"/>
      <c r="R3784" s="4"/>
      <c r="S3784" s="9" t="str">
        <f>HYPERLINK("https://pbs.twimg.com/profile_images/1021296280151048192/aejSFX6o.jpg","View")</f>
        <v>View</v>
      </c>
    </row>
    <row r="3785" spans="1:19" ht="12.5">
      <c r="A3785" s="8">
        <v>43341.6956712963</v>
      </c>
      <c r="B3785" s="11" t="str">
        <f>HYPERLINK("https://twitter.com/radioomid","@radioomid")</f>
        <v>@radioomid</v>
      </c>
      <c r="C3785" s="6" t="s">
        <v>6261</v>
      </c>
      <c r="D3785" s="5" t="s">
        <v>6938</v>
      </c>
      <c r="E3785" s="9" t="str">
        <f>HYPERLINK("https://twitter.com/radioomid/status/1034775616611131392","1034775616611131392")</f>
        <v>1034775616611131392</v>
      </c>
      <c r="F3785" s="10" t="s">
        <v>6937</v>
      </c>
      <c r="G3785" s="4"/>
      <c r="H3785" s="4"/>
      <c r="I3785" s="10" t="str">
        <f>HYPERLINK("http://twitter.com","Twitter Web Client")</f>
        <v>Twitter Web Client</v>
      </c>
      <c r="J3785" s="2">
        <v>664</v>
      </c>
      <c r="K3785" s="2">
        <v>593</v>
      </c>
      <c r="L3785" s="2">
        <v>1</v>
      </c>
      <c r="M3785" s="2"/>
      <c r="N3785" s="8">
        <v>42836.654143518521</v>
      </c>
      <c r="O3785" s="4" t="s">
        <v>6258</v>
      </c>
      <c r="P3785" s="3" t="s">
        <v>6257</v>
      </c>
      <c r="Q3785" s="10" t="s">
        <v>6256</v>
      </c>
      <c r="R3785" s="4"/>
      <c r="S3785" s="9" t="str">
        <f>HYPERLINK("https://pbs.twimg.com/profile_images/864869486729494528/iRFVzy5V.jpg","View")</f>
        <v>View</v>
      </c>
    </row>
    <row r="3786" spans="1:19" ht="40">
      <c r="A3786" s="8">
        <v>43341.6955787037</v>
      </c>
      <c r="B3786" s="11" t="str">
        <f>HYPERLINK("https://twitter.com/ponezss","@ponezss")</f>
        <v>@ponezss</v>
      </c>
      <c r="C3786" s="6" t="s">
        <v>1011</v>
      </c>
      <c r="D3786" s="5" t="s">
        <v>6936</v>
      </c>
      <c r="E3786" s="9" t="str">
        <f>HYPERLINK("https://twitter.com/ponezss/status/1034775581047443457","1034775581047443457")</f>
        <v>1034775581047443457</v>
      </c>
      <c r="F3786" s="4"/>
      <c r="G3786" s="10" t="s">
        <v>6935</v>
      </c>
      <c r="H3786" s="4"/>
      <c r="I3786" s="10" t="str">
        <f>HYPERLINK("http://twitter.com/download/android","Twitter for Android")</f>
        <v>Twitter for Android</v>
      </c>
      <c r="J3786" s="2">
        <v>1355</v>
      </c>
      <c r="K3786" s="2">
        <v>690</v>
      </c>
      <c r="L3786" s="2">
        <v>1</v>
      </c>
      <c r="M3786" s="2"/>
      <c r="N3786" s="8">
        <v>42876.615879629629</v>
      </c>
      <c r="O3786" s="4" t="s">
        <v>17</v>
      </c>
      <c r="P3786" s="3" t="s">
        <v>1009</v>
      </c>
      <c r="Q3786" s="4"/>
      <c r="R3786" s="4"/>
      <c r="S3786" s="9" t="str">
        <f>HYPERLINK("https://pbs.twimg.com/profile_images/998335956628357120/wWcDCWln.jpg","View")</f>
        <v>View</v>
      </c>
    </row>
    <row r="3787" spans="1:19" ht="40">
      <c r="A3787" s="8">
        <v>43341.695405092592</v>
      </c>
      <c r="B3787" s="11" t="str">
        <f>HYPERLINK("https://twitter.com/HT_Felani","@HT_Felani")</f>
        <v>@HT_Felani</v>
      </c>
      <c r="C3787" s="6" t="s">
        <v>6934</v>
      </c>
      <c r="D3787" s="5" t="s">
        <v>6933</v>
      </c>
      <c r="E3787" s="9" t="str">
        <f>HYPERLINK("https://twitter.com/HT_Felani/status/1034775516547563522","1034775516547563522")</f>
        <v>1034775516547563522</v>
      </c>
      <c r="F3787" s="4"/>
      <c r="G3787" s="4"/>
      <c r="H3787" s="4"/>
      <c r="I3787" s="10" t="str">
        <f>HYPERLINK("http://twitter.com","Twitter Web Client")</f>
        <v>Twitter Web Client</v>
      </c>
      <c r="J3787" s="2">
        <v>3</v>
      </c>
      <c r="K3787" s="2">
        <v>1</v>
      </c>
      <c r="L3787" s="2">
        <v>0</v>
      </c>
      <c r="M3787" s="2"/>
      <c r="N3787" s="8">
        <v>43201.369537037041</v>
      </c>
      <c r="O3787" s="4"/>
      <c r="P3787" s="3" t="s">
        <v>6932</v>
      </c>
      <c r="Q3787" s="10" t="s">
        <v>6931</v>
      </c>
      <c r="R3787" s="4"/>
      <c r="S3787" s="9" t="str">
        <f>HYPERLINK("https://pbs.twimg.com/profile_images/988250221938388992/eZW63C48.jpg","View")</f>
        <v>View</v>
      </c>
    </row>
    <row r="3788" spans="1:19" ht="12.5">
      <c r="A3788" s="8">
        <v>43341.694907407407</v>
      </c>
      <c r="B3788" s="11" t="str">
        <f>HYPERLINK("https://twitter.com/irannews8857","@irannews8857")</f>
        <v>@irannews8857</v>
      </c>
      <c r="C3788" s="6" t="s">
        <v>6930</v>
      </c>
      <c r="D3788" s="5" t="s">
        <v>6929</v>
      </c>
      <c r="E3788" s="9" t="str">
        <f>HYPERLINK("https://twitter.com/irannews8857/status/1034775338302275589","1034775338302275589")</f>
        <v>1034775338302275589</v>
      </c>
      <c r="F3788" s="4"/>
      <c r="G3788" s="4"/>
      <c r="H3788" s="4"/>
      <c r="I3788" s="10" t="str">
        <f>HYPERLINK("http://twitter.com/download/iphone","Twitter for iPhone")</f>
        <v>Twitter for iPhone</v>
      </c>
      <c r="J3788" s="2">
        <v>396</v>
      </c>
      <c r="K3788" s="2">
        <v>552</v>
      </c>
      <c r="L3788" s="2">
        <v>4</v>
      </c>
      <c r="M3788" s="2"/>
      <c r="N3788" s="8">
        <v>41146.771817129629</v>
      </c>
      <c r="O3788" s="4" t="s">
        <v>1415</v>
      </c>
      <c r="P3788" s="3" t="s">
        <v>6928</v>
      </c>
      <c r="Q3788" s="4"/>
      <c r="R3788" s="4"/>
      <c r="S3788" s="9" t="str">
        <f>HYPERLINK("https://pbs.twimg.com/profile_images/929375506822258688/OBk0B3Vp.jpg","View")</f>
        <v>View</v>
      </c>
    </row>
    <row r="3789" spans="1:19" ht="20">
      <c r="A3789" s="8">
        <v>43341.693472222221</v>
      </c>
      <c r="B3789" s="11" t="str">
        <f>HYPERLINK("https://twitter.com/h_abdolmanafi","@h_abdolmanafi")</f>
        <v>@h_abdolmanafi</v>
      </c>
      <c r="C3789" s="6" t="s">
        <v>6927</v>
      </c>
      <c r="D3789" s="5" t="s">
        <v>6926</v>
      </c>
      <c r="E3789" s="9" t="str">
        <f>HYPERLINK("https://twitter.com/h_abdolmanafi/status/1034774818627956737","1034774818627956737")</f>
        <v>1034774818627956737</v>
      </c>
      <c r="F3789" s="4"/>
      <c r="G3789" s="10" t="s">
        <v>6925</v>
      </c>
      <c r="H3789" s="4"/>
      <c r="I3789" s="10" t="str">
        <f>HYPERLINK("http://twitter.com/download/android","Twitter for Android")</f>
        <v>Twitter for Android</v>
      </c>
      <c r="J3789" s="2">
        <v>2343</v>
      </c>
      <c r="K3789" s="2">
        <v>1989</v>
      </c>
      <c r="L3789" s="2">
        <v>9</v>
      </c>
      <c r="M3789" s="2"/>
      <c r="N3789" s="8">
        <v>42744.643518518518</v>
      </c>
      <c r="O3789" s="4" t="s">
        <v>17</v>
      </c>
      <c r="P3789" s="3" t="s">
        <v>6924</v>
      </c>
      <c r="Q3789" s="4"/>
      <c r="R3789" s="4"/>
      <c r="S3789" s="9" t="str">
        <f>HYPERLINK("https://pbs.twimg.com/profile_images/1034273035132563458/5cIwQ75C.jpg","View")</f>
        <v>View</v>
      </c>
    </row>
    <row r="3790" spans="1:19" ht="30">
      <c r="A3790" s="8">
        <v>43341.691423611112</v>
      </c>
      <c r="B3790" s="11" t="str">
        <f>HYPERLINK("https://twitter.com/R_rahmatzehi","@R_rahmatzehi")</f>
        <v>@R_rahmatzehi</v>
      </c>
      <c r="C3790" s="6" t="s">
        <v>6923</v>
      </c>
      <c r="D3790" s="5" t="s">
        <v>6922</v>
      </c>
      <c r="E3790" s="9" t="str">
        <f>HYPERLINK("https://twitter.com/R_rahmatzehi/status/1034774076605255681","1034774076605255681")</f>
        <v>1034774076605255681</v>
      </c>
      <c r="F3790" s="4"/>
      <c r="G3790" s="4"/>
      <c r="H3790" s="4"/>
      <c r="I3790" s="10" t="str">
        <f>HYPERLINK("http://twitter.com/download/iphone","Twitter for iPhone")</f>
        <v>Twitter for iPhone</v>
      </c>
      <c r="J3790" s="2">
        <v>223</v>
      </c>
      <c r="K3790" s="2">
        <v>188</v>
      </c>
      <c r="L3790" s="2">
        <v>0</v>
      </c>
      <c r="M3790" s="2"/>
      <c r="N3790" s="8">
        <v>42943.558425925927</v>
      </c>
      <c r="O3790" s="4"/>
      <c r="P3790" s="3" t="s">
        <v>6921</v>
      </c>
      <c r="Q3790" s="4"/>
      <c r="R3790" s="4"/>
      <c r="S3790" s="9" t="str">
        <f>HYPERLINK("https://pbs.twimg.com/profile_images/890500697313218561/WFQL9-VC.jpg","View")</f>
        <v>View</v>
      </c>
    </row>
    <row r="3791" spans="1:19" ht="40">
      <c r="A3791" s="8">
        <v>43341.690671296295</v>
      </c>
      <c r="B3791" s="11" t="str">
        <f>HYPERLINK("https://twitter.com/Alireza1402","@Alireza1402")</f>
        <v>@Alireza1402</v>
      </c>
      <c r="C3791" s="6" t="s">
        <v>6920</v>
      </c>
      <c r="D3791" s="5" t="s">
        <v>6919</v>
      </c>
      <c r="E3791" s="9" t="str">
        <f>HYPERLINK("https://twitter.com/Alireza1402/status/1034773801278402560","1034773801278402560")</f>
        <v>1034773801278402560</v>
      </c>
      <c r="F3791" s="4"/>
      <c r="G3791" s="10" t="s">
        <v>6918</v>
      </c>
      <c r="H3791" s="4"/>
      <c r="I3791" s="10" t="str">
        <f>HYPERLINK("https://dlvrit.com/","dlvr.it")</f>
        <v>dlvr.it</v>
      </c>
      <c r="J3791" s="2">
        <v>10</v>
      </c>
      <c r="K3791" s="2">
        <v>6</v>
      </c>
      <c r="L3791" s="2">
        <v>0</v>
      </c>
      <c r="M3791" s="2"/>
      <c r="N3791" s="8">
        <v>43136.383148148147</v>
      </c>
      <c r="O3791" s="4" t="s">
        <v>6917</v>
      </c>
      <c r="P3791" s="3" t="s">
        <v>6916</v>
      </c>
      <c r="Q3791" s="4"/>
      <c r="R3791" s="4"/>
      <c r="S3791" s="9" t="str">
        <f>HYPERLINK("https://pbs.twimg.com/profile_images/960389381864480769/dLcREkkZ.jpg","View")</f>
        <v>View</v>
      </c>
    </row>
    <row r="3792" spans="1:19" ht="20">
      <c r="A3792" s="8">
        <v>43341.690509259264</v>
      </c>
      <c r="B3792" s="11" t="str">
        <f>HYPERLINK("https://twitter.com/Abo_fatemeh0","@Abo_fatemeh0")</f>
        <v>@Abo_fatemeh0</v>
      </c>
      <c r="C3792" s="6" t="s">
        <v>6915</v>
      </c>
      <c r="D3792" s="5" t="s">
        <v>6914</v>
      </c>
      <c r="E3792" s="9" t="str">
        <f>HYPERLINK("https://twitter.com/Abo_fatemeh0/status/1034773742356811776","1034773742356811776")</f>
        <v>1034773742356811776</v>
      </c>
      <c r="F3792" s="4"/>
      <c r="G3792" s="4"/>
      <c r="H3792" s="4"/>
      <c r="I3792" s="10" t="str">
        <f>HYPERLINK("https://mobile.twitter.com","Twitter Lite")</f>
        <v>Twitter Lite</v>
      </c>
      <c r="J3792" s="2">
        <v>1473</v>
      </c>
      <c r="K3792" s="2">
        <v>1496</v>
      </c>
      <c r="L3792" s="2">
        <v>0</v>
      </c>
      <c r="M3792" s="2"/>
      <c r="N3792" s="8">
        <v>42991.445520833338</v>
      </c>
      <c r="O3792" s="4" t="s">
        <v>682</v>
      </c>
      <c r="P3792" s="3" t="s">
        <v>6913</v>
      </c>
      <c r="Q3792" s="4"/>
      <c r="R3792" s="4"/>
      <c r="S3792" s="9" t="str">
        <f>HYPERLINK("https://pbs.twimg.com/profile_images/1026401329055518721/Xg_rIMU6.jpg","View")</f>
        <v>View</v>
      </c>
    </row>
    <row r="3793" spans="1:19" ht="40">
      <c r="A3793" s="8">
        <v>43341.687916666662</v>
      </c>
      <c r="B3793" s="11" t="str">
        <f>HYPERLINK("https://twitter.com/RafatiSiavash","@RafatiSiavash")</f>
        <v>@RafatiSiavash</v>
      </c>
      <c r="C3793" s="6" t="s">
        <v>3226</v>
      </c>
      <c r="D3793" s="5" t="s">
        <v>6912</v>
      </c>
      <c r="E3793" s="9" t="str">
        <f>HYPERLINK("https://twitter.com/RafatiSiavash/status/1034772803558498305","1034772803558498305")</f>
        <v>1034772803558498305</v>
      </c>
      <c r="F3793" s="4"/>
      <c r="G3793" s="4"/>
      <c r="H3793" s="4"/>
      <c r="I3793" s="10" t="str">
        <f>HYPERLINK("http://twitter.com","Twitter Web Client")</f>
        <v>Twitter Web Client</v>
      </c>
      <c r="J3793" s="2">
        <v>288</v>
      </c>
      <c r="K3793" s="2">
        <v>231</v>
      </c>
      <c r="L3793" s="2">
        <v>87</v>
      </c>
      <c r="M3793" s="2"/>
      <c r="N3793" s="8">
        <v>41050.769884259258</v>
      </c>
      <c r="O3793" s="4"/>
      <c r="P3793" s="3" t="s">
        <v>3223</v>
      </c>
      <c r="Q3793" s="10" t="s">
        <v>3222</v>
      </c>
      <c r="R3793" s="4"/>
      <c r="S3793" s="9" t="str">
        <f>HYPERLINK("https://pbs.twimg.com/profile_images/821385868690751488/Qqe0I1Bk.jpg","View")</f>
        <v>View</v>
      </c>
    </row>
    <row r="3794" spans="1:19" ht="40">
      <c r="A3794" s="8">
        <v>43341.687905092593</v>
      </c>
      <c r="B3794" s="11" t="str">
        <f>HYPERLINK("https://twitter.com/Iafcadio","@Iafcadio")</f>
        <v>@Iafcadio</v>
      </c>
      <c r="C3794" s="6" t="s">
        <v>6911</v>
      </c>
      <c r="D3794" s="5" t="s">
        <v>6910</v>
      </c>
      <c r="E3794" s="9" t="str">
        <f>HYPERLINK("https://twitter.com/Iafcadio/status/1034772800886718465","1034772800886718465")</f>
        <v>1034772800886718465</v>
      </c>
      <c r="F3794" s="4"/>
      <c r="G3794" s="4"/>
      <c r="H3794" s="4"/>
      <c r="I3794" s="10" t="str">
        <f>HYPERLINK("http://twitter.com/download/android","Twitter for Android")</f>
        <v>Twitter for Android</v>
      </c>
      <c r="J3794" s="2">
        <v>749</v>
      </c>
      <c r="K3794" s="2">
        <v>121</v>
      </c>
      <c r="L3794" s="2">
        <v>30</v>
      </c>
      <c r="M3794" s="2"/>
      <c r="N3794" s="8">
        <v>41550.482673611114</v>
      </c>
      <c r="O3794" s="4"/>
      <c r="P3794" s="3" t="s">
        <v>6909</v>
      </c>
      <c r="Q3794" s="4"/>
      <c r="R3794" s="4"/>
      <c r="S3794" s="9" t="str">
        <f>HYPERLINK("https://pbs.twimg.com/profile_images/927042777057300480/IeqBWmGD.jpg","View")</f>
        <v>View</v>
      </c>
    </row>
    <row r="3795" spans="1:19" ht="60">
      <c r="A3795" s="8">
        <v>43341.687418981484</v>
      </c>
      <c r="B3795" s="11" t="str">
        <f>HYPERLINK("https://twitter.com/tabari_amir","@tabari_amir")</f>
        <v>@tabari_amir</v>
      </c>
      <c r="C3795" s="6" t="s">
        <v>6908</v>
      </c>
      <c r="D3795" s="5" t="s">
        <v>6907</v>
      </c>
      <c r="E3795" s="9" t="str">
        <f>HYPERLINK("https://twitter.com/tabari_amir/status/1034772624868605953","1034772624868605953")</f>
        <v>1034772624868605953</v>
      </c>
      <c r="F3795" s="10" t="s">
        <v>6906</v>
      </c>
      <c r="G3795" s="4"/>
      <c r="H3795" s="4"/>
      <c r="I3795" s="10" t="str">
        <f>HYPERLINK("http://twitter.com/download/iphone","Twitter for iPhone")</f>
        <v>Twitter for iPhone</v>
      </c>
      <c r="J3795" s="2">
        <v>229</v>
      </c>
      <c r="K3795" s="2">
        <v>252</v>
      </c>
      <c r="L3795" s="2">
        <v>0</v>
      </c>
      <c r="M3795" s="2"/>
      <c r="N3795" s="8">
        <v>42963.733113425929</v>
      </c>
      <c r="O3795" s="4"/>
      <c r="P3795" s="3"/>
      <c r="Q3795" s="4"/>
      <c r="R3795" s="4"/>
      <c r="S3795" s="9" t="str">
        <f>HYPERLINK("https://pbs.twimg.com/profile_images/975782094197706757/4iIV_qgD.jpg","View")</f>
        <v>View</v>
      </c>
    </row>
    <row r="3796" spans="1:19" ht="40">
      <c r="A3796" s="8">
        <v>43341.685752314814</v>
      </c>
      <c r="B3796" s="11" t="str">
        <f>HYPERLINK("https://twitter.com/HamidLotfi","@HamidLotfi")</f>
        <v>@HamidLotfi</v>
      </c>
      <c r="C3796" s="6" t="s">
        <v>6905</v>
      </c>
      <c r="D3796" s="5" t="s">
        <v>6904</v>
      </c>
      <c r="E3796" s="9" t="str">
        <f>HYPERLINK("https://twitter.com/HamidLotfi/status/1034772022394404865","1034772022394404865")</f>
        <v>1034772022394404865</v>
      </c>
      <c r="F3796" s="4"/>
      <c r="G3796" s="4"/>
      <c r="H3796" s="4"/>
      <c r="I3796" s="10" t="str">
        <f>HYPERLINK("http://twitter.com","Twitter Web Client")</f>
        <v>Twitter Web Client</v>
      </c>
      <c r="J3796" s="2">
        <v>69</v>
      </c>
      <c r="K3796" s="2">
        <v>170</v>
      </c>
      <c r="L3796" s="2">
        <v>0</v>
      </c>
      <c r="M3796" s="2"/>
      <c r="N3796" s="8">
        <v>40667.945127314815</v>
      </c>
      <c r="O3796" s="4" t="s">
        <v>324</v>
      </c>
      <c r="P3796" s="3"/>
      <c r="Q3796" s="4"/>
      <c r="R3796" s="4"/>
      <c r="S3796" s="9" t="str">
        <f>HYPERLINK("https://pbs.twimg.com/profile_images/857342874622451712/uqFZEVNw.jpg","View")</f>
        <v>View</v>
      </c>
    </row>
    <row r="3797" spans="1:19" ht="30">
      <c r="A3797" s="8">
        <v>43341.684953703705</v>
      </c>
      <c r="B3797" s="11" t="str">
        <f>HYPERLINK("https://twitter.com/bahariran1378","@bahariran1378")</f>
        <v>@bahariran1378</v>
      </c>
      <c r="C3797" s="6" t="s">
        <v>6850</v>
      </c>
      <c r="D3797" s="5" t="s">
        <v>6903</v>
      </c>
      <c r="E3797" s="9" t="str">
        <f>HYPERLINK("https://twitter.com/bahariran1378/status/1034771731708342273","1034771731708342273")</f>
        <v>1034771731708342273</v>
      </c>
      <c r="F3797" s="4"/>
      <c r="G3797" s="10" t="s">
        <v>6902</v>
      </c>
      <c r="H3797" s="4"/>
      <c r="I3797" s="10" t="str">
        <f>HYPERLINK("http://twitter.com","Twitter Web Client")</f>
        <v>Twitter Web Client</v>
      </c>
      <c r="J3797" s="2">
        <v>241</v>
      </c>
      <c r="K3797" s="2">
        <v>442</v>
      </c>
      <c r="L3797" s="2">
        <v>0</v>
      </c>
      <c r="M3797" s="2"/>
      <c r="N3797" s="8">
        <v>42807.719004629631</v>
      </c>
      <c r="O3797" s="4" t="s">
        <v>6847</v>
      </c>
      <c r="P3797" s="3" t="s">
        <v>6846</v>
      </c>
      <c r="Q3797" s="4"/>
      <c r="R3797" s="4"/>
      <c r="S3797" s="9" t="str">
        <f>HYPERLINK("https://pbs.twimg.com/profile_images/887293922728230913/VNRorOdY.jpg","View")</f>
        <v>View</v>
      </c>
    </row>
    <row r="3798" spans="1:19" ht="40">
      <c r="A3798" s="8">
        <v>43341.684918981482</v>
      </c>
      <c r="B3798" s="11" t="str">
        <f>HYPERLINK("https://twitter.com/BeheshtianSeyed","@BeheshtianSeyed")</f>
        <v>@BeheshtianSeyed</v>
      </c>
      <c r="C3798" s="6" t="s">
        <v>6901</v>
      </c>
      <c r="D3798" s="5" t="s">
        <v>6900</v>
      </c>
      <c r="E3798" s="9" t="str">
        <f>HYPERLINK("https://twitter.com/BeheshtianSeyed/status/1034771720492777472","1034771720492777472")</f>
        <v>1034771720492777472</v>
      </c>
      <c r="F3798" s="4"/>
      <c r="G3798" s="4"/>
      <c r="H3798" s="4"/>
      <c r="I3798" s="10" t="str">
        <f>HYPERLINK("http://twitter.com/download/android","Twitter for Android")</f>
        <v>Twitter for Android</v>
      </c>
      <c r="J3798" s="2">
        <v>17</v>
      </c>
      <c r="K3798" s="2">
        <v>63</v>
      </c>
      <c r="L3798" s="2">
        <v>0</v>
      </c>
      <c r="M3798" s="2"/>
      <c r="N3798" s="8">
        <v>43304.592407407406</v>
      </c>
      <c r="O3798" s="4"/>
      <c r="P3798" s="3" t="s">
        <v>6899</v>
      </c>
      <c r="Q3798" s="4"/>
      <c r="R3798" s="4"/>
      <c r="S3798" s="9" t="str">
        <f>HYPERLINK("https://pbs.twimg.com/profile_images/1021331011228061697/EBcoQf6B.jpg","View")</f>
        <v>View</v>
      </c>
    </row>
    <row r="3799" spans="1:19" ht="40">
      <c r="A3799" s="8">
        <v>43341.683356481481</v>
      </c>
      <c r="B3799" s="11" t="str">
        <f>HYPERLINK("https://twitter.com/akhtar_ir","@akhtar_ir")</f>
        <v>@akhtar_ir</v>
      </c>
      <c r="C3799" s="6" t="s">
        <v>6898</v>
      </c>
      <c r="D3799" s="5" t="s">
        <v>6897</v>
      </c>
      <c r="E3799" s="9" t="str">
        <f>HYPERLINK("https://twitter.com/akhtar_ir/status/1034771153863225345","1034771153863225345")</f>
        <v>1034771153863225345</v>
      </c>
      <c r="F3799" s="4"/>
      <c r="G3799" s="10" t="s">
        <v>6896</v>
      </c>
      <c r="H3799" s="4"/>
      <c r="I3799" s="10" t="str">
        <f>HYPERLINK("http://twitter.com","Twitter Web Client")</f>
        <v>Twitter Web Client</v>
      </c>
      <c r="J3799" s="2">
        <v>91</v>
      </c>
      <c r="K3799" s="2">
        <v>219</v>
      </c>
      <c r="L3799" s="2">
        <v>3</v>
      </c>
      <c r="M3799" s="2"/>
      <c r="N3799" s="8">
        <v>42877.127256944441</v>
      </c>
      <c r="O3799" s="4" t="s">
        <v>34</v>
      </c>
      <c r="P3799" s="3" t="s">
        <v>6895</v>
      </c>
      <c r="Q3799" s="4"/>
      <c r="R3799" s="4"/>
      <c r="S3799" s="9" t="str">
        <f>HYPERLINK("https://pbs.twimg.com/profile_images/960181519401791488/vMNIGVv_.jpg","View")</f>
        <v>View</v>
      </c>
    </row>
    <row r="3800" spans="1:19" ht="30">
      <c r="A3800" s="8">
        <v>43341.683078703703</v>
      </c>
      <c r="B3800" s="11" t="str">
        <f>HYPERLINK("https://twitter.com/ponezss","@ponezss")</f>
        <v>@ponezss</v>
      </c>
      <c r="C3800" s="6" t="s">
        <v>1011</v>
      </c>
      <c r="D3800" s="5" t="s">
        <v>6894</v>
      </c>
      <c r="E3800" s="9" t="str">
        <f>HYPERLINK("https://twitter.com/ponezss/status/1034771050624512002","1034771050624512002")</f>
        <v>1034771050624512002</v>
      </c>
      <c r="F3800" s="4"/>
      <c r="G3800" s="10" t="s">
        <v>6893</v>
      </c>
      <c r="H3800" s="4"/>
      <c r="I3800" s="10" t="str">
        <f>HYPERLINK("http://twitter.com/download/android","Twitter for Android")</f>
        <v>Twitter for Android</v>
      </c>
      <c r="J3800" s="2">
        <v>1355</v>
      </c>
      <c r="K3800" s="2">
        <v>690</v>
      </c>
      <c r="L3800" s="2">
        <v>1</v>
      </c>
      <c r="M3800" s="2"/>
      <c r="N3800" s="8">
        <v>42876.615879629629</v>
      </c>
      <c r="O3800" s="4" t="s">
        <v>17</v>
      </c>
      <c r="P3800" s="3" t="s">
        <v>1009</v>
      </c>
      <c r="Q3800" s="4"/>
      <c r="R3800" s="4"/>
      <c r="S3800" s="9" t="str">
        <f>HYPERLINK("https://pbs.twimg.com/profile_images/998335956628357120/wWcDCWln.jpg","View")</f>
        <v>View</v>
      </c>
    </row>
    <row r="3801" spans="1:19" ht="30">
      <c r="A3801" s="8">
        <v>43341.682986111111</v>
      </c>
      <c r="B3801" s="11" t="str">
        <f>HYPERLINK("https://twitter.com/dehkhodaa","@dehkhodaa")</f>
        <v>@dehkhodaa</v>
      </c>
      <c r="C3801" s="6" t="s">
        <v>6892</v>
      </c>
      <c r="D3801" s="5" t="s">
        <v>6891</v>
      </c>
      <c r="E3801" s="9" t="str">
        <f>HYPERLINK("https://twitter.com/dehkhodaa/status/1034771020178235395","1034771020178235395")</f>
        <v>1034771020178235395</v>
      </c>
      <c r="F3801" s="4"/>
      <c r="G3801" s="4"/>
      <c r="H3801" s="4"/>
      <c r="I3801" s="10" t="str">
        <f>HYPERLINK("http://twitter.com/download/android","Twitter for Android")</f>
        <v>Twitter for Android</v>
      </c>
      <c r="J3801" s="2">
        <v>209</v>
      </c>
      <c r="K3801" s="2">
        <v>71</v>
      </c>
      <c r="L3801" s="2">
        <v>2</v>
      </c>
      <c r="M3801" s="2"/>
      <c r="N3801" s="8">
        <v>39971.376759259263</v>
      </c>
      <c r="O3801" s="4"/>
      <c r="P3801" s="3" t="s">
        <v>6890</v>
      </c>
      <c r="Q3801" s="4"/>
      <c r="R3801" s="4"/>
      <c r="S3801" s="9" t="str">
        <f>HYPERLINK("https://pbs.twimg.com/profile_images/800468428070993920/0we4TWQn.jpg","View")</f>
        <v>View</v>
      </c>
    </row>
    <row r="3802" spans="1:19" ht="40">
      <c r="A3802" s="8">
        <v>43341.682152777779</v>
      </c>
      <c r="B3802" s="11" t="str">
        <f>HYPERLINK("https://twitter.com/ahmad_mazaheri","@ahmad_mazaheri")</f>
        <v>@ahmad_mazaheri</v>
      </c>
      <c r="C3802" s="6" t="s">
        <v>6889</v>
      </c>
      <c r="D3802" s="5" t="s">
        <v>6888</v>
      </c>
      <c r="E3802" s="9" t="str">
        <f>HYPERLINK("https://twitter.com/ahmad_mazaheri/status/1034770715575300097","1034770715575300097")</f>
        <v>1034770715575300097</v>
      </c>
      <c r="F3802" s="4"/>
      <c r="G3802" s="4"/>
      <c r="H3802" s="4"/>
      <c r="I3802" s="10" t="str">
        <f>HYPERLINK("http://twitter.com/download/iphone","Twitter for iPhone")</f>
        <v>Twitter for iPhone</v>
      </c>
      <c r="J3802" s="2">
        <v>138</v>
      </c>
      <c r="K3802" s="2">
        <v>192</v>
      </c>
      <c r="L3802" s="2">
        <v>1</v>
      </c>
      <c r="M3802" s="2"/>
      <c r="N3802" s="8">
        <v>40002.683124999996</v>
      </c>
      <c r="O3802" s="4" t="s">
        <v>682</v>
      </c>
      <c r="P3802" s="3" t="s">
        <v>6887</v>
      </c>
      <c r="Q3802" s="10" t="s">
        <v>6886</v>
      </c>
      <c r="R3802" s="4"/>
      <c r="S3802" s="9" t="str">
        <f>HYPERLINK("https://pbs.twimg.com/profile_images/1023269195906252800/niEu4ewO.jpg","View")</f>
        <v>View</v>
      </c>
    </row>
    <row r="3803" spans="1:19" ht="40">
      <c r="A3803" s="8">
        <v>43341.681990740741</v>
      </c>
      <c r="B3803" s="11" t="str">
        <f>HYPERLINK("https://twitter.com/seeb3330240","@seeb3330240")</f>
        <v>@seeb3330240</v>
      </c>
      <c r="C3803" s="6" t="s">
        <v>6885</v>
      </c>
      <c r="D3803" s="5" t="s">
        <v>6884</v>
      </c>
      <c r="E3803" s="9" t="str">
        <f>HYPERLINK("https://twitter.com/seeb3330240/status/1034770659094810625","1034770659094810625")</f>
        <v>1034770659094810625</v>
      </c>
      <c r="F3803" s="4"/>
      <c r="G3803" s="10" t="s">
        <v>6883</v>
      </c>
      <c r="H3803" s="4"/>
      <c r="I3803" s="10" t="str">
        <f>HYPERLINK("http://twitter.com/download/android","Twitter for Android")</f>
        <v>Twitter for Android</v>
      </c>
      <c r="J3803" s="2">
        <v>4930</v>
      </c>
      <c r="K3803" s="2">
        <v>5417</v>
      </c>
      <c r="L3803" s="2">
        <v>7</v>
      </c>
      <c r="M3803" s="2"/>
      <c r="N3803" s="8">
        <v>42764.048078703709</v>
      </c>
      <c r="O3803" s="4"/>
      <c r="P3803" s="3" t="s">
        <v>6882</v>
      </c>
      <c r="Q3803" s="10" t="s">
        <v>6881</v>
      </c>
      <c r="R3803" s="4"/>
      <c r="S3803" s="9" t="str">
        <f>HYPERLINK("https://pbs.twimg.com/profile_images/957499891185569792/R5NIEHNx.jpg","View")</f>
        <v>View</v>
      </c>
    </row>
    <row r="3804" spans="1:19" ht="30">
      <c r="A3804" s="8">
        <v>43341.681342592594</v>
      </c>
      <c r="B3804" s="11" t="str">
        <f>HYPERLINK("https://twitter.com/HoSeN_RmR","@HoSeN_RmR")</f>
        <v>@HoSeN_RmR</v>
      </c>
      <c r="C3804" s="6" t="s">
        <v>6880</v>
      </c>
      <c r="D3804" s="5" t="s">
        <v>6879</v>
      </c>
      <c r="E3804" s="9" t="str">
        <f>HYPERLINK("https://twitter.com/HoSeN_RmR/status/1034770421860761600","1034770421860761600")</f>
        <v>1034770421860761600</v>
      </c>
      <c r="F3804" s="4"/>
      <c r="G3804" s="10" t="s">
        <v>6878</v>
      </c>
      <c r="H3804" s="4"/>
      <c r="I3804" s="10" t="str">
        <f>HYPERLINK("http://twitter.com/download/android","Twitter for Android")</f>
        <v>Twitter for Android</v>
      </c>
      <c r="J3804" s="2">
        <v>413</v>
      </c>
      <c r="K3804" s="2">
        <v>120</v>
      </c>
      <c r="L3804" s="2">
        <v>1</v>
      </c>
      <c r="M3804" s="2"/>
      <c r="N3804" s="8">
        <v>43137.276319444441</v>
      </c>
      <c r="O3804" s="4"/>
      <c r="P3804" s="3" t="s">
        <v>6877</v>
      </c>
      <c r="Q3804" s="4"/>
      <c r="R3804" s="4"/>
      <c r="S3804" s="9" t="str">
        <f>HYPERLINK("https://pbs.twimg.com/profile_images/1033715715734470662/GzhrfbMK.jpg","View")</f>
        <v>View</v>
      </c>
    </row>
    <row r="3805" spans="1:19" ht="20">
      <c r="A3805" s="8">
        <v>43341.680405092593</v>
      </c>
      <c r="B3805" s="11" t="str">
        <f>HYPERLINK("https://twitter.com/m_mahdi_y","@m_mahdi_y")</f>
        <v>@m_mahdi_y</v>
      </c>
      <c r="C3805" s="6" t="s">
        <v>6876</v>
      </c>
      <c r="D3805" s="5" t="s">
        <v>6875</v>
      </c>
      <c r="E3805" s="9" t="str">
        <f>HYPERLINK("https://twitter.com/m_mahdi_y/status/1034770082969333760","1034770082969333760")</f>
        <v>1034770082969333760</v>
      </c>
      <c r="F3805" s="4"/>
      <c r="G3805" s="10" t="s">
        <v>6874</v>
      </c>
      <c r="H3805" s="4"/>
      <c r="I3805" s="10" t="str">
        <f>HYPERLINK("http://twitter.com/download/iphone","Twitter for iPhone")</f>
        <v>Twitter for iPhone</v>
      </c>
      <c r="J3805" s="2">
        <v>1152</v>
      </c>
      <c r="K3805" s="2">
        <v>299</v>
      </c>
      <c r="L3805" s="2">
        <v>13</v>
      </c>
      <c r="M3805" s="2"/>
      <c r="N3805" s="8">
        <v>42547.578923611116</v>
      </c>
      <c r="O3805" s="4" t="s">
        <v>34</v>
      </c>
      <c r="P3805" s="3" t="s">
        <v>6873</v>
      </c>
      <c r="Q3805" s="10" t="s">
        <v>6872</v>
      </c>
      <c r="R3805" s="4"/>
      <c r="S3805" s="9" t="str">
        <f>HYPERLINK("https://pbs.twimg.com/profile_images/747001749001625600/CAjw6V5x.jpg","View")</f>
        <v>View</v>
      </c>
    </row>
    <row r="3806" spans="1:19" ht="30">
      <c r="A3806" s="8">
        <v>43341.679305555561</v>
      </c>
      <c r="B3806" s="11" t="str">
        <f>HYPERLINK("https://twitter.com/nabaapress_ir","@nabaapress_ir")</f>
        <v>@nabaapress_ir</v>
      </c>
      <c r="C3806" s="6" t="s">
        <v>6871</v>
      </c>
      <c r="D3806" s="5" t="s">
        <v>6870</v>
      </c>
      <c r="E3806" s="9" t="str">
        <f>HYPERLINK("https://twitter.com/nabaapress_ir/status/1034769683684249600","1034769683684249600")</f>
        <v>1034769683684249600</v>
      </c>
      <c r="F3806" s="10" t="s">
        <v>6869</v>
      </c>
      <c r="G3806" s="10" t="s">
        <v>6868</v>
      </c>
      <c r="H3806" s="4"/>
      <c r="I3806" s="10" t="str">
        <f>HYPERLINK("http://twitter.com","Twitter Web Client")</f>
        <v>Twitter Web Client</v>
      </c>
      <c r="J3806" s="2">
        <v>93</v>
      </c>
      <c r="K3806" s="2">
        <v>222</v>
      </c>
      <c r="L3806" s="2">
        <v>1</v>
      </c>
      <c r="M3806" s="2"/>
      <c r="N3806" s="8">
        <v>42604.603877314818</v>
      </c>
      <c r="O3806" s="4" t="s">
        <v>17</v>
      </c>
      <c r="P3806" s="3" t="s">
        <v>6867</v>
      </c>
      <c r="Q3806" s="10" t="s">
        <v>6866</v>
      </c>
      <c r="R3806" s="4"/>
      <c r="S3806" s="9" t="str">
        <f>HYPERLINK("https://pbs.twimg.com/profile_images/972717375920390144/XBJdmT2l.jpg","View")</f>
        <v>View</v>
      </c>
    </row>
    <row r="3807" spans="1:19" ht="20">
      <c r="A3807" s="8">
        <v>43341.678807870368</v>
      </c>
      <c r="B3807" s="11" t="str">
        <f>HYPERLINK("https://twitter.com/Maleka_musavi","@Maleka_musavi")</f>
        <v>@Maleka_musavi</v>
      </c>
      <c r="C3807" s="6" t="s">
        <v>6865</v>
      </c>
      <c r="D3807" s="5" t="s">
        <v>6864</v>
      </c>
      <c r="E3807" s="9" t="str">
        <f>HYPERLINK("https://twitter.com/Maleka_musavi/status/1034769504952360961","1034769504952360961")</f>
        <v>1034769504952360961</v>
      </c>
      <c r="F3807" s="4"/>
      <c r="G3807" s="4"/>
      <c r="H3807" s="4"/>
      <c r="I3807" s="10" t="str">
        <f>HYPERLINK("http://twitter.com/download/android","Twitter for Android")</f>
        <v>Twitter for Android</v>
      </c>
      <c r="J3807" s="2">
        <v>132</v>
      </c>
      <c r="K3807" s="2">
        <v>157</v>
      </c>
      <c r="L3807" s="2">
        <v>0</v>
      </c>
      <c r="M3807" s="2"/>
      <c r="N3807" s="8">
        <v>43229.770543981482</v>
      </c>
      <c r="O3807" s="4"/>
      <c r="P3807" s="3" t="s">
        <v>6863</v>
      </c>
      <c r="Q3807" s="4"/>
      <c r="R3807" s="4"/>
      <c r="S3807" s="9" t="str">
        <f>HYPERLINK("https://pbs.twimg.com/profile_images/1012050805170503680/M1b3FLxk.jpg","View")</f>
        <v>View</v>
      </c>
    </row>
    <row r="3808" spans="1:19" ht="20">
      <c r="A3808" s="8">
        <v>43341.676712962959</v>
      </c>
      <c r="B3808" s="11" t="str">
        <f>HYPERLINK("https://twitter.com/behzadghobadi_","@behzadghobadi_")</f>
        <v>@behzadghobadi_</v>
      </c>
      <c r="C3808" s="6" t="s">
        <v>2489</v>
      </c>
      <c r="D3808" s="5" t="s">
        <v>6862</v>
      </c>
      <c r="E3808" s="9" t="str">
        <f>HYPERLINK("https://twitter.com/behzadghobadi_/status/1034768746647236608","1034768746647236608")</f>
        <v>1034768746647236608</v>
      </c>
      <c r="F3808" s="4"/>
      <c r="G3808" s="10" t="s">
        <v>6861</v>
      </c>
      <c r="H3808" s="4"/>
      <c r="I3808" s="10" t="str">
        <f>HYPERLINK("http://twitter.com","Twitter Web Client")</f>
        <v>Twitter Web Client</v>
      </c>
      <c r="J3808" s="2">
        <v>61</v>
      </c>
      <c r="K3808" s="2">
        <v>118</v>
      </c>
      <c r="L3808" s="2">
        <v>0</v>
      </c>
      <c r="M3808" s="2"/>
      <c r="N3808" s="8">
        <v>42914.156643518523</v>
      </c>
      <c r="O3808" s="4"/>
      <c r="P3808" s="3" t="s">
        <v>2487</v>
      </c>
      <c r="Q3808" s="4"/>
      <c r="R3808" s="4"/>
      <c r="S3808" s="9" t="str">
        <f>HYPERLINK("https://pbs.twimg.com/profile_images/1034401444579880961/Uj4S_Mvg.jpg","View")</f>
        <v>View</v>
      </c>
    </row>
    <row r="3809" spans="1:19" ht="50">
      <c r="A3809" s="8">
        <v>43341.675763888888</v>
      </c>
      <c r="B3809" s="11" t="str">
        <f>HYPERLINK("https://twitter.com/hrt_king","@hrt_king")</f>
        <v>@hrt_king</v>
      </c>
      <c r="C3809" s="6" t="s">
        <v>6860</v>
      </c>
      <c r="D3809" s="5" t="s">
        <v>6859</v>
      </c>
      <c r="E3809" s="9" t="str">
        <f>HYPERLINK("https://twitter.com/hrt_king/status/1034768402571714560","1034768402571714560")</f>
        <v>1034768402571714560</v>
      </c>
      <c r="F3809" s="10" t="s">
        <v>6858</v>
      </c>
      <c r="G3809" s="4"/>
      <c r="H3809" s="4"/>
      <c r="I3809" s="10" t="str">
        <f>HYPERLINK("http://twitter.com/download/android","Twitter for Android")</f>
        <v>Twitter for Android</v>
      </c>
      <c r="J3809" s="2">
        <v>2017</v>
      </c>
      <c r="K3809" s="2">
        <v>596</v>
      </c>
      <c r="L3809" s="2">
        <v>15</v>
      </c>
      <c r="M3809" s="2"/>
      <c r="N3809" s="8">
        <v>42492.686331018514</v>
      </c>
      <c r="O3809" s="4" t="s">
        <v>6857</v>
      </c>
      <c r="P3809" s="3" t="s">
        <v>6856</v>
      </c>
      <c r="Q3809" s="4"/>
      <c r="R3809" s="4"/>
      <c r="S3809" s="9" t="str">
        <f>HYPERLINK("https://pbs.twimg.com/profile_images/873962755837087744/6iiHni89.jpg","View")</f>
        <v>View</v>
      </c>
    </row>
    <row r="3810" spans="1:19" ht="20">
      <c r="A3810" s="8">
        <v>43341.674351851849</v>
      </c>
      <c r="B3810" s="11" t="str">
        <f>HYPERLINK("https://twitter.com/PN5d8AAvtzcZIOb","@PN5d8AAvtzcZIOb")</f>
        <v>@PN5d8AAvtzcZIOb</v>
      </c>
      <c r="C3810" s="6" t="s">
        <v>6855</v>
      </c>
      <c r="D3810" s="5" t="s">
        <v>6854</v>
      </c>
      <c r="E3810" s="9" t="str">
        <f>HYPERLINK("https://twitter.com/PN5d8AAvtzcZIOb/status/1034767888014565376","1034767888014565376")</f>
        <v>1034767888014565376</v>
      </c>
      <c r="F3810" s="4"/>
      <c r="G3810" s="4"/>
      <c r="H3810" s="4"/>
      <c r="I3810" s="10" t="str">
        <f>HYPERLINK("http://twitter.com/download/android","Twitter for Android")</f>
        <v>Twitter for Android</v>
      </c>
      <c r="J3810" s="2">
        <v>162</v>
      </c>
      <c r="K3810" s="2">
        <v>499</v>
      </c>
      <c r="L3810" s="2">
        <v>0</v>
      </c>
      <c r="M3810" s="2"/>
      <c r="N3810" s="8">
        <v>43326.659525462965</v>
      </c>
      <c r="O3810" s="4"/>
      <c r="P3810" s="3"/>
      <c r="Q3810" s="4"/>
      <c r="R3810" s="4"/>
      <c r="S3810" s="2" t="s">
        <v>155</v>
      </c>
    </row>
    <row r="3811" spans="1:19" ht="30">
      <c r="A3811" s="8">
        <v>43341.674120370371</v>
      </c>
      <c r="B3811" s="11" t="str">
        <f>HYPERLINK("https://twitter.com/sadeghi_yas","@sadeghi_yas")</f>
        <v>@sadeghi_yas</v>
      </c>
      <c r="C3811" s="6" t="s">
        <v>6853</v>
      </c>
      <c r="D3811" s="5" t="s">
        <v>6852</v>
      </c>
      <c r="E3811" s="9" t="str">
        <f>HYPERLINK("https://twitter.com/sadeghi_yas/status/1034767806162771969","1034767806162771969")</f>
        <v>1034767806162771969</v>
      </c>
      <c r="F3811" s="4"/>
      <c r="G3811" s="4"/>
      <c r="H3811" s="4"/>
      <c r="I3811" s="10" t="str">
        <f>HYPERLINK("http://twitter.com/download/android","Twitter for Android")</f>
        <v>Twitter for Android</v>
      </c>
      <c r="J3811" s="2">
        <v>11</v>
      </c>
      <c r="K3811" s="2">
        <v>212</v>
      </c>
      <c r="L3811" s="2">
        <v>0</v>
      </c>
      <c r="M3811" s="2"/>
      <c r="N3811" s="8">
        <v>42667.363252314812</v>
      </c>
      <c r="O3811" s="4" t="s">
        <v>17</v>
      </c>
      <c r="P3811" s="3" t="s">
        <v>6851</v>
      </c>
      <c r="Q3811" s="4"/>
      <c r="R3811" s="4"/>
      <c r="S3811" s="9" t="str">
        <f>HYPERLINK("https://pbs.twimg.com/profile_images/790429846514102272/mz1dW7zG.jpg","View")</f>
        <v>View</v>
      </c>
    </row>
    <row r="3812" spans="1:19" ht="30">
      <c r="A3812" s="8">
        <v>43341.673854166671</v>
      </c>
      <c r="B3812" s="11" t="str">
        <f>HYPERLINK("https://twitter.com/bahariran1378","@bahariran1378")</f>
        <v>@bahariran1378</v>
      </c>
      <c r="C3812" s="6" t="s">
        <v>6850</v>
      </c>
      <c r="D3812" s="5" t="s">
        <v>6849</v>
      </c>
      <c r="E3812" s="9" t="str">
        <f>HYPERLINK("https://twitter.com/bahariran1378/status/1034767709886664704","1034767709886664704")</f>
        <v>1034767709886664704</v>
      </c>
      <c r="F3812" s="10" t="s">
        <v>6848</v>
      </c>
      <c r="G3812" s="4"/>
      <c r="H3812" s="4"/>
      <c r="I3812" s="10" t="str">
        <f>HYPERLINK("http://twitter.com","Twitter Web Client")</f>
        <v>Twitter Web Client</v>
      </c>
      <c r="J3812" s="2">
        <v>242</v>
      </c>
      <c r="K3812" s="2">
        <v>442</v>
      </c>
      <c r="L3812" s="2">
        <v>0</v>
      </c>
      <c r="M3812" s="2"/>
      <c r="N3812" s="8">
        <v>42807.719004629631</v>
      </c>
      <c r="O3812" s="4" t="s">
        <v>6847</v>
      </c>
      <c r="P3812" s="3" t="s">
        <v>6846</v>
      </c>
      <c r="Q3812" s="4"/>
      <c r="R3812" s="4"/>
      <c r="S3812" s="9" t="str">
        <f>HYPERLINK("https://pbs.twimg.com/profile_images/887293922728230913/VNRorOdY.jpg","View")</f>
        <v>View</v>
      </c>
    </row>
    <row r="3813" spans="1:19" ht="30">
      <c r="A3813" s="8">
        <v>43341.672581018516</v>
      </c>
      <c r="B3813" s="11" t="str">
        <f>HYPERLINK("https://twitter.com/rezazamanipour","@rezazamanipour")</f>
        <v>@rezazamanipour</v>
      </c>
      <c r="C3813" s="6" t="s">
        <v>6845</v>
      </c>
      <c r="D3813" s="5" t="s">
        <v>6844</v>
      </c>
      <c r="E3813" s="9" t="str">
        <f>HYPERLINK("https://twitter.com/rezazamanipour/status/1034767246260928512","1034767246260928512")</f>
        <v>1034767246260928512</v>
      </c>
      <c r="F3813" s="4"/>
      <c r="G3813" s="4"/>
      <c r="H3813" s="4"/>
      <c r="I3813" s="10" t="str">
        <f>HYPERLINK("http://twitter.com/download/android","Twitter for Android")</f>
        <v>Twitter for Android</v>
      </c>
      <c r="J3813" s="2">
        <v>32</v>
      </c>
      <c r="K3813" s="2">
        <v>250</v>
      </c>
      <c r="L3813" s="2">
        <v>0</v>
      </c>
      <c r="M3813" s="2"/>
      <c r="N3813" s="8">
        <v>43281.726076388892</v>
      </c>
      <c r="O3813" s="4"/>
      <c r="P3813" s="3" t="s">
        <v>6843</v>
      </c>
      <c r="Q3813" s="4"/>
      <c r="R3813" s="4"/>
      <c r="S3813" s="9" t="str">
        <f>HYPERLINK("https://pbs.twimg.com/profile_images/1015233913185357825/2H1r0fWB.jpg","View")</f>
        <v>View</v>
      </c>
    </row>
    <row r="3814" spans="1:19" ht="40">
      <c r="A3814" s="8">
        <v>43341.671770833331</v>
      </c>
      <c r="B3814" s="11" t="str">
        <f>HYPERLINK("https://twitter.com/shamseighth","@shamseighth")</f>
        <v>@shamseighth</v>
      </c>
      <c r="C3814" s="6" t="s">
        <v>6842</v>
      </c>
      <c r="D3814" s="5" t="s">
        <v>6841</v>
      </c>
      <c r="E3814" s="9" t="str">
        <f>HYPERLINK("https://twitter.com/shamseighth/status/1034766954219941889","1034766954219941889")</f>
        <v>1034766954219941889</v>
      </c>
      <c r="F3814" s="4"/>
      <c r="G3814" s="4"/>
      <c r="H3814" s="4"/>
      <c r="I3814" s="10" t="str">
        <f>HYPERLINK("http://twitter.com/download/android","Twitter for Android")</f>
        <v>Twitter for Android</v>
      </c>
      <c r="J3814" s="2">
        <v>4332</v>
      </c>
      <c r="K3814" s="2">
        <v>4621</v>
      </c>
      <c r="L3814" s="2">
        <v>14</v>
      </c>
      <c r="M3814" s="2"/>
      <c r="N3814" s="8">
        <v>42872.903148148151</v>
      </c>
      <c r="O3814" s="4"/>
      <c r="P3814" s="3" t="s">
        <v>6840</v>
      </c>
      <c r="Q3814" s="4"/>
      <c r="R3814" s="4"/>
      <c r="S3814" s="9" t="str">
        <f>HYPERLINK("https://pbs.twimg.com/profile_images/964229894216458240/mWnarH4i.jpg","View")</f>
        <v>View</v>
      </c>
    </row>
    <row r="3815" spans="1:19" ht="80">
      <c r="A3815" s="8">
        <v>43341.670671296291</v>
      </c>
      <c r="B3815" s="11" t="str">
        <f>HYPERLINK("https://twitter.com/zhojabri_n","@zhojabri_n")</f>
        <v>@zhojabri_n</v>
      </c>
      <c r="C3815" s="6" t="s">
        <v>6839</v>
      </c>
      <c r="D3815" s="5" t="s">
        <v>6838</v>
      </c>
      <c r="E3815" s="9" t="str">
        <f>HYPERLINK("https://twitter.com/zhojabri_n/status/1034766555350007814","1034766555350007814")</f>
        <v>1034766555350007814</v>
      </c>
      <c r="F3815" s="10" t="s">
        <v>6837</v>
      </c>
      <c r="G3815" s="4"/>
      <c r="H3815" s="4"/>
      <c r="I3815" s="10" t="str">
        <f>HYPERLINK("http://twitter.com","Twitter Web Client")</f>
        <v>Twitter Web Client</v>
      </c>
      <c r="J3815" s="2">
        <v>2209</v>
      </c>
      <c r="K3815" s="2">
        <v>1979</v>
      </c>
      <c r="L3815" s="2">
        <v>23</v>
      </c>
      <c r="M3815" s="2"/>
      <c r="N3815" s="8">
        <v>42732.522372685184</v>
      </c>
      <c r="O3815" s="4"/>
      <c r="P3815" s="3" t="s">
        <v>6836</v>
      </c>
      <c r="Q3815" s="10" t="s">
        <v>6835</v>
      </c>
      <c r="R3815" s="4"/>
      <c r="S3815" s="9" t="str">
        <f>HYPERLINK("https://pbs.twimg.com/profile_images/1032489728560513024/f1e6o-Cs.jpg","View")</f>
        <v>View</v>
      </c>
    </row>
    <row r="3816" spans="1:19" ht="30">
      <c r="A3816" s="8">
        <v>43341.668657407412</v>
      </c>
      <c r="B3816" s="11" t="str">
        <f>HYPERLINK("https://twitter.com/MandMehr","@MandMehr")</f>
        <v>@MandMehr</v>
      </c>
      <c r="C3816" s="6" t="s">
        <v>6834</v>
      </c>
      <c r="D3816" s="5" t="s">
        <v>6833</v>
      </c>
      <c r="E3816" s="9" t="str">
        <f>HYPERLINK("https://twitter.com/MandMehr/status/1034765824769318912","1034765824769318912")</f>
        <v>1034765824769318912</v>
      </c>
      <c r="F3816" s="4"/>
      <c r="G3816" s="10" t="s">
        <v>6832</v>
      </c>
      <c r="H3816" s="4"/>
      <c r="I3816" s="10" t="str">
        <f>HYPERLINK("http://twitter.com/download/android","Twitter for Android")</f>
        <v>Twitter for Android</v>
      </c>
      <c r="J3816" s="2">
        <v>3</v>
      </c>
      <c r="K3816" s="2">
        <v>33</v>
      </c>
      <c r="L3816" s="2">
        <v>0</v>
      </c>
      <c r="M3816" s="2"/>
      <c r="N3816" s="8">
        <v>43264.673495370371</v>
      </c>
      <c r="O3816" s="4"/>
      <c r="P3816" s="3"/>
      <c r="Q3816" s="4"/>
      <c r="R3816" s="4"/>
      <c r="S3816" s="2" t="s">
        <v>155</v>
      </c>
    </row>
    <row r="3817" spans="1:19" ht="12.5">
      <c r="A3817" s="8">
        <v>43341.668541666666</v>
      </c>
      <c r="B3817" s="11" t="str">
        <f>HYPERLINK("https://twitter.com/jerkyduck","@jerkyduck")</f>
        <v>@jerkyduck</v>
      </c>
      <c r="C3817" s="6" t="s">
        <v>6831</v>
      </c>
      <c r="D3817" s="5" t="s">
        <v>6830</v>
      </c>
      <c r="E3817" s="9" t="str">
        <f>HYPERLINK("https://twitter.com/jerkyduck/status/1034765785191858177","1034765785191858177")</f>
        <v>1034765785191858177</v>
      </c>
      <c r="F3817" s="4"/>
      <c r="G3817" s="4"/>
      <c r="H3817" s="4"/>
      <c r="I3817" s="10" t="str">
        <f>HYPERLINK("http://twitter.com/download/iphone","Twitter for iPhone")</f>
        <v>Twitter for iPhone</v>
      </c>
      <c r="J3817" s="2">
        <v>134</v>
      </c>
      <c r="K3817" s="2">
        <v>95</v>
      </c>
      <c r="L3817" s="2">
        <v>0</v>
      </c>
      <c r="M3817" s="2"/>
      <c r="N3817" s="8">
        <v>39987.731817129628</v>
      </c>
      <c r="O3817" s="4" t="s">
        <v>6829</v>
      </c>
      <c r="P3817" s="3" t="s">
        <v>6828</v>
      </c>
      <c r="Q3817" s="10" t="s">
        <v>6827</v>
      </c>
      <c r="R3817" s="4"/>
      <c r="S3817" s="9" t="str">
        <f>HYPERLINK("https://pbs.twimg.com/profile_images/1020544897328254981/0GmssKBN.jpg","View")</f>
        <v>View</v>
      </c>
    </row>
    <row r="3818" spans="1:19" ht="40">
      <c r="A3818" s="8">
        <v>43341.667442129634</v>
      </c>
      <c r="B3818" s="11" t="str">
        <f>HYPERLINK("https://twitter.com/Khamenei_fa","@Khamenei_fa")</f>
        <v>@Khamenei_fa</v>
      </c>
      <c r="C3818" s="6" t="s">
        <v>6826</v>
      </c>
      <c r="D3818" s="5" t="s">
        <v>6825</v>
      </c>
      <c r="E3818" s="9" t="str">
        <f>HYPERLINK("https://twitter.com/Khamenei_fa/status/1034765384325496832","1034765384325496832")</f>
        <v>1034765384325496832</v>
      </c>
      <c r="F3818" s="4"/>
      <c r="G3818" s="10" t="s">
        <v>6824</v>
      </c>
      <c r="H3818" s="4"/>
      <c r="I3818" s="10" t="str">
        <f>HYPERLINK("http://twitter.com","Twitter Web Client")</f>
        <v>Twitter Web Client</v>
      </c>
      <c r="J3818" s="2">
        <v>155835</v>
      </c>
      <c r="K3818" s="2">
        <v>7</v>
      </c>
      <c r="L3818" s="2">
        <v>430</v>
      </c>
      <c r="M3818" s="2"/>
      <c r="N3818" s="8">
        <v>41623.592372685183</v>
      </c>
      <c r="O3818" s="4" t="s">
        <v>17</v>
      </c>
      <c r="P3818" s="3" t="s">
        <v>6823</v>
      </c>
      <c r="Q3818" s="10" t="s">
        <v>6822</v>
      </c>
      <c r="R3818" s="4"/>
      <c r="S3818" s="9" t="str">
        <f>HYPERLINK("https://pbs.twimg.com/profile_images/932485764402827265/9eFic8dj.jpg","View")</f>
        <v>View</v>
      </c>
    </row>
    <row r="3819" spans="1:19" ht="30">
      <c r="A3819" s="8">
        <v>43341.666377314818</v>
      </c>
      <c r="B3819" s="11" t="str">
        <f>HYPERLINK("https://twitter.com/refighmohi","@refighmohi")</f>
        <v>@refighmohi</v>
      </c>
      <c r="C3819" s="6" t="s">
        <v>6821</v>
      </c>
      <c r="D3819" s="5" t="s">
        <v>6820</v>
      </c>
      <c r="E3819" s="9" t="str">
        <f>HYPERLINK("https://twitter.com/refighmohi/status/1034765000928321536","1034765000928321536")</f>
        <v>1034765000928321536</v>
      </c>
      <c r="F3819" s="4"/>
      <c r="G3819" s="4"/>
      <c r="H3819" s="4"/>
      <c r="I3819" s="10" t="str">
        <f>HYPERLINK("http://twitter.com/download/android","Twitter for Android")</f>
        <v>Twitter for Android</v>
      </c>
      <c r="J3819" s="2">
        <v>953</v>
      </c>
      <c r="K3819" s="2">
        <v>220</v>
      </c>
      <c r="L3819" s="2">
        <v>7</v>
      </c>
      <c r="M3819" s="2"/>
      <c r="N3819" s="8">
        <v>42746.458530092597</v>
      </c>
      <c r="O3819" s="4" t="s">
        <v>6819</v>
      </c>
      <c r="P3819" s="3" t="s">
        <v>6818</v>
      </c>
      <c r="Q3819" s="10" t="s">
        <v>6817</v>
      </c>
      <c r="R3819" s="4"/>
      <c r="S3819" s="9" t="str">
        <f>HYPERLINK("https://pbs.twimg.com/profile_images/1033714902572122112/DYtdBccj.jpg","View")</f>
        <v>View</v>
      </c>
    </row>
    <row r="3820" spans="1:19" ht="40">
      <c r="A3820" s="8">
        <v>43341.665914351848</v>
      </c>
      <c r="B3820" s="11" t="str">
        <f>HYPERLINK("https://twitter.com/morkazemian","@morkazemian")</f>
        <v>@morkazemian</v>
      </c>
      <c r="C3820" s="6" t="s">
        <v>6816</v>
      </c>
      <c r="D3820" s="5" t="s">
        <v>6815</v>
      </c>
      <c r="E3820" s="9" t="str">
        <f>HYPERLINK("https://twitter.com/morkazemian/status/1034764832610902016","1034764832610902016")</f>
        <v>1034764832610902016</v>
      </c>
      <c r="F3820" s="4"/>
      <c r="G3820" s="4"/>
      <c r="H3820" s="4"/>
      <c r="I3820" s="10" t="str">
        <f>HYPERLINK("http://twitter.com/download/iphone","Twitter for iPhone")</f>
        <v>Twitter for iPhone</v>
      </c>
      <c r="J3820" s="2">
        <v>8048</v>
      </c>
      <c r="K3820" s="2">
        <v>441</v>
      </c>
      <c r="L3820" s="2">
        <v>56</v>
      </c>
      <c r="M3820" s="2"/>
      <c r="N3820" s="8">
        <v>42853.619421296295</v>
      </c>
      <c r="O3820" s="4"/>
      <c r="P3820" s="3" t="s">
        <v>6814</v>
      </c>
      <c r="Q3820" s="4"/>
      <c r="R3820" s="4"/>
      <c r="S3820" s="9" t="str">
        <f>HYPERLINK("https://pbs.twimg.com/profile_images/986641923208286208/2-mQF-li.jpg","View")</f>
        <v>View</v>
      </c>
    </row>
    <row r="3821" spans="1:19" ht="30">
      <c r="A3821" s="8">
        <v>43341.665844907402</v>
      </c>
      <c r="B3821" s="11" t="str">
        <f>HYPERLINK("https://twitter.com/Javadrahimi123","@Javadrahimi123")</f>
        <v>@Javadrahimi123</v>
      </c>
      <c r="C3821" s="6" t="s">
        <v>6813</v>
      </c>
      <c r="D3821" s="5" t="s">
        <v>6812</v>
      </c>
      <c r="E3821" s="9" t="str">
        <f>HYPERLINK("https://twitter.com/Javadrahimi123/status/1034764804374843392","1034764804374843392")</f>
        <v>1034764804374843392</v>
      </c>
      <c r="F3821" s="4"/>
      <c r="G3821" s="4"/>
      <c r="H3821" s="4"/>
      <c r="I3821" s="10" t="str">
        <f>HYPERLINK("https://mobile.twitter.com","Twitter Lite")</f>
        <v>Twitter Lite</v>
      </c>
      <c r="J3821" s="2">
        <v>0</v>
      </c>
      <c r="K3821" s="2">
        <v>7</v>
      </c>
      <c r="L3821" s="2">
        <v>0</v>
      </c>
      <c r="M3821" s="2"/>
      <c r="N3821" s="8">
        <v>43340.648541666669</v>
      </c>
      <c r="O3821" s="4"/>
      <c r="P3821" s="3"/>
      <c r="Q3821" s="4"/>
      <c r="R3821" s="4"/>
      <c r="S3821" s="9" t="str">
        <f>HYPERLINK("https://pbs.twimg.com/profile_images/1034648705603915778/-48-rHy6.jpg","View")</f>
        <v>View</v>
      </c>
    </row>
    <row r="3822" spans="1:19" ht="30">
      <c r="A3822" s="8">
        <v>43341.665162037039</v>
      </c>
      <c r="B3822" s="11" t="str">
        <f>HYPERLINK("https://twitter.com/Entekhab_News","@Entekhab_News")</f>
        <v>@Entekhab_News</v>
      </c>
      <c r="C3822" s="6" t="s">
        <v>519</v>
      </c>
      <c r="D3822" s="5" t="s">
        <v>6811</v>
      </c>
      <c r="E3822" s="9" t="str">
        <f>HYPERLINK("https://twitter.com/Entekhab_News/status/1034764559008059394","1034764559008059394")</f>
        <v>1034764559008059394</v>
      </c>
      <c r="F3822" s="4"/>
      <c r="G3822" s="4"/>
      <c r="H3822" s="4"/>
      <c r="I3822" s="10" t="str">
        <f>HYPERLINK("http://twitter.com/download/android","Twitter for Android")</f>
        <v>Twitter for Android</v>
      </c>
      <c r="J3822" s="2">
        <v>16186</v>
      </c>
      <c r="K3822" s="2">
        <v>0</v>
      </c>
      <c r="L3822" s="2">
        <v>152</v>
      </c>
      <c r="M3822" s="2"/>
      <c r="N3822" s="8">
        <v>41846.90483796296</v>
      </c>
      <c r="O3822" s="4" t="s">
        <v>244</v>
      </c>
      <c r="P3822" s="3" t="s">
        <v>517</v>
      </c>
      <c r="Q3822" s="10" t="s">
        <v>516</v>
      </c>
      <c r="R3822" s="4"/>
      <c r="S3822" s="9" t="str">
        <f>HYPERLINK("https://pbs.twimg.com/profile_images/840302676332146689/objFI1sw.jpg","View")</f>
        <v>View</v>
      </c>
    </row>
    <row r="3823" spans="1:19" ht="60">
      <c r="A3823" s="8">
        <v>43341.6644212963</v>
      </c>
      <c r="B3823" s="11" t="str">
        <f>HYPERLINK("https://twitter.com/Amirrrajabi","@Amirrrajabi")</f>
        <v>@Amirrrajabi</v>
      </c>
      <c r="C3823" s="6" t="s">
        <v>6810</v>
      </c>
      <c r="D3823" s="5" t="s">
        <v>6809</v>
      </c>
      <c r="E3823" s="9" t="str">
        <f>HYPERLINK("https://twitter.com/Amirrrajabi/status/1034764290404831232","1034764290404831232")</f>
        <v>1034764290404831232</v>
      </c>
      <c r="F3823" s="4" t="s">
        <v>6808</v>
      </c>
      <c r="G3823" s="10" t="s">
        <v>5936</v>
      </c>
      <c r="H3823" s="4"/>
      <c r="I3823" s="10" t="str">
        <f>HYPERLINK("http://twitter.com/download/android","Twitter for Android")</f>
        <v>Twitter for Android</v>
      </c>
      <c r="J3823" s="2">
        <v>214</v>
      </c>
      <c r="K3823" s="2">
        <v>392</v>
      </c>
      <c r="L3823" s="2">
        <v>0</v>
      </c>
      <c r="M3823" s="2"/>
      <c r="N3823" s="8">
        <v>42373.500520833331</v>
      </c>
      <c r="O3823" s="4" t="s">
        <v>6807</v>
      </c>
      <c r="P3823" s="3" t="s">
        <v>6806</v>
      </c>
      <c r="Q3823" s="10" t="s">
        <v>6805</v>
      </c>
      <c r="R3823" s="4"/>
      <c r="S3823" s="9" t="str">
        <f>HYPERLINK("https://pbs.twimg.com/profile_images/1013061733680893953/x-J6y4Ue.jpg","View")</f>
        <v>View</v>
      </c>
    </row>
    <row r="3824" spans="1:19" ht="30">
      <c r="A3824" s="8">
        <v>43341.663414351853</v>
      </c>
      <c r="B3824" s="11" t="str">
        <f>HYPERLINK("https://twitter.com/rez65bah","@rez65bah")</f>
        <v>@rez65bah</v>
      </c>
      <c r="C3824" s="6" t="s">
        <v>6804</v>
      </c>
      <c r="D3824" s="5" t="s">
        <v>6803</v>
      </c>
      <c r="E3824" s="9" t="str">
        <f>HYPERLINK("https://twitter.com/rez65bah/status/1034763924833492992","1034763924833492992")</f>
        <v>1034763924833492992</v>
      </c>
      <c r="F3824" s="4"/>
      <c r="G3824" s="10" t="s">
        <v>6802</v>
      </c>
      <c r="H3824" s="4"/>
      <c r="I3824" s="10" t="str">
        <f>HYPERLINK("https://mobile.twitter.com","Twitter Lite")</f>
        <v>Twitter Lite</v>
      </c>
      <c r="J3824" s="2">
        <v>1765</v>
      </c>
      <c r="K3824" s="2">
        <v>362</v>
      </c>
      <c r="L3824" s="2">
        <v>6</v>
      </c>
      <c r="M3824" s="2"/>
      <c r="N3824" s="8">
        <v>42815.058252314819</v>
      </c>
      <c r="O3824" s="4"/>
      <c r="P3824" s="3" t="s">
        <v>6801</v>
      </c>
      <c r="Q3824" s="4"/>
      <c r="R3824" s="4"/>
      <c r="S3824" s="9" t="str">
        <f>HYPERLINK("https://pbs.twimg.com/profile_images/1017918964406673410/fbzsZBq-.jpg","View")</f>
        <v>View</v>
      </c>
    </row>
    <row r="3825" spans="1:19" ht="12.5">
      <c r="A3825" s="8">
        <v>43341.662094907406</v>
      </c>
      <c r="B3825" s="11" t="str">
        <f>HYPERLINK("https://twitter.com/faghatkhodaa","@faghatkhodaa")</f>
        <v>@faghatkhodaa</v>
      </c>
      <c r="C3825" s="6" t="s">
        <v>4323</v>
      </c>
      <c r="D3825" s="5" t="s">
        <v>6800</v>
      </c>
      <c r="E3825" s="9" t="str">
        <f>HYPERLINK("https://twitter.com/faghatkhodaa/status/1034763447320363009","1034763447320363009")</f>
        <v>1034763447320363009</v>
      </c>
      <c r="F3825" s="4"/>
      <c r="G3825" s="4"/>
      <c r="H3825" s="4"/>
      <c r="I3825" s="10" t="str">
        <f>HYPERLINK("http://twitter.com/download/android","Twitter for Android")</f>
        <v>Twitter for Android</v>
      </c>
      <c r="J3825" s="2">
        <v>8777</v>
      </c>
      <c r="K3825" s="2">
        <v>8986</v>
      </c>
      <c r="L3825" s="2">
        <v>23</v>
      </c>
      <c r="M3825" s="2"/>
      <c r="N3825" s="8">
        <v>43126.628379629634</v>
      </c>
      <c r="O3825" s="4" t="s">
        <v>34</v>
      </c>
      <c r="P3825" s="3" t="s">
        <v>4321</v>
      </c>
      <c r="Q3825" s="4"/>
      <c r="R3825" s="4"/>
      <c r="S3825" s="9" t="str">
        <f>HYPERLINK("https://pbs.twimg.com/profile_images/1027942473103040514/73l8O29B.jpg","View")</f>
        <v>View</v>
      </c>
    </row>
    <row r="3826" spans="1:19" ht="40">
      <c r="A3826" s="8">
        <v>43341.662025462967</v>
      </c>
      <c r="B3826" s="11" t="str">
        <f>HYPERLINK("https://twitter.com/cheraghpour","@cheraghpour")</f>
        <v>@cheraghpour</v>
      </c>
      <c r="C3826" s="6" t="s">
        <v>6799</v>
      </c>
      <c r="D3826" s="5" t="s">
        <v>6798</v>
      </c>
      <c r="E3826" s="9" t="str">
        <f>HYPERLINK("https://twitter.com/cheraghpour/status/1034763420246073344","1034763420246073344")</f>
        <v>1034763420246073344</v>
      </c>
      <c r="F3826" s="4"/>
      <c r="G3826" s="4"/>
      <c r="H3826" s="4"/>
      <c r="I3826" s="10" t="str">
        <f>HYPERLINK("http://twitter.com","Twitter Web Client")</f>
        <v>Twitter Web Client</v>
      </c>
      <c r="J3826" s="2">
        <v>7</v>
      </c>
      <c r="K3826" s="2">
        <v>6</v>
      </c>
      <c r="L3826" s="2">
        <v>0</v>
      </c>
      <c r="M3826" s="2"/>
      <c r="N3826" s="8">
        <v>43291.136388888888</v>
      </c>
      <c r="O3826" s="4"/>
      <c r="P3826" s="3"/>
      <c r="Q3826" s="4"/>
      <c r="R3826" s="4"/>
      <c r="S3826" s="9" t="str">
        <f>HYPERLINK("https://pbs.twimg.com/profile_images/1016456051422613511/sUb0Q0U_.jpg","View")</f>
        <v>View</v>
      </c>
    </row>
    <row r="3827" spans="1:19" ht="30">
      <c r="A3827" s="8">
        <v>43341.661192129628</v>
      </c>
      <c r="B3827" s="11" t="str">
        <f>HYPERLINK("https://twitter.com/peikanjavanan","@peikanjavanan")</f>
        <v>@peikanjavanan</v>
      </c>
      <c r="C3827" s="6" t="s">
        <v>200</v>
      </c>
      <c r="D3827" s="5" t="s">
        <v>6797</v>
      </c>
      <c r="E3827" s="9" t="str">
        <f>HYPERLINK("https://twitter.com/peikanjavanan/status/1034763118755360768","1034763118755360768")</f>
        <v>1034763118755360768</v>
      </c>
      <c r="F3827" s="4"/>
      <c r="G3827" s="10" t="s">
        <v>6796</v>
      </c>
      <c r="H3827" s="4"/>
      <c r="I3827" s="10" t="str">
        <f>HYPERLINK("http://twitter.com/download/android","Twitter for Android")</f>
        <v>Twitter for Android</v>
      </c>
      <c r="J3827" s="2">
        <v>7321</v>
      </c>
      <c r="K3827" s="2">
        <v>6525</v>
      </c>
      <c r="L3827" s="2">
        <v>11</v>
      </c>
      <c r="M3827" s="2"/>
      <c r="N3827" s="8">
        <v>42596.398252314815</v>
      </c>
      <c r="O3827" s="4"/>
      <c r="P3827" s="3" t="s">
        <v>197</v>
      </c>
      <c r="Q3827" s="4"/>
      <c r="R3827" s="4"/>
      <c r="S3827" s="9" t="str">
        <f>HYPERLINK("https://pbs.twimg.com/profile_images/885781298710798336/Qw8NPVi0.jpg","View")</f>
        <v>View</v>
      </c>
    </row>
    <row r="3828" spans="1:19" ht="20">
      <c r="A3828" s="8">
        <v>43341.661111111112</v>
      </c>
      <c r="B3828" s="11" t="str">
        <f>HYPERLINK("https://twitter.com/yekagah","@yekagah")</f>
        <v>@yekagah</v>
      </c>
      <c r="C3828" s="6" t="s">
        <v>8</v>
      </c>
      <c r="D3828" s="5" t="s">
        <v>6795</v>
      </c>
      <c r="E3828" s="9" t="str">
        <f>HYPERLINK("https://twitter.com/yekagah/status/1034763092721389570","1034763092721389570")</f>
        <v>1034763092721389570</v>
      </c>
      <c r="F3828" s="4"/>
      <c r="G3828" s="10" t="s">
        <v>6794</v>
      </c>
      <c r="H3828" s="4"/>
      <c r="I3828" s="10" t="str">
        <f>HYPERLINK("http://twitter.com/download/android","Twitter for Android")</f>
        <v>Twitter for Android</v>
      </c>
      <c r="J3828" s="2">
        <v>714</v>
      </c>
      <c r="K3828" s="2">
        <v>819</v>
      </c>
      <c r="L3828" s="2">
        <v>2</v>
      </c>
      <c r="M3828" s="2"/>
      <c r="N3828" s="8">
        <v>42837.615104166667</v>
      </c>
      <c r="O3828" s="4"/>
      <c r="P3828" s="3" t="s">
        <v>5</v>
      </c>
      <c r="Q3828" s="4"/>
      <c r="R3828" s="4"/>
      <c r="S3828" s="9" t="str">
        <f>HYPERLINK("https://pbs.twimg.com/profile_images/859483031224164356/5EzrnkDQ.jpg","View")</f>
        <v>View</v>
      </c>
    </row>
    <row r="3829" spans="1:19" ht="30">
      <c r="A3829" s="8">
        <v>43341.660046296296</v>
      </c>
      <c r="B3829" s="11" t="str">
        <f>HYPERLINK("https://twitter.com/demokracy","@demokracy")</f>
        <v>@demokracy</v>
      </c>
      <c r="C3829" s="6" t="s">
        <v>4021</v>
      </c>
      <c r="D3829" s="5" t="s">
        <v>6793</v>
      </c>
      <c r="E3829" s="9" t="str">
        <f>HYPERLINK("https://twitter.com/demokracy/status/1034762705276755968","1034762705276755968")</f>
        <v>1034762705276755968</v>
      </c>
      <c r="F3829" s="4"/>
      <c r="G3829" s="4"/>
      <c r="H3829" s="4"/>
      <c r="I3829" s="10" t="str">
        <f>HYPERLINK("http://twitter.com/download/iphone","Twitter for iPhone")</f>
        <v>Twitter for iPhone</v>
      </c>
      <c r="J3829" s="2">
        <v>2156</v>
      </c>
      <c r="K3829" s="2">
        <v>829</v>
      </c>
      <c r="L3829" s="2">
        <v>13</v>
      </c>
      <c r="M3829" s="2"/>
      <c r="N3829" s="8">
        <v>39852.540347222224</v>
      </c>
      <c r="O3829" s="4" t="s">
        <v>324</v>
      </c>
      <c r="P3829" s="3" t="s">
        <v>4019</v>
      </c>
      <c r="Q3829" s="4"/>
      <c r="R3829" s="4"/>
      <c r="S3829" s="9" t="str">
        <f>HYPERLINK("https://pbs.twimg.com/profile_images/972720470641598464/k64X46SR.jpg","View")</f>
        <v>View</v>
      </c>
    </row>
    <row r="3830" spans="1:19" ht="50">
      <c r="A3830" s="8">
        <v>43341.659837962958</v>
      </c>
      <c r="B3830" s="11" t="str">
        <f>HYPERLINK("https://twitter.com/jahangardam","@jahangardam")</f>
        <v>@jahangardam</v>
      </c>
      <c r="C3830" s="6" t="s">
        <v>6366</v>
      </c>
      <c r="D3830" s="5" t="s">
        <v>6792</v>
      </c>
      <c r="E3830" s="9" t="str">
        <f>HYPERLINK("https://twitter.com/jahangardam/status/1034762628529356800","1034762628529356800")</f>
        <v>1034762628529356800</v>
      </c>
      <c r="F3830" s="4" t="s">
        <v>6791</v>
      </c>
      <c r="G3830" s="10" t="s">
        <v>6790</v>
      </c>
      <c r="H3830" s="4"/>
      <c r="I3830" s="10" t="str">
        <f>HYPERLINK("http://twitter.com/download/android","Twitter for Android")</f>
        <v>Twitter for Android</v>
      </c>
      <c r="J3830" s="2">
        <v>535</v>
      </c>
      <c r="K3830" s="2">
        <v>240</v>
      </c>
      <c r="L3830" s="2">
        <v>3</v>
      </c>
      <c r="M3830" s="2"/>
      <c r="N3830" s="8">
        <v>43083.040960648148</v>
      </c>
      <c r="O3830" s="4"/>
      <c r="P3830" s="3" t="s">
        <v>6363</v>
      </c>
      <c r="Q3830" s="4"/>
      <c r="R3830" s="4"/>
      <c r="S3830" s="9" t="str">
        <f>HYPERLINK("https://pbs.twimg.com/profile_images/1023991505294450693/HPBi9ahH.jpg","View")</f>
        <v>View</v>
      </c>
    </row>
    <row r="3831" spans="1:19" ht="40">
      <c r="A3831" s="8">
        <v>43341.65861111111</v>
      </c>
      <c r="B3831" s="11" t="str">
        <f>HYPERLINK("https://twitter.com/Eranico_com","@Eranico_com")</f>
        <v>@Eranico_com</v>
      </c>
      <c r="C3831" s="6" t="s">
        <v>6113</v>
      </c>
      <c r="D3831" s="5" t="s">
        <v>6789</v>
      </c>
      <c r="E3831" s="9" t="str">
        <f>HYPERLINK("https://twitter.com/Eranico_com/status/1034762184746848256","1034762184746848256")</f>
        <v>1034762184746848256</v>
      </c>
      <c r="F3831" s="4"/>
      <c r="G3831" s="10" t="s">
        <v>6788</v>
      </c>
      <c r="H3831" s="4"/>
      <c r="I3831" s="10" t="str">
        <f>HYPERLINK("https://about.twitter.com/products/tweetdeck","TweetDeck")</f>
        <v>TweetDeck</v>
      </c>
      <c r="J3831" s="2">
        <v>7501</v>
      </c>
      <c r="K3831" s="2">
        <v>103</v>
      </c>
      <c r="L3831" s="2">
        <v>122</v>
      </c>
      <c r="M3831" s="2"/>
      <c r="N3831" s="8">
        <v>41771.456817129627</v>
      </c>
      <c r="O3831" s="4" t="s">
        <v>894</v>
      </c>
      <c r="P3831" s="3" t="s">
        <v>6110</v>
      </c>
      <c r="Q3831" s="10" t="s">
        <v>6109</v>
      </c>
      <c r="R3831" s="4"/>
      <c r="S3831" s="9" t="str">
        <f>HYPERLINK("https://pbs.twimg.com/profile_images/932620790100647936/TOsgkBi2.jpg","View")</f>
        <v>View</v>
      </c>
    </row>
    <row r="3832" spans="1:19" ht="40">
      <c r="A3832" s="8">
        <v>43341.658101851848</v>
      </c>
      <c r="B3832" s="11" t="str">
        <f>HYPERLINK("https://twitter.com/iranazadi1395","@iranazadi1395")</f>
        <v>@iranazadi1395</v>
      </c>
      <c r="C3832" s="6" t="s">
        <v>6787</v>
      </c>
      <c r="D3832" s="5" t="s">
        <v>6786</v>
      </c>
      <c r="E3832" s="9" t="str">
        <f>HYPERLINK("https://twitter.com/iranazadi1395/status/1034761999270506496","1034761999270506496")</f>
        <v>1034761999270506496</v>
      </c>
      <c r="F3832" s="10" t="s">
        <v>6785</v>
      </c>
      <c r="G3832" s="4"/>
      <c r="H3832" s="4"/>
      <c r="I3832" s="10" t="str">
        <f>HYPERLINK("http://twitter.com","Twitter Web Client")</f>
        <v>Twitter Web Client</v>
      </c>
      <c r="J3832" s="2">
        <v>11233</v>
      </c>
      <c r="K3832" s="2">
        <v>549</v>
      </c>
      <c r="L3832" s="2">
        <v>217</v>
      </c>
      <c r="M3832" s="2"/>
      <c r="N3832" s="8">
        <v>42252.595034722224</v>
      </c>
      <c r="O3832" s="4" t="s">
        <v>6784</v>
      </c>
      <c r="P3832" s="3" t="s">
        <v>6783</v>
      </c>
      <c r="Q3832" s="10" t="s">
        <v>6782</v>
      </c>
      <c r="R3832" s="4"/>
      <c r="S3832" s="9" t="str">
        <f>HYPERLINK("https://pbs.twimg.com/profile_images/963509098812600322/Te7cW6h8.jpg","View")</f>
        <v>View</v>
      </c>
    </row>
    <row r="3833" spans="1:19" ht="30">
      <c r="A3833" s="8">
        <v>43341.656875000001</v>
      </c>
      <c r="B3833" s="11" t="str">
        <f>HYPERLINK("https://twitter.com/shahrokherfani1","@shahrokherfani1")</f>
        <v>@shahrokherfani1</v>
      </c>
      <c r="C3833" s="6" t="s">
        <v>1254</v>
      </c>
      <c r="D3833" s="5" t="s">
        <v>6781</v>
      </c>
      <c r="E3833" s="9" t="str">
        <f>HYPERLINK("https://twitter.com/shahrokherfani1/status/1034761555739598849","1034761555739598849")</f>
        <v>1034761555739598849</v>
      </c>
      <c r="F3833" s="4"/>
      <c r="G3833" s="10" t="s">
        <v>6780</v>
      </c>
      <c r="H3833" s="4"/>
      <c r="I3833" s="10" t="str">
        <f>HYPERLINK("http://twitter.com/download/android","Twitter for Android")</f>
        <v>Twitter for Android</v>
      </c>
      <c r="J3833" s="2">
        <v>3200</v>
      </c>
      <c r="K3833" s="2">
        <v>1906</v>
      </c>
      <c r="L3833" s="2">
        <v>4</v>
      </c>
      <c r="M3833" s="2"/>
      <c r="N3833" s="8">
        <v>42861.492835648147</v>
      </c>
      <c r="O3833" s="4" t="s">
        <v>1252</v>
      </c>
      <c r="P3833" s="3" t="s">
        <v>1251</v>
      </c>
      <c r="Q3833" s="4"/>
      <c r="R3833" s="4"/>
      <c r="S3833" s="9" t="str">
        <f>HYPERLINK("https://pbs.twimg.com/profile_images/1019116936460951553/3cdGI451.jpg","View")</f>
        <v>View</v>
      </c>
    </row>
    <row r="3834" spans="1:19" ht="60">
      <c r="A3834" s="8">
        <v>43341.651516203703</v>
      </c>
      <c r="B3834" s="11" t="str">
        <f>HYPERLINK("https://twitter.com/iiinjaneb","@iiinjaneb")</f>
        <v>@iiinjaneb</v>
      </c>
      <c r="C3834" s="6" t="s">
        <v>1361</v>
      </c>
      <c r="D3834" s="5" t="s">
        <v>6779</v>
      </c>
      <c r="E3834" s="9" t="str">
        <f>HYPERLINK("https://twitter.com/iiinjaneb/status/1034759612896083969","1034759612896083969")</f>
        <v>1034759612896083969</v>
      </c>
      <c r="F3834" s="10" t="s">
        <v>3978</v>
      </c>
      <c r="G3834" s="4"/>
      <c r="H3834" s="4"/>
      <c r="I3834" s="10" t="str">
        <f>HYPERLINK("http://twitter.com","Twitter Web Client")</f>
        <v>Twitter Web Client</v>
      </c>
      <c r="J3834" s="2">
        <v>191</v>
      </c>
      <c r="K3834" s="2">
        <v>468</v>
      </c>
      <c r="L3834" s="2">
        <v>0</v>
      </c>
      <c r="M3834" s="2"/>
      <c r="N3834" s="8">
        <v>40039.88622685185</v>
      </c>
      <c r="O3834" s="4"/>
      <c r="P3834" s="3" t="s">
        <v>1359</v>
      </c>
      <c r="Q3834" s="4"/>
      <c r="R3834" s="4"/>
      <c r="S3834" s="9" t="str">
        <f>HYPERLINK("https://pbs.twimg.com/profile_images/962324779633127424/T8nWgdC-.jpg","View")</f>
        <v>View</v>
      </c>
    </row>
    <row r="3835" spans="1:19" ht="40">
      <c r="A3835" s="8">
        <v>43341.651319444441</v>
      </c>
      <c r="B3835" s="11" t="str">
        <f>HYPERLINK("https://twitter.com/Ali_daneshmand_","@Ali_daneshmand_")</f>
        <v>@Ali_daneshmand_</v>
      </c>
      <c r="C3835" s="6" t="s">
        <v>6778</v>
      </c>
      <c r="D3835" s="5" t="s">
        <v>6777</v>
      </c>
      <c r="E3835" s="9" t="str">
        <f>HYPERLINK("https://twitter.com/Ali_daneshmand_/status/1034759543958458368","1034759543958458368")</f>
        <v>1034759543958458368</v>
      </c>
      <c r="F3835" s="4"/>
      <c r="G3835" s="4"/>
      <c r="H3835" s="4"/>
      <c r="I3835" s="10" t="str">
        <f>HYPERLINK("http://twitter.com/download/android","Twitter for Android")</f>
        <v>Twitter for Android</v>
      </c>
      <c r="J3835" s="2">
        <v>610</v>
      </c>
      <c r="K3835" s="2">
        <v>1121</v>
      </c>
      <c r="L3835" s="2">
        <v>1</v>
      </c>
      <c r="M3835" s="2"/>
      <c r="N3835" s="8">
        <v>42909.884108796294</v>
      </c>
      <c r="O3835" s="4"/>
      <c r="P3835" s="3" t="s">
        <v>6776</v>
      </c>
      <c r="Q3835" s="4"/>
      <c r="R3835" s="4"/>
      <c r="S3835" s="9" t="str">
        <f>HYPERLINK("https://pbs.twimg.com/profile_images/997443055539052544/l_rkUXxL.jpg","View")</f>
        <v>View</v>
      </c>
    </row>
    <row r="3836" spans="1:19" ht="40">
      <c r="A3836" s="8">
        <v>43341.651087962964</v>
      </c>
      <c r="B3836" s="11" t="str">
        <f>HYPERLINK("https://twitter.com/Id_Strong","@Id_Strong")</f>
        <v>@Id_Strong</v>
      </c>
      <c r="C3836" s="6" t="s">
        <v>6775</v>
      </c>
      <c r="D3836" s="5" t="s">
        <v>6774</v>
      </c>
      <c r="E3836" s="9" t="str">
        <f>HYPERLINK("https://twitter.com/Id_Strong/status/1034759456771518465","1034759456771518465")</f>
        <v>1034759456771518465</v>
      </c>
      <c r="F3836" s="4"/>
      <c r="G3836" s="4"/>
      <c r="H3836" s="4"/>
      <c r="I3836" s="10" t="str">
        <f>HYPERLINK("http://twitter.com/download/android","Twitter for Android")</f>
        <v>Twitter for Android</v>
      </c>
      <c r="J3836" s="2">
        <v>1410</v>
      </c>
      <c r="K3836" s="2">
        <v>2354</v>
      </c>
      <c r="L3836" s="2">
        <v>3</v>
      </c>
      <c r="M3836" s="2"/>
      <c r="N3836" s="8">
        <v>43090.880891203706</v>
      </c>
      <c r="O3836" s="4"/>
      <c r="P3836" s="3" t="s">
        <v>6773</v>
      </c>
      <c r="Q3836" s="4"/>
      <c r="R3836" s="4"/>
      <c r="S3836" s="9" t="str">
        <f>HYPERLINK("https://pbs.twimg.com/profile_images/970455097061859329/1SwhTc4u.jpg","View")</f>
        <v>View</v>
      </c>
    </row>
    <row r="3837" spans="1:19" ht="30">
      <c r="A3837" s="8">
        <v>43341.650509259256</v>
      </c>
      <c r="B3837" s="11" t="str">
        <f>HYPERLINK("https://twitter.com/msadpm","@msadpm")</f>
        <v>@msadpm</v>
      </c>
      <c r="C3837" s="6" t="s">
        <v>1696</v>
      </c>
      <c r="D3837" s="5" t="s">
        <v>6772</v>
      </c>
      <c r="E3837" s="9" t="str">
        <f>HYPERLINK("https://twitter.com/msadpm/status/1034759249681965056","1034759249681965056")</f>
        <v>1034759249681965056</v>
      </c>
      <c r="F3837" s="4"/>
      <c r="G3837" s="4"/>
      <c r="H3837" s="4"/>
      <c r="I3837" s="10" t="str">
        <f>HYPERLINK("http://twitter.com","Twitter Web Client")</f>
        <v>Twitter Web Client</v>
      </c>
      <c r="J3837" s="2">
        <v>1</v>
      </c>
      <c r="K3837" s="2">
        <v>8</v>
      </c>
      <c r="L3837" s="2">
        <v>0</v>
      </c>
      <c r="M3837" s="2"/>
      <c r="N3837" s="8">
        <v>43309.653935185182</v>
      </c>
      <c r="O3837" s="4"/>
      <c r="P3837" s="3"/>
      <c r="Q3837" s="4"/>
      <c r="R3837" s="4"/>
      <c r="S3837" s="9" t="str">
        <f>HYPERLINK("https://pbs.twimg.com/profile_images/1026467437196320768/-Ytvr8hI.jpg","View")</f>
        <v>View</v>
      </c>
    </row>
    <row r="3838" spans="1:19" ht="40">
      <c r="A3838" s="8">
        <v>43341.650497685187</v>
      </c>
      <c r="B3838" s="11" t="str">
        <f>HYPERLINK("https://twitter.com/_SepahSalar","@_SepahSalar")</f>
        <v>@_SepahSalar</v>
      </c>
      <c r="C3838" s="6" t="s">
        <v>3730</v>
      </c>
      <c r="D3838" s="5" t="s">
        <v>6771</v>
      </c>
      <c r="E3838" s="9" t="str">
        <f>HYPERLINK("https://twitter.com/_SepahSalar/status/1034759243885367296","1034759243885367296")</f>
        <v>1034759243885367296</v>
      </c>
      <c r="F3838" s="4"/>
      <c r="G3838" s="4"/>
      <c r="H3838" s="4"/>
      <c r="I3838" s="10" t="str">
        <f>HYPERLINK("http://twitter.com/download/android","Twitter for Android")</f>
        <v>Twitter for Android</v>
      </c>
      <c r="J3838" s="2">
        <v>1009</v>
      </c>
      <c r="K3838" s="2">
        <v>662</v>
      </c>
      <c r="L3838" s="2">
        <v>4</v>
      </c>
      <c r="M3838" s="2"/>
      <c r="N3838" s="8">
        <v>43038.902962962966</v>
      </c>
      <c r="O3838" s="4" t="s">
        <v>104</v>
      </c>
      <c r="P3838" s="3" t="s">
        <v>3728</v>
      </c>
      <c r="Q3838" s="4"/>
      <c r="R3838" s="4"/>
      <c r="S3838" s="9" t="str">
        <f>HYPERLINK("https://pbs.twimg.com/profile_images/983765135893454851/3QQtg4-I.jpg","View")</f>
        <v>View</v>
      </c>
    </row>
    <row r="3839" spans="1:19" ht="30">
      <c r="A3839" s="8">
        <v>43341.649733796294</v>
      </c>
      <c r="B3839" s="11" t="str">
        <f>HYPERLINK("https://twitter.com/AliBazgosha2","@AliBazgosha2")</f>
        <v>@AliBazgosha2</v>
      </c>
      <c r="C3839" s="6" t="s">
        <v>6770</v>
      </c>
      <c r="D3839" s="5" t="s">
        <v>6769</v>
      </c>
      <c r="E3839" s="9" t="str">
        <f>HYPERLINK("https://twitter.com/AliBazgosha2/status/1034758966151180288","1034758966151180288")</f>
        <v>1034758966151180288</v>
      </c>
      <c r="F3839" s="4"/>
      <c r="G3839" s="4"/>
      <c r="H3839" s="4"/>
      <c r="I3839" s="10" t="str">
        <f>HYPERLINK("http://twitter.com","Twitter Web Client")</f>
        <v>Twitter Web Client</v>
      </c>
      <c r="J3839" s="2">
        <v>4596</v>
      </c>
      <c r="K3839" s="2">
        <v>469</v>
      </c>
      <c r="L3839" s="2">
        <v>12</v>
      </c>
      <c r="M3839" s="2"/>
      <c r="N3839" s="8">
        <v>42597.534224537041</v>
      </c>
      <c r="O3839" s="4" t="s">
        <v>454</v>
      </c>
      <c r="P3839" s="3" t="s">
        <v>6768</v>
      </c>
      <c r="Q3839" s="4"/>
      <c r="R3839" s="4"/>
      <c r="S3839" s="9" t="str">
        <f>HYPERLINK("https://pbs.twimg.com/profile_images/1002173034688647168/DDTAV-9J.jpg","View")</f>
        <v>View</v>
      </c>
    </row>
    <row r="3840" spans="1:19" ht="20">
      <c r="A3840" s="8">
        <v>43341.649618055555</v>
      </c>
      <c r="B3840" s="11" t="str">
        <f>HYPERLINK("https://twitter.com/h_iphop79","@h_iphop79")</f>
        <v>@h_iphop79</v>
      </c>
      <c r="C3840" s="6" t="s">
        <v>6767</v>
      </c>
      <c r="D3840" s="5" t="s">
        <v>6766</v>
      </c>
      <c r="E3840" s="9" t="str">
        <f>HYPERLINK("https://twitter.com/h_iphop79/status/1034758925156081664","1034758925156081664")</f>
        <v>1034758925156081664</v>
      </c>
      <c r="F3840" s="4"/>
      <c r="G3840" s="4"/>
      <c r="H3840" s="4"/>
      <c r="I3840" s="10" t="str">
        <f>HYPERLINK("http://twitter.com/download/android","Twitter for Android")</f>
        <v>Twitter for Android</v>
      </c>
      <c r="J3840" s="2">
        <v>254</v>
      </c>
      <c r="K3840" s="2">
        <v>237</v>
      </c>
      <c r="L3840" s="2">
        <v>0</v>
      </c>
      <c r="M3840" s="2"/>
      <c r="N3840" s="8">
        <v>43261.98704861111</v>
      </c>
      <c r="O3840" s="4" t="s">
        <v>17</v>
      </c>
      <c r="P3840" s="3" t="s">
        <v>6765</v>
      </c>
      <c r="Q3840" s="10" t="s">
        <v>6764</v>
      </c>
      <c r="R3840" s="4"/>
      <c r="S3840" s="9" t="str">
        <f>HYPERLINK("https://pbs.twimg.com/profile_images/1032877851408785408/gxWoOR3z.jpg","View")</f>
        <v>View</v>
      </c>
    </row>
    <row r="3841" spans="1:19" ht="20">
      <c r="A3841" s="8">
        <v>43341.649560185186</v>
      </c>
      <c r="B3841" s="11" t="str">
        <f>HYPERLINK("https://twitter.com/kamran_sh1788","@kamran_sh1788")</f>
        <v>@kamran_sh1788</v>
      </c>
      <c r="C3841" s="6" t="s">
        <v>6763</v>
      </c>
      <c r="D3841" s="5" t="s">
        <v>6762</v>
      </c>
      <c r="E3841" s="9" t="str">
        <f>HYPERLINK("https://twitter.com/kamran_sh1788/status/1034758905069547520","1034758905069547520")</f>
        <v>1034758905069547520</v>
      </c>
      <c r="F3841" s="4"/>
      <c r="G3841" s="10" t="s">
        <v>6761</v>
      </c>
      <c r="H3841" s="4"/>
      <c r="I3841" s="10" t="str">
        <f>HYPERLINK("http://twitter.com","Twitter Web Client")</f>
        <v>Twitter Web Client</v>
      </c>
      <c r="J3841" s="2">
        <v>785</v>
      </c>
      <c r="K3841" s="2">
        <v>385</v>
      </c>
      <c r="L3841" s="2">
        <v>8</v>
      </c>
      <c r="M3841" s="2"/>
      <c r="N3841" s="8">
        <v>42742.941400462965</v>
      </c>
      <c r="O3841" s="4" t="s">
        <v>17</v>
      </c>
      <c r="P3841" s="3" t="s">
        <v>6760</v>
      </c>
      <c r="Q3841" s="10" t="s">
        <v>77</v>
      </c>
      <c r="R3841" s="4"/>
      <c r="S3841" s="9" t="str">
        <f>HYPERLINK("https://pbs.twimg.com/profile_images/856539454735097857/BXwne9hh.jpg","View")</f>
        <v>View</v>
      </c>
    </row>
    <row r="3842" spans="1:19" ht="40">
      <c r="A3842" s="8">
        <v>43341.649178240739</v>
      </c>
      <c r="B3842" s="11" t="str">
        <f>HYPERLINK("https://twitter.com/mostafatajzade","@mostafatajzade")</f>
        <v>@mostafatajzade</v>
      </c>
      <c r="C3842" s="6" t="s">
        <v>6759</v>
      </c>
      <c r="D3842" s="5" t="s">
        <v>6758</v>
      </c>
      <c r="E3842" s="9" t="str">
        <f>HYPERLINK("https://twitter.com/mostafatajzade/status/1034758765030064128","1034758765030064128")</f>
        <v>1034758765030064128</v>
      </c>
      <c r="F3842" s="4"/>
      <c r="G3842" s="4"/>
      <c r="H3842" s="4"/>
      <c r="I3842" s="10" t="str">
        <f>HYPERLINK("http://twitter.com/download/iphone","Twitter for iPhone")</f>
        <v>Twitter for iPhone</v>
      </c>
      <c r="J3842" s="2">
        <v>145707</v>
      </c>
      <c r="K3842" s="2">
        <v>2832</v>
      </c>
      <c r="L3842" s="2">
        <v>392</v>
      </c>
      <c r="M3842" s="2"/>
      <c r="N3842" s="8">
        <v>42780.77511574074</v>
      </c>
      <c r="O3842" s="4"/>
      <c r="P3842" s="3"/>
      <c r="Q3842" s="4"/>
      <c r="R3842" s="4"/>
      <c r="S3842" s="9" t="str">
        <f>HYPERLINK("https://pbs.twimg.com/profile_images/977936257698418689/Bx8vAPKp.jpg","View")</f>
        <v>View</v>
      </c>
    </row>
    <row r="3843" spans="1:19" ht="50">
      <c r="A3843" s="8">
        <v>43341.648240740746</v>
      </c>
      <c r="B3843" s="11" t="str">
        <f>HYPERLINK("https://twitter.com/hajkazemian","@hajkazemian")</f>
        <v>@hajkazemian</v>
      </c>
      <c r="C3843" s="6" t="s">
        <v>6757</v>
      </c>
      <c r="D3843" s="5" t="s">
        <v>6756</v>
      </c>
      <c r="E3843" s="9" t="str">
        <f>HYPERLINK("https://twitter.com/hajkazemian/status/1034758425538953218","1034758425538953218")</f>
        <v>1034758425538953218</v>
      </c>
      <c r="F3843" s="4"/>
      <c r="G3843" s="4"/>
      <c r="H3843" s="4"/>
      <c r="I3843" s="10" t="str">
        <f>HYPERLINK("http://twitter.com/download/iphone","Twitter for iPhone")</f>
        <v>Twitter for iPhone</v>
      </c>
      <c r="J3843" s="2">
        <v>154</v>
      </c>
      <c r="K3843" s="2">
        <v>17</v>
      </c>
      <c r="L3843" s="2">
        <v>0</v>
      </c>
      <c r="M3843" s="2"/>
      <c r="N3843" s="8">
        <v>43247.621840277774</v>
      </c>
      <c r="O3843" s="4" t="s">
        <v>34</v>
      </c>
      <c r="P3843" s="3" t="s">
        <v>6755</v>
      </c>
      <c r="Q3843" s="10" t="s">
        <v>6754</v>
      </c>
      <c r="R3843" s="4"/>
      <c r="S3843" s="9" t="str">
        <f>HYPERLINK("https://pbs.twimg.com/profile_images/1029475303159214080/PH4tXBRj.jpg","View")</f>
        <v>View</v>
      </c>
    </row>
    <row r="3844" spans="1:19" ht="12.5">
      <c r="A3844" s="8">
        <v>43341.648043981477</v>
      </c>
      <c r="B3844" s="11" t="str">
        <f>HYPERLINK("https://twitter.com/ravan_darman","@ravan_darman")</f>
        <v>@ravan_darman</v>
      </c>
      <c r="C3844" s="6" t="s">
        <v>6753</v>
      </c>
      <c r="D3844" s="5" t="s">
        <v>6752</v>
      </c>
      <c r="E3844" s="9" t="str">
        <f>HYPERLINK("https://twitter.com/ravan_darman/status/1034758354948775937","1034758354948775937")</f>
        <v>1034758354948775937</v>
      </c>
      <c r="F3844" s="4"/>
      <c r="G3844" s="4"/>
      <c r="H3844" s="4"/>
      <c r="I3844" s="10" t="str">
        <f>HYPERLINK("https://mobile.twitter.com","Mobile Web (M2)")</f>
        <v>Mobile Web (M2)</v>
      </c>
      <c r="J3844" s="2">
        <v>11</v>
      </c>
      <c r="K3844" s="2">
        <v>24</v>
      </c>
      <c r="L3844" s="2">
        <v>0</v>
      </c>
      <c r="M3844" s="2"/>
      <c r="N3844" s="8">
        <v>42777.891064814816</v>
      </c>
      <c r="O3844" s="4"/>
      <c r="P3844" s="3"/>
      <c r="Q3844" s="4"/>
      <c r="R3844" s="4"/>
      <c r="S3844" s="2" t="s">
        <v>155</v>
      </c>
    </row>
    <row r="3845" spans="1:19" ht="20">
      <c r="A3845" s="8">
        <v>43341.647974537038</v>
      </c>
      <c r="B3845" s="11" t="str">
        <f>HYPERLINK("https://twitter.com/SHARAS_law","@SHARAS_law")</f>
        <v>@SHARAS_law</v>
      </c>
      <c r="C3845" s="6" t="s">
        <v>6751</v>
      </c>
      <c r="D3845" s="5" t="s">
        <v>6750</v>
      </c>
      <c r="E3845" s="9" t="str">
        <f>HYPERLINK("https://twitter.com/SHARAS_law/status/1034758330319859712","1034758330319859712")</f>
        <v>1034758330319859712</v>
      </c>
      <c r="F3845" s="4"/>
      <c r="G3845" s="4"/>
      <c r="H3845" s="4"/>
      <c r="I3845" s="10" t="str">
        <f>HYPERLINK("http://twitter.com/download/iphone","Twitter for iPhone")</f>
        <v>Twitter for iPhone</v>
      </c>
      <c r="J3845" s="2">
        <v>285</v>
      </c>
      <c r="K3845" s="2">
        <v>421</v>
      </c>
      <c r="L3845" s="2">
        <v>2</v>
      </c>
      <c r="M3845" s="2"/>
      <c r="N3845" s="8">
        <v>42391.889583333337</v>
      </c>
      <c r="O3845" s="4" t="s">
        <v>17</v>
      </c>
      <c r="P3845" s="3" t="s">
        <v>6749</v>
      </c>
      <c r="Q3845" s="4"/>
      <c r="R3845" s="4"/>
      <c r="S3845" s="9" t="str">
        <f>HYPERLINK("https://pbs.twimg.com/profile_images/1012007128649945088/LaV1eqsC.jpg","View")</f>
        <v>View</v>
      </c>
    </row>
    <row r="3846" spans="1:19" ht="40">
      <c r="A3846" s="8">
        <v>43341.647534722222</v>
      </c>
      <c r="B3846" s="11" t="str">
        <f>HYPERLINK("https://twitter.com/virtual_ir","@virtual_ir")</f>
        <v>@virtual_ir</v>
      </c>
      <c r="C3846" s="6" t="s">
        <v>6748</v>
      </c>
      <c r="D3846" s="5" t="s">
        <v>6747</v>
      </c>
      <c r="E3846" s="9" t="str">
        <f>HYPERLINK("https://twitter.com/virtual_ir/status/1034758169422123008","1034758169422123008")</f>
        <v>1034758169422123008</v>
      </c>
      <c r="F3846" s="4"/>
      <c r="G3846" s="4"/>
      <c r="H3846" s="4"/>
      <c r="I3846" s="10" t="str">
        <f>HYPERLINK("http://twitter.com/download/android","Twitter for Android")</f>
        <v>Twitter for Android</v>
      </c>
      <c r="J3846" s="2">
        <v>421</v>
      </c>
      <c r="K3846" s="2">
        <v>369</v>
      </c>
      <c r="L3846" s="2">
        <v>0</v>
      </c>
      <c r="M3846" s="2"/>
      <c r="N3846" s="8">
        <v>43161.351435185185</v>
      </c>
      <c r="O3846" s="4" t="s">
        <v>34</v>
      </c>
      <c r="P3846" s="3" t="s">
        <v>6746</v>
      </c>
      <c r="Q3846" s="10" t="s">
        <v>6745</v>
      </c>
      <c r="R3846" s="4"/>
      <c r="S3846" s="9" t="str">
        <f>HYPERLINK("https://pbs.twimg.com/profile_images/1034049110821744641/a5pO9ObT.jpg","View")</f>
        <v>View</v>
      </c>
    </row>
    <row r="3847" spans="1:19" ht="20">
      <c r="A3847" s="8">
        <v>43341.644641203704</v>
      </c>
      <c r="B3847" s="11" t="str">
        <f>HYPERLINK("https://twitter.com/ernestoLche","@ernestoLche")</f>
        <v>@ernestoLche</v>
      </c>
      <c r="C3847" s="6" t="s">
        <v>6744</v>
      </c>
      <c r="D3847" s="5" t="s">
        <v>6743</v>
      </c>
      <c r="E3847" s="9" t="str">
        <f>HYPERLINK("https://twitter.com/ernestoLche/status/1034757121336901633","1034757121336901633")</f>
        <v>1034757121336901633</v>
      </c>
      <c r="F3847" s="4"/>
      <c r="G3847" s="4"/>
      <c r="H3847" s="4"/>
      <c r="I3847" s="10" t="str">
        <f>HYPERLINK("http://twitter.com/download/android","Twitter for Android")</f>
        <v>Twitter for Android</v>
      </c>
      <c r="J3847" s="2">
        <v>0</v>
      </c>
      <c r="K3847" s="2">
        <v>15</v>
      </c>
      <c r="L3847" s="2">
        <v>0</v>
      </c>
      <c r="M3847" s="2"/>
      <c r="N3847" s="8">
        <v>43063.153136574074</v>
      </c>
      <c r="O3847" s="4"/>
      <c r="P3847" s="3"/>
      <c r="Q3847" s="4"/>
      <c r="R3847" s="4"/>
      <c r="S3847" s="9" t="str">
        <f>HYPERLINK("https://pbs.twimg.com/profile_images/937709243242774528/pt0uMNe-.jpg","View")</f>
        <v>View</v>
      </c>
    </row>
    <row r="3848" spans="1:19" ht="40">
      <c r="A3848" s="8">
        <v>43341.643761574072</v>
      </c>
      <c r="B3848" s="11" t="str">
        <f>HYPERLINK("https://twitter.com/2018Sarmad","@2018Sarmad")</f>
        <v>@2018Sarmad</v>
      </c>
      <c r="C3848" s="6" t="s">
        <v>6742</v>
      </c>
      <c r="D3848" s="5" t="s">
        <v>6741</v>
      </c>
      <c r="E3848" s="9" t="str">
        <f>HYPERLINK("https://twitter.com/2018Sarmad/status/1034756805446914048","1034756805446914048")</f>
        <v>1034756805446914048</v>
      </c>
      <c r="F3848" s="4"/>
      <c r="G3848" s="4"/>
      <c r="H3848" s="4"/>
      <c r="I3848" s="10" t="str">
        <f>HYPERLINK("http://twitter.com","Twitter Web Client")</f>
        <v>Twitter Web Client</v>
      </c>
      <c r="J3848" s="2">
        <v>28</v>
      </c>
      <c r="K3848" s="2">
        <v>271</v>
      </c>
      <c r="L3848" s="2">
        <v>0</v>
      </c>
      <c r="M3848" s="2"/>
      <c r="N3848" s="8">
        <v>43312.519467592589</v>
      </c>
      <c r="O3848" s="4"/>
      <c r="P3848" s="3"/>
      <c r="Q3848" s="4"/>
      <c r="R3848" s="4"/>
      <c r="S3848" s="9" t="str">
        <f>HYPERLINK("https://pbs.twimg.com/profile_images/1024206157311660032/wZFZNYZ7.jpg","View")</f>
        <v>View</v>
      </c>
    </row>
    <row r="3849" spans="1:19" ht="40">
      <c r="A3849" s="8">
        <v>43341.643587962964</v>
      </c>
      <c r="B3849" s="11" t="str">
        <f>HYPERLINK("https://twitter.com/MajidMokhtarza1","@MajidMokhtarza1")</f>
        <v>@MajidMokhtarza1</v>
      </c>
      <c r="C3849" s="6" t="s">
        <v>6740</v>
      </c>
      <c r="D3849" s="5" t="s">
        <v>6739</v>
      </c>
      <c r="E3849" s="9" t="str">
        <f>HYPERLINK("https://twitter.com/MajidMokhtarza1/status/1034756742507360257","1034756742507360257")</f>
        <v>1034756742507360257</v>
      </c>
      <c r="F3849" s="4"/>
      <c r="G3849" s="4"/>
      <c r="H3849" s="4"/>
      <c r="I3849" s="10" t="str">
        <f>HYPERLINK("http://twitter.com/download/iphone","Twitter for iPhone")</f>
        <v>Twitter for iPhone</v>
      </c>
      <c r="J3849" s="2">
        <v>166</v>
      </c>
      <c r="K3849" s="2">
        <v>230</v>
      </c>
      <c r="L3849" s="2">
        <v>1</v>
      </c>
      <c r="M3849" s="2"/>
      <c r="N3849" s="8">
        <v>42911.90834490741</v>
      </c>
      <c r="O3849" s="4" t="s">
        <v>104</v>
      </c>
      <c r="P3849" s="3" t="s">
        <v>6738</v>
      </c>
      <c r="Q3849" s="4"/>
      <c r="R3849" s="4"/>
      <c r="S3849" s="9" t="str">
        <f>HYPERLINK("https://pbs.twimg.com/profile_images/898140455996723200/TXx0yTwW.jpg","View")</f>
        <v>View</v>
      </c>
    </row>
    <row r="3850" spans="1:19" ht="20">
      <c r="A3850" s="8">
        <v>43341.642557870371</v>
      </c>
      <c r="B3850" s="11" t="str">
        <f>HYPERLINK("https://twitter.com/__mr_akhmoo__","@__mr_akhmoo__")</f>
        <v>@__mr_akhmoo__</v>
      </c>
      <c r="C3850" s="6" t="s">
        <v>5211</v>
      </c>
      <c r="D3850" s="5" t="s">
        <v>6737</v>
      </c>
      <c r="E3850" s="9" t="str">
        <f>HYPERLINK("https://twitter.com/__mr_akhmoo__/status/1034756369419784192","1034756369419784192")</f>
        <v>1034756369419784192</v>
      </c>
      <c r="F3850" s="4"/>
      <c r="G3850" s="4"/>
      <c r="H3850" s="4"/>
      <c r="I3850" s="10" t="str">
        <f>HYPERLINK("http://twitter.com/download/android","Twitter for Android")</f>
        <v>Twitter for Android</v>
      </c>
      <c r="J3850" s="2">
        <v>251</v>
      </c>
      <c r="K3850" s="2">
        <v>422</v>
      </c>
      <c r="L3850" s="2">
        <v>0</v>
      </c>
      <c r="M3850" s="2"/>
      <c r="N3850" s="8">
        <v>43241.585902777777</v>
      </c>
      <c r="O3850" s="4"/>
      <c r="P3850" s="3"/>
      <c r="Q3850" s="4"/>
      <c r="R3850" s="4"/>
      <c r="S3850" s="9" t="str">
        <f>HYPERLINK("https://pbs.twimg.com/profile_images/1014381473481265152/joe1WAaB.jpg","View")</f>
        <v>View</v>
      </c>
    </row>
    <row r="3851" spans="1:19" ht="20">
      <c r="A3851" s="8">
        <v>43341.638402777782</v>
      </c>
      <c r="B3851" s="11" t="str">
        <f>HYPERLINK("https://twitter.com/Amiraba94102129","@Amiraba94102129")</f>
        <v>@Amiraba94102129</v>
      </c>
      <c r="C3851" s="6" t="s">
        <v>6736</v>
      </c>
      <c r="D3851" s="5" t="s">
        <v>6735</v>
      </c>
      <c r="E3851" s="9" t="str">
        <f>HYPERLINK("https://twitter.com/Amiraba94102129/status/1034754859914805248","1034754859914805248")</f>
        <v>1034754859914805248</v>
      </c>
      <c r="F3851" s="4"/>
      <c r="G3851" s="10" t="s">
        <v>6734</v>
      </c>
      <c r="H3851" s="4"/>
      <c r="I3851" s="10" t="str">
        <f>HYPERLINK("http://twitter.com/download/android","Twitter for Android")</f>
        <v>Twitter for Android</v>
      </c>
      <c r="J3851" s="2">
        <v>1623</v>
      </c>
      <c r="K3851" s="2">
        <v>5002</v>
      </c>
      <c r="L3851" s="2">
        <v>1</v>
      </c>
      <c r="M3851" s="2"/>
      <c r="N3851" s="8">
        <v>43225.447418981479</v>
      </c>
      <c r="O3851" s="4"/>
      <c r="P3851" s="3" t="s">
        <v>6733</v>
      </c>
      <c r="Q3851" s="4"/>
      <c r="R3851" s="4"/>
      <c r="S3851" s="9" t="str">
        <f>HYPERLINK("https://pbs.twimg.com/profile_images/1033840849405136901/xhadWOfg.jpg","View")</f>
        <v>View</v>
      </c>
    </row>
    <row r="3852" spans="1:19" ht="40">
      <c r="A3852" s="8">
        <v>43341.638009259259</v>
      </c>
      <c r="B3852" s="11" t="str">
        <f>HYPERLINK("https://twitter.com/vejdane_shoma","@vejdane_shoma")</f>
        <v>@vejdane_shoma</v>
      </c>
      <c r="C3852" s="6" t="s">
        <v>6732</v>
      </c>
      <c r="D3852" s="5" t="s">
        <v>6731</v>
      </c>
      <c r="E3852" s="9" t="str">
        <f>HYPERLINK("https://twitter.com/vejdane_shoma/status/1034754718214569984","1034754718214569984")</f>
        <v>1034754718214569984</v>
      </c>
      <c r="F3852" s="4"/>
      <c r="G3852" s="4"/>
      <c r="H3852" s="4"/>
      <c r="I3852" s="10" t="str">
        <f>HYPERLINK("https://mobile.twitter.com","Twitter Lite")</f>
        <v>Twitter Lite</v>
      </c>
      <c r="J3852" s="2">
        <v>232</v>
      </c>
      <c r="K3852" s="2">
        <v>427</v>
      </c>
      <c r="L3852" s="2">
        <v>0</v>
      </c>
      <c r="M3852" s="2"/>
      <c r="N3852" s="8">
        <v>43247.378611111111</v>
      </c>
      <c r="O3852" s="4" t="s">
        <v>6730</v>
      </c>
      <c r="P3852" s="3" t="s">
        <v>6729</v>
      </c>
      <c r="Q3852" s="4"/>
      <c r="R3852" s="4"/>
      <c r="S3852" s="9" t="str">
        <f>HYPERLINK("https://pbs.twimg.com/profile_images/1000602139775963136/2KElpfIu.jpg","View")</f>
        <v>View</v>
      </c>
    </row>
    <row r="3853" spans="1:19" ht="30">
      <c r="A3853" s="8">
        <v>43341.635729166665</v>
      </c>
      <c r="B3853" s="11" t="str">
        <f>HYPERLINK("https://twitter.com/MeysamMoteei","@MeysamMoteei")</f>
        <v>@MeysamMoteei</v>
      </c>
      <c r="C3853" s="6" t="s">
        <v>6728</v>
      </c>
      <c r="D3853" s="5" t="s">
        <v>6727</v>
      </c>
      <c r="E3853" s="9" t="str">
        <f>HYPERLINK("https://twitter.com/MeysamMoteei/status/1034753893924782080","1034753893924782080")</f>
        <v>1034753893924782080</v>
      </c>
      <c r="F3853" s="4"/>
      <c r="G3853" s="4"/>
      <c r="H3853" s="4"/>
      <c r="I3853" s="10" t="str">
        <f>HYPERLINK("http://twitter.com/download/android","Twitter for Android")</f>
        <v>Twitter for Android</v>
      </c>
      <c r="J3853" s="2">
        <v>385</v>
      </c>
      <c r="K3853" s="2">
        <v>21</v>
      </c>
      <c r="L3853" s="2">
        <v>2</v>
      </c>
      <c r="M3853" s="2"/>
      <c r="N3853" s="8">
        <v>42916.997847222221</v>
      </c>
      <c r="O3853" s="4" t="s">
        <v>34</v>
      </c>
      <c r="P3853" s="3" t="s">
        <v>6726</v>
      </c>
      <c r="Q3853" s="10" t="s">
        <v>6725</v>
      </c>
      <c r="R3853" s="4"/>
      <c r="S3853" s="9" t="str">
        <f>HYPERLINK("https://pbs.twimg.com/profile_images/978355697481068547/Th35Qydu.jpg","View")</f>
        <v>View</v>
      </c>
    </row>
    <row r="3854" spans="1:19" ht="40">
      <c r="A3854" s="8">
        <v>43341.635081018518</v>
      </c>
      <c r="B3854" s="11" t="str">
        <f>HYPERLINK("https://twitter.com/RafatiSiavash","@RafatiSiavash")</f>
        <v>@RafatiSiavash</v>
      </c>
      <c r="C3854" s="6" t="s">
        <v>3226</v>
      </c>
      <c r="D3854" s="5" t="s">
        <v>6724</v>
      </c>
      <c r="E3854" s="9" t="str">
        <f>HYPERLINK("https://twitter.com/RafatiSiavash/status/1034753657944924160","1034753657944924160")</f>
        <v>1034753657944924160</v>
      </c>
      <c r="F3854" s="10" t="s">
        <v>6723</v>
      </c>
      <c r="G3854" s="4"/>
      <c r="H3854" s="4"/>
      <c r="I3854" s="10" t="str">
        <f>HYPERLINK("http://twitter.com","Twitter Web Client")</f>
        <v>Twitter Web Client</v>
      </c>
      <c r="J3854" s="2">
        <v>288</v>
      </c>
      <c r="K3854" s="2">
        <v>231</v>
      </c>
      <c r="L3854" s="2">
        <v>87</v>
      </c>
      <c r="M3854" s="2"/>
      <c r="N3854" s="8">
        <v>41050.769884259258</v>
      </c>
      <c r="O3854" s="4"/>
      <c r="P3854" s="3" t="s">
        <v>3223</v>
      </c>
      <c r="Q3854" s="10" t="s">
        <v>3222</v>
      </c>
      <c r="R3854" s="4"/>
      <c r="S3854" s="9" t="str">
        <f>HYPERLINK("https://pbs.twimg.com/profile_images/821385868690751488/Qqe0I1Bk.jpg","View")</f>
        <v>View</v>
      </c>
    </row>
    <row r="3855" spans="1:19" ht="50">
      <c r="A3855" s="8">
        <v>43341.633703703701</v>
      </c>
      <c r="B3855" s="11" t="str">
        <f>HYPERLINK("https://twitter.com/Mj_ebrahimi65","@Mj_ebrahimi65")</f>
        <v>@Mj_ebrahimi65</v>
      </c>
      <c r="C3855" s="6" t="s">
        <v>514</v>
      </c>
      <c r="D3855" s="5" t="s">
        <v>6722</v>
      </c>
      <c r="E3855" s="9" t="str">
        <f>HYPERLINK("https://twitter.com/Mj_ebrahimi65/status/1034753159233765377","1034753159233765377")</f>
        <v>1034753159233765377</v>
      </c>
      <c r="F3855" s="4"/>
      <c r="G3855" s="4"/>
      <c r="H3855" s="4"/>
      <c r="I3855" s="10" t="str">
        <f>HYPERLINK("http://twitter.com/download/android","Twitter for Android")</f>
        <v>Twitter for Android</v>
      </c>
      <c r="J3855" s="2">
        <v>89</v>
      </c>
      <c r="K3855" s="2">
        <v>210</v>
      </c>
      <c r="L3855" s="2">
        <v>0</v>
      </c>
      <c r="M3855" s="2"/>
      <c r="N3855" s="8">
        <v>42893.80195601852</v>
      </c>
      <c r="O3855" s="4" t="s">
        <v>34</v>
      </c>
      <c r="P3855" s="3" t="s">
        <v>512</v>
      </c>
      <c r="Q3855" s="4"/>
      <c r="R3855" s="4"/>
      <c r="S3855" s="9" t="str">
        <f>HYPERLINK("https://pbs.twimg.com/profile_images/999715873706381312/w4RxcYxu.jpg","View")</f>
        <v>View</v>
      </c>
    </row>
    <row r="3856" spans="1:19" ht="20">
      <c r="A3856" s="8">
        <v>43341.633379629631</v>
      </c>
      <c r="B3856" s="11" t="str">
        <f>HYPERLINK("https://twitter.com/mehrdad935","@mehrdad935")</f>
        <v>@mehrdad935</v>
      </c>
      <c r="C3856" s="6" t="s">
        <v>6721</v>
      </c>
      <c r="D3856" s="5" t="s">
        <v>6720</v>
      </c>
      <c r="E3856" s="9" t="str">
        <f>HYPERLINK("https://twitter.com/mehrdad935/status/1034753041877164032","1034753041877164032")</f>
        <v>1034753041877164032</v>
      </c>
      <c r="F3856" s="4"/>
      <c r="G3856" s="4"/>
      <c r="H3856" s="4"/>
      <c r="I3856" s="10" t="str">
        <f>HYPERLINK("http://twitter.com","Twitter Web Client")</f>
        <v>Twitter Web Client</v>
      </c>
      <c r="J3856" s="2">
        <v>15</v>
      </c>
      <c r="K3856" s="2">
        <v>9</v>
      </c>
      <c r="L3856" s="2">
        <v>0</v>
      </c>
      <c r="M3856" s="2"/>
      <c r="N3856" s="8">
        <v>42891.682118055556</v>
      </c>
      <c r="O3856" s="4" t="s">
        <v>17</v>
      </c>
      <c r="P3856" s="3" t="s">
        <v>6719</v>
      </c>
      <c r="Q3856" s="4"/>
      <c r="R3856" s="4"/>
      <c r="S3856" s="9" t="str">
        <f>HYPERLINK("https://pbs.twimg.com/profile_images/972713031825330176/JiZOxrty.jpg","View")</f>
        <v>View</v>
      </c>
    </row>
    <row r="3857" spans="1:19" ht="40">
      <c r="A3857" s="8">
        <v>43341.633368055554</v>
      </c>
      <c r="B3857" s="11" t="str">
        <f>HYPERLINK("https://twitter.com/ata_afs","@ata_afs")</f>
        <v>@ata_afs</v>
      </c>
      <c r="C3857" s="6" t="s">
        <v>1217</v>
      </c>
      <c r="D3857" s="5" t="s">
        <v>6718</v>
      </c>
      <c r="E3857" s="9" t="str">
        <f>HYPERLINK("https://twitter.com/ata_afs/status/1034753038085312512","1034753038085312512")</f>
        <v>1034753038085312512</v>
      </c>
      <c r="F3857" s="4"/>
      <c r="G3857" s="4"/>
      <c r="H3857" s="4"/>
      <c r="I3857" s="10" t="str">
        <f>HYPERLINK("http://twitter.com/download/iphone","Twitter for iPhone")</f>
        <v>Twitter for iPhone</v>
      </c>
      <c r="J3857" s="2">
        <v>365</v>
      </c>
      <c r="K3857" s="2">
        <v>693</v>
      </c>
      <c r="L3857" s="2">
        <v>0</v>
      </c>
      <c r="M3857" s="2"/>
      <c r="N3857" s="8">
        <v>41833.536099537036</v>
      </c>
      <c r="O3857" s="4" t="s">
        <v>34</v>
      </c>
      <c r="P3857" s="3" t="s">
        <v>1213</v>
      </c>
      <c r="Q3857" s="4"/>
      <c r="R3857" s="4"/>
      <c r="S3857" s="9" t="str">
        <f>HYPERLINK("https://pbs.twimg.com/profile_images/958374868008960000/IRXSv5-C.jpg","View")</f>
        <v>View</v>
      </c>
    </row>
    <row r="3858" spans="1:19" ht="40">
      <c r="A3858" s="8">
        <v>43341.632928240739</v>
      </c>
      <c r="B3858" s="11" t="str">
        <f>HYPERLINK("https://twitter.com/fseyedaghaei","@fseyedaghaei")</f>
        <v>@fseyedaghaei</v>
      </c>
      <c r="C3858" s="6" t="s">
        <v>6717</v>
      </c>
      <c r="D3858" s="5" t="s">
        <v>6716</v>
      </c>
      <c r="E3858" s="9" t="str">
        <f>HYPERLINK("https://twitter.com/fseyedaghaei/status/1034752878483845120","1034752878483845120")</f>
        <v>1034752878483845120</v>
      </c>
      <c r="F3858" s="4"/>
      <c r="G3858" s="10" t="s">
        <v>6715</v>
      </c>
      <c r="H3858" s="4"/>
      <c r="I3858" s="10" t="str">
        <f>HYPERLINK("http://twitter.com/download/android","Twitter for Android")</f>
        <v>Twitter for Android</v>
      </c>
      <c r="J3858" s="2">
        <v>166</v>
      </c>
      <c r="K3858" s="2">
        <v>416</v>
      </c>
      <c r="L3858" s="2">
        <v>1</v>
      </c>
      <c r="M3858" s="2"/>
      <c r="N3858" s="8">
        <v>42690.543819444443</v>
      </c>
      <c r="O3858" s="4" t="s">
        <v>682</v>
      </c>
      <c r="P3858" s="3" t="s">
        <v>6714</v>
      </c>
      <c r="Q3858" s="4"/>
      <c r="R3858" s="4"/>
      <c r="S3858" s="9" t="str">
        <f>HYPERLINK("https://pbs.twimg.com/profile_images/798940902467268608/JdVa2WaB.jpg","View")</f>
        <v>View</v>
      </c>
    </row>
    <row r="3859" spans="1:19" ht="40">
      <c r="A3859" s="8">
        <v>43341.632314814815</v>
      </c>
      <c r="B3859" s="11" t="str">
        <f>HYPERLINK("https://twitter.com/F1375Sahra","@F1375Sahra")</f>
        <v>@F1375Sahra</v>
      </c>
      <c r="C3859" s="6" t="s">
        <v>6713</v>
      </c>
      <c r="D3859" s="5" t="s">
        <v>6712</v>
      </c>
      <c r="E3859" s="9" t="str">
        <f>HYPERLINK("https://twitter.com/F1375Sahra/status/1034752654549901314","1034752654549901314")</f>
        <v>1034752654549901314</v>
      </c>
      <c r="F3859" s="4"/>
      <c r="G3859" s="4"/>
      <c r="H3859" s="4"/>
      <c r="I3859" s="10" t="str">
        <f>HYPERLINK("http://twitter.com/download/android","Twitter for Android")</f>
        <v>Twitter for Android</v>
      </c>
      <c r="J3859" s="2">
        <v>55</v>
      </c>
      <c r="K3859" s="2">
        <v>85</v>
      </c>
      <c r="L3859" s="2">
        <v>0</v>
      </c>
      <c r="M3859" s="2"/>
      <c r="N3859" s="8">
        <v>43325.53429398148</v>
      </c>
      <c r="O3859" s="4" t="s">
        <v>34</v>
      </c>
      <c r="P3859" s="3" t="s">
        <v>6711</v>
      </c>
      <c r="Q3859" s="4"/>
      <c r="R3859" s="4"/>
      <c r="S3859" s="9" t="str">
        <f>HYPERLINK("https://pbs.twimg.com/profile_images/1034734066380271617/DG2vmf1B.jpg","View")</f>
        <v>View</v>
      </c>
    </row>
    <row r="3860" spans="1:19" ht="30">
      <c r="A3860" s="8">
        <v>43341.631539351853</v>
      </c>
      <c r="B3860" s="11" t="str">
        <f>HYPERLINK("https://twitter.com/javanane_irani","@javanane_irani")</f>
        <v>@javanane_irani</v>
      </c>
      <c r="C3860" s="6" t="s">
        <v>2173</v>
      </c>
      <c r="D3860" s="5" t="s">
        <v>6710</v>
      </c>
      <c r="E3860" s="9" t="str">
        <f>HYPERLINK("https://twitter.com/javanane_irani/status/1034752374764711936","1034752374764711936")</f>
        <v>1034752374764711936</v>
      </c>
      <c r="F3860" s="4"/>
      <c r="G3860" s="4"/>
      <c r="H3860" s="4"/>
      <c r="I3860" s="10" t="str">
        <f>HYPERLINK("http://twitter.com/download/android","Twitter for Android")</f>
        <v>Twitter for Android</v>
      </c>
      <c r="J3860" s="2">
        <v>6563</v>
      </c>
      <c r="K3860" s="2">
        <v>6742</v>
      </c>
      <c r="L3860" s="2">
        <v>4</v>
      </c>
      <c r="M3860" s="2"/>
      <c r="N3860" s="8">
        <v>43134.614490740743</v>
      </c>
      <c r="O3860" s="4" t="s">
        <v>104</v>
      </c>
      <c r="P3860" s="3" t="s">
        <v>2171</v>
      </c>
      <c r="Q3860" s="4"/>
      <c r="R3860" s="4"/>
      <c r="S3860" s="9" t="str">
        <f>HYPERLINK("https://pbs.twimg.com/profile_images/975343201245523973/K32OCytB.jpg","View")</f>
        <v>View</v>
      </c>
    </row>
    <row r="3861" spans="1:19" ht="30">
      <c r="A3861" s="8">
        <v>43341.630254629628</v>
      </c>
      <c r="B3861" s="11" t="str">
        <f>HYPERLINK("https://twitter.com/h_saeedfirozeh","@h_saeedfirozeh")</f>
        <v>@h_saeedfirozeh</v>
      </c>
      <c r="C3861" s="6" t="s">
        <v>5963</v>
      </c>
      <c r="D3861" s="5" t="s">
        <v>6709</v>
      </c>
      <c r="E3861" s="9" t="str">
        <f>HYPERLINK("https://twitter.com/h_saeedfirozeh/status/1034751910446813184","1034751910446813184")</f>
        <v>1034751910446813184</v>
      </c>
      <c r="F3861" s="4"/>
      <c r="G3861" s="10" t="s">
        <v>6708</v>
      </c>
      <c r="H3861" s="4"/>
      <c r="I3861" s="10" t="str">
        <f>HYPERLINK("http://twitter.com/download/android","Twitter for Android")</f>
        <v>Twitter for Android</v>
      </c>
      <c r="J3861" s="2">
        <v>3921</v>
      </c>
      <c r="K3861" s="2">
        <v>3056</v>
      </c>
      <c r="L3861" s="2">
        <v>11</v>
      </c>
      <c r="M3861" s="2"/>
      <c r="N3861" s="8">
        <v>42745.632997685185</v>
      </c>
      <c r="O3861" s="4" t="s">
        <v>2193</v>
      </c>
      <c r="P3861" s="3" t="s">
        <v>5960</v>
      </c>
      <c r="Q3861" s="4"/>
      <c r="R3861" s="4"/>
      <c r="S3861" s="9" t="str">
        <f>HYPERLINK("https://pbs.twimg.com/profile_images/1026893594362355714/ncrzZV2t.jpg","View")</f>
        <v>View</v>
      </c>
    </row>
    <row r="3862" spans="1:19" ht="30">
      <c r="A3862" s="8">
        <v>43341.629583333328</v>
      </c>
      <c r="B3862" s="11" t="str">
        <f>HYPERLINK("https://twitter.com/adelnorouziyan","@adelnorouziyan")</f>
        <v>@adelnorouziyan</v>
      </c>
      <c r="C3862" s="6" t="s">
        <v>6707</v>
      </c>
      <c r="D3862" s="5" t="s">
        <v>6706</v>
      </c>
      <c r="E3862" s="9" t="str">
        <f>HYPERLINK("https://twitter.com/adelnorouziyan/status/1034751664207654913","1034751664207654913")</f>
        <v>1034751664207654913</v>
      </c>
      <c r="F3862" s="4"/>
      <c r="G3862" s="10" t="s">
        <v>6705</v>
      </c>
      <c r="H3862" s="4"/>
      <c r="I3862" s="10" t="str">
        <f>HYPERLINK("http://twitter.com","Twitter Web Client")</f>
        <v>Twitter Web Client</v>
      </c>
      <c r="J3862" s="2">
        <v>27</v>
      </c>
      <c r="K3862" s="2">
        <v>22</v>
      </c>
      <c r="L3862" s="2">
        <v>0</v>
      </c>
      <c r="M3862" s="2"/>
      <c r="N3862" s="8">
        <v>43309.470312500001</v>
      </c>
      <c r="O3862" s="4"/>
      <c r="P3862" s="3"/>
      <c r="Q3862" s="4"/>
      <c r="R3862" s="4"/>
      <c r="S3862" s="9" t="str">
        <f>HYPERLINK("https://pbs.twimg.com/profile_images/1023108569003122688/4vEiX41Y.jpg","View")</f>
        <v>View</v>
      </c>
    </row>
    <row r="3863" spans="1:19" ht="30">
      <c r="A3863" s="8">
        <v>43341.628599537042</v>
      </c>
      <c r="B3863" s="11" t="str">
        <f>HYPERLINK("https://twitter.com/alimohtashami","@alimohtashami")</f>
        <v>@alimohtashami</v>
      </c>
      <c r="C3863" s="6" t="s">
        <v>6704</v>
      </c>
      <c r="D3863" s="5" t="s">
        <v>6703</v>
      </c>
      <c r="E3863" s="9" t="str">
        <f>HYPERLINK("https://twitter.com/alimohtashami/status/1034751310271262720","1034751310271262720")</f>
        <v>1034751310271262720</v>
      </c>
      <c r="F3863" s="4"/>
      <c r="G3863" s="4"/>
      <c r="H3863" s="4"/>
      <c r="I3863" s="10" t="str">
        <f>HYPERLINK("http://twitter.com","Twitter Web Client")</f>
        <v>Twitter Web Client</v>
      </c>
      <c r="J3863" s="2">
        <v>1</v>
      </c>
      <c r="K3863" s="2">
        <v>1</v>
      </c>
      <c r="L3863" s="2">
        <v>0</v>
      </c>
      <c r="M3863" s="2"/>
      <c r="N3863" s="8">
        <v>42206.880046296297</v>
      </c>
      <c r="O3863" s="4" t="s">
        <v>6163</v>
      </c>
      <c r="P3863" s="3" t="s">
        <v>6702</v>
      </c>
      <c r="Q3863" s="4"/>
      <c r="R3863" s="4"/>
      <c r="S3863" s="9" t="str">
        <f>HYPERLINK("https://pbs.twimg.com/profile_images/804249710718500864/bFQpuhld.jpg","View")</f>
        <v>View</v>
      </c>
    </row>
    <row r="3864" spans="1:19" ht="40">
      <c r="A3864" s="8">
        <v>43341.627268518518</v>
      </c>
      <c r="B3864" s="11" t="str">
        <f>HYPERLINK("https://twitter.com/dontangryy","@dontangryy")</f>
        <v>@dontangryy</v>
      </c>
      <c r="C3864" s="6" t="s">
        <v>6701</v>
      </c>
      <c r="D3864" s="5" t="s">
        <v>6700</v>
      </c>
      <c r="E3864" s="9" t="str">
        <f>HYPERLINK("https://twitter.com/dontangryy/status/1034750825141297152","1034750825141297152")</f>
        <v>1034750825141297152</v>
      </c>
      <c r="F3864" s="4"/>
      <c r="G3864" s="4"/>
      <c r="H3864" s="4"/>
      <c r="I3864" s="10" t="str">
        <f>HYPERLINK("http://twitter.com/download/android","Twitter for Android")</f>
        <v>Twitter for Android</v>
      </c>
      <c r="J3864" s="2">
        <v>259</v>
      </c>
      <c r="K3864" s="2">
        <v>293</v>
      </c>
      <c r="L3864" s="2">
        <v>1</v>
      </c>
      <c r="M3864" s="2"/>
      <c r="N3864" s="8">
        <v>43285.951597222222</v>
      </c>
      <c r="O3864" s="4" t="s">
        <v>6699</v>
      </c>
      <c r="P3864" s="3"/>
      <c r="Q3864" s="4"/>
      <c r="R3864" s="4"/>
      <c r="S3864" s="9" t="str">
        <f>HYPERLINK("https://pbs.twimg.com/profile_images/1014584442881486853/bqtvvKJk.jpg","View")</f>
        <v>View</v>
      </c>
    </row>
    <row r="3865" spans="1:19" ht="30">
      <c r="A3865" s="8">
        <v>43341.626481481479</v>
      </c>
      <c r="B3865" s="11" t="str">
        <f>HYPERLINK("https://twitter.com/m_r_f_najafi","@m_r_f_najafi")</f>
        <v>@m_r_f_najafi</v>
      </c>
      <c r="C3865" s="6" t="s">
        <v>4383</v>
      </c>
      <c r="D3865" s="5" t="s">
        <v>6698</v>
      </c>
      <c r="E3865" s="9" t="str">
        <f>HYPERLINK("https://twitter.com/m_r_f_najafi/status/1034750542042554369","1034750542042554369")</f>
        <v>1034750542042554369</v>
      </c>
      <c r="F3865" s="4"/>
      <c r="G3865" s="4"/>
      <c r="H3865" s="4"/>
      <c r="I3865" s="10" t="str">
        <f>HYPERLINK("http://twitter.com/download/android","Twitter for Android")</f>
        <v>Twitter for Android</v>
      </c>
      <c r="J3865" s="2">
        <v>214</v>
      </c>
      <c r="K3865" s="2">
        <v>33</v>
      </c>
      <c r="L3865" s="2">
        <v>3</v>
      </c>
      <c r="M3865" s="2"/>
      <c r="N3865" s="8">
        <v>43032.872303240743</v>
      </c>
      <c r="O3865" s="4"/>
      <c r="P3865" s="3"/>
      <c r="Q3865" s="4"/>
      <c r="R3865" s="4"/>
      <c r="S3865" s="9" t="str">
        <f>HYPERLINK("https://pbs.twimg.com/profile_images/932731081786142720/P3d8Wbit.jpg","View")</f>
        <v>View</v>
      </c>
    </row>
    <row r="3866" spans="1:19" ht="20">
      <c r="A3866" s="8">
        <v>43341.625381944439</v>
      </c>
      <c r="B3866" s="11" t="str">
        <f>HYPERLINK("https://twitter.com/azarbayjaniyam","@azarbayjaniyam")</f>
        <v>@azarbayjaniyam</v>
      </c>
      <c r="C3866" s="6" t="s">
        <v>1181</v>
      </c>
      <c r="D3866" s="5" t="s">
        <v>6697</v>
      </c>
      <c r="E3866" s="9" t="str">
        <f>HYPERLINK("https://twitter.com/azarbayjaniyam/status/1034750142514188288","1034750142514188288")</f>
        <v>1034750142514188288</v>
      </c>
      <c r="F3866" s="4"/>
      <c r="G3866" s="4"/>
      <c r="H3866" s="4"/>
      <c r="I3866" s="10" t="str">
        <f>HYPERLINK("http://twitter.com/download/android","Twitter for Android")</f>
        <v>Twitter for Android</v>
      </c>
      <c r="J3866" s="2">
        <v>3498</v>
      </c>
      <c r="K3866" s="2">
        <v>1341</v>
      </c>
      <c r="L3866" s="2">
        <v>7</v>
      </c>
      <c r="M3866" s="2"/>
      <c r="N3866" s="8">
        <v>42945.825787037036</v>
      </c>
      <c r="O3866" s="4"/>
      <c r="P3866" s="3" t="s">
        <v>1179</v>
      </c>
      <c r="Q3866" s="4"/>
      <c r="R3866" s="4"/>
      <c r="S3866" s="9" t="str">
        <f>HYPERLINK("https://pbs.twimg.com/profile_images/1032715286896500736/tnnz6KWg.jpg","View")</f>
        <v>View</v>
      </c>
    </row>
    <row r="3867" spans="1:19" ht="12.5">
      <c r="A3867" s="8">
        <v>43341.624340277776</v>
      </c>
      <c r="B3867" s="11" t="str">
        <f>HYPERLINK("https://twitter.com/Mahtab_alv","@Mahtab_alv")</f>
        <v>@Mahtab_alv</v>
      </c>
      <c r="C3867" s="6" t="s">
        <v>6696</v>
      </c>
      <c r="D3867" s="5" t="s">
        <v>6695</v>
      </c>
      <c r="E3867" s="9" t="str">
        <f>HYPERLINK("https://twitter.com/Mahtab_alv/status/1034749766578712577","1034749766578712577")</f>
        <v>1034749766578712577</v>
      </c>
      <c r="F3867" s="4"/>
      <c r="G3867" s="10" t="s">
        <v>6694</v>
      </c>
      <c r="H3867" s="4"/>
      <c r="I3867" s="10" t="str">
        <f>HYPERLINK("http://twitter.com/download/android","Twitter for Android")</f>
        <v>Twitter for Android</v>
      </c>
      <c r="J3867" s="2">
        <v>199</v>
      </c>
      <c r="K3867" s="2">
        <v>85</v>
      </c>
      <c r="L3867" s="2">
        <v>3</v>
      </c>
      <c r="M3867" s="2"/>
      <c r="N3867" s="8">
        <v>42873.378333333334</v>
      </c>
      <c r="O3867" s="4" t="s">
        <v>5022</v>
      </c>
      <c r="P3867" s="3" t="s">
        <v>6693</v>
      </c>
      <c r="Q3867" s="4"/>
      <c r="R3867" s="4"/>
      <c r="S3867" s="9" t="str">
        <f>HYPERLINK("https://pbs.twimg.com/profile_images/1032950845212639232/k7n708hm.jpg","View")</f>
        <v>View</v>
      </c>
    </row>
    <row r="3868" spans="1:19" ht="20">
      <c r="A3868" s="8">
        <v>43341.621365740742</v>
      </c>
      <c r="B3868" s="11" t="str">
        <f>HYPERLINK("https://twitter.com/refighe_khoda","@refighe_khoda")</f>
        <v>@refighe_khoda</v>
      </c>
      <c r="C3868" s="6" t="s">
        <v>6692</v>
      </c>
      <c r="D3868" s="5" t="s">
        <v>6691</v>
      </c>
      <c r="E3868" s="9" t="str">
        <f>HYPERLINK("https://twitter.com/refighe_khoda/status/1034748688193736704","1034748688193736704")</f>
        <v>1034748688193736704</v>
      </c>
      <c r="F3868" s="4"/>
      <c r="G3868" s="10" t="s">
        <v>6690</v>
      </c>
      <c r="H3868" s="4"/>
      <c r="I3868" s="10" t="str">
        <f>HYPERLINK("http://twitter.com/download/android","Twitter for Android")</f>
        <v>Twitter for Android</v>
      </c>
      <c r="J3868" s="2">
        <v>1463</v>
      </c>
      <c r="K3868" s="2">
        <v>886</v>
      </c>
      <c r="L3868" s="2">
        <v>2</v>
      </c>
      <c r="M3868" s="2"/>
      <c r="N3868" s="8">
        <v>42858.62400462963</v>
      </c>
      <c r="O3868" s="4" t="s">
        <v>6689</v>
      </c>
      <c r="P3868" s="3" t="s">
        <v>6688</v>
      </c>
      <c r="Q3868" s="4"/>
      <c r="R3868" s="4"/>
      <c r="S3868" s="9" t="str">
        <f>HYPERLINK("https://pbs.twimg.com/profile_images/1022445619028353024/gENbJVR7.jpg","View")</f>
        <v>View</v>
      </c>
    </row>
    <row r="3869" spans="1:19" ht="40">
      <c r="A3869" s="8">
        <v>43341.621331018519</v>
      </c>
      <c r="B3869" s="11" t="str">
        <f>HYPERLINK("https://twitter.com/mojtaba_shah","@mojtaba_shah")</f>
        <v>@mojtaba_shah</v>
      </c>
      <c r="C3869" s="6" t="s">
        <v>1261</v>
      </c>
      <c r="D3869" s="5" t="s">
        <v>6687</v>
      </c>
      <c r="E3869" s="9" t="str">
        <f>HYPERLINK("https://twitter.com/mojtaba_shah/status/1034748674520375297","1034748674520375297")</f>
        <v>1034748674520375297</v>
      </c>
      <c r="F3869" s="4"/>
      <c r="G3869" s="4"/>
      <c r="H3869" s="4"/>
      <c r="I3869" s="10" t="str">
        <f>HYPERLINK("http://twitter.com/download/android","Twitter for Android")</f>
        <v>Twitter for Android</v>
      </c>
      <c r="J3869" s="2">
        <v>1746</v>
      </c>
      <c r="K3869" s="2">
        <v>4949</v>
      </c>
      <c r="L3869" s="2">
        <v>6</v>
      </c>
      <c r="M3869" s="2"/>
      <c r="N3869" s="8">
        <v>43014.747118055559</v>
      </c>
      <c r="O3869" s="4" t="s">
        <v>1259</v>
      </c>
      <c r="P3869" s="3" t="s">
        <v>1258</v>
      </c>
      <c r="Q3869" s="4"/>
      <c r="R3869" s="4"/>
      <c r="S3869" s="9" t="str">
        <f>HYPERLINK("https://pbs.twimg.com/profile_images/916510980024274944/YHkVPg8R.jpg","View")</f>
        <v>View</v>
      </c>
    </row>
    <row r="3870" spans="1:19" ht="20">
      <c r="A3870" s="8">
        <v>43341.619618055556</v>
      </c>
      <c r="B3870" s="11" t="str">
        <f>HYPERLINK("https://twitter.com/HashemMortazav1","@HashemMortazav1")</f>
        <v>@HashemMortazav1</v>
      </c>
      <c r="C3870" s="6" t="s">
        <v>6686</v>
      </c>
      <c r="D3870" s="5" t="s">
        <v>6685</v>
      </c>
      <c r="E3870" s="9" t="str">
        <f>HYPERLINK("https://twitter.com/HashemMortazav1/status/1034748054824472576","1034748054824472576")</f>
        <v>1034748054824472576</v>
      </c>
      <c r="F3870" s="4"/>
      <c r="G3870" s="4"/>
      <c r="H3870" s="4"/>
      <c r="I3870" s="10" t="str">
        <f>HYPERLINK("http://twitter.com/download/android","Twitter for Android")</f>
        <v>Twitter for Android</v>
      </c>
      <c r="J3870" s="2">
        <v>0</v>
      </c>
      <c r="K3870" s="2">
        <v>0</v>
      </c>
      <c r="L3870" s="2">
        <v>0</v>
      </c>
      <c r="M3870" s="2"/>
      <c r="N3870" s="8">
        <v>43341.612083333333</v>
      </c>
      <c r="O3870" s="4" t="s">
        <v>5493</v>
      </c>
      <c r="P3870" s="3" t="s">
        <v>6684</v>
      </c>
      <c r="Q3870" s="4"/>
      <c r="R3870" s="4"/>
      <c r="S3870" s="9" t="str">
        <f>HYPERLINK("https://pbs.twimg.com/profile_images/1034747377750560768/nwQ35G7W.jpg","View")</f>
        <v>View</v>
      </c>
    </row>
    <row r="3871" spans="1:19" ht="40">
      <c r="A3871" s="8">
        <v>43341.618796296301</v>
      </c>
      <c r="B3871" s="11" t="str">
        <f>HYPERLINK("https://twitter.com/artamad93","@artamad93")</f>
        <v>@artamad93</v>
      </c>
      <c r="C3871" s="6" t="s">
        <v>6683</v>
      </c>
      <c r="D3871" s="5" t="s">
        <v>6682</v>
      </c>
      <c r="E3871" s="9" t="str">
        <f>HYPERLINK("https://twitter.com/artamad93/status/1034747755309215744","1034747755309215744")</f>
        <v>1034747755309215744</v>
      </c>
      <c r="F3871" s="4"/>
      <c r="G3871" s="4"/>
      <c r="H3871" s="4"/>
      <c r="I3871" s="10" t="str">
        <f>HYPERLINK("http://twitter.com/download/android","Twitter for Android")</f>
        <v>Twitter for Android</v>
      </c>
      <c r="J3871" s="2">
        <v>55</v>
      </c>
      <c r="K3871" s="2">
        <v>165</v>
      </c>
      <c r="L3871" s="2">
        <v>0</v>
      </c>
      <c r="M3871" s="2"/>
      <c r="N3871" s="8">
        <v>40925.030972222223</v>
      </c>
      <c r="O3871" s="4" t="s">
        <v>1631</v>
      </c>
      <c r="P3871" s="3" t="s">
        <v>6681</v>
      </c>
      <c r="Q3871" s="4"/>
      <c r="R3871" s="4"/>
      <c r="S3871" s="9" t="str">
        <f>HYPERLINK("https://pbs.twimg.com/profile_images/825662157777956864/7qvHKF4W.jpg","View")</f>
        <v>View</v>
      </c>
    </row>
    <row r="3872" spans="1:19" ht="20">
      <c r="A3872" s="8">
        <v>43341.618020833332</v>
      </c>
      <c r="B3872" s="11" t="str">
        <f>HYPERLINK("https://twitter.com/m_gf93","@m_gf93")</f>
        <v>@m_gf93</v>
      </c>
      <c r="C3872" s="6" t="s">
        <v>6680</v>
      </c>
      <c r="D3872" s="5" t="s">
        <v>6679</v>
      </c>
      <c r="E3872" s="9" t="str">
        <f>HYPERLINK("https://twitter.com/m_gf93/status/1034747475859570688","1034747475859570688")</f>
        <v>1034747475859570688</v>
      </c>
      <c r="F3872" s="4"/>
      <c r="G3872" s="10" t="s">
        <v>6678</v>
      </c>
      <c r="H3872" s="4"/>
      <c r="I3872" s="10" t="str">
        <f>HYPERLINK("http://twitter.com/download/iphone","Twitter for iPhone")</f>
        <v>Twitter for iPhone</v>
      </c>
      <c r="J3872" s="2">
        <v>404</v>
      </c>
      <c r="K3872" s="2">
        <v>72</v>
      </c>
      <c r="L3872" s="2">
        <v>2</v>
      </c>
      <c r="M3872" s="2"/>
      <c r="N3872" s="8">
        <v>42846.798310185186</v>
      </c>
      <c r="O3872" s="4" t="s">
        <v>133</v>
      </c>
      <c r="P3872" s="3" t="s">
        <v>6677</v>
      </c>
      <c r="Q3872" s="4"/>
      <c r="R3872" s="4"/>
      <c r="S3872" s="9" t="str">
        <f>HYPERLINK("https://pbs.twimg.com/profile_images/1003437304604741633/t_gpti3B.jpg","View")</f>
        <v>View</v>
      </c>
    </row>
    <row r="3873" spans="1:19" ht="30">
      <c r="A3873" s="8">
        <v>43341.617314814815</v>
      </c>
      <c r="B3873" s="11" t="str">
        <f>HYPERLINK("https://twitter.com/FAcharacter","@FAcharacter")</f>
        <v>@FAcharacter</v>
      </c>
      <c r="C3873" s="6" t="s">
        <v>6676</v>
      </c>
      <c r="D3873" s="5" t="s">
        <v>6675</v>
      </c>
      <c r="E3873" s="9" t="str">
        <f>HYPERLINK("https://twitter.com/FAcharacter/status/1034747217607831552","1034747217607831552")</f>
        <v>1034747217607831552</v>
      </c>
      <c r="F3873" s="4"/>
      <c r="G3873" s="10" t="s">
        <v>6674</v>
      </c>
      <c r="H3873" s="4"/>
      <c r="I3873" s="10" t="str">
        <f>HYPERLINK("http://twitter.com","Twitter Web Client")</f>
        <v>Twitter Web Client</v>
      </c>
      <c r="J3873" s="2">
        <v>26</v>
      </c>
      <c r="K3873" s="2">
        <v>47</v>
      </c>
      <c r="L3873" s="2">
        <v>0</v>
      </c>
      <c r="M3873" s="2"/>
      <c r="N3873" s="8">
        <v>43250.528182870374</v>
      </c>
      <c r="O3873" s="4" t="s">
        <v>6673</v>
      </c>
      <c r="P3873" s="3" t="s">
        <v>6672</v>
      </c>
      <c r="Q3873" s="4"/>
      <c r="R3873" s="4"/>
      <c r="S3873" s="9" t="str">
        <f>HYPERLINK("https://pbs.twimg.com/profile_images/1032608732243533824/EiwnXx7_.jpg","View")</f>
        <v>View</v>
      </c>
    </row>
    <row r="3874" spans="1:19" ht="40">
      <c r="A3874" s="8">
        <v>43341.617245370369</v>
      </c>
      <c r="B3874" s="11" t="str">
        <f>HYPERLINK("https://twitter.com/Maaede","@Maaede")</f>
        <v>@Maaede</v>
      </c>
      <c r="C3874" s="6" t="s">
        <v>6671</v>
      </c>
      <c r="D3874" s="5" t="s">
        <v>6670</v>
      </c>
      <c r="E3874" s="9" t="str">
        <f>HYPERLINK("https://twitter.com/Maaede/status/1034747194266529793","1034747194266529793")</f>
        <v>1034747194266529793</v>
      </c>
      <c r="F3874" s="4"/>
      <c r="G3874" s="4"/>
      <c r="H3874" s="4"/>
      <c r="I3874" s="10" t="str">
        <f>HYPERLINK("http://twitter.com/download/iphone","Twitter for iPhone")</f>
        <v>Twitter for iPhone</v>
      </c>
      <c r="J3874" s="2">
        <v>911</v>
      </c>
      <c r="K3874" s="2">
        <v>221</v>
      </c>
      <c r="L3874" s="2">
        <v>12</v>
      </c>
      <c r="M3874" s="2"/>
      <c r="N3874" s="8">
        <v>40563.477476851855</v>
      </c>
      <c r="O3874" s="4"/>
      <c r="P3874" s="3" t="s">
        <v>6669</v>
      </c>
      <c r="Q3874" s="10" t="s">
        <v>6668</v>
      </c>
      <c r="R3874" s="4"/>
      <c r="S3874" s="9" t="str">
        <f>HYPERLINK("https://pbs.twimg.com/profile_images/1034171502055378946/5HNeIYI3.jpg","View")</f>
        <v>View</v>
      </c>
    </row>
    <row r="3875" spans="1:19" ht="30">
      <c r="A3875" s="8">
        <v>43341.616238425922</v>
      </c>
      <c r="B3875" s="11" t="str">
        <f>HYPERLINK("https://twitter.com/m_r_f_najafi","@m_r_f_najafi")</f>
        <v>@m_r_f_najafi</v>
      </c>
      <c r="C3875" s="6" t="s">
        <v>4383</v>
      </c>
      <c r="D3875" s="5" t="s">
        <v>6667</v>
      </c>
      <c r="E3875" s="9" t="str">
        <f>HYPERLINK("https://twitter.com/m_r_f_najafi/status/1034746830096146437","1034746830096146437")</f>
        <v>1034746830096146437</v>
      </c>
      <c r="F3875" s="4"/>
      <c r="G3875" s="4"/>
      <c r="H3875" s="4"/>
      <c r="I3875" s="10" t="str">
        <f>HYPERLINK("http://twitter.com/download/android","Twitter for Android")</f>
        <v>Twitter for Android</v>
      </c>
      <c r="J3875" s="2">
        <v>214</v>
      </c>
      <c r="K3875" s="2">
        <v>33</v>
      </c>
      <c r="L3875" s="2">
        <v>3</v>
      </c>
      <c r="M3875" s="2"/>
      <c r="N3875" s="8">
        <v>43032.872303240743</v>
      </c>
      <c r="O3875" s="4"/>
      <c r="P3875" s="3"/>
      <c r="Q3875" s="4"/>
      <c r="R3875" s="4"/>
      <c r="S3875" s="9" t="str">
        <f>HYPERLINK("https://pbs.twimg.com/profile_images/932731081786142720/P3d8Wbit.jpg","View")</f>
        <v>View</v>
      </c>
    </row>
    <row r="3876" spans="1:19" ht="12.5">
      <c r="A3876" s="8">
        <v>43341.615810185191</v>
      </c>
      <c r="B3876" s="11" t="str">
        <f>HYPERLINK("https://twitter.com/jahangardam","@jahangardam")</f>
        <v>@jahangardam</v>
      </c>
      <c r="C3876" s="6" t="s">
        <v>6366</v>
      </c>
      <c r="D3876" s="5" t="s">
        <v>6666</v>
      </c>
      <c r="E3876" s="9" t="str">
        <f>HYPERLINK("https://twitter.com/jahangardam/status/1034746676404269061","1034746676404269061")</f>
        <v>1034746676404269061</v>
      </c>
      <c r="F3876" s="4"/>
      <c r="G3876" s="10" t="s">
        <v>6665</v>
      </c>
      <c r="H3876" s="4"/>
      <c r="I3876" s="10" t="str">
        <f>HYPERLINK("http://twitter.com/download/android","Twitter for Android")</f>
        <v>Twitter for Android</v>
      </c>
      <c r="J3876" s="2">
        <v>534</v>
      </c>
      <c r="K3876" s="2">
        <v>240</v>
      </c>
      <c r="L3876" s="2">
        <v>3</v>
      </c>
      <c r="M3876" s="2"/>
      <c r="N3876" s="8">
        <v>43083.040960648148</v>
      </c>
      <c r="O3876" s="4"/>
      <c r="P3876" s="3" t="s">
        <v>6363</v>
      </c>
      <c r="Q3876" s="4"/>
      <c r="R3876" s="4"/>
      <c r="S3876" s="9" t="str">
        <f>HYPERLINK("https://pbs.twimg.com/profile_images/1023991505294450693/HPBi9ahH.jpg","View")</f>
        <v>View</v>
      </c>
    </row>
    <row r="3877" spans="1:19" ht="30">
      <c r="A3877" s="8">
        <v>43341.612743055557</v>
      </c>
      <c r="B3877" s="11" t="str">
        <f>HYPERLINK("https://twitter.com/davood274","@davood274")</f>
        <v>@davood274</v>
      </c>
      <c r="C3877" s="6" t="s">
        <v>1575</v>
      </c>
      <c r="D3877" s="5" t="s">
        <v>6664</v>
      </c>
      <c r="E3877" s="9" t="str">
        <f>HYPERLINK("https://twitter.com/davood274/status/1034745562703118336","1034745562703118336")</f>
        <v>1034745562703118336</v>
      </c>
      <c r="F3877" s="4"/>
      <c r="G3877" s="4"/>
      <c r="H3877" s="4"/>
      <c r="I3877" s="10" t="str">
        <f>HYPERLINK("https://mobile.twitter.com","Mobile Web (M2)")</f>
        <v>Mobile Web (M2)</v>
      </c>
      <c r="J3877" s="2">
        <v>271</v>
      </c>
      <c r="K3877" s="2">
        <v>603</v>
      </c>
      <c r="L3877" s="2">
        <v>0</v>
      </c>
      <c r="M3877" s="2"/>
      <c r="N3877" s="8">
        <v>41805.405289351853</v>
      </c>
      <c r="O3877" s="4" t="s">
        <v>17</v>
      </c>
      <c r="P3877" s="3" t="s">
        <v>6663</v>
      </c>
      <c r="Q3877" s="4"/>
      <c r="R3877" s="4"/>
      <c r="S3877" s="9" t="str">
        <f>HYPERLINK("https://pbs.twimg.com/profile_images/1005366993006936067/F_JGdASe.jpg","View")</f>
        <v>View</v>
      </c>
    </row>
    <row r="3878" spans="1:19" ht="20">
      <c r="A3878" s="8">
        <v>43341.611770833333</v>
      </c>
      <c r="B3878" s="11" t="str">
        <f>HYPERLINK("https://twitter.com/alireza_hi1377","@alireza_hi1377")</f>
        <v>@alireza_hi1377</v>
      </c>
      <c r="C3878" s="6" t="s">
        <v>6662</v>
      </c>
      <c r="D3878" s="5" t="s">
        <v>6661</v>
      </c>
      <c r="E3878" s="9" t="str">
        <f>HYPERLINK("https://twitter.com/alireza_hi1377/status/1034745212214681600","1034745212214681600")</f>
        <v>1034745212214681600</v>
      </c>
      <c r="F3878" s="4"/>
      <c r="G3878" s="4"/>
      <c r="H3878" s="4"/>
      <c r="I3878" s="10" t="str">
        <f>HYPERLINK("http://twitter.com/download/android","Twitter for Android")</f>
        <v>Twitter for Android</v>
      </c>
      <c r="J3878" s="2">
        <v>1</v>
      </c>
      <c r="K3878" s="2">
        <v>9</v>
      </c>
      <c r="L3878" s="2">
        <v>0</v>
      </c>
      <c r="M3878" s="2"/>
      <c r="N3878" s="8">
        <v>43222.789780092593</v>
      </c>
      <c r="O3878" s="4"/>
      <c r="P3878" s="3"/>
      <c r="Q3878" s="4"/>
      <c r="R3878" s="4"/>
      <c r="S3878" s="2" t="s">
        <v>155</v>
      </c>
    </row>
    <row r="3879" spans="1:19" ht="40">
      <c r="A3879" s="8">
        <v>43341.611597222218</v>
      </c>
      <c r="B3879" s="11" t="str">
        <f>HYPERLINK("https://twitter.com/navab133","@navab133")</f>
        <v>@navab133</v>
      </c>
      <c r="C3879" s="6" t="s">
        <v>6660</v>
      </c>
      <c r="D3879" s="5" t="s">
        <v>6659</v>
      </c>
      <c r="E3879" s="9" t="str">
        <f>HYPERLINK("https://twitter.com/navab133/status/1034745148293500928","1034745148293500928")</f>
        <v>1034745148293500928</v>
      </c>
      <c r="F3879" s="4"/>
      <c r="G3879" s="4"/>
      <c r="H3879" s="4"/>
      <c r="I3879" s="10" t="str">
        <f>HYPERLINK("http://twitter.com/download/android","Twitter for Android")</f>
        <v>Twitter for Android</v>
      </c>
      <c r="J3879" s="2">
        <v>1647</v>
      </c>
      <c r="K3879" s="2">
        <v>1651</v>
      </c>
      <c r="L3879" s="2">
        <v>4</v>
      </c>
      <c r="M3879" s="2"/>
      <c r="N3879" s="8">
        <v>43243.133310185185</v>
      </c>
      <c r="O3879" s="4" t="s">
        <v>34</v>
      </c>
      <c r="P3879" s="3" t="s">
        <v>6658</v>
      </c>
      <c r="Q3879" s="4"/>
      <c r="R3879" s="4"/>
      <c r="S3879" s="9" t="str">
        <f>HYPERLINK("https://pbs.twimg.com/profile_images/1028233057529212928/smCBQEiC.jpg","View")</f>
        <v>View</v>
      </c>
    </row>
    <row r="3880" spans="1:19" ht="30">
      <c r="A3880" s="8">
        <v>43341.610833333332</v>
      </c>
      <c r="B3880" s="11" t="str">
        <f>HYPERLINK("https://twitter.com/TarkhanAbbas","@TarkhanAbbas")</f>
        <v>@TarkhanAbbas</v>
      </c>
      <c r="C3880" s="6" t="s">
        <v>6657</v>
      </c>
      <c r="D3880" s="5" t="s">
        <v>6656</v>
      </c>
      <c r="E3880" s="9" t="str">
        <f>HYPERLINK("https://twitter.com/TarkhanAbbas/status/1034744870848614401","1034744870848614401")</f>
        <v>1034744870848614401</v>
      </c>
      <c r="F3880" s="4"/>
      <c r="G3880" s="4"/>
      <c r="H3880" s="4"/>
      <c r="I3880" s="10" t="str">
        <f>HYPERLINK("http://twitter.com/download/android","Twitter for Android")</f>
        <v>Twitter for Android</v>
      </c>
      <c r="J3880" s="2">
        <v>19</v>
      </c>
      <c r="K3880" s="2">
        <v>108</v>
      </c>
      <c r="L3880" s="2">
        <v>0</v>
      </c>
      <c r="M3880" s="2"/>
      <c r="N3880" s="8">
        <v>43335.83861111111</v>
      </c>
      <c r="O3880" s="4" t="s">
        <v>17</v>
      </c>
      <c r="P3880" s="3" t="s">
        <v>6655</v>
      </c>
      <c r="Q3880" s="4"/>
      <c r="R3880" s="4"/>
      <c r="S3880" s="9" t="str">
        <f>HYPERLINK("https://pbs.twimg.com/profile_images/1032654375708237824/zEcL3qJI.jpg","View")</f>
        <v>View</v>
      </c>
    </row>
    <row r="3881" spans="1:19" ht="30">
      <c r="A3881" s="8">
        <v>43341.610821759255</v>
      </c>
      <c r="B3881" s="11" t="str">
        <f>HYPERLINK("https://twitter.com/smnejadhendi","@smnejadhendi")</f>
        <v>@smnejadhendi</v>
      </c>
      <c r="C3881" s="6" t="s">
        <v>6654</v>
      </c>
      <c r="D3881" s="5" t="s">
        <v>6653</v>
      </c>
      <c r="E3881" s="9" t="str">
        <f>HYPERLINK("https://twitter.com/smnejadhendi/status/1034744868638220288","1034744868638220288")</f>
        <v>1034744868638220288</v>
      </c>
      <c r="F3881" s="4"/>
      <c r="G3881" s="4"/>
      <c r="H3881" s="4"/>
      <c r="I3881" s="10" t="str">
        <f>HYPERLINK("http://twitter.com/download/android","Twitter for Android")</f>
        <v>Twitter for Android</v>
      </c>
      <c r="J3881" s="2">
        <v>132</v>
      </c>
      <c r="K3881" s="2">
        <v>392</v>
      </c>
      <c r="L3881" s="2">
        <v>0</v>
      </c>
      <c r="M3881" s="2"/>
      <c r="N3881" s="8">
        <v>41706.947627314818</v>
      </c>
      <c r="O3881" s="4" t="s">
        <v>104</v>
      </c>
      <c r="P3881" s="3" t="s">
        <v>6652</v>
      </c>
      <c r="Q3881" s="4"/>
      <c r="R3881" s="4"/>
      <c r="S3881" s="9" t="str">
        <f>HYPERLINK("https://pbs.twimg.com/profile_images/1032677776908726272/Irk6Mlmq.jpg","View")</f>
        <v>View</v>
      </c>
    </row>
    <row r="3882" spans="1:19" ht="40">
      <c r="A3882" s="8">
        <v>43341.610659722224</v>
      </c>
      <c r="B3882" s="11" t="str">
        <f>HYPERLINK("https://twitter.com/RadioFarda_","@RadioFarda_")</f>
        <v>@RadioFarda_</v>
      </c>
      <c r="C3882" s="6" t="s">
        <v>876</v>
      </c>
      <c r="D3882" s="5" t="s">
        <v>6651</v>
      </c>
      <c r="E3882" s="9" t="str">
        <f>HYPERLINK("https://twitter.com/RadioFarda_/status/1034744807866986496","1034744807866986496")</f>
        <v>1034744807866986496</v>
      </c>
      <c r="F3882" s="10" t="s">
        <v>6650</v>
      </c>
      <c r="G3882" s="4"/>
      <c r="H3882" s="4"/>
      <c r="I3882" s="10" t="str">
        <f>HYPERLINK("http://twitter.com","Twitter Web Client")</f>
        <v>Twitter Web Client</v>
      </c>
      <c r="J3882" s="2">
        <v>490234</v>
      </c>
      <c r="K3882" s="2">
        <v>5</v>
      </c>
      <c r="L3882" s="2">
        <v>855</v>
      </c>
      <c r="M3882" s="2" t="s">
        <v>80</v>
      </c>
      <c r="N3882" s="8">
        <v>39907.1644212963</v>
      </c>
      <c r="O3882" s="4" t="s">
        <v>873</v>
      </c>
      <c r="P3882" s="3" t="s">
        <v>872</v>
      </c>
      <c r="Q3882" s="10" t="s">
        <v>871</v>
      </c>
      <c r="R3882" s="4"/>
      <c r="S3882" s="9" t="str">
        <f>HYPERLINK("https://pbs.twimg.com/profile_images/446670386831192065/HyVCePFa.png","View")</f>
        <v>View</v>
      </c>
    </row>
    <row r="3883" spans="1:19" ht="30">
      <c r="A3883" s="8">
        <v>43341.610659722224</v>
      </c>
      <c r="B3883" s="11" t="str">
        <f>HYPERLINK("https://twitter.com/Pasargad_Bank","@Pasargad_Bank")</f>
        <v>@Pasargad_Bank</v>
      </c>
      <c r="C3883" s="6" t="s">
        <v>6649</v>
      </c>
      <c r="D3883" s="5" t="s">
        <v>6648</v>
      </c>
      <c r="E3883" s="9" t="str">
        <f>HYPERLINK("https://twitter.com/Pasargad_Bank/status/1034744806038269953","1034744806038269953")</f>
        <v>1034744806038269953</v>
      </c>
      <c r="F3883" s="10" t="s">
        <v>6647</v>
      </c>
      <c r="G3883" s="4"/>
      <c r="H3883" s="4"/>
      <c r="I3883" s="10" t="str">
        <f>HYPERLINK("http://twitter.com","Twitter Web Client")</f>
        <v>Twitter Web Client</v>
      </c>
      <c r="J3883" s="2">
        <v>272</v>
      </c>
      <c r="K3883" s="2">
        <v>30</v>
      </c>
      <c r="L3883" s="2">
        <v>5</v>
      </c>
      <c r="M3883" s="2"/>
      <c r="N3883" s="8">
        <v>42031.777141203704</v>
      </c>
      <c r="O3883" s="4" t="s">
        <v>324</v>
      </c>
      <c r="P3883" s="3" t="s">
        <v>6646</v>
      </c>
      <c r="Q3883" s="10" t="s">
        <v>6645</v>
      </c>
      <c r="R3883" s="4"/>
      <c r="S3883" s="9" t="str">
        <f>HYPERLINK("https://pbs.twimg.com/profile_images/676021829463621632/HXsqnLD-.jpg","View")</f>
        <v>View</v>
      </c>
    </row>
    <row r="3884" spans="1:19" ht="30">
      <c r="A3884" s="8">
        <v>43341.609710648147</v>
      </c>
      <c r="B3884" s="11" t="str">
        <f>HYPERLINK("https://twitter.com/HashemiVaDustan","@HashemiVaDustan")</f>
        <v>@HashemiVaDustan</v>
      </c>
      <c r="C3884" s="6" t="s">
        <v>3591</v>
      </c>
      <c r="D3884" s="5" t="s">
        <v>6644</v>
      </c>
      <c r="E3884" s="9" t="str">
        <f>HYPERLINK("https://twitter.com/HashemiVaDustan/status/1034744465406222341","1034744465406222341")</f>
        <v>1034744465406222341</v>
      </c>
      <c r="F3884" s="4"/>
      <c r="G3884" s="10" t="s">
        <v>6643</v>
      </c>
      <c r="H3884" s="4"/>
      <c r="I3884" s="10" t="str">
        <f>HYPERLINK("http://twitter.com/download/android","Twitter for Android")</f>
        <v>Twitter for Android</v>
      </c>
      <c r="J3884" s="2">
        <v>106</v>
      </c>
      <c r="K3884" s="2">
        <v>116</v>
      </c>
      <c r="L3884" s="2">
        <v>0</v>
      </c>
      <c r="M3884" s="2"/>
      <c r="N3884" s="8">
        <v>43050.518969907411</v>
      </c>
      <c r="O3884" s="4" t="s">
        <v>3589</v>
      </c>
      <c r="P3884" s="3" t="s">
        <v>3588</v>
      </c>
      <c r="Q3884" s="4"/>
      <c r="R3884" s="4"/>
      <c r="S3884" s="9" t="str">
        <f>HYPERLINK("https://pbs.twimg.com/profile_images/1031827415214030849/ZPHG-OBn.jpg","View")</f>
        <v>View</v>
      </c>
    </row>
    <row r="3885" spans="1:19" ht="20">
      <c r="A3885" s="8">
        <v>43341.6091087963</v>
      </c>
      <c r="B3885" s="11" t="str">
        <f>HYPERLINK("https://twitter.com/rajabali_ir","@rajabali_ir")</f>
        <v>@rajabali_ir</v>
      </c>
      <c r="C3885" s="6" t="s">
        <v>6642</v>
      </c>
      <c r="D3885" s="5" t="s">
        <v>6641</v>
      </c>
      <c r="E3885" s="9" t="str">
        <f>HYPERLINK("https://twitter.com/rajabali_ir/status/1034744247021232128","1034744247021232128")</f>
        <v>1034744247021232128</v>
      </c>
      <c r="F3885" s="4"/>
      <c r="G3885" s="4"/>
      <c r="H3885" s="4"/>
      <c r="I3885" s="10" t="str">
        <f>HYPERLINK("http://twitter.com","Twitter Web Client")</f>
        <v>Twitter Web Client</v>
      </c>
      <c r="J3885" s="2">
        <v>1276</v>
      </c>
      <c r="K3885" s="2">
        <v>2303</v>
      </c>
      <c r="L3885" s="2">
        <v>0</v>
      </c>
      <c r="M3885" s="2"/>
      <c r="N3885" s="8">
        <v>42963.714201388888</v>
      </c>
      <c r="O3885" s="4" t="s">
        <v>17</v>
      </c>
      <c r="P3885" s="3" t="s">
        <v>6640</v>
      </c>
      <c r="Q3885" s="4"/>
      <c r="R3885" s="4"/>
      <c r="S3885" s="9" t="str">
        <f>HYPERLINK("https://pbs.twimg.com/profile_images/1023889695447470080/AB1JFOIC.jpg","View")</f>
        <v>View</v>
      </c>
    </row>
    <row r="3886" spans="1:19" ht="40">
      <c r="A3886" s="8">
        <v>43341.608090277776</v>
      </c>
      <c r="B3886" s="11" t="str">
        <f>HYPERLINK("https://twitter.com/Revman10","@Revman10")</f>
        <v>@Revman10</v>
      </c>
      <c r="C3886" s="6" t="s">
        <v>4403</v>
      </c>
      <c r="D3886" s="5" t="s">
        <v>6639</v>
      </c>
      <c r="E3886" s="9" t="str">
        <f>HYPERLINK("https://twitter.com/Revman10/status/1034743877515845632","1034743877515845632")</f>
        <v>1034743877515845632</v>
      </c>
      <c r="F3886" s="4"/>
      <c r="G3886" s="4"/>
      <c r="H3886" s="4"/>
      <c r="I3886" s="10" t="str">
        <f>HYPERLINK("http://twitter.com/download/android","Twitter for Android")</f>
        <v>Twitter for Android</v>
      </c>
      <c r="J3886" s="2">
        <v>69</v>
      </c>
      <c r="K3886" s="2">
        <v>95</v>
      </c>
      <c r="L3886" s="2">
        <v>0</v>
      </c>
      <c r="M3886" s="2"/>
      <c r="N3886" s="8">
        <v>43271.257766203707</v>
      </c>
      <c r="O3886" s="4" t="s">
        <v>324</v>
      </c>
      <c r="P3886" s="3" t="s">
        <v>4401</v>
      </c>
      <c r="Q3886" s="4"/>
      <c r="R3886" s="4"/>
      <c r="S3886" s="9" t="str">
        <f>HYPERLINK("https://pbs.twimg.com/profile_images/1027487813896429568/Gbn1h0z3.jpg","View")</f>
        <v>View</v>
      </c>
    </row>
    <row r="3887" spans="1:19" ht="20">
      <c r="A3887" s="8">
        <v>43341.608055555553</v>
      </c>
      <c r="B3887" s="11" t="str">
        <f>HYPERLINK("https://twitter.com/DadgarArian","@DadgarArian")</f>
        <v>@DadgarArian</v>
      </c>
      <c r="C3887" s="6" t="s">
        <v>6638</v>
      </c>
      <c r="D3887" s="5" t="s">
        <v>6637</v>
      </c>
      <c r="E3887" s="9" t="str">
        <f>HYPERLINK("https://twitter.com/DadgarArian/status/1034743863360016384","1034743863360016384")</f>
        <v>1034743863360016384</v>
      </c>
      <c r="F3887" s="4"/>
      <c r="G3887" s="4"/>
      <c r="H3887" s="4"/>
      <c r="I3887" s="10" t="str">
        <f>HYPERLINK("http://twitter.com/download/android","Twitter for Android")</f>
        <v>Twitter for Android</v>
      </c>
      <c r="J3887" s="2">
        <v>0</v>
      </c>
      <c r="K3887" s="2">
        <v>115</v>
      </c>
      <c r="L3887" s="2">
        <v>0</v>
      </c>
      <c r="M3887" s="2"/>
      <c r="N3887" s="8">
        <v>43154.037511574075</v>
      </c>
      <c r="O3887" s="4"/>
      <c r="P3887" s="3"/>
      <c r="Q3887" s="4"/>
      <c r="R3887" s="4"/>
      <c r="S3887" s="2" t="s">
        <v>155</v>
      </c>
    </row>
    <row r="3888" spans="1:19" ht="40">
      <c r="A3888" s="8">
        <v>43341.607789351852</v>
      </c>
      <c r="B3888" s="11" t="str">
        <f>HYPERLINK("https://twitter.com/AkhbarFori","@AkhbarFori")</f>
        <v>@AkhbarFori</v>
      </c>
      <c r="C3888" s="6" t="s">
        <v>703</v>
      </c>
      <c r="D3888" s="5" t="s">
        <v>6636</v>
      </c>
      <c r="E3888" s="9" t="str">
        <f>HYPERLINK("https://twitter.com/AkhbarFori/status/1034743765926404096","1034743765926404096")</f>
        <v>1034743765926404096</v>
      </c>
      <c r="F3888" s="4"/>
      <c r="G3888" s="4"/>
      <c r="H3888" s="4"/>
      <c r="I3888" s="10" t="str">
        <f>HYPERLINK("http://twitter.com/download/android","Twitter for Android")</f>
        <v>Twitter for Android</v>
      </c>
      <c r="J3888" s="2">
        <v>2280</v>
      </c>
      <c r="K3888" s="2">
        <v>56</v>
      </c>
      <c r="L3888" s="2">
        <v>10</v>
      </c>
      <c r="M3888" s="2"/>
      <c r="N3888" s="8">
        <v>42681.433865740742</v>
      </c>
      <c r="O3888" s="4" t="s">
        <v>34</v>
      </c>
      <c r="P3888" s="3" t="s">
        <v>700</v>
      </c>
      <c r="Q3888" s="10" t="s">
        <v>699</v>
      </c>
      <c r="R3888" s="4"/>
      <c r="S3888" s="9" t="str">
        <f>HYPERLINK("https://pbs.twimg.com/profile_images/966310274599964674/M_bW7CfD.jpg","View")</f>
        <v>View</v>
      </c>
    </row>
    <row r="3889" spans="1:19" ht="40">
      <c r="A3889" s="8">
        <v>43341.606828703705</v>
      </c>
      <c r="B3889" s="11" t="str">
        <f>HYPERLINK("https://twitter.com/H_Ghadyani","@H_Ghadyani")</f>
        <v>@H_Ghadyani</v>
      </c>
      <c r="C3889" s="6" t="s">
        <v>3888</v>
      </c>
      <c r="D3889" s="5" t="s">
        <v>6635</v>
      </c>
      <c r="E3889" s="9" t="str">
        <f>HYPERLINK("https://twitter.com/H_Ghadyani/status/1034743421418840071","1034743421418840071")</f>
        <v>1034743421418840071</v>
      </c>
      <c r="F3889" s="4"/>
      <c r="G3889" s="4"/>
      <c r="H3889" s="4"/>
      <c r="I3889" s="10" t="str">
        <f>HYPERLINK("http://twitter.com","Twitter Web Client")</f>
        <v>Twitter Web Client</v>
      </c>
      <c r="J3889" s="2">
        <v>0</v>
      </c>
      <c r="K3889" s="2">
        <v>0</v>
      </c>
      <c r="L3889" s="2">
        <v>0</v>
      </c>
      <c r="M3889" s="2"/>
      <c r="N3889" s="8">
        <v>43339.412939814814</v>
      </c>
      <c r="O3889" s="4"/>
      <c r="P3889" s="3" t="s">
        <v>3886</v>
      </c>
      <c r="Q3889" s="4"/>
      <c r="R3889" s="4"/>
      <c r="S3889" s="9" t="str">
        <f>HYPERLINK("https://pbs.twimg.com/profile_images/1033952201805389825/Fnu6hgzX.jpg","View")</f>
        <v>View</v>
      </c>
    </row>
    <row r="3890" spans="1:19" ht="12.5">
      <c r="A3890" s="8">
        <v>43341.604722222226</v>
      </c>
      <c r="B3890" s="11" t="str">
        <f>HYPERLINK("https://twitter.com/Najmadin_N","@Najmadin_N")</f>
        <v>@Najmadin_N</v>
      </c>
      <c r="C3890" s="6" t="s">
        <v>6634</v>
      </c>
      <c r="D3890" s="5" t="s">
        <v>6633</v>
      </c>
      <c r="E3890" s="9" t="str">
        <f>HYPERLINK("https://twitter.com/Najmadin_N/status/1034742654679109633","1034742654679109633")</f>
        <v>1034742654679109633</v>
      </c>
      <c r="F3890" s="4"/>
      <c r="G3890" s="4"/>
      <c r="H3890" s="4"/>
      <c r="I3890" s="10" t="str">
        <f>HYPERLINK("http://twitter.com/download/android","Twitter for Android")</f>
        <v>Twitter for Android</v>
      </c>
      <c r="J3890" s="2">
        <v>266</v>
      </c>
      <c r="K3890" s="2">
        <v>71</v>
      </c>
      <c r="L3890" s="2">
        <v>1</v>
      </c>
      <c r="M3890" s="2"/>
      <c r="N3890" s="8">
        <v>42659.887662037036</v>
      </c>
      <c r="O3890" s="4" t="s">
        <v>6632</v>
      </c>
      <c r="P3890" s="3" t="s">
        <v>6631</v>
      </c>
      <c r="Q3890" s="4"/>
      <c r="R3890" s="4"/>
      <c r="S3890" s="9" t="str">
        <f>HYPERLINK("https://pbs.twimg.com/profile_images/1024243130370015232/ZjccTPPJ.jpg","View")</f>
        <v>View</v>
      </c>
    </row>
    <row r="3891" spans="1:19" ht="30">
      <c r="A3891" s="8">
        <v>43341.603854166664</v>
      </c>
      <c r="B3891" s="11" t="str">
        <f>HYPERLINK("https://twitter.com/ostad_amade7","@ostad_amade7")</f>
        <v>@ostad_amade7</v>
      </c>
      <c r="C3891" s="6" t="s">
        <v>6614</v>
      </c>
      <c r="D3891" s="5" t="s">
        <v>6630</v>
      </c>
      <c r="E3891" s="9" t="str">
        <f>HYPERLINK("https://twitter.com/ostad_amade7/status/1034742341104488448","1034742341104488448")</f>
        <v>1034742341104488448</v>
      </c>
      <c r="F3891" s="4"/>
      <c r="G3891" s="4"/>
      <c r="H3891" s="4"/>
      <c r="I3891" s="10" t="str">
        <f>HYPERLINK("http://twitter.com/download/android","Twitter for Android")</f>
        <v>Twitter for Android</v>
      </c>
      <c r="J3891" s="2">
        <v>20</v>
      </c>
      <c r="K3891" s="2">
        <v>68</v>
      </c>
      <c r="L3891" s="2">
        <v>0</v>
      </c>
      <c r="M3891" s="2"/>
      <c r="N3891" s="8">
        <v>43320.079791666663</v>
      </c>
      <c r="O3891" s="4"/>
      <c r="P3891" s="3" t="s">
        <v>6612</v>
      </c>
      <c r="Q3891" s="4"/>
      <c r="R3891" s="4"/>
      <c r="S3891" s="9" t="str">
        <f>HYPERLINK("https://pbs.twimg.com/profile_images/1027623805739511808/HfVu6jLS.jpg","View")</f>
        <v>View</v>
      </c>
    </row>
    <row r="3892" spans="1:19" ht="40">
      <c r="A3892" s="8">
        <v>43341.603171296301</v>
      </c>
      <c r="B3892" s="11" t="str">
        <f>HYPERLINK("https://twitter.com/safinews_agency","@safinews_agency")</f>
        <v>@safinews_agency</v>
      </c>
      <c r="C3892" s="6" t="s">
        <v>6629</v>
      </c>
      <c r="D3892" s="5" t="s">
        <v>6628</v>
      </c>
      <c r="E3892" s="9" t="str">
        <f>HYPERLINK("https://twitter.com/safinews_agency/status/1034742093556666368","1034742093556666368")</f>
        <v>1034742093556666368</v>
      </c>
      <c r="F3892" s="4"/>
      <c r="G3892" s="4"/>
      <c r="H3892" s="4"/>
      <c r="I3892" s="10" t="str">
        <f>HYPERLINK("http://twitter.com/download/android","Twitter for Android")</f>
        <v>Twitter for Android</v>
      </c>
      <c r="J3892" s="2">
        <v>1</v>
      </c>
      <c r="K3892" s="2">
        <v>1</v>
      </c>
      <c r="L3892" s="2">
        <v>0</v>
      </c>
      <c r="M3892" s="2"/>
      <c r="N3892" s="8">
        <v>43338.947662037041</v>
      </c>
      <c r="O3892" s="4" t="s">
        <v>17</v>
      </c>
      <c r="P3892" s="3" t="s">
        <v>6627</v>
      </c>
      <c r="Q3892" s="10" t="s">
        <v>6626</v>
      </c>
      <c r="R3892" s="4"/>
      <c r="S3892" s="9" t="str">
        <f>HYPERLINK("https://pbs.twimg.com/profile_images/1033780562333458432/fkaRvmaN.jpg","View")</f>
        <v>View</v>
      </c>
    </row>
    <row r="3893" spans="1:19" ht="40">
      <c r="A3893" s="8">
        <v>43341.601388888885</v>
      </c>
      <c r="B3893" s="11" t="str">
        <f>HYPERLINK("https://twitter.com/karezma_ezadi","@karezma_ezadi")</f>
        <v>@karezma_ezadi</v>
      </c>
      <c r="C3893" s="6" t="s">
        <v>6625</v>
      </c>
      <c r="D3893" s="5" t="s">
        <v>6624</v>
      </c>
      <c r="E3893" s="9" t="str">
        <f>HYPERLINK("https://twitter.com/karezma_ezadi/status/1034741447243776000","1034741447243776000")</f>
        <v>1034741447243776000</v>
      </c>
      <c r="F3893" s="4"/>
      <c r="G3893" s="10" t="s">
        <v>6623</v>
      </c>
      <c r="H3893" s="4"/>
      <c r="I3893" s="10" t="str">
        <f>HYPERLINK("http://twitter.com","Twitter Web Client")</f>
        <v>Twitter Web Client</v>
      </c>
      <c r="J3893" s="2">
        <v>415</v>
      </c>
      <c r="K3893" s="2">
        <v>548</v>
      </c>
      <c r="L3893" s="2">
        <v>2</v>
      </c>
      <c r="M3893" s="2"/>
      <c r="N3893" s="8">
        <v>42810.081145833334</v>
      </c>
      <c r="O3893" s="4"/>
      <c r="P3893" s="3"/>
      <c r="Q3893" s="4"/>
      <c r="R3893" s="4"/>
      <c r="S3893" s="9" t="str">
        <f>HYPERLINK("https://pbs.twimg.com/profile_images/887931349054754817/A7VMTu7x.jpg","View")</f>
        <v>View</v>
      </c>
    </row>
    <row r="3894" spans="1:19" ht="40">
      <c r="A3894" s="8">
        <v>43341.599652777775</v>
      </c>
      <c r="B3894" s="11" t="str">
        <f>HYPERLINK("https://twitter.com/mehrvashkh","@mehrvashkh")</f>
        <v>@mehrvashkh</v>
      </c>
      <c r="C3894" s="6" t="s">
        <v>6622</v>
      </c>
      <c r="D3894" s="5" t="s">
        <v>6621</v>
      </c>
      <c r="E3894" s="9" t="str">
        <f>HYPERLINK("https://twitter.com/mehrvashkh/status/1034740820132409344","1034740820132409344")</f>
        <v>1034740820132409344</v>
      </c>
      <c r="F3894" s="4"/>
      <c r="G3894" s="4"/>
      <c r="H3894" s="4"/>
      <c r="I3894" s="10" t="str">
        <f>HYPERLINK("http://twitter.com","Twitter Web Client")</f>
        <v>Twitter Web Client</v>
      </c>
      <c r="J3894" s="2">
        <v>84</v>
      </c>
      <c r="K3894" s="2">
        <v>781</v>
      </c>
      <c r="L3894" s="2">
        <v>0</v>
      </c>
      <c r="M3894" s="2"/>
      <c r="N3894" s="8">
        <v>41796.663402777776</v>
      </c>
      <c r="O3894" s="4"/>
      <c r="P3894" s="3"/>
      <c r="Q3894" s="4"/>
      <c r="R3894" s="4"/>
      <c r="S3894" s="9" t="str">
        <f>HYPERLINK("https://pbs.twimg.com/profile_images/478624851691708418/K7N5ebSl.jpeg","View")</f>
        <v>View</v>
      </c>
    </row>
    <row r="3895" spans="1:19" ht="20">
      <c r="A3895" s="8">
        <v>43341.599629629629</v>
      </c>
      <c r="B3895" s="11" t="str">
        <f>HYPERLINK("https://twitter.com/bardiya2000","@bardiya2000")</f>
        <v>@bardiya2000</v>
      </c>
      <c r="C3895" s="6" t="s">
        <v>6602</v>
      </c>
      <c r="D3895" s="5" t="s">
        <v>6620</v>
      </c>
      <c r="E3895" s="9" t="str">
        <f>HYPERLINK("https://twitter.com/bardiya2000/status/1034740811789946880","1034740811789946880")</f>
        <v>1034740811789946880</v>
      </c>
      <c r="F3895" s="4"/>
      <c r="G3895" s="4"/>
      <c r="H3895" s="4"/>
      <c r="I3895" s="10" t="str">
        <f>HYPERLINK("http://twitter.com","Twitter Web Client")</f>
        <v>Twitter Web Client</v>
      </c>
      <c r="J3895" s="2">
        <v>10928</v>
      </c>
      <c r="K3895" s="2">
        <v>11673</v>
      </c>
      <c r="L3895" s="2">
        <v>4</v>
      </c>
      <c r="M3895" s="2"/>
      <c r="N3895" s="8">
        <v>43130.489201388889</v>
      </c>
      <c r="O3895" s="4" t="s">
        <v>104</v>
      </c>
      <c r="P3895" s="3" t="s">
        <v>6600</v>
      </c>
      <c r="Q3895" s="4"/>
      <c r="R3895" s="4"/>
      <c r="S3895" s="9" t="str">
        <f>HYPERLINK("https://pbs.twimg.com/profile_images/959171152081014784/1feOJkR-.jpg","View")</f>
        <v>View</v>
      </c>
    </row>
    <row r="3896" spans="1:19" ht="40">
      <c r="A3896" s="8">
        <v>43341.59920138889</v>
      </c>
      <c r="B3896" s="11" t="str">
        <f>HYPERLINK("https://twitter.com/hajmoh3en","@hajmoh3en")</f>
        <v>@hajmoh3en</v>
      </c>
      <c r="C3896" s="6" t="s">
        <v>6619</v>
      </c>
      <c r="D3896" s="5" t="s">
        <v>6618</v>
      </c>
      <c r="E3896" s="9" t="str">
        <f>HYPERLINK("https://twitter.com/hajmoh3en/status/1034740657326305280","1034740657326305280")</f>
        <v>1034740657326305280</v>
      </c>
      <c r="F3896" s="4"/>
      <c r="G3896" s="10" t="s">
        <v>6617</v>
      </c>
      <c r="H3896" s="4"/>
      <c r="I3896" s="10" t="str">
        <f>HYPERLINK("http://twitter.com/download/iphone","Twitter for iPhone")</f>
        <v>Twitter for iPhone</v>
      </c>
      <c r="J3896" s="2">
        <v>1514</v>
      </c>
      <c r="K3896" s="2">
        <v>183</v>
      </c>
      <c r="L3896" s="2">
        <v>6</v>
      </c>
      <c r="M3896" s="2"/>
      <c r="N3896" s="8">
        <v>41303.067372685182</v>
      </c>
      <c r="O3896" s="4" t="s">
        <v>6616</v>
      </c>
      <c r="P3896" s="3" t="s">
        <v>6615</v>
      </c>
      <c r="Q3896" s="4"/>
      <c r="R3896" s="4"/>
      <c r="S3896" s="9" t="str">
        <f>HYPERLINK("https://pbs.twimg.com/profile_images/995986555335520256/Zli4h06E.jpg","View")</f>
        <v>View</v>
      </c>
    </row>
    <row r="3897" spans="1:19" ht="40">
      <c r="A3897" s="8">
        <v>43341.598773148144</v>
      </c>
      <c r="B3897" s="11" t="str">
        <f>HYPERLINK("https://twitter.com/ostad_amade7","@ostad_amade7")</f>
        <v>@ostad_amade7</v>
      </c>
      <c r="C3897" s="6" t="s">
        <v>6614</v>
      </c>
      <c r="D3897" s="5" t="s">
        <v>6613</v>
      </c>
      <c r="E3897" s="9" t="str">
        <f>HYPERLINK("https://twitter.com/ostad_amade7/status/1034740501512155137","1034740501512155137")</f>
        <v>1034740501512155137</v>
      </c>
      <c r="F3897" s="4"/>
      <c r="G3897" s="4"/>
      <c r="H3897" s="4"/>
      <c r="I3897" s="10" t="str">
        <f>HYPERLINK("http://twitter.com/download/android","Twitter for Android")</f>
        <v>Twitter for Android</v>
      </c>
      <c r="J3897" s="2">
        <v>20</v>
      </c>
      <c r="K3897" s="2">
        <v>68</v>
      </c>
      <c r="L3897" s="2">
        <v>0</v>
      </c>
      <c r="M3897" s="2"/>
      <c r="N3897" s="8">
        <v>43320.079791666663</v>
      </c>
      <c r="O3897" s="4"/>
      <c r="P3897" s="3" t="s">
        <v>6612</v>
      </c>
      <c r="Q3897" s="4"/>
      <c r="R3897" s="4"/>
      <c r="S3897" s="9" t="str">
        <f>HYPERLINK("https://pbs.twimg.com/profile_images/1027623805739511808/HfVu6jLS.jpg","View")</f>
        <v>View</v>
      </c>
    </row>
    <row r="3898" spans="1:19" ht="40">
      <c r="A3898" s="8">
        <v>43341.598657407405</v>
      </c>
      <c r="B3898" s="11" t="str">
        <f>HYPERLINK("https://twitter.com/FaranakArta","@FaranakArta")</f>
        <v>@FaranakArta</v>
      </c>
      <c r="C3898" s="6" t="s">
        <v>6611</v>
      </c>
      <c r="D3898" s="5" t="s">
        <v>6610</v>
      </c>
      <c r="E3898" s="9" t="str">
        <f>HYPERLINK("https://twitter.com/FaranakArta/status/1034740460168904704","1034740460168904704")</f>
        <v>1034740460168904704</v>
      </c>
      <c r="F3898" s="4"/>
      <c r="G3898" s="4"/>
      <c r="H3898" s="4"/>
      <c r="I3898" s="10" t="str">
        <f>HYPERLINK("http://twitter.com/download/iphone","Twitter for iPhone")</f>
        <v>Twitter for iPhone</v>
      </c>
      <c r="J3898" s="2">
        <v>11060</v>
      </c>
      <c r="K3898" s="2">
        <v>2345</v>
      </c>
      <c r="L3898" s="2">
        <v>57</v>
      </c>
      <c r="M3898" s="2"/>
      <c r="N3898" s="8">
        <v>41615.785821759258</v>
      </c>
      <c r="O3898" s="4" t="s">
        <v>894</v>
      </c>
      <c r="P3898" s="3" t="s">
        <v>6609</v>
      </c>
      <c r="Q3898" s="10" t="s">
        <v>6608</v>
      </c>
      <c r="R3898" s="4"/>
      <c r="S3898" s="9" t="str">
        <f>HYPERLINK("https://pbs.twimg.com/profile_images/1010939597449318401/dE9eYZSu.jpg","View")</f>
        <v>View</v>
      </c>
    </row>
    <row r="3899" spans="1:19" ht="30">
      <c r="A3899" s="8">
        <v>43341.598657407405</v>
      </c>
      <c r="B3899" s="11" t="str">
        <f>HYPERLINK("https://twitter.com/IranIntl","@IranIntl")</f>
        <v>@IranIntl</v>
      </c>
      <c r="C3899" s="6" t="s">
        <v>2253</v>
      </c>
      <c r="D3899" s="5" t="s">
        <v>6607</v>
      </c>
      <c r="E3899" s="9" t="str">
        <f>HYPERLINK("https://twitter.com/IranIntl/status/1034740457908183040","1034740457908183040")</f>
        <v>1034740457908183040</v>
      </c>
      <c r="F3899" s="4"/>
      <c r="G3899" s="10" t="s">
        <v>6606</v>
      </c>
      <c r="H3899" s="4"/>
      <c r="I3899" s="10" t="str">
        <f>HYPERLINK("http://www.falcon.io","Falcon Social Media Management ")</f>
        <v xml:space="preserve">Falcon Social Media Management </v>
      </c>
      <c r="J3899" s="2">
        <v>10307</v>
      </c>
      <c r="K3899" s="2">
        <v>37</v>
      </c>
      <c r="L3899" s="2">
        <v>71</v>
      </c>
      <c r="M3899" s="2"/>
      <c r="N3899" s="8">
        <v>42495.854155092587</v>
      </c>
      <c r="O3899" s="4" t="s">
        <v>2250</v>
      </c>
      <c r="P3899" s="3" t="s">
        <v>2249</v>
      </c>
      <c r="Q3899" s="10" t="s">
        <v>2248</v>
      </c>
      <c r="R3899" s="4"/>
      <c r="S3899" s="9" t="str">
        <f>HYPERLINK("https://pbs.twimg.com/profile_images/959109044987416576/LIHHUain.jpg","View")</f>
        <v>View</v>
      </c>
    </row>
    <row r="3900" spans="1:19" ht="30">
      <c r="A3900" s="8">
        <v>43341.597650462965</v>
      </c>
      <c r="B3900" s="11" t="str">
        <f>HYPERLINK("https://twitter.com/h_saeedfirozeh","@h_saeedfirozeh")</f>
        <v>@h_saeedfirozeh</v>
      </c>
      <c r="C3900" s="6" t="s">
        <v>5963</v>
      </c>
      <c r="D3900" s="5" t="s">
        <v>6605</v>
      </c>
      <c r="E3900" s="9" t="str">
        <f>HYPERLINK("https://twitter.com/h_saeedfirozeh/status/1034740095323189260","1034740095323189260")</f>
        <v>1034740095323189260</v>
      </c>
      <c r="F3900" s="4"/>
      <c r="G3900" s="10" t="s">
        <v>6604</v>
      </c>
      <c r="H3900" s="4"/>
      <c r="I3900" s="10" t="str">
        <f>HYPERLINK("http://twitter.com/download/android","Twitter for Android")</f>
        <v>Twitter for Android</v>
      </c>
      <c r="J3900" s="2">
        <v>3921</v>
      </c>
      <c r="K3900" s="2">
        <v>3056</v>
      </c>
      <c r="L3900" s="2">
        <v>11</v>
      </c>
      <c r="M3900" s="2"/>
      <c r="N3900" s="8">
        <v>42745.632997685185</v>
      </c>
      <c r="O3900" s="4" t="s">
        <v>2193</v>
      </c>
      <c r="P3900" s="3" t="s">
        <v>5960</v>
      </c>
      <c r="Q3900" s="4"/>
      <c r="R3900" s="4"/>
      <c r="S3900" s="9" t="str">
        <f>HYPERLINK("https://pbs.twimg.com/profile_images/1026893594362355714/ncrzZV2t.jpg","View")</f>
        <v>View</v>
      </c>
    </row>
    <row r="3901" spans="1:19" ht="20">
      <c r="A3901" s="8">
        <v>43341.597546296296</v>
      </c>
      <c r="B3901" s="11" t="str">
        <f>HYPERLINK("https://twitter.com/asreiman138","@asreiman138")</f>
        <v>@asreiman138</v>
      </c>
      <c r="C3901" s="6" t="s">
        <v>6580</v>
      </c>
      <c r="D3901" s="5" t="s">
        <v>6603</v>
      </c>
      <c r="E3901" s="9" t="str">
        <f>HYPERLINK("https://twitter.com/asreiman138/status/1034740056286748672","1034740056286748672")</f>
        <v>1034740056286748672</v>
      </c>
      <c r="F3901" s="4"/>
      <c r="G3901" s="4"/>
      <c r="H3901" s="4"/>
      <c r="I3901" s="10" t="str">
        <f>HYPERLINK("http://twitter.com/download/android","Twitter for Android")</f>
        <v>Twitter for Android</v>
      </c>
      <c r="J3901" s="2">
        <v>575</v>
      </c>
      <c r="K3901" s="2">
        <v>784</v>
      </c>
      <c r="L3901" s="2">
        <v>1</v>
      </c>
      <c r="M3901" s="2"/>
      <c r="N3901" s="8">
        <v>42694.769097222219</v>
      </c>
      <c r="O3901" s="4" t="s">
        <v>6578</v>
      </c>
      <c r="P3901" s="3" t="s">
        <v>6577</v>
      </c>
      <c r="Q3901" s="4"/>
      <c r="R3901" s="4"/>
      <c r="S3901" s="9" t="str">
        <f>HYPERLINK("https://pbs.twimg.com/profile_images/1033056256393707525/M_ZeJaxt.jpg","View")</f>
        <v>View</v>
      </c>
    </row>
    <row r="3902" spans="1:19" ht="30">
      <c r="A3902" s="8">
        <v>43341.596296296295</v>
      </c>
      <c r="B3902" s="11" t="str">
        <f>HYPERLINK("https://twitter.com/bardiya2000","@bardiya2000")</f>
        <v>@bardiya2000</v>
      </c>
      <c r="C3902" s="6" t="s">
        <v>6602</v>
      </c>
      <c r="D3902" s="5" t="s">
        <v>6601</v>
      </c>
      <c r="E3902" s="9" t="str">
        <f>HYPERLINK("https://twitter.com/bardiya2000/status/1034739601292840960","1034739601292840960")</f>
        <v>1034739601292840960</v>
      </c>
      <c r="F3902" s="4"/>
      <c r="G3902" s="4"/>
      <c r="H3902" s="4"/>
      <c r="I3902" s="10" t="str">
        <f>HYPERLINK("http://twitter.com","Twitter Web Client")</f>
        <v>Twitter Web Client</v>
      </c>
      <c r="J3902" s="2">
        <v>10928</v>
      </c>
      <c r="K3902" s="2">
        <v>11673</v>
      </c>
      <c r="L3902" s="2">
        <v>4</v>
      </c>
      <c r="M3902" s="2"/>
      <c r="N3902" s="8">
        <v>43130.489201388889</v>
      </c>
      <c r="O3902" s="4" t="s">
        <v>104</v>
      </c>
      <c r="P3902" s="3" t="s">
        <v>6600</v>
      </c>
      <c r="Q3902" s="4"/>
      <c r="R3902" s="4"/>
      <c r="S3902" s="9" t="str">
        <f>HYPERLINK("https://pbs.twimg.com/profile_images/959171152081014784/1feOJkR-.jpg","View")</f>
        <v>View</v>
      </c>
    </row>
    <row r="3903" spans="1:19" ht="30">
      <c r="A3903" s="8">
        <v>43341.596030092594</v>
      </c>
      <c r="B3903" s="11" t="str">
        <f>HYPERLINK("https://twitter.com/Alirezahse","@Alirezahse")</f>
        <v>@Alirezahse</v>
      </c>
      <c r="C3903" s="6" t="s">
        <v>6599</v>
      </c>
      <c r="D3903" s="5" t="s">
        <v>6598</v>
      </c>
      <c r="E3903" s="9" t="str">
        <f>HYPERLINK("https://twitter.com/Alirezahse/status/1034739507021668352","1034739507021668352")</f>
        <v>1034739507021668352</v>
      </c>
      <c r="F3903" s="4"/>
      <c r="G3903" s="10" t="s">
        <v>6597</v>
      </c>
      <c r="H3903" s="4"/>
      <c r="I3903" s="10" t="str">
        <f>HYPERLINK("https://mobile.twitter.com","Twitter Lite")</f>
        <v>Twitter Lite</v>
      </c>
      <c r="J3903" s="2">
        <v>552</v>
      </c>
      <c r="K3903" s="2">
        <v>345</v>
      </c>
      <c r="L3903" s="2">
        <v>0</v>
      </c>
      <c r="M3903" s="2"/>
      <c r="N3903" s="8">
        <v>42903.015092592592</v>
      </c>
      <c r="O3903" s="4" t="s">
        <v>748</v>
      </c>
      <c r="P3903" s="3" t="s">
        <v>6596</v>
      </c>
      <c r="Q3903" s="4"/>
      <c r="R3903" s="4"/>
      <c r="S3903" s="9" t="str">
        <f>HYPERLINK("https://pbs.twimg.com/profile_images/1030737993743704064/ppFs6E7w.jpg","View")</f>
        <v>View</v>
      </c>
    </row>
    <row r="3904" spans="1:19" ht="12.5">
      <c r="A3904" s="8">
        <v>43341.595451388886</v>
      </c>
      <c r="B3904" s="11" t="str">
        <f>HYPERLINK("https://twitter.com/ab_nesa","@ab_nesa")</f>
        <v>@ab_nesa</v>
      </c>
      <c r="C3904" s="6" t="s">
        <v>6595</v>
      </c>
      <c r="D3904" s="5" t="s">
        <v>6594</v>
      </c>
      <c r="E3904" s="9" t="str">
        <f>HYPERLINK("https://twitter.com/ab_nesa/status/1034739296173993985","1034739296173993985")</f>
        <v>1034739296173993985</v>
      </c>
      <c r="F3904" s="4"/>
      <c r="G3904" s="4"/>
      <c r="H3904" s="4"/>
      <c r="I3904" s="10" t="str">
        <f>HYPERLINK("http://twitter.com/download/android","Twitter for Android")</f>
        <v>Twitter for Android</v>
      </c>
      <c r="J3904" s="2">
        <v>261</v>
      </c>
      <c r="K3904" s="2">
        <v>122</v>
      </c>
      <c r="L3904" s="2">
        <v>0</v>
      </c>
      <c r="M3904" s="2"/>
      <c r="N3904" s="8">
        <v>42905.042187500003</v>
      </c>
      <c r="O3904" s="4" t="s">
        <v>6593</v>
      </c>
      <c r="P3904" s="3" t="s">
        <v>6592</v>
      </c>
      <c r="Q3904" s="10" t="s">
        <v>6591</v>
      </c>
      <c r="R3904" s="4"/>
      <c r="S3904" s="9" t="str">
        <f>HYPERLINK("https://pbs.twimg.com/profile_images/1034528148266860544/EfQNBJRs.jpg","View")</f>
        <v>View</v>
      </c>
    </row>
    <row r="3905" spans="1:19" ht="20">
      <c r="A3905" s="8">
        <v>43341.595196759255</v>
      </c>
      <c r="B3905" s="11" t="str">
        <f>HYPERLINK("https://twitter.com/UmidNiayesh","@UmidNiayesh")</f>
        <v>@UmidNiayesh</v>
      </c>
      <c r="C3905" s="6" t="s">
        <v>6590</v>
      </c>
      <c r="D3905" s="5" t="s">
        <v>6589</v>
      </c>
      <c r="E3905" s="9" t="str">
        <f>HYPERLINK("https://twitter.com/UmidNiayesh/status/1034739205262516224","1034739205262516224")</f>
        <v>1034739205262516224</v>
      </c>
      <c r="F3905" s="10" t="s">
        <v>6588</v>
      </c>
      <c r="G3905" s="4"/>
      <c r="H3905" s="4"/>
      <c r="I3905" s="10" t="str">
        <f>HYPERLINK("http://twitter.com","Twitter Web Client")</f>
        <v>Twitter Web Client</v>
      </c>
      <c r="J3905" s="2">
        <v>316</v>
      </c>
      <c r="K3905" s="2">
        <v>141</v>
      </c>
      <c r="L3905" s="2">
        <v>4</v>
      </c>
      <c r="M3905" s="2"/>
      <c r="N3905" s="8">
        <v>41429.092164351852</v>
      </c>
      <c r="O3905" s="4" t="s">
        <v>6587</v>
      </c>
      <c r="P3905" s="3" t="s">
        <v>1434</v>
      </c>
      <c r="Q3905" s="4"/>
      <c r="R3905" s="4"/>
      <c r="S3905" s="9" t="str">
        <f>HYPERLINK("https://pbs.twimg.com/profile_images/586235549037367296/hDNpKKN1.jpg","View")</f>
        <v>View</v>
      </c>
    </row>
    <row r="3906" spans="1:19" ht="30">
      <c r="A3906" s="8">
        <v>43341.594525462962</v>
      </c>
      <c r="B3906" s="11" t="str">
        <f>HYPERLINK("https://twitter.com/h_saeedfirozeh","@h_saeedfirozeh")</f>
        <v>@h_saeedfirozeh</v>
      </c>
      <c r="C3906" s="6" t="s">
        <v>5963</v>
      </c>
      <c r="D3906" s="5" t="s">
        <v>6586</v>
      </c>
      <c r="E3906" s="9" t="str">
        <f>HYPERLINK("https://twitter.com/h_saeedfirozeh/status/1034738959551799296","1034738959551799296")</f>
        <v>1034738959551799296</v>
      </c>
      <c r="F3906" s="4"/>
      <c r="G3906" s="10" t="s">
        <v>6585</v>
      </c>
      <c r="H3906" s="4"/>
      <c r="I3906" s="10" t="str">
        <f>HYPERLINK("http://twitter.com/download/android","Twitter for Android")</f>
        <v>Twitter for Android</v>
      </c>
      <c r="J3906" s="2">
        <v>3918</v>
      </c>
      <c r="K3906" s="2">
        <v>3053</v>
      </c>
      <c r="L3906" s="2">
        <v>11</v>
      </c>
      <c r="M3906" s="2"/>
      <c r="N3906" s="8">
        <v>42745.632997685185</v>
      </c>
      <c r="O3906" s="4" t="s">
        <v>2193</v>
      </c>
      <c r="P3906" s="3" t="s">
        <v>5960</v>
      </c>
      <c r="Q3906" s="4"/>
      <c r="R3906" s="4"/>
      <c r="S3906" s="9" t="str">
        <f>HYPERLINK("https://pbs.twimg.com/profile_images/1026893594362355714/ncrzZV2t.jpg","View")</f>
        <v>View</v>
      </c>
    </row>
    <row r="3907" spans="1:19" ht="30">
      <c r="A3907" s="8">
        <v>43341.59438657407</v>
      </c>
      <c r="B3907" s="11" t="str">
        <f>HYPERLINK("https://twitter.com/FormerLondoner","@FormerLondoner")</f>
        <v>@FormerLondoner</v>
      </c>
      <c r="C3907" s="6" t="s">
        <v>6584</v>
      </c>
      <c r="D3907" s="5" t="s">
        <v>6583</v>
      </c>
      <c r="E3907" s="9" t="str">
        <f>HYPERLINK("https://twitter.com/FormerLondoner/status/1034738912827269120","1034738912827269120")</f>
        <v>1034738912827269120</v>
      </c>
      <c r="F3907" s="4"/>
      <c r="G3907" s="4"/>
      <c r="H3907" s="4"/>
      <c r="I3907" s="10" t="str">
        <f>HYPERLINK("https://mobile.twitter.com","Twitter Lite")</f>
        <v>Twitter Lite</v>
      </c>
      <c r="J3907" s="2">
        <v>131</v>
      </c>
      <c r="K3907" s="2">
        <v>567</v>
      </c>
      <c r="L3907" s="2">
        <v>4</v>
      </c>
      <c r="M3907" s="2"/>
      <c r="N3907" s="8">
        <v>39751.966689814813</v>
      </c>
      <c r="O3907" s="4" t="s">
        <v>6582</v>
      </c>
      <c r="P3907" s="3" t="s">
        <v>6581</v>
      </c>
      <c r="Q3907" s="4"/>
      <c r="R3907" s="4"/>
      <c r="S3907" s="9" t="str">
        <f>HYPERLINK("https://pbs.twimg.com/profile_images/1030413677109956608/HZL-vIII.jpg","View")</f>
        <v>View</v>
      </c>
    </row>
    <row r="3908" spans="1:19" ht="20">
      <c r="A3908" s="8">
        <v>43341.593414351853</v>
      </c>
      <c r="B3908" s="11" t="str">
        <f>HYPERLINK("https://twitter.com/asreiman138","@asreiman138")</f>
        <v>@asreiman138</v>
      </c>
      <c r="C3908" s="6" t="s">
        <v>6580</v>
      </c>
      <c r="D3908" s="5" t="s">
        <v>6579</v>
      </c>
      <c r="E3908" s="9" t="str">
        <f>HYPERLINK("https://twitter.com/asreiman138/status/1034738557892681730","1034738557892681730")</f>
        <v>1034738557892681730</v>
      </c>
      <c r="F3908" s="4"/>
      <c r="G3908" s="4"/>
      <c r="H3908" s="4"/>
      <c r="I3908" s="10" t="str">
        <f>HYPERLINK("http://twitter.com/download/android","Twitter for Android")</f>
        <v>Twitter for Android</v>
      </c>
      <c r="J3908" s="2">
        <v>575</v>
      </c>
      <c r="K3908" s="2">
        <v>784</v>
      </c>
      <c r="L3908" s="2">
        <v>1</v>
      </c>
      <c r="M3908" s="2"/>
      <c r="N3908" s="8">
        <v>42694.769097222219</v>
      </c>
      <c r="O3908" s="4" t="s">
        <v>6578</v>
      </c>
      <c r="P3908" s="3" t="s">
        <v>6577</v>
      </c>
      <c r="Q3908" s="4"/>
      <c r="R3908" s="4"/>
      <c r="S3908" s="9" t="str">
        <f>HYPERLINK("https://pbs.twimg.com/profile_images/1033056256393707525/M_ZeJaxt.jpg","View")</f>
        <v>View</v>
      </c>
    </row>
    <row r="3909" spans="1:19" ht="30">
      <c r="A3909" s="8">
        <v>43341.5933912037</v>
      </c>
      <c r="B3909" s="11" t="str">
        <f>HYPERLINK("https://twitter.com/KafaeeAlireza","@KafaeeAlireza")</f>
        <v>@KafaeeAlireza</v>
      </c>
      <c r="C3909" s="6" t="s">
        <v>6576</v>
      </c>
      <c r="D3909" s="5" t="s">
        <v>6575</v>
      </c>
      <c r="E3909" s="9" t="str">
        <f>HYPERLINK("https://twitter.com/KafaeeAlireza/status/1034738550816878593","1034738550816878593")</f>
        <v>1034738550816878593</v>
      </c>
      <c r="F3909" s="10" t="s">
        <v>6574</v>
      </c>
      <c r="G3909" s="4"/>
      <c r="H3909" s="4"/>
      <c r="I3909" s="10" t="str">
        <f>HYPERLINK("http://instagram.com","Instagram")</f>
        <v>Instagram</v>
      </c>
      <c r="J3909" s="2">
        <v>676</v>
      </c>
      <c r="K3909" s="2">
        <v>822</v>
      </c>
      <c r="L3909" s="2">
        <v>3</v>
      </c>
      <c r="M3909" s="2"/>
      <c r="N3909" s="8">
        <v>40883.564884259264</v>
      </c>
      <c r="O3909" s="4" t="s">
        <v>6573</v>
      </c>
      <c r="P3909" s="3" t="s">
        <v>6572</v>
      </c>
      <c r="Q3909" s="10" t="s">
        <v>6571</v>
      </c>
      <c r="R3909" s="4"/>
      <c r="S3909" s="9" t="str">
        <f>HYPERLINK("https://pbs.twimg.com/profile_images/978885025956532226/zg2XC9lY.jpg","View")</f>
        <v>View</v>
      </c>
    </row>
    <row r="3910" spans="1:19" ht="20">
      <c r="A3910" s="8">
        <v>43341.592870370368</v>
      </c>
      <c r="B3910" s="11" t="str">
        <f>HYPERLINK("https://twitter.com/ardeshiramiri","@ardeshiramiri")</f>
        <v>@ardeshiramiri</v>
      </c>
      <c r="C3910" s="6" t="s">
        <v>3554</v>
      </c>
      <c r="D3910" s="5" t="s">
        <v>6570</v>
      </c>
      <c r="E3910" s="9" t="str">
        <f>HYPERLINK("https://twitter.com/ardeshiramiri/status/1034738362228322305","1034738362228322305")</f>
        <v>1034738362228322305</v>
      </c>
      <c r="F3910" s="4"/>
      <c r="G3910" s="4"/>
      <c r="H3910" s="4"/>
      <c r="I3910" s="10" t="str">
        <f>HYPERLINK("https://mobile.twitter.com","Twitter Lite")</f>
        <v>Twitter Lite</v>
      </c>
      <c r="J3910" s="2">
        <v>5633</v>
      </c>
      <c r="K3910" s="2">
        <v>27</v>
      </c>
      <c r="L3910" s="2">
        <v>27</v>
      </c>
      <c r="M3910" s="2"/>
      <c r="N3910" s="8">
        <v>42410.438009259262</v>
      </c>
      <c r="O3910" s="4" t="s">
        <v>3552</v>
      </c>
      <c r="P3910" s="3" t="s">
        <v>3551</v>
      </c>
      <c r="Q3910" s="4"/>
      <c r="R3910" s="4"/>
      <c r="S3910" s="9" t="str">
        <f>HYPERLINK("https://pbs.twimg.com/profile_images/799275337993650181/1Dganc4g.jpg","View")</f>
        <v>View</v>
      </c>
    </row>
    <row r="3911" spans="1:19" ht="30">
      <c r="A3911" s="8">
        <v>43341.59202546296</v>
      </c>
      <c r="B3911" s="11" t="str">
        <f>HYPERLINK("https://twitter.com/h_saeedfirozeh","@h_saeedfirozeh")</f>
        <v>@h_saeedfirozeh</v>
      </c>
      <c r="C3911" s="6" t="s">
        <v>5963</v>
      </c>
      <c r="D3911" s="5" t="s">
        <v>6569</v>
      </c>
      <c r="E3911" s="9" t="str">
        <f>HYPERLINK("https://twitter.com/h_saeedfirozeh/status/1034738056404840454","1034738056404840454")</f>
        <v>1034738056404840454</v>
      </c>
      <c r="F3911" s="4"/>
      <c r="G3911" s="10" t="s">
        <v>6568</v>
      </c>
      <c r="H3911" s="4"/>
      <c r="I3911" s="10" t="str">
        <f>HYPERLINK("http://twitter.com/download/android","Twitter for Android")</f>
        <v>Twitter for Android</v>
      </c>
      <c r="J3911" s="2">
        <v>3918</v>
      </c>
      <c r="K3911" s="2">
        <v>3053</v>
      </c>
      <c r="L3911" s="2">
        <v>11</v>
      </c>
      <c r="M3911" s="2"/>
      <c r="N3911" s="8">
        <v>42745.632997685185</v>
      </c>
      <c r="O3911" s="4" t="s">
        <v>2193</v>
      </c>
      <c r="P3911" s="3" t="s">
        <v>5960</v>
      </c>
      <c r="Q3911" s="4"/>
      <c r="R3911" s="4"/>
      <c r="S3911" s="9" t="str">
        <f>HYPERLINK("https://pbs.twimg.com/profile_images/1026893594362355714/ncrzZV2t.jpg","View")</f>
        <v>View</v>
      </c>
    </row>
    <row r="3912" spans="1:19" ht="40">
      <c r="A3912" s="8">
        <v>43341.591736111106</v>
      </c>
      <c r="B3912" s="11" t="str">
        <f>HYPERLINK("https://twitter.com/Mostafa57763446","@Mostafa57763446")</f>
        <v>@Mostafa57763446</v>
      </c>
      <c r="C3912" s="6" t="s">
        <v>6567</v>
      </c>
      <c r="D3912" s="5" t="s">
        <v>6566</v>
      </c>
      <c r="E3912" s="9" t="str">
        <f>HYPERLINK("https://twitter.com/Mostafa57763446/status/1034737951106912262","1034737951106912262")</f>
        <v>1034737951106912262</v>
      </c>
      <c r="F3912" s="4"/>
      <c r="G3912" s="4"/>
      <c r="H3912" s="4"/>
      <c r="I3912" s="10" t="str">
        <f>HYPERLINK("http://twitter.com/download/android","Twitter for Android")</f>
        <v>Twitter for Android</v>
      </c>
      <c r="J3912" s="2">
        <v>11</v>
      </c>
      <c r="K3912" s="2">
        <v>45</v>
      </c>
      <c r="L3912" s="2">
        <v>0</v>
      </c>
      <c r="M3912" s="2"/>
      <c r="N3912" s="8">
        <v>43261.677847222221</v>
      </c>
      <c r="O3912" s="4" t="s">
        <v>133</v>
      </c>
      <c r="P3912" s="3" t="s">
        <v>6565</v>
      </c>
      <c r="Q3912" s="4"/>
      <c r="R3912" s="4"/>
      <c r="S3912" s="9" t="str">
        <f>HYPERLINK("https://pbs.twimg.com/profile_images/1005782920727023616/Kgnc8wdo.jpg","View")</f>
        <v>View</v>
      </c>
    </row>
    <row r="3913" spans="1:19" ht="40">
      <c r="A3913" s="8">
        <v>43341.591249999998</v>
      </c>
      <c r="B3913" s="11" t="str">
        <f>HYPERLINK("https://twitter.com/mahdi_saghari","@mahdi_saghari")</f>
        <v>@mahdi_saghari</v>
      </c>
      <c r="C3913" s="6" t="s">
        <v>6564</v>
      </c>
      <c r="D3913" s="5" t="s">
        <v>6563</v>
      </c>
      <c r="E3913" s="9" t="str">
        <f>HYPERLINK("https://twitter.com/mahdi_saghari/status/1034737774295801856","1034737774295801856")</f>
        <v>1034737774295801856</v>
      </c>
      <c r="F3913" s="4"/>
      <c r="G3913" s="4"/>
      <c r="H3913" s="4"/>
      <c r="I3913" s="10" t="str">
        <f>HYPERLINK("http://twitter.com","Twitter Web Client")</f>
        <v>Twitter Web Client</v>
      </c>
      <c r="J3913" s="2">
        <v>34</v>
      </c>
      <c r="K3913" s="2">
        <v>47</v>
      </c>
      <c r="L3913" s="2">
        <v>0</v>
      </c>
      <c r="M3913" s="2"/>
      <c r="N3913" s="8">
        <v>43328.694965277777</v>
      </c>
      <c r="O3913" s="4"/>
      <c r="P3913" s="3" t="s">
        <v>6562</v>
      </c>
      <c r="Q3913" s="10" t="s">
        <v>6561</v>
      </c>
      <c r="R3913" s="4"/>
      <c r="S3913" s="9" t="str">
        <f>HYPERLINK("https://pbs.twimg.com/profile_images/1030077584149602305/VSvEAr8E.jpg","View")</f>
        <v>View</v>
      </c>
    </row>
    <row r="3914" spans="1:19" ht="50">
      <c r="A3914" s="8">
        <v>43341.590648148151</v>
      </c>
      <c r="B3914" s="11" t="str">
        <f>HYPERLINK("https://twitter.com/mahdiayat","@mahdiayat")</f>
        <v>@mahdiayat</v>
      </c>
      <c r="C3914" s="6" t="s">
        <v>4907</v>
      </c>
      <c r="D3914" s="5" t="s">
        <v>6560</v>
      </c>
      <c r="E3914" s="9" t="str">
        <f>HYPERLINK("https://twitter.com/mahdiayat/status/1034737556716367872","1034737556716367872")</f>
        <v>1034737556716367872</v>
      </c>
      <c r="F3914" s="10" t="s">
        <v>6559</v>
      </c>
      <c r="G3914" s="4"/>
      <c r="H3914" s="4"/>
      <c r="I3914" s="10" t="str">
        <f>HYPERLINK("http://twitter.com/download/iphone","Twitter for iPhone")</f>
        <v>Twitter for iPhone</v>
      </c>
      <c r="J3914" s="2">
        <v>225</v>
      </c>
      <c r="K3914" s="2">
        <v>952</v>
      </c>
      <c r="L3914" s="2">
        <v>3</v>
      </c>
      <c r="M3914" s="2"/>
      <c r="N3914" s="8">
        <v>39793.538819444446</v>
      </c>
      <c r="O3914" s="4" t="s">
        <v>4905</v>
      </c>
      <c r="P3914" s="3" t="s">
        <v>4904</v>
      </c>
      <c r="Q3914" s="4"/>
      <c r="R3914" s="4"/>
      <c r="S3914" s="9" t="str">
        <f>HYPERLINK("https://pbs.twimg.com/profile_images/997401220024221696/b6kS9tmF.jpg","View")</f>
        <v>View</v>
      </c>
    </row>
    <row r="3915" spans="1:19" ht="30">
      <c r="A3915" s="8">
        <v>43341.590196759258</v>
      </c>
      <c r="B3915" s="11" t="str">
        <f>HYPERLINK("https://twitter.com/Mrjalili1997","@Mrjalili1997")</f>
        <v>@Mrjalili1997</v>
      </c>
      <c r="C3915" s="6" t="s">
        <v>6558</v>
      </c>
      <c r="D3915" s="5" t="s">
        <v>6557</v>
      </c>
      <c r="E3915" s="9" t="str">
        <f>HYPERLINK("https://twitter.com/Mrjalili1997/status/1034737393558069248","1034737393558069248")</f>
        <v>1034737393558069248</v>
      </c>
      <c r="F3915" s="4"/>
      <c r="G3915" s="4"/>
      <c r="H3915" s="4"/>
      <c r="I3915" s="10" t="str">
        <f>HYPERLINK("https://mobile.twitter.com","Mobile Web (M2)")</f>
        <v>Mobile Web (M2)</v>
      </c>
      <c r="J3915" s="2">
        <v>14</v>
      </c>
      <c r="K3915" s="2">
        <v>19</v>
      </c>
      <c r="L3915" s="2">
        <v>0</v>
      </c>
      <c r="M3915" s="2"/>
      <c r="N3915" s="8">
        <v>43312.434189814812</v>
      </c>
      <c r="O3915" s="4"/>
      <c r="P3915" s="3"/>
      <c r="Q3915" s="4"/>
      <c r="R3915" s="4"/>
      <c r="S3915" s="9" t="str">
        <f>HYPERLINK("https://pbs.twimg.com/profile_images/1033250209764134912/6hITJf7r.jpg","View")</f>
        <v>View</v>
      </c>
    </row>
    <row r="3916" spans="1:19" ht="20">
      <c r="A3916" s="8">
        <v>43341.58893518518</v>
      </c>
      <c r="B3916" s="11" t="str">
        <f>HYPERLINK("https://twitter.com/teimourimohsen","@teimourimohsen")</f>
        <v>@teimourimohsen</v>
      </c>
      <c r="C3916" s="6" t="s">
        <v>537</v>
      </c>
      <c r="D3916" s="5" t="s">
        <v>6556</v>
      </c>
      <c r="E3916" s="9" t="str">
        <f>HYPERLINK("https://twitter.com/teimourimohsen/status/1034736937314279424","1034736937314279424")</f>
        <v>1034736937314279424</v>
      </c>
      <c r="F3916" s="4"/>
      <c r="G3916" s="4"/>
      <c r="H3916" s="4"/>
      <c r="I3916" s="10" t="str">
        <f>HYPERLINK("http://twitter.com/download/android","Twitter for Android")</f>
        <v>Twitter for Android</v>
      </c>
      <c r="J3916" s="2">
        <v>73</v>
      </c>
      <c r="K3916" s="2">
        <v>146</v>
      </c>
      <c r="L3916" s="2">
        <v>0</v>
      </c>
      <c r="M3916" s="2"/>
      <c r="N3916" s="8">
        <v>40870.485555555555</v>
      </c>
      <c r="O3916" s="4" t="s">
        <v>133</v>
      </c>
      <c r="P3916" s="3" t="s">
        <v>535</v>
      </c>
      <c r="Q3916" s="4"/>
      <c r="R3916" s="4"/>
      <c r="S3916" s="9" t="str">
        <f>HYPERLINK("https://pbs.twimg.com/profile_images/1031124970573840384/YenL6NJ5.jpg","View")</f>
        <v>View</v>
      </c>
    </row>
    <row r="3917" spans="1:19" ht="40">
      <c r="A3917" s="8">
        <v>43341.58893518518</v>
      </c>
      <c r="B3917" s="11" t="str">
        <f>HYPERLINK("https://twitter.com/RKhabook","@RKhabook")</f>
        <v>@RKhabook</v>
      </c>
      <c r="C3917" s="6" t="s">
        <v>4434</v>
      </c>
      <c r="D3917" s="5" t="s">
        <v>6555</v>
      </c>
      <c r="E3917" s="9" t="str">
        <f>HYPERLINK("https://twitter.com/RKhabook/status/1034736937226170368","1034736937226170368")</f>
        <v>1034736937226170368</v>
      </c>
      <c r="F3917" s="4"/>
      <c r="G3917" s="4"/>
      <c r="H3917" s="4"/>
      <c r="I3917" s="10" t="str">
        <f>HYPERLINK("http://twitter.com/download/iphone","Twitter for iPhone")</f>
        <v>Twitter for iPhone</v>
      </c>
      <c r="J3917" s="2">
        <v>609</v>
      </c>
      <c r="K3917" s="2">
        <v>366</v>
      </c>
      <c r="L3917" s="2">
        <v>0</v>
      </c>
      <c r="M3917" s="2"/>
      <c r="N3917" s="8">
        <v>42893.76961805555</v>
      </c>
      <c r="O3917" s="4" t="s">
        <v>133</v>
      </c>
      <c r="P3917" s="3" t="s">
        <v>4432</v>
      </c>
      <c r="Q3917" s="4"/>
      <c r="R3917" s="4"/>
      <c r="S3917" s="9" t="str">
        <f>HYPERLINK("https://pbs.twimg.com/profile_images/1029852416588570625/ZZ6zSOWA.jpg","View")</f>
        <v>View</v>
      </c>
    </row>
    <row r="3918" spans="1:19" ht="40">
      <c r="A3918" s="8">
        <v>43341.588587962964</v>
      </c>
      <c r="B3918" s="11" t="str">
        <f>HYPERLINK("https://twitter.com/Mahdi_am1989","@Mahdi_am1989")</f>
        <v>@Mahdi_am1989</v>
      </c>
      <c r="C3918" s="6" t="s">
        <v>6554</v>
      </c>
      <c r="D3918" s="5" t="s">
        <v>6553</v>
      </c>
      <c r="E3918" s="9" t="str">
        <f>HYPERLINK("https://twitter.com/Mahdi_am1989/status/1034736811229233152","1034736811229233152")</f>
        <v>1034736811229233152</v>
      </c>
      <c r="F3918" s="4"/>
      <c r="G3918" s="4"/>
      <c r="H3918" s="4"/>
      <c r="I3918" s="10" t="str">
        <f>HYPERLINK("http://twitter.com/download/android","Twitter for Android")</f>
        <v>Twitter for Android</v>
      </c>
      <c r="J3918" s="2">
        <v>6</v>
      </c>
      <c r="K3918" s="2">
        <v>30</v>
      </c>
      <c r="L3918" s="2">
        <v>0</v>
      </c>
      <c r="M3918" s="2"/>
      <c r="N3918" s="8">
        <v>43204.953055555554</v>
      </c>
      <c r="O3918" s="4"/>
      <c r="P3918" s="3" t="s">
        <v>6552</v>
      </c>
      <c r="Q3918" s="4"/>
      <c r="R3918" s="4"/>
      <c r="S3918" s="9" t="str">
        <f>HYPERLINK("https://pbs.twimg.com/profile_images/987967630827962368/UUNmjuvv.jpg","View")</f>
        <v>View</v>
      </c>
    </row>
    <row r="3919" spans="1:19" ht="30">
      <c r="A3919" s="8">
        <v>43341.586747685185</v>
      </c>
      <c r="B3919" s="11" t="str">
        <f>HYPERLINK("https://twitter.com/ekenghelabi","@ekenghelabi")</f>
        <v>@ekenghelabi</v>
      </c>
      <c r="C3919" s="6" t="s">
        <v>6551</v>
      </c>
      <c r="D3919" s="5" t="s">
        <v>6550</v>
      </c>
      <c r="E3919" s="9" t="str">
        <f>HYPERLINK("https://twitter.com/ekenghelabi/status/1034736143944822787","1034736143944822787")</f>
        <v>1034736143944822787</v>
      </c>
      <c r="F3919" s="10" t="s">
        <v>6549</v>
      </c>
      <c r="G3919" s="10" t="s">
        <v>6548</v>
      </c>
      <c r="H3919" s="4"/>
      <c r="I3919" s="10" t="str">
        <f>HYPERLINK("http://twitter.com","Twitter Web Client")</f>
        <v>Twitter Web Client</v>
      </c>
      <c r="J3919" s="2">
        <v>0</v>
      </c>
      <c r="K3919" s="2">
        <v>2</v>
      </c>
      <c r="L3919" s="2">
        <v>0</v>
      </c>
      <c r="M3919" s="2"/>
      <c r="N3919" s="8">
        <v>43341.571886574078</v>
      </c>
      <c r="O3919" s="4"/>
      <c r="P3919" s="3"/>
      <c r="Q3919" s="4"/>
      <c r="R3919" s="4"/>
      <c r="S3919" s="9" t="str">
        <f>HYPERLINK("https://pbs.twimg.com/profile_images/1034734065235189760/lgS9arTQ.jpg","View")</f>
        <v>View</v>
      </c>
    </row>
    <row r="3920" spans="1:19" ht="40">
      <c r="A3920" s="8">
        <v>43341.585081018522</v>
      </c>
      <c r="B3920" s="11" t="str">
        <f>HYPERLINK("https://twitter.com/Kiyanara","@Kiyanara")</f>
        <v>@Kiyanara</v>
      </c>
      <c r="C3920" s="6" t="s">
        <v>2162</v>
      </c>
      <c r="D3920" s="5" t="s">
        <v>6547</v>
      </c>
      <c r="E3920" s="9" t="str">
        <f>HYPERLINK("https://twitter.com/Kiyanara/status/1034735539591639041","1034735539591639041")</f>
        <v>1034735539591639041</v>
      </c>
      <c r="F3920" s="4" t="s">
        <v>6546</v>
      </c>
      <c r="G3920" s="10" t="s">
        <v>6545</v>
      </c>
      <c r="H3920" s="4"/>
      <c r="I3920" s="10" t="str">
        <f>HYPERLINK("http://twitter.com","Twitter Web Client")</f>
        <v>Twitter Web Client</v>
      </c>
      <c r="J3920" s="2">
        <v>289</v>
      </c>
      <c r="K3920" s="2">
        <v>227</v>
      </c>
      <c r="L3920" s="2">
        <v>2</v>
      </c>
      <c r="M3920" s="2"/>
      <c r="N3920" s="8">
        <v>41155.709988425922</v>
      </c>
      <c r="O3920" s="4" t="s">
        <v>2159</v>
      </c>
      <c r="P3920" s="3" t="s">
        <v>2158</v>
      </c>
      <c r="Q3920" s="4"/>
      <c r="R3920" s="4"/>
      <c r="S3920" s="9" t="str">
        <f>HYPERLINK("https://pbs.twimg.com/profile_images/1016974331086176256/AIsihCYT.jpg","View")</f>
        <v>View</v>
      </c>
    </row>
    <row r="3921" spans="1:19" ht="40">
      <c r="A3921" s="8">
        <v>43341.584814814814</v>
      </c>
      <c r="B3921" s="11" t="str">
        <f>HYPERLINK("https://twitter.com/amir17749529","@amir17749529")</f>
        <v>@amir17749529</v>
      </c>
      <c r="C3921" s="6" t="s">
        <v>6544</v>
      </c>
      <c r="D3921" s="5" t="s">
        <v>6543</v>
      </c>
      <c r="E3921" s="9" t="str">
        <f>HYPERLINK("https://twitter.com/amir17749529/status/1034735442049093632","1034735442049093632")</f>
        <v>1034735442049093632</v>
      </c>
      <c r="F3921" s="4"/>
      <c r="G3921" s="10" t="s">
        <v>6542</v>
      </c>
      <c r="H3921" s="4"/>
      <c r="I3921" s="10" t="str">
        <f>HYPERLINK("http://twitter.com/download/android","Twitter for Android")</f>
        <v>Twitter for Android</v>
      </c>
      <c r="J3921" s="2">
        <v>14</v>
      </c>
      <c r="K3921" s="2">
        <v>34</v>
      </c>
      <c r="L3921" s="2">
        <v>0</v>
      </c>
      <c r="M3921" s="2"/>
      <c r="N3921" s="8">
        <v>43275.89949074074</v>
      </c>
      <c r="O3921" s="4" t="s">
        <v>6541</v>
      </c>
      <c r="P3921" s="3" t="s">
        <v>6540</v>
      </c>
      <c r="Q3921" s="4"/>
      <c r="R3921" s="4"/>
      <c r="S3921" s="9" t="str">
        <f>HYPERLINK("https://pbs.twimg.com/profile_images/1034359323969941505/H7sQOQOd.jpg","View")</f>
        <v>View</v>
      </c>
    </row>
    <row r="3922" spans="1:19" ht="40">
      <c r="A3922" s="8">
        <v>43341.584652777776</v>
      </c>
      <c r="B3922" s="11" t="str">
        <f>HYPERLINK("https://twitter.com/kateb_ouham","@kateb_ouham")</f>
        <v>@kateb_ouham</v>
      </c>
      <c r="C3922" s="6" t="s">
        <v>2997</v>
      </c>
      <c r="D3922" s="5" t="s">
        <v>6539</v>
      </c>
      <c r="E3922" s="9" t="str">
        <f>HYPERLINK("https://twitter.com/kateb_ouham/status/1034735382183727104","1034735382183727104")</f>
        <v>1034735382183727104</v>
      </c>
      <c r="F3922" s="4"/>
      <c r="G3922" s="4"/>
      <c r="H3922" s="4"/>
      <c r="I3922" s="10" t="str">
        <f>HYPERLINK("http://twitter.com/download/android","Twitter for Android")</f>
        <v>Twitter for Android</v>
      </c>
      <c r="J3922" s="2">
        <v>1604</v>
      </c>
      <c r="K3922" s="2">
        <v>1271</v>
      </c>
      <c r="L3922" s="2">
        <v>1</v>
      </c>
      <c r="M3922" s="2"/>
      <c r="N3922" s="8">
        <v>43238.326655092591</v>
      </c>
      <c r="O3922" s="4" t="s">
        <v>34</v>
      </c>
      <c r="P3922" s="3" t="s">
        <v>2995</v>
      </c>
      <c r="Q3922" s="4"/>
      <c r="R3922" s="4"/>
      <c r="S3922" s="9" t="str">
        <f>HYPERLINK("https://pbs.twimg.com/profile_images/1026085330624163840/hPNekdYn.jpg","View")</f>
        <v>View</v>
      </c>
    </row>
    <row r="3923" spans="1:19" ht="30">
      <c r="A3923" s="8">
        <v>43341.584050925929</v>
      </c>
      <c r="B3923" s="11" t="str">
        <f>HYPERLINK("https://twitter.com/mohamadsalimi69","@mohamadsalimi69")</f>
        <v>@mohamadsalimi69</v>
      </c>
      <c r="C3923" s="6" t="s">
        <v>2858</v>
      </c>
      <c r="D3923" s="5" t="s">
        <v>6538</v>
      </c>
      <c r="E3923" s="9" t="str">
        <f>HYPERLINK("https://twitter.com/mohamadsalimi69/status/1034735166462349314","1034735166462349314")</f>
        <v>1034735166462349314</v>
      </c>
      <c r="F3923" s="4"/>
      <c r="G3923" s="4"/>
      <c r="H3923" s="4"/>
      <c r="I3923" s="10" t="str">
        <f>HYPERLINK("http://twitter.com/download/android","Twitter for Android")</f>
        <v>Twitter for Android</v>
      </c>
      <c r="J3923" s="2">
        <v>256</v>
      </c>
      <c r="K3923" s="2">
        <v>220</v>
      </c>
      <c r="L3923" s="2">
        <v>0</v>
      </c>
      <c r="M3923" s="2"/>
      <c r="N3923" s="8">
        <v>42471.547812500001</v>
      </c>
      <c r="O3923" s="4"/>
      <c r="P3923" s="3" t="s">
        <v>2855</v>
      </c>
      <c r="Q3923" s="4"/>
      <c r="R3923" s="4"/>
      <c r="S3923" s="9" t="str">
        <f>HYPERLINK("https://pbs.twimg.com/profile_images/1011262089216823296/oKIeknpo.jpg","View")</f>
        <v>View</v>
      </c>
    </row>
    <row r="3924" spans="1:19" ht="12.5">
      <c r="A3924" s="8">
        <v>43341.584050925929</v>
      </c>
      <c r="B3924" s="11" t="str">
        <f>HYPERLINK("https://twitter.com/jaaardotcom","@jaaardotcom")</f>
        <v>@jaaardotcom</v>
      </c>
      <c r="C3924" s="6" t="s">
        <v>6537</v>
      </c>
      <c r="D3924" s="5" t="s">
        <v>6536</v>
      </c>
      <c r="E3924" s="9" t="str">
        <f>HYPERLINK("https://twitter.com/jaaardotcom/status/1034735166378467329","1034735166378467329")</f>
        <v>1034735166378467329</v>
      </c>
      <c r="F3924" s="4"/>
      <c r="G3924" s="10" t="s">
        <v>6535</v>
      </c>
      <c r="H3924" s="4"/>
      <c r="I3924" s="10" t="str">
        <f>HYPERLINK("https://buffer.com","Buffer")</f>
        <v>Buffer</v>
      </c>
      <c r="J3924" s="2">
        <v>22544</v>
      </c>
      <c r="K3924" s="2">
        <v>203</v>
      </c>
      <c r="L3924" s="2">
        <v>87</v>
      </c>
      <c r="M3924" s="2"/>
      <c r="N3924" s="8">
        <v>40893.423807870371</v>
      </c>
      <c r="O3924" s="4" t="s">
        <v>133</v>
      </c>
      <c r="P3924" s="3" t="s">
        <v>6534</v>
      </c>
      <c r="Q3924" s="10" t="s">
        <v>6533</v>
      </c>
      <c r="R3924" s="4"/>
      <c r="S3924" s="9" t="str">
        <f>HYPERLINK("https://pbs.twimg.com/profile_images/1020564746473525250/XzyzGGfn.jpg","View")</f>
        <v>View</v>
      </c>
    </row>
    <row r="3925" spans="1:19" ht="12.5">
      <c r="A3925" s="8">
        <v>43341.583726851852</v>
      </c>
      <c r="B3925" s="11" t="str">
        <f>HYPERLINK("https://twitter.com/sheykhhasannaj1","@sheykhhasannaj1")</f>
        <v>@sheykhhasannaj1</v>
      </c>
      <c r="C3925" s="6" t="s">
        <v>1709</v>
      </c>
      <c r="D3925" s="5" t="s">
        <v>6532</v>
      </c>
      <c r="E3925" s="9" t="str">
        <f>HYPERLINK("https://twitter.com/sheykhhasannaj1/status/1034735049617420289","1034735049617420289")</f>
        <v>1034735049617420289</v>
      </c>
      <c r="F3925" s="4"/>
      <c r="G3925" s="10" t="s">
        <v>6531</v>
      </c>
      <c r="H3925" s="4"/>
      <c r="I3925" s="10" t="str">
        <f>HYPERLINK("http://twitter.com/download/iphone","Twitter for iPhone")</f>
        <v>Twitter for iPhone</v>
      </c>
      <c r="J3925" s="2">
        <v>1179</v>
      </c>
      <c r="K3925" s="2">
        <v>1205</v>
      </c>
      <c r="L3925" s="2">
        <v>3</v>
      </c>
      <c r="M3925" s="2"/>
      <c r="N3925" s="8">
        <v>43182.919398148151</v>
      </c>
      <c r="O3925" s="4"/>
      <c r="P3925" s="3" t="s">
        <v>1706</v>
      </c>
      <c r="Q3925" s="4"/>
      <c r="R3925" s="4"/>
      <c r="S3925" s="9" t="str">
        <f>HYPERLINK("https://pbs.twimg.com/profile_images/998536053723049984/5SWehAdc.jpg","View")</f>
        <v>View</v>
      </c>
    </row>
    <row r="3926" spans="1:19" ht="30">
      <c r="A3926" s="8">
        <v>43341.582858796297</v>
      </c>
      <c r="B3926" s="11" t="str">
        <f>HYPERLINK("https://twitter.com/mmyussefi","@mmyussefi")</f>
        <v>@mmyussefi</v>
      </c>
      <c r="C3926" s="6" t="s">
        <v>6530</v>
      </c>
      <c r="D3926" s="5" t="s">
        <v>6529</v>
      </c>
      <c r="E3926" s="9" t="str">
        <f>HYPERLINK("https://twitter.com/mmyussefi/status/1034734733685489664","1034734733685489664")</f>
        <v>1034734733685489664</v>
      </c>
      <c r="F3926" s="10" t="s">
        <v>6528</v>
      </c>
      <c r="G3926" s="10" t="s">
        <v>6527</v>
      </c>
      <c r="H3926" s="4"/>
      <c r="I3926" s="10" t="str">
        <f>HYPERLINK("http://twitter.com/download/android","Twitter for Android")</f>
        <v>Twitter for Android</v>
      </c>
      <c r="J3926" s="2">
        <v>239</v>
      </c>
      <c r="K3926" s="2">
        <v>166</v>
      </c>
      <c r="L3926" s="2">
        <v>2</v>
      </c>
      <c r="M3926" s="2"/>
      <c r="N3926" s="8">
        <v>42677.402384259258</v>
      </c>
      <c r="O3926" s="4" t="s">
        <v>17</v>
      </c>
      <c r="P3926" s="3" t="s">
        <v>6526</v>
      </c>
      <c r="Q3926" s="4"/>
      <c r="R3926" s="4"/>
      <c r="S3926" s="9" t="str">
        <f>HYPERLINK("https://pbs.twimg.com/profile_images/971485722984288256/RHZSzcXq.jpg","View")</f>
        <v>View</v>
      </c>
    </row>
    <row r="3927" spans="1:19" ht="30">
      <c r="A3927" s="8">
        <v>43341.582627314812</v>
      </c>
      <c r="B3927" s="11" t="str">
        <f>HYPERLINK("https://twitter.com/458_reza","@458_reza")</f>
        <v>@458_reza</v>
      </c>
      <c r="C3927" s="6" t="s">
        <v>1221</v>
      </c>
      <c r="D3927" s="5" t="s">
        <v>6525</v>
      </c>
      <c r="E3927" s="9" t="str">
        <f>HYPERLINK("https://twitter.com/458_reza/status/1034734647320686593","1034734647320686593")</f>
        <v>1034734647320686593</v>
      </c>
      <c r="F3927" s="10" t="s">
        <v>6524</v>
      </c>
      <c r="G3927" s="10" t="s">
        <v>6445</v>
      </c>
      <c r="H3927" s="4"/>
      <c r="I3927" s="10" t="str">
        <f>HYPERLINK("http://twitter.com/download/iphone","Twitter for iPhone")</f>
        <v>Twitter for iPhone</v>
      </c>
      <c r="J3927" s="2">
        <v>121</v>
      </c>
      <c r="K3927" s="2">
        <v>179</v>
      </c>
      <c r="L3927" s="2">
        <v>0</v>
      </c>
      <c r="M3927" s="2"/>
      <c r="N3927" s="8">
        <v>41812.539317129631</v>
      </c>
      <c r="O3927" s="4" t="s">
        <v>1219</v>
      </c>
      <c r="P3927" s="3" t="s">
        <v>1218</v>
      </c>
      <c r="Q3927" s="4"/>
      <c r="R3927" s="4"/>
      <c r="S3927" s="9" t="str">
        <f>HYPERLINK("https://pbs.twimg.com/profile_images/940287487728947201/gzGWxfmy.jpg","View")</f>
        <v>View</v>
      </c>
    </row>
    <row r="3928" spans="1:19" ht="30">
      <c r="A3928" s="8">
        <v>43341.582083333335</v>
      </c>
      <c r="B3928" s="11" t="str">
        <f>HYPERLINK("https://twitter.com/YasinMoradian","@YasinMoradian")</f>
        <v>@YasinMoradian</v>
      </c>
      <c r="C3928" s="6" t="s">
        <v>6523</v>
      </c>
      <c r="D3928" s="5" t="s">
        <v>6522</v>
      </c>
      <c r="E3928" s="9" t="str">
        <f>HYPERLINK("https://twitter.com/YasinMoradian/status/1034734452142829568","1034734452142829568")</f>
        <v>1034734452142829568</v>
      </c>
      <c r="F3928" s="4"/>
      <c r="G3928" s="4"/>
      <c r="H3928" s="4"/>
      <c r="I3928" s="10" t="str">
        <f>HYPERLINK("http://twitter.com/download/android","Twitter for Android")</f>
        <v>Twitter for Android</v>
      </c>
      <c r="J3928" s="2">
        <v>2</v>
      </c>
      <c r="K3928" s="2">
        <v>104</v>
      </c>
      <c r="L3928" s="2">
        <v>0</v>
      </c>
      <c r="M3928" s="2"/>
      <c r="N3928" s="8">
        <v>43340.830671296295</v>
      </c>
      <c r="O3928" s="4"/>
      <c r="P3928" s="3" t="s">
        <v>6521</v>
      </c>
      <c r="Q3928" s="4"/>
      <c r="R3928" s="4"/>
      <c r="S3928" s="9" t="str">
        <f>HYPERLINK("https://pbs.twimg.com/profile_images/1034710436824973312/haq_eq1T.jpg","View")</f>
        <v>View</v>
      </c>
    </row>
    <row r="3929" spans="1:19" ht="40">
      <c r="A3929" s="8">
        <v>43341.581828703704</v>
      </c>
      <c r="B3929" s="11" t="str">
        <f>HYPERLINK("https://twitter.com/Javadakhani2","@Javadakhani2")</f>
        <v>@Javadakhani2</v>
      </c>
      <c r="C3929" s="6" t="s">
        <v>6520</v>
      </c>
      <c r="D3929" s="5" t="s">
        <v>6519</v>
      </c>
      <c r="E3929" s="9" t="str">
        <f>HYPERLINK("https://twitter.com/Javadakhani2/status/1034734359792812032","1034734359792812032")</f>
        <v>1034734359792812032</v>
      </c>
      <c r="F3929" s="4"/>
      <c r="G3929" s="10" t="s">
        <v>6518</v>
      </c>
      <c r="H3929" s="4"/>
      <c r="I3929" s="10" t="str">
        <f>HYPERLINK("http://twitter.com","Twitter Web Client")</f>
        <v>Twitter Web Client</v>
      </c>
      <c r="J3929" s="2">
        <v>1899</v>
      </c>
      <c r="K3929" s="2">
        <v>2496</v>
      </c>
      <c r="L3929" s="2">
        <v>17</v>
      </c>
      <c r="M3929" s="2"/>
      <c r="N3929" s="8">
        <v>42623.943564814814</v>
      </c>
      <c r="O3929" s="4"/>
      <c r="P3929" s="3" t="s">
        <v>6517</v>
      </c>
      <c r="Q3929" s="4"/>
      <c r="R3929" s="4"/>
      <c r="S3929" s="9" t="str">
        <f>HYPERLINK("https://pbs.twimg.com/profile_images/999622362780729345/MDldslg_.jpg","View")</f>
        <v>View</v>
      </c>
    </row>
    <row r="3930" spans="1:19" ht="40">
      <c r="A3930" s="8">
        <v>43341.581747685181</v>
      </c>
      <c r="B3930" s="11" t="str">
        <f>HYPERLINK("https://twitter.com/babaei_yasser","@babaei_yasser")</f>
        <v>@babaei_yasser</v>
      </c>
      <c r="C3930" s="6" t="s">
        <v>6516</v>
      </c>
      <c r="D3930" s="5" t="s">
        <v>6515</v>
      </c>
      <c r="E3930" s="9" t="str">
        <f>HYPERLINK("https://twitter.com/babaei_yasser/status/1034734329715412992","1034734329715412992")</f>
        <v>1034734329715412992</v>
      </c>
      <c r="F3930" s="4"/>
      <c r="G3930" s="4"/>
      <c r="H3930" s="4"/>
      <c r="I3930" s="10" t="str">
        <f>HYPERLINK("http://twitter.com/download/android","Twitter for Android")</f>
        <v>Twitter for Android</v>
      </c>
      <c r="J3930" s="2">
        <v>35</v>
      </c>
      <c r="K3930" s="2">
        <v>52</v>
      </c>
      <c r="L3930" s="2">
        <v>0</v>
      </c>
      <c r="M3930" s="2"/>
      <c r="N3930" s="8">
        <v>43282.520092592589</v>
      </c>
      <c r="O3930" s="4"/>
      <c r="P3930" s="3" t="s">
        <v>6514</v>
      </c>
      <c r="Q3930" s="10" t="s">
        <v>6513</v>
      </c>
      <c r="R3930" s="4"/>
      <c r="S3930" s="9" t="str">
        <f>HYPERLINK("https://pbs.twimg.com/profile_images/1034007301919842305/5MwiaNPR.jpg","View")</f>
        <v>View</v>
      </c>
    </row>
    <row r="3931" spans="1:19" ht="20">
      <c r="A3931" s="8">
        <v>43341.579826388886</v>
      </c>
      <c r="B3931" s="11" t="str">
        <f>HYPERLINK("https://twitter.com/morteza65974573","@morteza65974573")</f>
        <v>@morteza65974573</v>
      </c>
      <c r="C3931" s="6" t="s">
        <v>6512</v>
      </c>
      <c r="D3931" s="5" t="s">
        <v>6511</v>
      </c>
      <c r="E3931" s="9" t="str">
        <f>HYPERLINK("https://twitter.com/morteza65974573/status/1034733633117073408","1034733633117073408")</f>
        <v>1034733633117073408</v>
      </c>
      <c r="F3931" s="4"/>
      <c r="G3931" s="4"/>
      <c r="H3931" s="4"/>
      <c r="I3931" s="10" t="str">
        <f>HYPERLINK("http://twitter.com","Twitter Web Client")</f>
        <v>Twitter Web Client</v>
      </c>
      <c r="J3931" s="2">
        <v>6</v>
      </c>
      <c r="K3931" s="2">
        <v>63</v>
      </c>
      <c r="L3931" s="2">
        <v>0</v>
      </c>
      <c r="M3931" s="2"/>
      <c r="N3931" s="8">
        <v>43270.619745370372</v>
      </c>
      <c r="O3931" s="4"/>
      <c r="P3931" s="3" t="s">
        <v>6510</v>
      </c>
      <c r="Q3931" s="4"/>
      <c r="R3931" s="4"/>
      <c r="S3931" s="9" t="str">
        <f>HYPERLINK("https://pbs.twimg.com/profile_images/1009019551659552768/P9eRVe8E.jpg","View")</f>
        <v>View</v>
      </c>
    </row>
    <row r="3932" spans="1:19" ht="40">
      <c r="A3932" s="8">
        <v>43341.579432870371</v>
      </c>
      <c r="B3932" s="11" t="str">
        <f>HYPERLINK("https://twitter.com/M_R_Tahami","@M_R_Tahami")</f>
        <v>@M_R_Tahami</v>
      </c>
      <c r="C3932" s="6" t="s">
        <v>6509</v>
      </c>
      <c r="D3932" s="5" t="s">
        <v>6508</v>
      </c>
      <c r="E3932" s="9" t="str">
        <f>HYPERLINK("https://twitter.com/M_R_Tahami/status/1034733493555736576","1034733493555736576")</f>
        <v>1034733493555736576</v>
      </c>
      <c r="F3932" s="4"/>
      <c r="G3932" s="4"/>
      <c r="H3932" s="4"/>
      <c r="I3932" s="10" t="str">
        <f>HYPERLINK("http://twitter.com/download/iphone","Twitter for iPhone")</f>
        <v>Twitter for iPhone</v>
      </c>
      <c r="J3932" s="2">
        <v>157</v>
      </c>
      <c r="K3932" s="2">
        <v>206</v>
      </c>
      <c r="L3932" s="2">
        <v>1</v>
      </c>
      <c r="M3932" s="2"/>
      <c r="N3932" s="8">
        <v>40504.357291666667</v>
      </c>
      <c r="O3932" s="4" t="s">
        <v>6507</v>
      </c>
      <c r="P3932" s="3" t="s">
        <v>6506</v>
      </c>
      <c r="Q3932" s="4"/>
      <c r="R3932" s="4"/>
      <c r="S3932" s="9" t="str">
        <f>HYPERLINK("https://pbs.twimg.com/profile_images/1029335949350719489/WSk5jpSf.jpg","View")</f>
        <v>View</v>
      </c>
    </row>
    <row r="3933" spans="1:19" ht="40">
      <c r="A3933" s="8">
        <v>43341.577164351853</v>
      </c>
      <c r="B3933" s="11" t="str">
        <f>HYPERLINK("https://twitter.com/saeed_arefi","@saeed_arefi")</f>
        <v>@saeed_arefi</v>
      </c>
      <c r="C3933" s="6" t="s">
        <v>1148</v>
      </c>
      <c r="D3933" s="5" t="s">
        <v>6505</v>
      </c>
      <c r="E3933" s="9" t="str">
        <f>HYPERLINK("https://twitter.com/saeed_arefi/status/1034732670511665152","1034732670511665152")</f>
        <v>1034732670511665152</v>
      </c>
      <c r="F3933" s="4"/>
      <c r="G3933" s="4"/>
      <c r="H3933" s="4"/>
      <c r="I3933" s="10" t="str">
        <f>HYPERLINK("http://twitter.com/download/iphone","Twitter for iPhone")</f>
        <v>Twitter for iPhone</v>
      </c>
      <c r="J3933" s="2">
        <v>0</v>
      </c>
      <c r="K3933" s="2">
        <v>0</v>
      </c>
      <c r="L3933" s="2">
        <v>0</v>
      </c>
      <c r="M3933" s="2"/>
      <c r="N3933" s="8">
        <v>43229.558356481481</v>
      </c>
      <c r="O3933" s="4"/>
      <c r="P3933" s="3" t="s">
        <v>1146</v>
      </c>
      <c r="Q3933" s="4"/>
      <c r="R3933" s="4"/>
      <c r="S3933" s="2" t="s">
        <v>155</v>
      </c>
    </row>
    <row r="3934" spans="1:19" ht="40">
      <c r="A3934" s="8">
        <v>43341.577094907407</v>
      </c>
      <c r="B3934" s="11" t="str">
        <f>HYPERLINK("https://twitter.com/parham_25002500","@parham_25002500")</f>
        <v>@parham_25002500</v>
      </c>
      <c r="C3934" s="6" t="s">
        <v>6504</v>
      </c>
      <c r="D3934" s="5" t="s">
        <v>6503</v>
      </c>
      <c r="E3934" s="9" t="str">
        <f>HYPERLINK("https://twitter.com/parham_25002500/status/1034732645857599488","1034732645857599488")</f>
        <v>1034732645857599488</v>
      </c>
      <c r="F3934" s="4"/>
      <c r="G3934" s="4"/>
      <c r="H3934" s="4"/>
      <c r="I3934" s="10" t="str">
        <f>HYPERLINK("http://twitter.com/download/android","Twitter for Android")</f>
        <v>Twitter for Android</v>
      </c>
      <c r="J3934" s="2">
        <v>8</v>
      </c>
      <c r="K3934" s="2">
        <v>6</v>
      </c>
      <c r="L3934" s="2">
        <v>0</v>
      </c>
      <c r="M3934" s="2"/>
      <c r="N3934" s="8">
        <v>42914.765081018515</v>
      </c>
      <c r="O3934" s="4"/>
      <c r="P3934" s="3" t="s">
        <v>6502</v>
      </c>
      <c r="Q3934" s="4"/>
      <c r="R3934" s="4"/>
      <c r="S3934" s="9" t="str">
        <f>HYPERLINK("https://pbs.twimg.com/profile_images/880388038693720065/2O_nM5RU.jpg","View")</f>
        <v>View</v>
      </c>
    </row>
    <row r="3935" spans="1:19" ht="30">
      <c r="A3935" s="8">
        <v>43341.577060185184</v>
      </c>
      <c r="B3935" s="11" t="str">
        <f>HYPERLINK("https://twitter.com/Seyed_A325P","@Seyed_A325P")</f>
        <v>@Seyed_A325P</v>
      </c>
      <c r="C3935" s="6" t="s">
        <v>6501</v>
      </c>
      <c r="D3935" s="5" t="s">
        <v>6500</v>
      </c>
      <c r="E3935" s="9" t="str">
        <f>HYPERLINK("https://twitter.com/Seyed_A325P/status/1034732631773114368","1034732631773114368")</f>
        <v>1034732631773114368</v>
      </c>
      <c r="F3935" s="4"/>
      <c r="G3935" s="4"/>
      <c r="H3935" s="4"/>
      <c r="I3935" s="10" t="str">
        <f>HYPERLINK("http://twitter.com/download/android","Twitter for Android")</f>
        <v>Twitter for Android</v>
      </c>
      <c r="J3935" s="2">
        <v>313</v>
      </c>
      <c r="K3935" s="2">
        <v>482</v>
      </c>
      <c r="L3935" s="2">
        <v>0</v>
      </c>
      <c r="M3935" s="2"/>
      <c r="N3935" s="8">
        <v>42786.745486111111</v>
      </c>
      <c r="O3935" s="4" t="s">
        <v>34</v>
      </c>
      <c r="P3935" s="3" t="s">
        <v>6499</v>
      </c>
      <c r="Q3935" s="4"/>
      <c r="R3935" s="4"/>
      <c r="S3935" s="9" t="str">
        <f>HYPERLINK("https://pbs.twimg.com/profile_images/946296297597865984/vMwKDIVu.jpg","View")</f>
        <v>View</v>
      </c>
    </row>
    <row r="3936" spans="1:19" ht="12.5">
      <c r="A3936" s="8">
        <v>43341.575856481482</v>
      </c>
      <c r="B3936" s="11" t="str">
        <f>HYPERLINK("https://twitter.com/matin320","@matin320")</f>
        <v>@matin320</v>
      </c>
      <c r="C3936" s="6" t="s">
        <v>4530</v>
      </c>
      <c r="D3936" s="5" t="s">
        <v>6498</v>
      </c>
      <c r="E3936" s="9" t="str">
        <f>HYPERLINK("https://twitter.com/matin320/status/1034732195678695426","1034732195678695426")</f>
        <v>1034732195678695426</v>
      </c>
      <c r="F3936" s="4"/>
      <c r="G3936" s="10" t="s">
        <v>6497</v>
      </c>
      <c r="H3936" s="4"/>
      <c r="I3936" s="10" t="str">
        <f>HYPERLINK("https://about.twitter.com/products/tweetdeck","TweetDeck")</f>
        <v>TweetDeck</v>
      </c>
      <c r="J3936" s="2">
        <v>1</v>
      </c>
      <c r="K3936" s="2">
        <v>11</v>
      </c>
      <c r="L3936" s="2">
        <v>0</v>
      </c>
      <c r="M3936" s="2"/>
      <c r="N3936" s="8">
        <v>43269.204710648148</v>
      </c>
      <c r="O3936" s="4"/>
      <c r="P3936" s="3"/>
      <c r="Q3936" s="4"/>
      <c r="R3936" s="4"/>
      <c r="S3936" s="9" t="str">
        <f>HYPERLINK("https://pbs.twimg.com/profile_images/1034719402871148544/hBLNeAxC.jpg","View")</f>
        <v>View</v>
      </c>
    </row>
    <row r="3937" spans="1:19" ht="40">
      <c r="A3937" s="8">
        <v>43341.575659722221</v>
      </c>
      <c r="B3937" s="11" t="str">
        <f>HYPERLINK("https://twitter.com/pesareenghelabi","@pesareenghelabi")</f>
        <v>@pesareenghelabi</v>
      </c>
      <c r="C3937" s="6" t="s">
        <v>6496</v>
      </c>
      <c r="D3937" s="5" t="s">
        <v>6495</v>
      </c>
      <c r="E3937" s="9" t="str">
        <f>HYPERLINK("https://twitter.com/pesareenghelabi/status/1034732125034045442","1034732125034045442")</f>
        <v>1034732125034045442</v>
      </c>
      <c r="F3937" s="4"/>
      <c r="G3937" s="4"/>
      <c r="H3937" s="4"/>
      <c r="I3937" s="10" t="str">
        <f>HYPERLINK("http://twitter.com/download/iphone","Twitter for iPhone")</f>
        <v>Twitter for iPhone</v>
      </c>
      <c r="J3937" s="2">
        <v>1459</v>
      </c>
      <c r="K3937" s="2">
        <v>1348</v>
      </c>
      <c r="L3937" s="2">
        <v>1</v>
      </c>
      <c r="M3937" s="2"/>
      <c r="N3937" s="8">
        <v>43122.518923611111</v>
      </c>
      <c r="O3937" s="4" t="s">
        <v>34</v>
      </c>
      <c r="P3937" s="3" t="s">
        <v>6494</v>
      </c>
      <c r="Q3937" s="4"/>
      <c r="R3937" s="4"/>
      <c r="S3937" s="9" t="str">
        <f>HYPERLINK("https://pbs.twimg.com/profile_images/1015538945382342657/dEnWJitL.jpg","View")</f>
        <v>View</v>
      </c>
    </row>
    <row r="3938" spans="1:19" ht="20">
      <c r="A3938" s="8">
        <v>43341.575289351851</v>
      </c>
      <c r="B3938" s="11" t="str">
        <f>HYPERLINK("https://twitter.com/Baranbahaarii","@Baranbahaarii")</f>
        <v>@Baranbahaarii</v>
      </c>
      <c r="C3938" s="6" t="s">
        <v>6493</v>
      </c>
      <c r="D3938" s="5" t="s">
        <v>6029</v>
      </c>
      <c r="E3938" s="9" t="str">
        <f>HYPERLINK("https://twitter.com/Baranbahaarii/status/1034731991470678016","1034731991470678016")</f>
        <v>1034731991470678016</v>
      </c>
      <c r="F3938" s="4"/>
      <c r="G3938" s="4"/>
      <c r="H3938" s="4"/>
      <c r="I3938" s="10" t="str">
        <f>HYPERLINK("http://twitter.com/download/android","Twitter for Android")</f>
        <v>Twitter for Android</v>
      </c>
      <c r="J3938" s="2">
        <v>15</v>
      </c>
      <c r="K3938" s="2">
        <v>1</v>
      </c>
      <c r="L3938" s="2">
        <v>0</v>
      </c>
      <c r="M3938" s="2"/>
      <c r="N3938" s="8">
        <v>43312.397615740745</v>
      </c>
      <c r="O3938" s="4" t="s">
        <v>17</v>
      </c>
      <c r="P3938" s="3" t="s">
        <v>6492</v>
      </c>
      <c r="Q3938" s="4"/>
      <c r="R3938" s="4"/>
      <c r="S3938" s="9" t="str">
        <f>HYPERLINK("https://pbs.twimg.com/profile_images/1027113589231026178/eebTLe8q.jpg","View")</f>
        <v>View</v>
      </c>
    </row>
    <row r="3939" spans="1:19" ht="30">
      <c r="A3939" s="8">
        <v>43341.573206018518</v>
      </c>
      <c r="B3939" s="11" t="str">
        <f>HYPERLINK("https://twitter.com/Rezabazi14","@Rezabazi14")</f>
        <v>@Rezabazi14</v>
      </c>
      <c r="C3939" s="6" t="s">
        <v>6491</v>
      </c>
      <c r="D3939" s="5" t="s">
        <v>6339</v>
      </c>
      <c r="E3939" s="9" t="str">
        <f>HYPERLINK("https://twitter.com/Rezabazi14/status/1034731235485118469","1034731235485118469")</f>
        <v>1034731235485118469</v>
      </c>
      <c r="F3939" s="4"/>
      <c r="G3939" s="4"/>
      <c r="H3939" s="4"/>
      <c r="I3939" s="10" t="str">
        <f>HYPERLINK("http://twitter.com","Twitter Web Client")</f>
        <v>Twitter Web Client</v>
      </c>
      <c r="J3939" s="2">
        <v>25</v>
      </c>
      <c r="K3939" s="2">
        <v>24</v>
      </c>
      <c r="L3939" s="2">
        <v>0</v>
      </c>
      <c r="M3939" s="2"/>
      <c r="N3939" s="8">
        <v>42703.457384259258</v>
      </c>
      <c r="O3939" s="4" t="s">
        <v>3123</v>
      </c>
      <c r="P3939" s="3" t="s">
        <v>6490</v>
      </c>
      <c r="Q3939" s="4"/>
      <c r="R3939" s="4"/>
      <c r="S3939" s="9" t="str">
        <f>HYPERLINK("https://pbs.twimg.com/profile_images/803509743302086657/7pOE6za5.jpg","View")</f>
        <v>View</v>
      </c>
    </row>
    <row r="3940" spans="1:19" ht="40">
      <c r="A3940" s="8">
        <v>43341.572523148148</v>
      </c>
      <c r="B3940" s="11" t="str">
        <f>HYPERLINK("https://twitter.com/ManotoNews","@ManotoNews")</f>
        <v>@ManotoNews</v>
      </c>
      <c r="C3940" s="6" t="s">
        <v>1174</v>
      </c>
      <c r="D3940" s="5" t="s">
        <v>6489</v>
      </c>
      <c r="E3940" s="9" t="str">
        <f>HYPERLINK("https://twitter.com/ManotoNews/status/1034730989602463744","1034730989602463744")</f>
        <v>1034730989602463744</v>
      </c>
      <c r="F3940" s="4"/>
      <c r="G3940" s="4"/>
      <c r="H3940" s="4"/>
      <c r="I3940" s="10" t="str">
        <f>HYPERLINK("http://www.socialflow.com","SocialFlow")</f>
        <v>SocialFlow</v>
      </c>
      <c r="J3940" s="2">
        <v>446859</v>
      </c>
      <c r="K3940" s="2">
        <v>17</v>
      </c>
      <c r="L3940" s="2">
        <v>614</v>
      </c>
      <c r="M3940" s="2" t="s">
        <v>80</v>
      </c>
      <c r="N3940" s="8">
        <v>40859.711631944447</v>
      </c>
      <c r="O3940" s="4" t="s">
        <v>460</v>
      </c>
      <c r="P3940" s="3" t="s">
        <v>1171</v>
      </c>
      <c r="Q3940" s="10" t="s">
        <v>1170</v>
      </c>
      <c r="R3940" s="4"/>
      <c r="S3940" s="9" t="str">
        <f>HYPERLINK("https://pbs.twimg.com/profile_images/976899507744051201/07FIeivp.jpg","View")</f>
        <v>View</v>
      </c>
    </row>
    <row r="3941" spans="1:19" ht="30">
      <c r="A3941" s="8">
        <v>43341.572071759263</v>
      </c>
      <c r="B3941" s="11" t="str">
        <f>HYPERLINK("https://twitter.com/shia_moslem","@shia_moslem")</f>
        <v>@shia_moslem</v>
      </c>
      <c r="C3941" s="6" t="s">
        <v>6488</v>
      </c>
      <c r="D3941" s="5" t="s">
        <v>6487</v>
      </c>
      <c r="E3941" s="9" t="str">
        <f>HYPERLINK("https://twitter.com/shia_moslem/status/1034730824711766016","1034730824711766016")</f>
        <v>1034730824711766016</v>
      </c>
      <c r="F3941" s="4"/>
      <c r="G3941" s="10" t="s">
        <v>6486</v>
      </c>
      <c r="H3941" s="4"/>
      <c r="I3941" s="10" t="str">
        <f>HYPERLINK("http://twitter.com/download/android","Twitter for Android")</f>
        <v>Twitter for Android</v>
      </c>
      <c r="J3941" s="2">
        <v>2923</v>
      </c>
      <c r="K3941" s="2">
        <v>3104</v>
      </c>
      <c r="L3941" s="2">
        <v>3</v>
      </c>
      <c r="M3941" s="2"/>
      <c r="N3941" s="8">
        <v>42784.887245370366</v>
      </c>
      <c r="O3941" s="4"/>
      <c r="P3941" s="3" t="s">
        <v>6485</v>
      </c>
      <c r="Q3941" s="4"/>
      <c r="R3941" s="4"/>
      <c r="S3941" s="9" t="str">
        <f>HYPERLINK("https://pbs.twimg.com/profile_images/949208428987199488/1hNMw4cH.jpg","View")</f>
        <v>View</v>
      </c>
    </row>
    <row r="3942" spans="1:19" ht="40">
      <c r="A3942" s="8">
        <v>43341.571180555555</v>
      </c>
      <c r="B3942" s="11" t="str">
        <f>HYPERLINK("https://twitter.com/AtreYaas","@AtreYaas")</f>
        <v>@AtreYaas</v>
      </c>
      <c r="C3942" s="6" t="s">
        <v>3452</v>
      </c>
      <c r="D3942" s="5" t="s">
        <v>6484</v>
      </c>
      <c r="E3942" s="9" t="str">
        <f>HYPERLINK("https://twitter.com/AtreYaas/status/1034730499221217280","1034730499221217280")</f>
        <v>1034730499221217280</v>
      </c>
      <c r="F3942" s="4"/>
      <c r="G3942" s="10" t="s">
        <v>6483</v>
      </c>
      <c r="H3942" s="4"/>
      <c r="I3942" s="10" t="str">
        <f>HYPERLINK("http://twitter.com/download/android","Twitter for Android")</f>
        <v>Twitter for Android</v>
      </c>
      <c r="J3942" s="2">
        <v>1833</v>
      </c>
      <c r="K3942" s="2">
        <v>1777</v>
      </c>
      <c r="L3942" s="2">
        <v>7</v>
      </c>
      <c r="M3942" s="2"/>
      <c r="N3942" s="8">
        <v>42734.215405092589</v>
      </c>
      <c r="O3942" s="4"/>
      <c r="P3942" s="3"/>
      <c r="Q3942" s="4"/>
      <c r="R3942" s="4"/>
      <c r="S3942" s="9" t="str">
        <f>HYPERLINK("https://pbs.twimg.com/profile_images/1001527704024436737/ek8WBw04.jpg","View")</f>
        <v>View</v>
      </c>
    </row>
    <row r="3943" spans="1:19" ht="30">
      <c r="A3943" s="8">
        <v>43341.570659722223</v>
      </c>
      <c r="B3943" s="11" t="str">
        <f>HYPERLINK("https://twitter.com/mostafa16628823","@mostafa16628823")</f>
        <v>@mostafa16628823</v>
      </c>
      <c r="C3943" s="6" t="s">
        <v>6482</v>
      </c>
      <c r="D3943" s="5" t="s">
        <v>6339</v>
      </c>
      <c r="E3943" s="9" t="str">
        <f>HYPERLINK("https://twitter.com/mostafa16628823/status/1034730310934691841","1034730310934691841")</f>
        <v>1034730310934691841</v>
      </c>
      <c r="F3943" s="4"/>
      <c r="G3943" s="4"/>
      <c r="H3943" s="4"/>
      <c r="I3943" s="10" t="str">
        <f>HYPERLINK("http://twitter.com","Twitter Web Client")</f>
        <v>Twitter Web Client</v>
      </c>
      <c r="J3943" s="2">
        <v>25</v>
      </c>
      <c r="K3943" s="2">
        <v>13</v>
      </c>
      <c r="L3943" s="2">
        <v>0</v>
      </c>
      <c r="M3943" s="2"/>
      <c r="N3943" s="8">
        <v>43295.90388888889</v>
      </c>
      <c r="O3943" s="4"/>
      <c r="P3943" s="3"/>
      <c r="Q3943" s="4"/>
      <c r="R3943" s="4"/>
      <c r="S3943" s="9" t="str">
        <f>HYPERLINK("https://pbs.twimg.com/profile_images/1022721156111953920/1rAXl3Hq.jpg","View")</f>
        <v>View</v>
      </c>
    </row>
    <row r="3944" spans="1:19" ht="50">
      <c r="A3944" s="8">
        <v>43341.569351851853</v>
      </c>
      <c r="B3944" s="11" t="str">
        <f>HYPERLINK("https://twitter.com/ardavan_sijani","@ardavan_sijani")</f>
        <v>@ardavan_sijani</v>
      </c>
      <c r="C3944" s="6" t="s">
        <v>2371</v>
      </c>
      <c r="D3944" s="5" t="s">
        <v>6481</v>
      </c>
      <c r="E3944" s="9" t="str">
        <f>HYPERLINK("https://twitter.com/ardavan_sijani/status/1034729838169473024","1034729838169473024")</f>
        <v>1034729838169473024</v>
      </c>
      <c r="F3944" s="4" t="s">
        <v>346</v>
      </c>
      <c r="G3944" s="4"/>
      <c r="H3944" s="4"/>
      <c r="I3944" s="10" t="str">
        <f>HYPERLINK("http://twitter.com/download/android","Twitter for Android")</f>
        <v>Twitter for Android</v>
      </c>
      <c r="J3944" s="2">
        <v>727</v>
      </c>
      <c r="K3944" s="2">
        <v>1349</v>
      </c>
      <c r="L3944" s="2">
        <v>3</v>
      </c>
      <c r="M3944" s="2"/>
      <c r="N3944" s="8">
        <v>42496.528865740736</v>
      </c>
      <c r="O3944" s="4" t="s">
        <v>2368</v>
      </c>
      <c r="P3944" s="3" t="s">
        <v>2367</v>
      </c>
      <c r="Q3944" s="10" t="s">
        <v>2366</v>
      </c>
      <c r="R3944" s="4"/>
      <c r="S3944" s="9" t="str">
        <f>HYPERLINK("https://pbs.twimg.com/profile_images/871020529758720000/deDU-kB0.jpg","View")</f>
        <v>View</v>
      </c>
    </row>
    <row r="3945" spans="1:19" ht="60">
      <c r="A3945" s="8">
        <v>43341.568356481483</v>
      </c>
      <c r="B3945" s="11" t="str">
        <f>HYPERLINK("https://twitter.com/ReStart66th","@ReStart66th")</f>
        <v>@ReStart66th</v>
      </c>
      <c r="C3945" s="6" t="s">
        <v>6480</v>
      </c>
      <c r="D3945" s="5" t="s">
        <v>6479</v>
      </c>
      <c r="E3945" s="9" t="str">
        <f>HYPERLINK("https://twitter.com/ReStart66th/status/1034729476683390976","1034729476683390976")</f>
        <v>1034729476683390976</v>
      </c>
      <c r="F3945" s="10" t="s">
        <v>6478</v>
      </c>
      <c r="G3945" s="10" t="s">
        <v>6477</v>
      </c>
      <c r="H3945" s="4"/>
      <c r="I3945" s="10" t="str">
        <f>HYPERLINK("http://twitter.com/download/android","Twitter for Android")</f>
        <v>Twitter for Android</v>
      </c>
      <c r="J3945" s="2">
        <v>546</v>
      </c>
      <c r="K3945" s="2">
        <v>541</v>
      </c>
      <c r="L3945" s="2">
        <v>2</v>
      </c>
      <c r="M3945" s="2"/>
      <c r="N3945" s="8">
        <v>43115.601446759261</v>
      </c>
      <c r="O3945" s="4" t="s">
        <v>6476</v>
      </c>
      <c r="P3945" s="3" t="s">
        <v>6475</v>
      </c>
      <c r="Q3945" s="10" t="s">
        <v>6474</v>
      </c>
      <c r="R3945" s="4"/>
      <c r="S3945" s="9" t="str">
        <f>HYPERLINK("https://pbs.twimg.com/profile_images/1019512263156195328/pprca3n1.jpg","View")</f>
        <v>View</v>
      </c>
    </row>
    <row r="3946" spans="1:19" ht="40">
      <c r="A3946" s="8">
        <v>43341.56831018519</v>
      </c>
      <c r="B3946" s="11" t="str">
        <f>HYPERLINK("https://twitter.com/ManotoNews","@ManotoNews")</f>
        <v>@ManotoNews</v>
      </c>
      <c r="C3946" s="6" t="s">
        <v>1174</v>
      </c>
      <c r="D3946" s="5" t="s">
        <v>6473</v>
      </c>
      <c r="E3946" s="9" t="str">
        <f>HYPERLINK("https://twitter.com/ManotoNews/status/1034729460698947584","1034729460698947584")</f>
        <v>1034729460698947584</v>
      </c>
      <c r="F3946" s="4"/>
      <c r="G3946" s="4"/>
      <c r="H3946" s="4"/>
      <c r="I3946" s="10" t="str">
        <f>HYPERLINK("http://www.socialflow.com","SocialFlow")</f>
        <v>SocialFlow</v>
      </c>
      <c r="J3946" s="2">
        <v>446859</v>
      </c>
      <c r="K3946" s="2">
        <v>17</v>
      </c>
      <c r="L3946" s="2">
        <v>614</v>
      </c>
      <c r="M3946" s="2" t="s">
        <v>80</v>
      </c>
      <c r="N3946" s="8">
        <v>40859.711631944447</v>
      </c>
      <c r="O3946" s="4" t="s">
        <v>460</v>
      </c>
      <c r="P3946" s="3" t="s">
        <v>1171</v>
      </c>
      <c r="Q3946" s="10" t="s">
        <v>1170</v>
      </c>
      <c r="R3946" s="4"/>
      <c r="S3946" s="9" t="str">
        <f>HYPERLINK("https://pbs.twimg.com/profile_images/976899507744051201/07FIeivp.jpg","View")</f>
        <v>View</v>
      </c>
    </row>
    <row r="3947" spans="1:19" ht="40">
      <c r="A3947" s="8">
        <v>43341.568159722221</v>
      </c>
      <c r="B3947" s="11" t="str">
        <f>HYPERLINK("https://twitter.com/ali_abbasiii","@ali_abbasiii")</f>
        <v>@ali_abbasiii</v>
      </c>
      <c r="C3947" s="6" t="s">
        <v>6472</v>
      </c>
      <c r="D3947" s="5" t="s">
        <v>6471</v>
      </c>
      <c r="E3947" s="9" t="str">
        <f>HYPERLINK("https://twitter.com/ali_abbasiii/status/1034729404453343233","1034729404453343233")</f>
        <v>1034729404453343233</v>
      </c>
      <c r="F3947" s="10" t="s">
        <v>6470</v>
      </c>
      <c r="G3947" s="4"/>
      <c r="H3947" s="4"/>
      <c r="I3947" s="10" t="str">
        <f>HYPERLINK("http://twitter.com/download/iphone","Twitter for iPhone")</f>
        <v>Twitter for iPhone</v>
      </c>
      <c r="J3947" s="2">
        <v>64</v>
      </c>
      <c r="K3947" s="2">
        <v>124</v>
      </c>
      <c r="L3947" s="2">
        <v>0</v>
      </c>
      <c r="M3947" s="2"/>
      <c r="N3947" s="8">
        <v>41028.840590277774</v>
      </c>
      <c r="O3947" s="4" t="s">
        <v>25</v>
      </c>
      <c r="P3947" s="3" t="s">
        <v>6469</v>
      </c>
      <c r="Q3947" s="10" t="s">
        <v>6468</v>
      </c>
      <c r="R3947" s="4"/>
      <c r="S3947" s="9" t="str">
        <f>HYPERLINK("https://pbs.twimg.com/profile_images/948527554964500480/aBjPCqGo.jpg","View")</f>
        <v>View</v>
      </c>
    </row>
    <row r="3948" spans="1:19" ht="40">
      <c r="A3948" s="8">
        <v>43341.567835648151</v>
      </c>
      <c r="B3948" s="11" t="str">
        <f>HYPERLINK("https://twitter.com/fmahdipour","@fmahdipour")</f>
        <v>@fmahdipour</v>
      </c>
      <c r="C3948" s="6" t="s">
        <v>6467</v>
      </c>
      <c r="D3948" s="5" t="s">
        <v>6466</v>
      </c>
      <c r="E3948" s="9" t="str">
        <f>HYPERLINK("https://twitter.com/fmahdipour/status/1034729289533583360","1034729289533583360")</f>
        <v>1034729289533583360</v>
      </c>
      <c r="F3948" s="4"/>
      <c r="G3948" s="4"/>
      <c r="H3948" s="4"/>
      <c r="I3948" s="10" t="str">
        <f>HYPERLINK("http://twitter.com","Twitter Web Client")</f>
        <v>Twitter Web Client</v>
      </c>
      <c r="J3948" s="2">
        <v>9206</v>
      </c>
      <c r="K3948" s="2">
        <v>119</v>
      </c>
      <c r="L3948" s="2">
        <v>68</v>
      </c>
      <c r="M3948" s="2"/>
      <c r="N3948" s="8">
        <v>42063.673449074078</v>
      </c>
      <c r="O3948" s="4" t="s">
        <v>34</v>
      </c>
      <c r="P3948" s="3" t="s">
        <v>6465</v>
      </c>
      <c r="Q3948" s="10" t="s">
        <v>6464</v>
      </c>
      <c r="R3948" s="4"/>
      <c r="S3948" s="9" t="str">
        <f>HYPERLINK("https://pbs.twimg.com/profile_images/1029176856388554754/pg3Pe2HX.jpg","View")</f>
        <v>View</v>
      </c>
    </row>
    <row r="3949" spans="1:19" ht="20">
      <c r="A3949" s="8">
        <v>43341.567696759259</v>
      </c>
      <c r="B3949" s="11" t="str">
        <f>HYPERLINK("https://twitter.com/kimsesiz_bey","@kimsesiz_bey")</f>
        <v>@kimsesiz_bey</v>
      </c>
      <c r="C3949" s="6" t="s">
        <v>6463</v>
      </c>
      <c r="D3949" s="5" t="s">
        <v>6462</v>
      </c>
      <c r="E3949" s="9" t="str">
        <f>HYPERLINK("https://twitter.com/kimsesiz_bey/status/1034729239533285376","1034729239533285376")</f>
        <v>1034729239533285376</v>
      </c>
      <c r="F3949" s="4"/>
      <c r="G3949" s="10" t="s">
        <v>6461</v>
      </c>
      <c r="H3949" s="4"/>
      <c r="I3949" s="10" t="str">
        <f>HYPERLINK("http://twitter.com/download/android","Twitter for Android")</f>
        <v>Twitter for Android</v>
      </c>
      <c r="J3949" s="2">
        <v>472</v>
      </c>
      <c r="K3949" s="2">
        <v>421</v>
      </c>
      <c r="L3949" s="2">
        <v>2</v>
      </c>
      <c r="M3949" s="2"/>
      <c r="N3949" s="8">
        <v>43080.57748842593</v>
      </c>
      <c r="O3949" s="4" t="s">
        <v>6460</v>
      </c>
      <c r="P3949" s="3" t="s">
        <v>6459</v>
      </c>
      <c r="Q3949" s="4"/>
      <c r="R3949" s="4"/>
      <c r="S3949" s="9" t="str">
        <f>HYPERLINK("https://pbs.twimg.com/profile_images/940252661399502848/rXYzatxY.jpg","View")</f>
        <v>View</v>
      </c>
    </row>
    <row r="3950" spans="1:19" ht="30">
      <c r="A3950" s="8">
        <v>43341.567372685182</v>
      </c>
      <c r="B3950" s="11" t="str">
        <f>HYPERLINK("https://twitter.com/Md31413757","@Md31413757")</f>
        <v>@Md31413757</v>
      </c>
      <c r="C3950" s="6" t="s">
        <v>5606</v>
      </c>
      <c r="D3950" s="5" t="s">
        <v>6458</v>
      </c>
      <c r="E3950" s="9" t="str">
        <f>HYPERLINK("https://twitter.com/Md31413757/status/1034729121006448640","1034729121006448640")</f>
        <v>1034729121006448640</v>
      </c>
      <c r="F3950" s="10" t="s">
        <v>6457</v>
      </c>
      <c r="G3950" s="10" t="s">
        <v>6456</v>
      </c>
      <c r="H3950" s="4"/>
      <c r="I3950" s="10" t="str">
        <f>HYPERLINK("http://twitter.com/download/android","Twitter for Android")</f>
        <v>Twitter for Android</v>
      </c>
      <c r="J3950" s="2">
        <v>44</v>
      </c>
      <c r="K3950" s="2">
        <v>98</v>
      </c>
      <c r="L3950" s="2">
        <v>0</v>
      </c>
      <c r="M3950" s="2"/>
      <c r="N3950" s="8">
        <v>43325.015787037039</v>
      </c>
      <c r="O3950" s="4"/>
      <c r="P3950" s="3" t="s">
        <v>5602</v>
      </c>
      <c r="Q3950" s="4"/>
      <c r="R3950" s="4"/>
      <c r="S3950" s="9" t="str">
        <f>HYPERLINK("https://pbs.twimg.com/profile_images/1031536991144488961/ZYdLoIao.jpg","View")</f>
        <v>View</v>
      </c>
    </row>
    <row r="3951" spans="1:19" ht="40">
      <c r="A3951" s="8">
        <v>43341.567083333328</v>
      </c>
      <c r="B3951" s="11" t="str">
        <f>HYPERLINK("https://twitter.com/mahdiayat","@mahdiayat")</f>
        <v>@mahdiayat</v>
      </c>
      <c r="C3951" s="6" t="s">
        <v>4907</v>
      </c>
      <c r="D3951" s="5" t="s">
        <v>6455</v>
      </c>
      <c r="E3951" s="9" t="str">
        <f>HYPERLINK("https://twitter.com/mahdiayat/status/1034729017344024578","1034729017344024578")</f>
        <v>1034729017344024578</v>
      </c>
      <c r="F3951" s="10" t="s">
        <v>6454</v>
      </c>
      <c r="G3951" s="10" t="s">
        <v>6453</v>
      </c>
      <c r="H3951" s="4"/>
      <c r="I3951" s="10" t="str">
        <f>HYPERLINK("http://twitter.com/download/iphone","Twitter for iPhone")</f>
        <v>Twitter for iPhone</v>
      </c>
      <c r="J3951" s="2">
        <v>225</v>
      </c>
      <c r="K3951" s="2">
        <v>952</v>
      </c>
      <c r="L3951" s="2">
        <v>3</v>
      </c>
      <c r="M3951" s="2"/>
      <c r="N3951" s="8">
        <v>39793.538819444446</v>
      </c>
      <c r="O3951" s="4" t="s">
        <v>4905</v>
      </c>
      <c r="P3951" s="3" t="s">
        <v>4904</v>
      </c>
      <c r="Q3951" s="4"/>
      <c r="R3951" s="4"/>
      <c r="S3951" s="9" t="str">
        <f>HYPERLINK("https://pbs.twimg.com/profile_images/997401220024221696/b6kS9tmF.jpg","View")</f>
        <v>View</v>
      </c>
    </row>
    <row r="3952" spans="1:19" ht="30">
      <c r="A3952" s="8">
        <v>43341.567060185189</v>
      </c>
      <c r="B3952" s="11" t="str">
        <f>HYPERLINK("https://twitter.com/raminfakhari","@raminfakhari")</f>
        <v>@raminfakhari</v>
      </c>
      <c r="C3952" s="6" t="s">
        <v>6452</v>
      </c>
      <c r="D3952" s="5" t="s">
        <v>6451</v>
      </c>
      <c r="E3952" s="9" t="str">
        <f>HYPERLINK("https://twitter.com/raminfakhari/status/1034729009337249792","1034729009337249792")</f>
        <v>1034729009337249792</v>
      </c>
      <c r="F3952" s="4"/>
      <c r="G3952" s="10" t="s">
        <v>6450</v>
      </c>
      <c r="H3952" s="4"/>
      <c r="I3952" s="10" t="str">
        <f>HYPERLINK("http://twitter.com","Twitter Web Client")</f>
        <v>Twitter Web Client</v>
      </c>
      <c r="J3952" s="2">
        <v>4630</v>
      </c>
      <c r="K3952" s="2">
        <v>3365</v>
      </c>
      <c r="L3952" s="2">
        <v>24</v>
      </c>
      <c r="M3952" s="2"/>
      <c r="N3952" s="8">
        <v>40777.759583333333</v>
      </c>
      <c r="O3952" s="4" t="s">
        <v>17</v>
      </c>
      <c r="P3952" s="3" t="s">
        <v>6449</v>
      </c>
      <c r="Q3952" s="10" t="s">
        <v>6448</v>
      </c>
      <c r="R3952" s="4"/>
      <c r="S3952" s="9" t="str">
        <f>HYPERLINK("https://pbs.twimg.com/profile_images/944194355237068802/-iV_FGnn.jpg","View")</f>
        <v>View</v>
      </c>
    </row>
    <row r="3953" spans="1:19" ht="30">
      <c r="A3953" s="8">
        <v>43341.565740740742</v>
      </c>
      <c r="B3953" s="11" t="str">
        <f>HYPERLINK("https://twitter.com/hsnhasankhani","@hsnhasankhani")</f>
        <v>@hsnhasankhani</v>
      </c>
      <c r="C3953" s="6" t="s">
        <v>6447</v>
      </c>
      <c r="D3953" s="5" t="s">
        <v>6446</v>
      </c>
      <c r="E3953" s="9" t="str">
        <f>HYPERLINK("https://twitter.com/hsnhasankhani/status/1034728527785066496","1034728527785066496")</f>
        <v>1034728527785066496</v>
      </c>
      <c r="F3953" s="4"/>
      <c r="G3953" s="10" t="s">
        <v>6445</v>
      </c>
      <c r="H3953" s="4"/>
      <c r="I3953" s="10" t="str">
        <f>HYPERLINK("http://twitter.com","Twitter Web Client")</f>
        <v>Twitter Web Client</v>
      </c>
      <c r="J3953" s="2">
        <v>33</v>
      </c>
      <c r="K3953" s="2">
        <v>37</v>
      </c>
      <c r="L3953" s="2">
        <v>0</v>
      </c>
      <c r="M3953" s="2"/>
      <c r="N3953" s="8">
        <v>43300.502557870372</v>
      </c>
      <c r="O3953" s="4" t="s">
        <v>34</v>
      </c>
      <c r="P3953" s="3" t="s">
        <v>6444</v>
      </c>
      <c r="Q3953" s="4"/>
      <c r="R3953" s="4"/>
      <c r="S3953" s="9" t="str">
        <f>HYPERLINK("https://pbs.twimg.com/profile_images/1031865810447486976/OyDV3iMJ.jpg","View")</f>
        <v>View</v>
      </c>
    </row>
    <row r="3954" spans="1:19" ht="20">
      <c r="A3954" s="8">
        <v>43341.564571759256</v>
      </c>
      <c r="B3954" s="11" t="str">
        <f>HYPERLINK("https://twitter.com/behroozkaveh44","@behroozkaveh44")</f>
        <v>@behroozkaveh44</v>
      </c>
      <c r="C3954" s="6" t="s">
        <v>6443</v>
      </c>
      <c r="D3954" s="5" t="s">
        <v>6442</v>
      </c>
      <c r="E3954" s="9" t="str">
        <f>HYPERLINK("https://twitter.com/behroozkaveh44/status/1034728105708011521","1034728105708011521")</f>
        <v>1034728105708011521</v>
      </c>
      <c r="F3954" s="4"/>
      <c r="G3954" s="10" t="s">
        <v>6441</v>
      </c>
      <c r="H3954" s="4"/>
      <c r="I3954" s="10" t="str">
        <f>HYPERLINK("http://twitter.com","Twitter Web Client")</f>
        <v>Twitter Web Client</v>
      </c>
      <c r="J3954" s="2">
        <v>1335</v>
      </c>
      <c r="K3954" s="2">
        <v>1204</v>
      </c>
      <c r="L3954" s="2">
        <v>2</v>
      </c>
      <c r="M3954" s="2"/>
      <c r="N3954" s="8">
        <v>42890.814270833333</v>
      </c>
      <c r="O3954" s="4"/>
      <c r="P3954" s="3" t="s">
        <v>6440</v>
      </c>
      <c r="Q3954" s="10" t="s">
        <v>4392</v>
      </c>
      <c r="R3954" s="4"/>
      <c r="S3954" s="9" t="str">
        <f>HYPERLINK("https://pbs.twimg.com/profile_images/1026430347377033221/Bv5XrI2M.jpg","View")</f>
        <v>View</v>
      </c>
    </row>
    <row r="3955" spans="1:19" ht="40">
      <c r="A3955" s="8">
        <v>43341.564317129625</v>
      </c>
      <c r="B3955" s="11" t="str">
        <f>HYPERLINK("https://twitter.com/Hamed03093087","@Hamed03093087")</f>
        <v>@Hamed03093087</v>
      </c>
      <c r="C3955" s="6" t="s">
        <v>6439</v>
      </c>
      <c r="D3955" s="5" t="s">
        <v>6438</v>
      </c>
      <c r="E3955" s="9" t="str">
        <f>HYPERLINK("https://twitter.com/Hamed03093087/status/1034728013534044160","1034728013534044160")</f>
        <v>1034728013534044160</v>
      </c>
      <c r="F3955" s="4"/>
      <c r="G3955" s="10" t="s">
        <v>6437</v>
      </c>
      <c r="H3955" s="4"/>
      <c r="I3955" s="10" t="str">
        <f>HYPERLINK("http://twitter.com/download/android","Twitter for Android")</f>
        <v>Twitter for Android</v>
      </c>
      <c r="J3955" s="2">
        <v>101</v>
      </c>
      <c r="K3955" s="2">
        <v>155</v>
      </c>
      <c r="L3955" s="2">
        <v>0</v>
      </c>
      <c r="M3955" s="2"/>
      <c r="N3955" s="8">
        <v>43224.405370370368</v>
      </c>
      <c r="O3955" s="4" t="s">
        <v>6436</v>
      </c>
      <c r="P3955" s="3" t="s">
        <v>6435</v>
      </c>
      <c r="Q3955" s="4"/>
      <c r="R3955" s="4"/>
      <c r="S3955" s="9" t="str">
        <f>HYPERLINK("https://pbs.twimg.com/profile_images/1024992628885147648/vkUv1_G-.jpg","View")</f>
        <v>View</v>
      </c>
    </row>
    <row r="3956" spans="1:19" ht="30">
      <c r="A3956" s="8">
        <v>43341.563981481479</v>
      </c>
      <c r="B3956" s="11" t="str">
        <f>HYPERLINK("https://twitter.com/ali74776575","@ali74776575")</f>
        <v>@ali74776575</v>
      </c>
      <c r="C3956" s="6" t="s">
        <v>2883</v>
      </c>
      <c r="D3956" s="5" t="s">
        <v>6339</v>
      </c>
      <c r="E3956" s="9" t="str">
        <f>HYPERLINK("https://twitter.com/ali74776575/status/1034727892490637313","1034727892490637313")</f>
        <v>1034727892490637313</v>
      </c>
      <c r="F3956" s="4"/>
      <c r="G3956" s="4"/>
      <c r="H3956" s="4"/>
      <c r="I3956" s="10" t="str">
        <f>HYPERLINK("http://twitter.com","Twitter Web Client")</f>
        <v>Twitter Web Client</v>
      </c>
      <c r="J3956" s="2">
        <v>20</v>
      </c>
      <c r="K3956" s="2">
        <v>13</v>
      </c>
      <c r="L3956" s="2">
        <v>0</v>
      </c>
      <c r="M3956" s="2"/>
      <c r="N3956" s="8">
        <v>43295.894733796296</v>
      </c>
      <c r="O3956" s="4"/>
      <c r="P3956" s="3"/>
      <c r="Q3956" s="4"/>
      <c r="R3956" s="4"/>
      <c r="S3956" s="9" t="str">
        <f>HYPERLINK("https://pbs.twimg.com/profile_images/1018180043275567104/tSeZSEVQ.jpg","View")</f>
        <v>View</v>
      </c>
    </row>
    <row r="3957" spans="1:19" ht="30">
      <c r="A3957" s="8">
        <v>43341.563796296294</v>
      </c>
      <c r="B3957" s="11" t="str">
        <f>HYPERLINK("https://twitter.com/ilnanews","@ilnanews")</f>
        <v>@ilnanews</v>
      </c>
      <c r="C3957" s="6" t="s">
        <v>6413</v>
      </c>
      <c r="D3957" s="5" t="s">
        <v>6434</v>
      </c>
      <c r="E3957" s="9" t="str">
        <f>HYPERLINK("https://twitter.com/ilnanews/status/1034727824740032512","1034727824740032512")</f>
        <v>1034727824740032512</v>
      </c>
      <c r="F3957" s="10" t="s">
        <v>6433</v>
      </c>
      <c r="G3957" s="10" t="s">
        <v>6432</v>
      </c>
      <c r="H3957" s="4"/>
      <c r="I3957" s="10" t="str">
        <f>HYPERLINK("http://twitter.com/download/android","Twitter for Android")</f>
        <v>Twitter for Android</v>
      </c>
      <c r="J3957" s="2">
        <v>32162</v>
      </c>
      <c r="K3957" s="2">
        <v>67</v>
      </c>
      <c r="L3957" s="2">
        <v>161</v>
      </c>
      <c r="M3957" s="2"/>
      <c r="N3957" s="8">
        <v>42062.024768518517</v>
      </c>
      <c r="O3957" s="4" t="s">
        <v>34</v>
      </c>
      <c r="P3957" s="3" t="s">
        <v>6409</v>
      </c>
      <c r="Q3957" s="10" t="s">
        <v>6408</v>
      </c>
      <c r="R3957" s="4"/>
      <c r="S3957" s="9" t="str">
        <f>HYPERLINK("https://pbs.twimg.com/profile_images/760387216782848000/TS1QyYLo.jpg","View")</f>
        <v>View</v>
      </c>
    </row>
    <row r="3958" spans="1:19" ht="30">
      <c r="A3958" s="8">
        <v>43341.563668981486</v>
      </c>
      <c r="B3958" s="11" t="str">
        <f>HYPERLINK("https://twitter.com/SMPrfa","@SMPrfa")</f>
        <v>@SMPrfa</v>
      </c>
      <c r="C3958" s="6" t="s">
        <v>6431</v>
      </c>
      <c r="D3958" s="5" t="s">
        <v>6430</v>
      </c>
      <c r="E3958" s="9" t="str">
        <f>HYPERLINK("https://twitter.com/SMPrfa/status/1034727780569804800","1034727780569804800")</f>
        <v>1034727780569804800</v>
      </c>
      <c r="F3958" s="4"/>
      <c r="G3958" s="4"/>
      <c r="H3958" s="4"/>
      <c r="I3958" s="10" t="str">
        <f>HYPERLINK("http://twitter.com/download/android","Twitter for Android")</f>
        <v>Twitter for Android</v>
      </c>
      <c r="J3958" s="2">
        <v>384</v>
      </c>
      <c r="K3958" s="2">
        <v>436</v>
      </c>
      <c r="L3958" s="2">
        <v>1</v>
      </c>
      <c r="M3958" s="2"/>
      <c r="N3958" s="8">
        <v>41640.805601851855</v>
      </c>
      <c r="O3958" s="4" t="s">
        <v>324</v>
      </c>
      <c r="P3958" s="3" t="s">
        <v>6429</v>
      </c>
      <c r="Q3958" s="4"/>
      <c r="R3958" s="4"/>
      <c r="S3958" s="9" t="str">
        <f>HYPERLINK("https://pbs.twimg.com/profile_images/1031346454550462464/qwjTVq8Q.jpg","View")</f>
        <v>View</v>
      </c>
    </row>
    <row r="3959" spans="1:19" ht="40">
      <c r="A3959" s="8">
        <v>43341.562962962962</v>
      </c>
      <c r="B3959" s="11" t="str">
        <f>HYPERLINK("https://twitter.com/ManotoNews","@ManotoNews")</f>
        <v>@ManotoNews</v>
      </c>
      <c r="C3959" s="6" t="s">
        <v>1174</v>
      </c>
      <c r="D3959" s="5" t="s">
        <v>6428</v>
      </c>
      <c r="E3959" s="9" t="str">
        <f>HYPERLINK("https://twitter.com/ManotoNews/status/1034727523047890945","1034727523047890945")</f>
        <v>1034727523047890945</v>
      </c>
      <c r="F3959" s="4"/>
      <c r="G3959" s="4"/>
      <c r="H3959" s="4"/>
      <c r="I3959" s="10" t="str">
        <f>HYPERLINK("http://www.socialflow.com","SocialFlow")</f>
        <v>SocialFlow</v>
      </c>
      <c r="J3959" s="2">
        <v>446859</v>
      </c>
      <c r="K3959" s="2">
        <v>17</v>
      </c>
      <c r="L3959" s="2">
        <v>614</v>
      </c>
      <c r="M3959" s="2" t="s">
        <v>80</v>
      </c>
      <c r="N3959" s="8">
        <v>40859.711631944447</v>
      </c>
      <c r="O3959" s="4" t="s">
        <v>460</v>
      </c>
      <c r="P3959" s="3" t="s">
        <v>1171</v>
      </c>
      <c r="Q3959" s="10" t="s">
        <v>1170</v>
      </c>
      <c r="R3959" s="4"/>
      <c r="S3959" s="9" t="str">
        <f>HYPERLINK("https://pbs.twimg.com/profile_images/976899507744051201/07FIeivp.jpg","View")</f>
        <v>View</v>
      </c>
    </row>
    <row r="3960" spans="1:19" ht="20">
      <c r="A3960" s="8">
        <v>43341.562847222223</v>
      </c>
      <c r="B3960" s="11" t="str">
        <f>HYPERLINK("https://twitter.com/Majiidmohamadi","@Majiidmohamadi")</f>
        <v>@Majiidmohamadi</v>
      </c>
      <c r="C3960" s="6" t="s">
        <v>6427</v>
      </c>
      <c r="D3960" s="5" t="s">
        <v>6426</v>
      </c>
      <c r="E3960" s="9" t="str">
        <f>HYPERLINK("https://twitter.com/Majiidmohamadi/status/1034727481536901121","1034727481536901121")</f>
        <v>1034727481536901121</v>
      </c>
      <c r="F3960" s="4"/>
      <c r="G3960" s="4"/>
      <c r="H3960" s="4"/>
      <c r="I3960" s="10" t="str">
        <f>HYPERLINK("http://twitter.com/download/android","Twitter for Android")</f>
        <v>Twitter for Android</v>
      </c>
      <c r="J3960" s="2">
        <v>109</v>
      </c>
      <c r="K3960" s="2">
        <v>124</v>
      </c>
      <c r="L3960" s="2">
        <v>0</v>
      </c>
      <c r="M3960" s="2"/>
      <c r="N3960" s="8">
        <v>43175.708310185189</v>
      </c>
      <c r="O3960" s="4" t="s">
        <v>17</v>
      </c>
      <c r="P3960" s="3" t="s">
        <v>6425</v>
      </c>
      <c r="Q3960" s="4"/>
      <c r="R3960" s="4"/>
      <c r="S3960" s="9" t="str">
        <f>HYPERLINK("https://pbs.twimg.com/profile_images/1031469481619546112/w6rlnJAe.jpg","View")</f>
        <v>View</v>
      </c>
    </row>
    <row r="3961" spans="1:19" ht="20">
      <c r="A3961" s="8">
        <v>43341.562372685185</v>
      </c>
      <c r="B3961" s="11" t="str">
        <f>HYPERLINK("https://twitter.com/ArdalaniMr","@ArdalaniMr")</f>
        <v>@ArdalaniMr</v>
      </c>
      <c r="C3961" s="6" t="s">
        <v>6424</v>
      </c>
      <c r="D3961" s="5" t="s">
        <v>6423</v>
      </c>
      <c r="E3961" s="9" t="str">
        <f>HYPERLINK("https://twitter.com/ArdalaniMr/status/1034727310258266112","1034727310258266112")</f>
        <v>1034727310258266112</v>
      </c>
      <c r="F3961" s="4"/>
      <c r="G3961" s="10" t="s">
        <v>6422</v>
      </c>
      <c r="H3961" s="4"/>
      <c r="I3961" s="10" t="str">
        <f>HYPERLINK("http://twitter.com/download/android","Twitter for Android")</f>
        <v>Twitter for Android</v>
      </c>
      <c r="J3961" s="2">
        <v>3</v>
      </c>
      <c r="K3961" s="2">
        <v>75</v>
      </c>
      <c r="L3961" s="2">
        <v>0</v>
      </c>
      <c r="M3961" s="2"/>
      <c r="N3961" s="8">
        <v>43302.104062500002</v>
      </c>
      <c r="O3961" s="4"/>
      <c r="P3961" s="3"/>
      <c r="Q3961" s="4"/>
      <c r="R3961" s="4"/>
      <c r="S3961" s="9" t="str">
        <f>HYPERLINK("https://pbs.twimg.com/profile_images/1034724850009600001/kAfuGgIw.jpg","View")</f>
        <v>View</v>
      </c>
    </row>
    <row r="3962" spans="1:19" ht="30">
      <c r="A3962" s="8">
        <v>43341.562326388885</v>
      </c>
      <c r="B3962" s="11" t="str">
        <f>HYPERLINK("https://twitter.com/shabar_rasooli","@shabar_rasooli")</f>
        <v>@shabar_rasooli</v>
      </c>
      <c r="C3962" s="6" t="s">
        <v>6421</v>
      </c>
      <c r="D3962" s="5" t="s">
        <v>6420</v>
      </c>
      <c r="E3962" s="9" t="str">
        <f>HYPERLINK("https://twitter.com/shabar_rasooli/status/1034727293686611968","1034727293686611968")</f>
        <v>1034727293686611968</v>
      </c>
      <c r="F3962" s="4"/>
      <c r="G3962" s="4"/>
      <c r="H3962" s="4"/>
      <c r="I3962" s="10" t="str">
        <f>HYPERLINK("http://twitter.com/download/android","Twitter for Android")</f>
        <v>Twitter for Android</v>
      </c>
      <c r="J3962" s="2">
        <v>24</v>
      </c>
      <c r="K3962" s="2">
        <v>155</v>
      </c>
      <c r="L3962" s="2">
        <v>0</v>
      </c>
      <c r="M3962" s="2"/>
      <c r="N3962" s="8">
        <v>43330.899710648147</v>
      </c>
      <c r="O3962" s="4" t="s">
        <v>6419</v>
      </c>
      <c r="P3962" s="3" t="s">
        <v>6418</v>
      </c>
      <c r="Q3962" s="4"/>
      <c r="R3962" s="4"/>
      <c r="S3962" s="9" t="str">
        <f>HYPERLINK("https://pbs.twimg.com/profile_images/1030928752019210242/wsxt8fUA.jpg","View")</f>
        <v>View</v>
      </c>
    </row>
    <row r="3963" spans="1:19" ht="40">
      <c r="A3963" s="8">
        <v>43341.562164351853</v>
      </c>
      <c r="B3963" s="11" t="str">
        <f>HYPERLINK("https://twitter.com/hasanhashemi_ir","@hasanhashemi_ir")</f>
        <v>@hasanhashemi_ir</v>
      </c>
      <c r="C3963" s="6" t="s">
        <v>6417</v>
      </c>
      <c r="D3963" s="5" t="s">
        <v>6416</v>
      </c>
      <c r="E3963" s="9" t="str">
        <f>HYPERLINK("https://twitter.com/hasanhashemi_ir/status/1034727232340717569","1034727232340717569")</f>
        <v>1034727232340717569</v>
      </c>
      <c r="F3963" s="4"/>
      <c r="G3963" s="10" t="s">
        <v>6415</v>
      </c>
      <c r="H3963" s="4"/>
      <c r="I3963" s="10" t="str">
        <f>HYPERLINK("http://twitter.com/download/android","Twitter for Android")</f>
        <v>Twitter for Android</v>
      </c>
      <c r="J3963" s="2">
        <v>109</v>
      </c>
      <c r="K3963" s="2">
        <v>209</v>
      </c>
      <c r="L3963" s="2">
        <v>0</v>
      </c>
      <c r="M3963" s="2"/>
      <c r="N3963" s="8">
        <v>41774.462222222224</v>
      </c>
      <c r="O3963" s="4" t="s">
        <v>34</v>
      </c>
      <c r="P3963" s="3" t="s">
        <v>6414</v>
      </c>
      <c r="Q3963" s="4"/>
      <c r="R3963" s="4"/>
      <c r="S3963" s="9" t="str">
        <f>HYPERLINK("https://pbs.twimg.com/profile_images/953528341457440768/gSTpZeTK.jpg","View")</f>
        <v>View</v>
      </c>
    </row>
    <row r="3964" spans="1:19" ht="20">
      <c r="A3964" s="8">
        <v>43341.562037037038</v>
      </c>
      <c r="B3964" s="11" t="str">
        <f>HYPERLINK("https://twitter.com/ilnanews","@ilnanews")</f>
        <v>@ilnanews</v>
      </c>
      <c r="C3964" s="6" t="s">
        <v>6413</v>
      </c>
      <c r="D3964" s="5" t="s">
        <v>6412</v>
      </c>
      <c r="E3964" s="9" t="str">
        <f>HYPERLINK("https://twitter.com/ilnanews/status/1034727189114175488","1034727189114175488")</f>
        <v>1034727189114175488</v>
      </c>
      <c r="F3964" s="10" t="s">
        <v>6411</v>
      </c>
      <c r="G3964" s="10" t="s">
        <v>6410</v>
      </c>
      <c r="H3964" s="4"/>
      <c r="I3964" s="10" t="str">
        <f>HYPERLINK("http://twitter.com/download/android","Twitter for Android")</f>
        <v>Twitter for Android</v>
      </c>
      <c r="J3964" s="2">
        <v>32162</v>
      </c>
      <c r="K3964" s="2">
        <v>67</v>
      </c>
      <c r="L3964" s="2">
        <v>161</v>
      </c>
      <c r="M3964" s="2"/>
      <c r="N3964" s="8">
        <v>42062.024768518517</v>
      </c>
      <c r="O3964" s="4" t="s">
        <v>34</v>
      </c>
      <c r="P3964" s="3" t="s">
        <v>6409</v>
      </c>
      <c r="Q3964" s="10" t="s">
        <v>6408</v>
      </c>
      <c r="R3964" s="4"/>
      <c r="S3964" s="9" t="str">
        <f>HYPERLINK("https://pbs.twimg.com/profile_images/760387216782848000/TS1QyYLo.jpg","View")</f>
        <v>View</v>
      </c>
    </row>
    <row r="3965" spans="1:19" ht="30">
      <c r="A3965" s="8">
        <v>43341.561944444446</v>
      </c>
      <c r="B3965" s="11" t="str">
        <f>HYPERLINK("https://twitter.com/NabilBelbasi","@NabilBelbasi")</f>
        <v>@NabilBelbasi</v>
      </c>
      <c r="C3965" s="6" t="s">
        <v>6407</v>
      </c>
      <c r="D3965" s="5" t="s">
        <v>6406</v>
      </c>
      <c r="E3965" s="9" t="str">
        <f>HYPERLINK("https://twitter.com/NabilBelbasi/status/1034727153848528897","1034727153848528897")</f>
        <v>1034727153848528897</v>
      </c>
      <c r="F3965" s="4"/>
      <c r="G3965" s="10" t="s">
        <v>6405</v>
      </c>
      <c r="H3965" s="4"/>
      <c r="I3965" s="10" t="str">
        <f>HYPERLINK("http://twitter.com","Twitter Web Client")</f>
        <v>Twitter Web Client</v>
      </c>
      <c r="J3965" s="2">
        <v>99</v>
      </c>
      <c r="K3965" s="2">
        <v>143</v>
      </c>
      <c r="L3965" s="2">
        <v>4</v>
      </c>
      <c r="M3965" s="2"/>
      <c r="N3965" s="8">
        <v>42712.435358796298</v>
      </c>
      <c r="O3965" s="4" t="s">
        <v>3090</v>
      </c>
      <c r="P3965" s="3" t="s">
        <v>6404</v>
      </c>
      <c r="Q3965" s="4"/>
      <c r="R3965" s="4"/>
      <c r="S3965" s="9" t="str">
        <f>HYPERLINK("https://pbs.twimg.com/profile_images/864013143382663168/F0QPYuBq.jpg","View")</f>
        <v>View</v>
      </c>
    </row>
    <row r="3966" spans="1:19" ht="20">
      <c r="A3966" s="8">
        <v>43341.561736111107</v>
      </c>
      <c r="B3966" s="11" t="str">
        <f>HYPERLINK("https://twitter.com/alimohtadii","@alimohtadii")</f>
        <v>@alimohtadii</v>
      </c>
      <c r="C3966" s="6" t="s">
        <v>6403</v>
      </c>
      <c r="D3966" s="5" t="s">
        <v>6402</v>
      </c>
      <c r="E3966" s="9" t="str">
        <f>HYPERLINK("https://twitter.com/alimohtadii/status/1034727078296473600","1034727078296473600")</f>
        <v>1034727078296473600</v>
      </c>
      <c r="F3966" s="4"/>
      <c r="G3966" s="4"/>
      <c r="H3966" s="4"/>
      <c r="I3966" s="10" t="str">
        <f>HYPERLINK("http://twitter.com/download/android","Twitter for Android")</f>
        <v>Twitter for Android</v>
      </c>
      <c r="J3966" s="2">
        <v>2267</v>
      </c>
      <c r="K3966" s="2">
        <v>2058</v>
      </c>
      <c r="L3966" s="2">
        <v>8</v>
      </c>
      <c r="M3966" s="2"/>
      <c r="N3966" s="8">
        <v>42710.842372685191</v>
      </c>
      <c r="O3966" s="4" t="s">
        <v>6401</v>
      </c>
      <c r="P3966" s="3" t="s">
        <v>6400</v>
      </c>
      <c r="Q3966" s="4"/>
      <c r="R3966" s="4"/>
      <c r="S3966" s="9" t="str">
        <f>HYPERLINK("https://pbs.twimg.com/profile_images/1034062976658169856/WIqHurEE.jpg","View")</f>
        <v>View</v>
      </c>
    </row>
    <row r="3967" spans="1:19" ht="20">
      <c r="A3967" s="8">
        <v>43341.561261574076</v>
      </c>
      <c r="B3967" s="11" t="str">
        <f>HYPERLINK("https://twitter.com/homasadat91","@homasadat91")</f>
        <v>@homasadat91</v>
      </c>
      <c r="C3967" s="6" t="s">
        <v>6399</v>
      </c>
      <c r="D3967" s="5" t="s">
        <v>6398</v>
      </c>
      <c r="E3967" s="9" t="str">
        <f>HYPERLINK("https://twitter.com/homasadat91/status/1034726906313285632","1034726906313285632")</f>
        <v>1034726906313285632</v>
      </c>
      <c r="F3967" s="4"/>
      <c r="G3967" s="10" t="s">
        <v>6397</v>
      </c>
      <c r="H3967" s="4"/>
      <c r="I3967" s="10" t="str">
        <f>HYPERLINK("http://twitter.com","Twitter Web Client")</f>
        <v>Twitter Web Client</v>
      </c>
      <c r="J3967" s="2">
        <v>96</v>
      </c>
      <c r="K3967" s="2">
        <v>174</v>
      </c>
      <c r="L3967" s="2">
        <v>0</v>
      </c>
      <c r="M3967" s="2"/>
      <c r="N3967" s="8">
        <v>42874.550428240742</v>
      </c>
      <c r="O3967" s="4"/>
      <c r="P3967" s="3" t="s">
        <v>6396</v>
      </c>
      <c r="Q3967" s="4"/>
      <c r="R3967" s="4"/>
      <c r="S3967" s="9" t="str">
        <f>HYPERLINK("https://pbs.twimg.com/profile_images/865489485416366081/6Hn4KLHu.jpg","View")</f>
        <v>View</v>
      </c>
    </row>
    <row r="3968" spans="1:19" ht="30">
      <c r="A3968" s="8">
        <v>43341.560624999998</v>
      </c>
      <c r="B3968" s="11" t="str">
        <f>HYPERLINK("https://twitter.com/jamejamCPI","@jamejamCPI")</f>
        <v>@jamejamCPI</v>
      </c>
      <c r="C3968" s="6" t="s">
        <v>5625</v>
      </c>
      <c r="D3968" s="5" t="s">
        <v>6395</v>
      </c>
      <c r="E3968" s="9" t="str">
        <f>HYPERLINK("https://twitter.com/jamejamCPI/status/1034726675752394752","1034726675752394752")</f>
        <v>1034726675752394752</v>
      </c>
      <c r="F3968" s="10" t="s">
        <v>6394</v>
      </c>
      <c r="G3968" s="4"/>
      <c r="H3968" s="4"/>
      <c r="I3968" s="10" t="str">
        <f>HYPERLINK("http://twitter.com","Twitter Web Client")</f>
        <v>Twitter Web Client</v>
      </c>
      <c r="J3968" s="2">
        <v>26511</v>
      </c>
      <c r="K3968" s="2">
        <v>1417</v>
      </c>
      <c r="L3968" s="2">
        <v>139</v>
      </c>
      <c r="M3968" s="2"/>
      <c r="N3968" s="8">
        <v>41548.76021990741</v>
      </c>
      <c r="O3968" s="4" t="s">
        <v>5622</v>
      </c>
      <c r="P3968" s="3" t="s">
        <v>5621</v>
      </c>
      <c r="Q3968" s="10" t="s">
        <v>5620</v>
      </c>
      <c r="R3968" s="4"/>
      <c r="S3968" s="9" t="str">
        <f>HYPERLINK("https://pbs.twimg.com/profile_images/1016553348819046405/PBNorYe4.jpg","View")</f>
        <v>View</v>
      </c>
    </row>
    <row r="3969" spans="1:19" ht="20">
      <c r="A3969" s="8">
        <v>43341.559212962966</v>
      </c>
      <c r="B3969" s="11" t="str">
        <f>HYPERLINK("https://twitter.com/dongol_m","@dongol_m")</f>
        <v>@dongol_m</v>
      </c>
      <c r="C3969" s="6" t="s">
        <v>6393</v>
      </c>
      <c r="D3969" s="5" t="s">
        <v>6392</v>
      </c>
      <c r="E3969" s="9" t="str">
        <f>HYPERLINK("https://twitter.com/dongol_m/status/1034726166064758784","1034726166064758784")</f>
        <v>1034726166064758784</v>
      </c>
      <c r="F3969" s="4"/>
      <c r="G3969" s="4"/>
      <c r="H3969" s="4"/>
      <c r="I3969" s="10" t="str">
        <f>HYPERLINK("http://twitter.com/download/android","Twitter for Android")</f>
        <v>Twitter for Android</v>
      </c>
      <c r="J3969" s="2">
        <v>301</v>
      </c>
      <c r="K3969" s="2">
        <v>255</v>
      </c>
      <c r="L3969" s="2">
        <v>1</v>
      </c>
      <c r="M3969" s="2"/>
      <c r="N3969" s="8">
        <v>42893.69458333333</v>
      </c>
      <c r="O3969" s="4"/>
      <c r="P3969" s="3" t="s">
        <v>6391</v>
      </c>
      <c r="Q3969" s="4"/>
      <c r="R3969" s="4"/>
      <c r="S3969" s="9" t="str">
        <f>HYPERLINK("https://pbs.twimg.com/profile_images/964157194236198912/KNY_5xGq.jpg","View")</f>
        <v>View</v>
      </c>
    </row>
    <row r="3970" spans="1:19" ht="30">
      <c r="A3970" s="8">
        <v>43341.558611111112</v>
      </c>
      <c r="B3970" s="11" t="str">
        <f>HYPERLINK("https://twitter.com/yjcagency","@yjcagency")</f>
        <v>@yjcagency</v>
      </c>
      <c r="C3970" s="6" t="s">
        <v>3511</v>
      </c>
      <c r="D3970" s="5" t="s">
        <v>6390</v>
      </c>
      <c r="E3970" s="9" t="str">
        <f>HYPERLINK("https://twitter.com/yjcagency/status/1034725946681638913","1034725946681638913")</f>
        <v>1034725946681638913</v>
      </c>
      <c r="F3970" s="10" t="s">
        <v>6389</v>
      </c>
      <c r="G3970" s="10" t="s">
        <v>6388</v>
      </c>
      <c r="H3970" s="4"/>
      <c r="I3970" s="10" t="str">
        <f>HYPERLINK("http://twitter.com/download/android","Twitter for Android")</f>
        <v>Twitter for Android</v>
      </c>
      <c r="J3970" s="2">
        <v>10735</v>
      </c>
      <c r="K3970" s="2">
        <v>3</v>
      </c>
      <c r="L3970" s="2">
        <v>55</v>
      </c>
      <c r="M3970" s="2"/>
      <c r="N3970" s="8">
        <v>42691.645821759259</v>
      </c>
      <c r="O3970" s="4" t="s">
        <v>3508</v>
      </c>
      <c r="P3970" s="3" t="s">
        <v>3507</v>
      </c>
      <c r="Q3970" s="10" t="s">
        <v>3506</v>
      </c>
      <c r="R3970" s="4"/>
      <c r="S3970" s="9" t="str">
        <f>HYPERLINK("https://pbs.twimg.com/profile_images/1016530264250568704/lVYN9g8h.jpg","View")</f>
        <v>View</v>
      </c>
    </row>
    <row r="3971" spans="1:19" ht="30">
      <c r="A3971" s="8">
        <v>43341.558344907404</v>
      </c>
      <c r="B3971" s="11" t="str">
        <f>HYPERLINK("https://twitter.com/aminrazavi3","@aminrazavi3")</f>
        <v>@aminrazavi3</v>
      </c>
      <c r="C3971" s="6" t="s">
        <v>6387</v>
      </c>
      <c r="D3971" s="5" t="s">
        <v>6339</v>
      </c>
      <c r="E3971" s="9" t="str">
        <f>HYPERLINK("https://twitter.com/aminrazavi3/status/1034725849063456768","1034725849063456768")</f>
        <v>1034725849063456768</v>
      </c>
      <c r="F3971" s="4"/>
      <c r="G3971" s="4"/>
      <c r="H3971" s="4"/>
      <c r="I3971" s="10" t="str">
        <f>HYPERLINK("http://twitter.com","Twitter Web Client")</f>
        <v>Twitter Web Client</v>
      </c>
      <c r="J3971" s="2">
        <v>11</v>
      </c>
      <c r="K3971" s="2">
        <v>8</v>
      </c>
      <c r="L3971" s="2">
        <v>0</v>
      </c>
      <c r="M3971" s="2"/>
      <c r="N3971" s="8">
        <v>43330.791006944448</v>
      </c>
      <c r="O3971" s="4"/>
      <c r="P3971" s="3"/>
      <c r="Q3971" s="4"/>
      <c r="R3971" s="4"/>
      <c r="S3971" s="9" t="str">
        <f>HYPERLINK("https://pbs.twimg.com/profile_images/1030827308792406016/9Fq1w7I4.jpg","View")</f>
        <v>View</v>
      </c>
    </row>
    <row r="3972" spans="1:19" ht="20">
      <c r="A3972" s="8">
        <v>43341.557997685188</v>
      </c>
      <c r="B3972" s="11" t="str">
        <f>HYPERLINK("https://twitter.com/eghtesadonline","@eghtesadonline")</f>
        <v>@eghtesadonline</v>
      </c>
      <c r="C3972" s="6" t="s">
        <v>5935</v>
      </c>
      <c r="D3972" s="5" t="s">
        <v>6386</v>
      </c>
      <c r="E3972" s="9" t="str">
        <f>HYPERLINK("https://twitter.com/eghtesadonline/status/1034725725142745090","1034725725142745090")</f>
        <v>1034725725142745090</v>
      </c>
      <c r="F3972" s="4"/>
      <c r="G3972" s="10" t="s">
        <v>6385</v>
      </c>
      <c r="H3972" s="4"/>
      <c r="I3972" s="10" t="str">
        <f>HYPERLINK("http://twitter.com","Twitter Web Client")</f>
        <v>Twitter Web Client</v>
      </c>
      <c r="J3972" s="2">
        <v>2086</v>
      </c>
      <c r="K3972" s="2">
        <v>7</v>
      </c>
      <c r="L3972" s="2">
        <v>41</v>
      </c>
      <c r="M3972" s="2"/>
      <c r="N3972" s="8">
        <v>41595.377060185187</v>
      </c>
      <c r="O3972" s="4" t="s">
        <v>17</v>
      </c>
      <c r="P3972" s="3" t="s">
        <v>5933</v>
      </c>
      <c r="Q3972" s="10" t="s">
        <v>5932</v>
      </c>
      <c r="R3972" s="4"/>
      <c r="S3972" s="9" t="str">
        <f>HYPERLINK("https://pbs.twimg.com/profile_images/1034350708475224064/4dNqWRJC.jpg","View")</f>
        <v>View</v>
      </c>
    </row>
    <row r="3973" spans="1:19" ht="40">
      <c r="A3973" s="8">
        <v>43341.55678240741</v>
      </c>
      <c r="B3973" s="11" t="str">
        <f>HYPERLINK("https://twitter.com/safa_cyb","@safa_cyb")</f>
        <v>@safa_cyb</v>
      </c>
      <c r="C3973" s="6" t="s">
        <v>6384</v>
      </c>
      <c r="D3973" s="5" t="s">
        <v>6383</v>
      </c>
      <c r="E3973" s="9" t="str">
        <f>HYPERLINK("https://twitter.com/safa_cyb/status/1034725282945613824","1034725282945613824")</f>
        <v>1034725282945613824</v>
      </c>
      <c r="F3973" s="4"/>
      <c r="G3973" s="4"/>
      <c r="H3973" s="4"/>
      <c r="I3973" s="10" t="str">
        <f>HYPERLINK("http://twitter.com/download/android","Twitter for Android")</f>
        <v>Twitter for Android</v>
      </c>
      <c r="J3973" s="2">
        <v>1164</v>
      </c>
      <c r="K3973" s="2">
        <v>982</v>
      </c>
      <c r="L3973" s="2">
        <v>8</v>
      </c>
      <c r="M3973" s="2"/>
      <c r="N3973" s="8">
        <v>42704.715983796297</v>
      </c>
      <c r="O3973" s="4" t="s">
        <v>17</v>
      </c>
      <c r="P3973" s="3" t="s">
        <v>6382</v>
      </c>
      <c r="Q3973" s="4"/>
      <c r="R3973" s="4"/>
      <c r="S3973" s="9" t="str">
        <f>HYPERLINK("https://pbs.twimg.com/profile_images/955331304983269376/Dpz8Ybwc.jpg","View")</f>
        <v>View</v>
      </c>
    </row>
    <row r="3974" spans="1:19" ht="50">
      <c r="A3974" s="8">
        <v>43341.556377314817</v>
      </c>
      <c r="B3974" s="11" t="str">
        <f>HYPERLINK("https://twitter.com/israelDestroyer","@israelDestroyer")</f>
        <v>@israelDestroyer</v>
      </c>
      <c r="C3974" s="11" t="s">
        <v>6381</v>
      </c>
      <c r="D3974" s="5" t="s">
        <v>6380</v>
      </c>
      <c r="E3974" s="9" t="str">
        <f>HYPERLINK("https://twitter.com/israelDestroyer/status/1034725135109050368","1034725135109050368")</f>
        <v>1034725135109050368</v>
      </c>
      <c r="F3974" s="10" t="s">
        <v>6379</v>
      </c>
      <c r="G3974" s="4"/>
      <c r="H3974" s="4"/>
      <c r="I3974" s="10" t="str">
        <f>HYPERLINK("http://twitter.com/download/android","Twitter for Android")</f>
        <v>Twitter for Android</v>
      </c>
      <c r="J3974" s="2">
        <v>220</v>
      </c>
      <c r="K3974" s="2">
        <v>81</v>
      </c>
      <c r="L3974" s="2">
        <v>2</v>
      </c>
      <c r="M3974" s="2"/>
      <c r="N3974" s="8">
        <v>42782.97210648148</v>
      </c>
      <c r="O3974" s="4" t="s">
        <v>6378</v>
      </c>
      <c r="P3974" s="3" t="s">
        <v>6377</v>
      </c>
      <c r="Q3974" s="4"/>
      <c r="R3974" s="4"/>
      <c r="S3974" s="9" t="str">
        <f>HYPERLINK("https://pbs.twimg.com/profile_images/832320375782379520/OHIymRLV.jpg","View")</f>
        <v>View</v>
      </c>
    </row>
    <row r="3975" spans="1:19" ht="50">
      <c r="A3975" s="8">
        <v>43341.556122685186</v>
      </c>
      <c r="B3975" s="11" t="str">
        <f>HYPERLINK("https://twitter.com/hajk1","@hajk1")</f>
        <v>@hajk1</v>
      </c>
      <c r="C3975" s="6" t="s">
        <v>6376</v>
      </c>
      <c r="D3975" s="5" t="s">
        <v>6375</v>
      </c>
      <c r="E3975" s="9" t="str">
        <f>HYPERLINK("https://twitter.com/hajk1/status/1034725043111190529","1034725043111190529")</f>
        <v>1034725043111190529</v>
      </c>
      <c r="F3975" s="10" t="s">
        <v>6374</v>
      </c>
      <c r="G3975" s="4"/>
      <c r="H3975" s="4"/>
      <c r="I3975" s="10" t="str">
        <f>HYPERLINK("http://twitter.com","Twitter Web Client")</f>
        <v>Twitter Web Client</v>
      </c>
      <c r="J3975" s="2">
        <v>102</v>
      </c>
      <c r="K3975" s="2">
        <v>262</v>
      </c>
      <c r="L3975" s="2">
        <v>4</v>
      </c>
      <c r="M3975" s="2"/>
      <c r="N3975" s="8">
        <v>39599.440601851849</v>
      </c>
      <c r="O3975" s="4" t="s">
        <v>133</v>
      </c>
      <c r="P3975" s="3" t="s">
        <v>6373</v>
      </c>
      <c r="Q3975" s="10" t="s">
        <v>6372</v>
      </c>
      <c r="R3975" s="4"/>
      <c r="S3975" s="9" t="str">
        <f>HYPERLINK("https://pbs.twimg.com/profile_images/817474352178405377/Y4siPyA5.jpg","View")</f>
        <v>View</v>
      </c>
    </row>
    <row r="3976" spans="1:19" ht="30">
      <c r="A3976" s="8">
        <v>43341.55604166667</v>
      </c>
      <c r="B3976" s="11" t="str">
        <f>HYPERLINK("https://twitter.com/eghtesadonline","@eghtesadonline")</f>
        <v>@eghtesadonline</v>
      </c>
      <c r="C3976" s="6" t="s">
        <v>5935</v>
      </c>
      <c r="D3976" s="5" t="s">
        <v>6371</v>
      </c>
      <c r="E3976" s="9" t="str">
        <f>HYPERLINK("https://twitter.com/eghtesadonline/status/1034725015915298817","1034725015915298817")</f>
        <v>1034725015915298817</v>
      </c>
      <c r="F3976" s="4"/>
      <c r="G3976" s="4"/>
      <c r="H3976" s="4"/>
      <c r="I3976" s="10" t="str">
        <f>HYPERLINK("http://twitter.com","Twitter Web Client")</f>
        <v>Twitter Web Client</v>
      </c>
      <c r="J3976" s="2">
        <v>2086</v>
      </c>
      <c r="K3976" s="2">
        <v>7</v>
      </c>
      <c r="L3976" s="2">
        <v>41</v>
      </c>
      <c r="M3976" s="2"/>
      <c r="N3976" s="8">
        <v>41595.377060185187</v>
      </c>
      <c r="O3976" s="4" t="s">
        <v>17</v>
      </c>
      <c r="P3976" s="3" t="s">
        <v>5933</v>
      </c>
      <c r="Q3976" s="10" t="s">
        <v>5932</v>
      </c>
      <c r="R3976" s="4"/>
      <c r="S3976" s="9" t="str">
        <f>HYPERLINK("https://pbs.twimg.com/profile_images/1034350708475224064/4dNqWRJC.jpg","View")</f>
        <v>View</v>
      </c>
    </row>
    <row r="3977" spans="1:19" ht="20">
      <c r="A3977" s="8">
        <v>43341.555428240739</v>
      </c>
      <c r="B3977" s="11" t="str">
        <f>HYPERLINK("https://twitter.com/MojtabaSalehi73","@MojtabaSalehi73")</f>
        <v>@MojtabaSalehi73</v>
      </c>
      <c r="C3977" s="6" t="s">
        <v>6370</v>
      </c>
      <c r="D3977" s="5" t="s">
        <v>6369</v>
      </c>
      <c r="E3977" s="9" t="str">
        <f>HYPERLINK("https://twitter.com/MojtabaSalehi73/status/1034724792878997505","1034724792878997505")</f>
        <v>1034724792878997505</v>
      </c>
      <c r="F3977" s="4"/>
      <c r="G3977" s="10" t="s">
        <v>6368</v>
      </c>
      <c r="H3977" s="4"/>
      <c r="I3977" s="10" t="str">
        <f>HYPERLINK("http://twitter.com/download/android","Twitter for Android")</f>
        <v>Twitter for Android</v>
      </c>
      <c r="J3977" s="2">
        <v>137</v>
      </c>
      <c r="K3977" s="2">
        <v>234</v>
      </c>
      <c r="L3977" s="2">
        <v>1</v>
      </c>
      <c r="M3977" s="2"/>
      <c r="N3977" s="8">
        <v>43100.921354166669</v>
      </c>
      <c r="O3977" s="4" t="s">
        <v>34</v>
      </c>
      <c r="P3977" s="3" t="s">
        <v>6367</v>
      </c>
      <c r="Q3977" s="4"/>
      <c r="R3977" s="4"/>
      <c r="S3977" s="9" t="str">
        <f>HYPERLINK("https://pbs.twimg.com/profile_images/998270682952744960/ODLMAU95.jpg","View")</f>
        <v>View</v>
      </c>
    </row>
    <row r="3978" spans="1:19" ht="20">
      <c r="A3978" s="8">
        <v>43341.555335648147</v>
      </c>
      <c r="B3978" s="11" t="str">
        <f>HYPERLINK("https://twitter.com/jahangardam","@jahangardam")</f>
        <v>@jahangardam</v>
      </c>
      <c r="C3978" s="6" t="s">
        <v>6366</v>
      </c>
      <c r="D3978" s="5" t="s">
        <v>6365</v>
      </c>
      <c r="E3978" s="9" t="str">
        <f>HYPERLINK("https://twitter.com/jahangardam/status/1034724757877477377","1034724757877477377")</f>
        <v>1034724757877477377</v>
      </c>
      <c r="F3978" s="4"/>
      <c r="G3978" s="10" t="s">
        <v>6364</v>
      </c>
      <c r="H3978" s="4"/>
      <c r="I3978" s="10" t="str">
        <f>HYPERLINK("http://twitter.com/download/android","Twitter for Android")</f>
        <v>Twitter for Android</v>
      </c>
      <c r="J3978" s="2">
        <v>533</v>
      </c>
      <c r="K3978" s="2">
        <v>239</v>
      </c>
      <c r="L3978" s="2">
        <v>3</v>
      </c>
      <c r="M3978" s="2"/>
      <c r="N3978" s="8">
        <v>43083.040960648148</v>
      </c>
      <c r="O3978" s="4"/>
      <c r="P3978" s="3" t="s">
        <v>6363</v>
      </c>
      <c r="Q3978" s="4"/>
      <c r="R3978" s="4"/>
      <c r="S3978" s="9" t="str">
        <f>HYPERLINK("https://pbs.twimg.com/profile_images/1023991505294450693/HPBi9ahH.jpg","View")</f>
        <v>View</v>
      </c>
    </row>
    <row r="3979" spans="1:19" ht="20">
      <c r="A3979" s="8">
        <v>43341.554236111115</v>
      </c>
      <c r="B3979" s="11" t="str">
        <f>HYPERLINK("https://twitter.com/nourbakhshtami","@nourbakhshtami")</f>
        <v>@nourbakhshtami</v>
      </c>
      <c r="C3979" s="6" t="s">
        <v>6362</v>
      </c>
      <c r="D3979" s="5" t="s">
        <v>6361</v>
      </c>
      <c r="E3979" s="9" t="str">
        <f>HYPERLINK("https://twitter.com/nourbakhshtami/status/1034724362467897344","1034724362467897344")</f>
        <v>1034724362467897344</v>
      </c>
      <c r="F3979" s="4"/>
      <c r="G3979" s="4"/>
      <c r="H3979" s="4"/>
      <c r="I3979" s="10" t="str">
        <f>HYPERLINK("http://twitter.com/download/iphone","Twitter for iPhone")</f>
        <v>Twitter for iPhone</v>
      </c>
      <c r="J3979" s="2">
        <v>535</v>
      </c>
      <c r="K3979" s="2">
        <v>398</v>
      </c>
      <c r="L3979" s="2">
        <v>4</v>
      </c>
      <c r="M3979" s="2"/>
      <c r="N3979" s="8">
        <v>43040.353055555555</v>
      </c>
      <c r="O3979" s="4" t="s">
        <v>6360</v>
      </c>
      <c r="P3979" s="3"/>
      <c r="Q3979" s="4"/>
      <c r="R3979" s="4"/>
      <c r="S3979" s="9" t="str">
        <f>HYPERLINK("https://pbs.twimg.com/profile_images/1013333941510696962/FkGWGnGJ.jpg","View")</f>
        <v>View</v>
      </c>
    </row>
    <row r="3980" spans="1:19" ht="20">
      <c r="A3980" s="8">
        <v>43341.553749999999</v>
      </c>
      <c r="B3980" s="11" t="str">
        <f>HYPERLINK("https://twitter.com/Mahdi25783774","@Mahdi25783774")</f>
        <v>@Mahdi25783774</v>
      </c>
      <c r="C3980" s="6" t="s">
        <v>5469</v>
      </c>
      <c r="D3980" s="5" t="s">
        <v>6359</v>
      </c>
      <c r="E3980" s="9" t="str">
        <f>HYPERLINK("https://twitter.com/Mahdi25783774/status/1034724185141125125","1034724185141125125")</f>
        <v>1034724185141125125</v>
      </c>
      <c r="F3980" s="4"/>
      <c r="G3980" s="10" t="s">
        <v>6358</v>
      </c>
      <c r="H3980" s="4"/>
      <c r="I3980" s="10" t="str">
        <f>HYPERLINK("http://twitter.com/download/android","Twitter for Android")</f>
        <v>Twitter for Android</v>
      </c>
      <c r="J3980" s="2">
        <v>615</v>
      </c>
      <c r="K3980" s="2">
        <v>813</v>
      </c>
      <c r="L3980" s="2">
        <v>1</v>
      </c>
      <c r="M3980" s="2"/>
      <c r="N3980" s="8">
        <v>43233.519814814819</v>
      </c>
      <c r="O3980" s="4" t="s">
        <v>133</v>
      </c>
      <c r="P3980" s="3" t="s">
        <v>5466</v>
      </c>
      <c r="Q3980" s="4"/>
      <c r="R3980" s="4"/>
      <c r="S3980" s="9" t="str">
        <f>HYPERLINK("https://pbs.twimg.com/profile_images/1033642102679318528/4lBWskrd.jpg","View")</f>
        <v>View</v>
      </c>
    </row>
    <row r="3981" spans="1:19" ht="20">
      <c r="A3981" s="8">
        <v>43341.552615740744</v>
      </c>
      <c r="B3981" s="11" t="str">
        <f>HYPERLINK("https://twitter.com/matin320","@matin320")</f>
        <v>@matin320</v>
      </c>
      <c r="C3981" s="6" t="s">
        <v>4530</v>
      </c>
      <c r="D3981" s="5" t="s">
        <v>6357</v>
      </c>
      <c r="E3981" s="9" t="str">
        <f>HYPERLINK("https://twitter.com/matin320/status/1034723775353434112","1034723775353434112")</f>
        <v>1034723775353434112</v>
      </c>
      <c r="F3981" s="4"/>
      <c r="G3981" s="4"/>
      <c r="H3981" s="4"/>
      <c r="I3981" s="10" t="str">
        <f>HYPERLINK("https://about.twitter.com/products/tweetdeck","TweetDeck")</f>
        <v>TweetDeck</v>
      </c>
      <c r="J3981" s="2">
        <v>0</v>
      </c>
      <c r="K3981" s="2">
        <v>2</v>
      </c>
      <c r="L3981" s="2">
        <v>0</v>
      </c>
      <c r="M3981" s="2"/>
      <c r="N3981" s="8">
        <v>43269.204710648148</v>
      </c>
      <c r="O3981" s="4"/>
      <c r="P3981" s="3"/>
      <c r="Q3981" s="4"/>
      <c r="R3981" s="4"/>
      <c r="S3981" s="9" t="str">
        <f>HYPERLINK("https://pbs.twimg.com/profile_images/1034719402871148544/hBLNeAxC.jpg","View")</f>
        <v>View</v>
      </c>
    </row>
    <row r="3982" spans="1:19" ht="30">
      <c r="A3982" s="8">
        <v>43341.552523148144</v>
      </c>
      <c r="B3982" s="11" t="str">
        <f>HYPERLINK("https://twitter.com/ShahrivarDokht","@ShahrivarDokht")</f>
        <v>@ShahrivarDokht</v>
      </c>
      <c r="C3982" s="6" t="s">
        <v>1096</v>
      </c>
      <c r="D3982" s="5" t="s">
        <v>6356</v>
      </c>
      <c r="E3982" s="9" t="str">
        <f>HYPERLINK("https://twitter.com/ShahrivarDokht/status/1034723739735392256","1034723739735392256")</f>
        <v>1034723739735392256</v>
      </c>
      <c r="F3982" s="4"/>
      <c r="G3982" s="10" t="s">
        <v>6355</v>
      </c>
      <c r="H3982" s="4"/>
      <c r="I3982" s="10" t="str">
        <f>HYPERLINK("http://twitter.com/download/android","Twitter for Android")</f>
        <v>Twitter for Android</v>
      </c>
      <c r="J3982" s="2">
        <v>2824</v>
      </c>
      <c r="K3982" s="2">
        <v>2932</v>
      </c>
      <c r="L3982" s="2">
        <v>4</v>
      </c>
      <c r="M3982" s="2"/>
      <c r="N3982" s="8">
        <v>43232.907650462963</v>
      </c>
      <c r="O3982" s="4" t="s">
        <v>17</v>
      </c>
      <c r="P3982" s="3" t="s">
        <v>1094</v>
      </c>
      <c r="Q3982" s="4"/>
      <c r="R3982" s="4"/>
      <c r="S3982" s="9" t="str">
        <f>HYPERLINK("https://pbs.twimg.com/profile_images/1009806470165225472/0jnAt4qJ.jpg","View")</f>
        <v>View</v>
      </c>
    </row>
    <row r="3983" spans="1:19" ht="20">
      <c r="A3983" s="8">
        <v>43341.551828703705</v>
      </c>
      <c r="B3983" s="11" t="str">
        <f>HYPERLINK("https://twitter.com/MAasadi_313","@MAasadi_313")</f>
        <v>@MAasadi_313</v>
      </c>
      <c r="C3983" s="6" t="s">
        <v>6354</v>
      </c>
      <c r="D3983" s="5" t="s">
        <v>6353</v>
      </c>
      <c r="E3983" s="9" t="str">
        <f>HYPERLINK("https://twitter.com/MAasadi_313/status/1034723490006327297","1034723490006327297")</f>
        <v>1034723490006327297</v>
      </c>
      <c r="F3983" s="4"/>
      <c r="G3983" s="4"/>
      <c r="H3983" s="4"/>
      <c r="I3983" s="10" t="str">
        <f>HYPERLINK("http://twitter.com","Twitter Web Client")</f>
        <v>Twitter Web Client</v>
      </c>
      <c r="J3983" s="2">
        <v>1124</v>
      </c>
      <c r="K3983" s="2">
        <v>1108</v>
      </c>
      <c r="L3983" s="2">
        <v>0</v>
      </c>
      <c r="M3983" s="2"/>
      <c r="N3983" s="8">
        <v>42700.912002314813</v>
      </c>
      <c r="O3983" s="4" t="s">
        <v>2193</v>
      </c>
      <c r="P3983" s="3" t="s">
        <v>6352</v>
      </c>
      <c r="Q3983" s="10" t="s">
        <v>6351</v>
      </c>
      <c r="R3983" s="4"/>
      <c r="S3983" s="9" t="str">
        <f>HYPERLINK("https://pbs.twimg.com/profile_images/1006255745552113672/qHjARmbn.jpg","View")</f>
        <v>View</v>
      </c>
    </row>
    <row r="3984" spans="1:19" ht="40">
      <c r="A3984" s="8">
        <v>43341.551539351851</v>
      </c>
      <c r="B3984" s="11" t="str">
        <f>HYPERLINK("https://twitter.com/1mostafa19955","@1mostafa19955")</f>
        <v>@1mostafa19955</v>
      </c>
      <c r="C3984" s="6" t="s">
        <v>6350</v>
      </c>
      <c r="D3984" s="5" t="s">
        <v>6349</v>
      </c>
      <c r="E3984" s="9" t="str">
        <f>HYPERLINK("https://twitter.com/1mostafa19955/status/1034723384041582593","1034723384041582593")</f>
        <v>1034723384041582593</v>
      </c>
      <c r="F3984" s="4"/>
      <c r="G3984" s="4"/>
      <c r="H3984" s="4"/>
      <c r="I3984" s="10" t="str">
        <f>HYPERLINK("http://twitter.com/download/android","Twitter for Android")</f>
        <v>Twitter for Android</v>
      </c>
      <c r="J3984" s="2">
        <v>188</v>
      </c>
      <c r="K3984" s="2">
        <v>251</v>
      </c>
      <c r="L3984" s="2">
        <v>0</v>
      </c>
      <c r="M3984" s="2"/>
      <c r="N3984" s="8">
        <v>42883.794340277775</v>
      </c>
      <c r="O3984" s="4"/>
      <c r="P3984" s="3" t="s">
        <v>6348</v>
      </c>
      <c r="Q3984" s="4"/>
      <c r="R3984" s="4"/>
      <c r="S3984" s="9" t="str">
        <f>HYPERLINK("https://pbs.twimg.com/profile_images/1022093739609784320/1J7Q2wUs.jpg","View")</f>
        <v>View</v>
      </c>
    </row>
    <row r="3985" spans="1:19" ht="80">
      <c r="A3985" s="8">
        <v>43341.55091435185</v>
      </c>
      <c r="B3985" s="11" t="str">
        <f>HYPERLINK("https://twitter.com/siamakfarid","@siamakfarid")</f>
        <v>@siamakfarid</v>
      </c>
      <c r="C3985" s="6" t="s">
        <v>5115</v>
      </c>
      <c r="D3985" s="5" t="s">
        <v>6347</v>
      </c>
      <c r="E3985" s="9" t="str">
        <f>HYPERLINK("https://twitter.com/siamakfarid/status/1034723155804344320","1034723155804344320")</f>
        <v>1034723155804344320</v>
      </c>
      <c r="F3985" s="10" t="s">
        <v>6346</v>
      </c>
      <c r="G3985" s="4"/>
      <c r="H3985" s="4"/>
      <c r="I3985" s="10" t="str">
        <f>HYPERLINK("http://twitter.com/download/iphone","Twitter for iPhone")</f>
        <v>Twitter for iPhone</v>
      </c>
      <c r="J3985" s="2">
        <v>133</v>
      </c>
      <c r="K3985" s="2">
        <v>260</v>
      </c>
      <c r="L3985" s="2">
        <v>0</v>
      </c>
      <c r="M3985" s="2"/>
      <c r="N3985" s="8">
        <v>41726.132060185184</v>
      </c>
      <c r="O3985" s="4" t="s">
        <v>5113</v>
      </c>
      <c r="P3985" s="3" t="s">
        <v>5112</v>
      </c>
      <c r="Q3985" s="4"/>
      <c r="R3985" s="4"/>
      <c r="S3985" s="9" t="str">
        <f>HYPERLINK("https://pbs.twimg.com/profile_images/1033605273607438336/r_nHwI8s.jpg","View")</f>
        <v>View</v>
      </c>
    </row>
    <row r="3986" spans="1:19" ht="40">
      <c r="A3986" s="8">
        <v>43341.55086805555</v>
      </c>
      <c r="B3986" s="11" t="str">
        <f>HYPERLINK("https://twitter.com/PersianRamona","@PersianRamona")</f>
        <v>@PersianRamona</v>
      </c>
      <c r="C3986" s="6" t="s">
        <v>6345</v>
      </c>
      <c r="D3986" s="5" t="s">
        <v>6344</v>
      </c>
      <c r="E3986" s="9" t="str">
        <f>HYPERLINK("https://twitter.com/PersianRamona/status/1034723138486054912","1034723138486054912")</f>
        <v>1034723138486054912</v>
      </c>
      <c r="F3986" s="4"/>
      <c r="G3986" s="4"/>
      <c r="H3986" s="4"/>
      <c r="I3986" s="10" t="str">
        <f>HYPERLINK("http://twitter.com","Twitter Web Client")</f>
        <v>Twitter Web Client</v>
      </c>
      <c r="J3986" s="2">
        <v>363</v>
      </c>
      <c r="K3986" s="2">
        <v>372</v>
      </c>
      <c r="L3986" s="2">
        <v>0</v>
      </c>
      <c r="M3986" s="2"/>
      <c r="N3986" s="8">
        <v>43227.953414351854</v>
      </c>
      <c r="O3986" s="4"/>
      <c r="P3986" s="3" t="s">
        <v>6343</v>
      </c>
      <c r="Q3986" s="4"/>
      <c r="R3986" s="4"/>
      <c r="S3986" s="9" t="str">
        <f>HYPERLINK("https://pbs.twimg.com/profile_images/993559145172303872/jaYsVYld.jpg","View")</f>
        <v>View</v>
      </c>
    </row>
    <row r="3987" spans="1:19" ht="20">
      <c r="A3987" s="8">
        <v>43341.550520833334</v>
      </c>
      <c r="B3987" s="11" t="str">
        <f>HYPERLINK("https://twitter.com/mahya_vk","@mahya_vk")</f>
        <v>@mahya_vk</v>
      </c>
      <c r="C3987" s="6" t="s">
        <v>2599</v>
      </c>
      <c r="D3987" s="5" t="s">
        <v>6342</v>
      </c>
      <c r="E3987" s="9" t="str">
        <f>HYPERLINK("https://twitter.com/mahya_vk/status/1034723015131639808","1034723015131639808")</f>
        <v>1034723015131639808</v>
      </c>
      <c r="F3987" s="4"/>
      <c r="G3987" s="4"/>
      <c r="H3987" s="4"/>
      <c r="I3987" s="10" t="str">
        <f>HYPERLINK("http://twitter.com/download/android","Twitter for Android")</f>
        <v>Twitter for Android</v>
      </c>
      <c r="J3987" s="2">
        <v>1625</v>
      </c>
      <c r="K3987" s="2">
        <v>160</v>
      </c>
      <c r="L3987" s="2">
        <v>3</v>
      </c>
      <c r="M3987" s="2"/>
      <c r="N3987" s="8">
        <v>42737.641064814816</v>
      </c>
      <c r="O3987" s="4"/>
      <c r="P3987" s="3" t="s">
        <v>2597</v>
      </c>
      <c r="Q3987" s="4"/>
      <c r="R3987" s="4"/>
      <c r="S3987" s="9" t="str">
        <f>HYPERLINK("https://pbs.twimg.com/profile_images/979665979335692288/q_5e_Hf0.jpg","View")</f>
        <v>View</v>
      </c>
    </row>
    <row r="3988" spans="1:19" ht="20">
      <c r="A3988" s="8">
        <v>43341.550277777773</v>
      </c>
      <c r="B3988" s="11" t="str">
        <f>HYPERLINK("https://twitter.com/mostafash32","@mostafash32")</f>
        <v>@mostafash32</v>
      </c>
      <c r="C3988" s="6" t="s">
        <v>4235</v>
      </c>
      <c r="D3988" s="5" t="s">
        <v>6341</v>
      </c>
      <c r="E3988" s="9" t="str">
        <f>HYPERLINK("https://twitter.com/mostafash32/status/1034722924404658176","1034722924404658176")</f>
        <v>1034722924404658176</v>
      </c>
      <c r="F3988" s="4"/>
      <c r="G3988" s="4"/>
      <c r="H3988" s="4"/>
      <c r="I3988" s="10" t="str">
        <f>HYPERLINK("http://twitter.com/download/android","Twitter for Android")</f>
        <v>Twitter for Android</v>
      </c>
      <c r="J3988" s="2">
        <v>3378</v>
      </c>
      <c r="K3988" s="2">
        <v>4485</v>
      </c>
      <c r="L3988" s="2">
        <v>4</v>
      </c>
      <c r="M3988" s="2"/>
      <c r="N3988" s="8">
        <v>43047.742372685185</v>
      </c>
      <c r="O3988" s="4" t="s">
        <v>4233</v>
      </c>
      <c r="P3988" s="3" t="s">
        <v>4232</v>
      </c>
      <c r="Q3988" s="4"/>
      <c r="R3988" s="4"/>
      <c r="S3988" s="9" t="str">
        <f>HYPERLINK("https://pbs.twimg.com/profile_images/1031561113387851776/xCLJ-LaV.jpg","View")</f>
        <v>View</v>
      </c>
    </row>
    <row r="3989" spans="1:19" ht="30">
      <c r="A3989" s="8">
        <v>43341.548495370371</v>
      </c>
      <c r="B3989" s="11" t="str">
        <f>HYPERLINK("https://twitter.com/mosi28736134","@mosi28736134")</f>
        <v>@mosi28736134</v>
      </c>
      <c r="C3989" s="6" t="s">
        <v>6340</v>
      </c>
      <c r="D3989" s="5" t="s">
        <v>6339</v>
      </c>
      <c r="E3989" s="9" t="str">
        <f>HYPERLINK("https://twitter.com/mosi28736134/status/1034722281531076609","1034722281531076609")</f>
        <v>1034722281531076609</v>
      </c>
      <c r="F3989" s="4"/>
      <c r="G3989" s="4"/>
      <c r="H3989" s="4"/>
      <c r="I3989" s="10" t="str">
        <f>HYPERLINK("http://twitter.com","Twitter Web Client")</f>
        <v>Twitter Web Client</v>
      </c>
      <c r="J3989" s="2">
        <v>29</v>
      </c>
      <c r="K3989" s="2">
        <v>15</v>
      </c>
      <c r="L3989" s="2">
        <v>0</v>
      </c>
      <c r="M3989" s="2"/>
      <c r="N3989" s="8">
        <v>43295.905636574069</v>
      </c>
      <c r="O3989" s="4"/>
      <c r="P3989" s="3"/>
      <c r="Q3989" s="4"/>
      <c r="R3989" s="4"/>
      <c r="S3989" s="9" t="str">
        <f>HYPERLINK("https://pbs.twimg.com/profile_images/1022723621217697793/C2p4UUFY.jpg","View")</f>
        <v>View</v>
      </c>
    </row>
    <row r="3990" spans="1:19" ht="20">
      <c r="A3990" s="8">
        <v>43341.548287037032</v>
      </c>
      <c r="B3990" s="11" t="str">
        <f>HYPERLINK("https://twitter.com/VakilUlroaya","@VakilUlroaya")</f>
        <v>@VakilUlroaya</v>
      </c>
      <c r="C3990" s="6" t="s">
        <v>6338</v>
      </c>
      <c r="D3990" s="5" t="s">
        <v>6337</v>
      </c>
      <c r="E3990" s="9" t="str">
        <f>HYPERLINK("https://twitter.com/VakilUlroaya/status/1034722205781905408","1034722205781905408")</f>
        <v>1034722205781905408</v>
      </c>
      <c r="F3990" s="4"/>
      <c r="G3990" s="4"/>
      <c r="H3990" s="4"/>
      <c r="I3990" s="10" t="str">
        <f>HYPERLINK("http://twitter.com/download/android","Twitter for Android")</f>
        <v>Twitter for Android</v>
      </c>
      <c r="J3990" s="2">
        <v>2293</v>
      </c>
      <c r="K3990" s="2">
        <v>998</v>
      </c>
      <c r="L3990" s="2">
        <v>4</v>
      </c>
      <c r="M3990" s="2"/>
      <c r="N3990" s="8">
        <v>43257.526874999996</v>
      </c>
      <c r="O3990" s="4" t="s">
        <v>6336</v>
      </c>
      <c r="P3990" s="3" t="s">
        <v>6335</v>
      </c>
      <c r="Q3990" s="10" t="s">
        <v>6334</v>
      </c>
      <c r="R3990" s="4"/>
      <c r="S3990" s="9" t="str">
        <f>HYPERLINK("https://pbs.twimg.com/profile_images/1023136868626509824/6l89Latq.jpg","View")</f>
        <v>View</v>
      </c>
    </row>
    <row r="3991" spans="1:19" ht="70">
      <c r="A3991" s="8">
        <v>43341.548206018517</v>
      </c>
      <c r="B3991" s="11" t="str">
        <f>HYPERLINK("https://twitter.com/bohloleshirazi","@bohloleshirazi")</f>
        <v>@bohloleshirazi</v>
      </c>
      <c r="C3991" s="6" t="s">
        <v>3607</v>
      </c>
      <c r="D3991" s="5" t="s">
        <v>6333</v>
      </c>
      <c r="E3991" s="9" t="str">
        <f>HYPERLINK("https://twitter.com/bohloleshirazi/status/1034722176858038272","1034722176858038272")</f>
        <v>1034722176858038272</v>
      </c>
      <c r="F3991" s="10" t="s">
        <v>6332</v>
      </c>
      <c r="G3991" s="4"/>
      <c r="H3991" s="4"/>
      <c r="I3991" s="10" t="str">
        <f>HYPERLINK("http://twitter.com/download/android","Twitter for Android")</f>
        <v>Twitter for Android</v>
      </c>
      <c r="J3991" s="2">
        <v>2854</v>
      </c>
      <c r="K3991" s="2">
        <v>4784</v>
      </c>
      <c r="L3991" s="2">
        <v>0</v>
      </c>
      <c r="M3991" s="2"/>
      <c r="N3991" s="8">
        <v>43113.852395833332</v>
      </c>
      <c r="O3991" s="4"/>
      <c r="P3991" s="3" t="s">
        <v>3605</v>
      </c>
      <c r="Q3991" s="4"/>
      <c r="R3991" s="4"/>
      <c r="S3991" s="9" t="str">
        <f>HYPERLINK("https://pbs.twimg.com/profile_images/994610030010826752/S_570yrQ.jpg","View")</f>
        <v>View</v>
      </c>
    </row>
    <row r="3992" spans="1:19" ht="40">
      <c r="A3992" s="8">
        <v>43341.547395833331</v>
      </c>
      <c r="B3992" s="11" t="str">
        <f>HYPERLINK("https://twitter.com/Realmhmdali","@Realmhmdali")</f>
        <v>@Realmhmdali</v>
      </c>
      <c r="C3992" s="6" t="s">
        <v>1386</v>
      </c>
      <c r="D3992" s="5" t="s">
        <v>6331</v>
      </c>
      <c r="E3992" s="9" t="str">
        <f>HYPERLINK("https://twitter.com/Realmhmdali/status/1034721882988265472","1034721882988265472")</f>
        <v>1034721882988265472</v>
      </c>
      <c r="F3992" s="4"/>
      <c r="G3992" s="10" t="s">
        <v>6330</v>
      </c>
      <c r="H3992" s="4"/>
      <c r="I3992" s="10" t="str">
        <f>HYPERLINK("http://twitter.com/download/android","Twitter for Android")</f>
        <v>Twitter for Android</v>
      </c>
      <c r="J3992" s="2">
        <v>1801</v>
      </c>
      <c r="K3992" s="2">
        <v>866</v>
      </c>
      <c r="L3992" s="2">
        <v>3</v>
      </c>
      <c r="M3992" s="2"/>
      <c r="N3992" s="8">
        <v>42797.485694444447</v>
      </c>
      <c r="O3992" s="4" t="s">
        <v>324</v>
      </c>
      <c r="P3992" s="3" t="s">
        <v>1383</v>
      </c>
      <c r="Q3992" s="4"/>
      <c r="R3992" s="4"/>
      <c r="S3992" s="9" t="str">
        <f>HYPERLINK("https://pbs.twimg.com/profile_images/1018577881272848388/YDJfbKEC.jpg","View")</f>
        <v>View</v>
      </c>
    </row>
    <row r="3993" spans="1:19" ht="40">
      <c r="A3993" s="8">
        <v>43341.5472337963</v>
      </c>
      <c r="B3993" s="11" t="str">
        <f>HYPERLINK("https://twitter.com/nasserzol13442l","@nasserzol13442l")</f>
        <v>@nasserzol13442l</v>
      </c>
      <c r="C3993" s="6" t="s">
        <v>6329</v>
      </c>
      <c r="D3993" s="5" t="s">
        <v>6328</v>
      </c>
      <c r="E3993" s="9" t="str">
        <f>HYPERLINK("https://twitter.com/nasserzol13442l/status/1034721824481927168","1034721824481927168")</f>
        <v>1034721824481927168</v>
      </c>
      <c r="F3993" s="4"/>
      <c r="G3993" s="4"/>
      <c r="H3993" s="4"/>
      <c r="I3993" s="10" t="str">
        <f>HYPERLINK("http://twitter.com","Twitter Web Client")</f>
        <v>Twitter Web Client</v>
      </c>
      <c r="J3993" s="2">
        <v>1076</v>
      </c>
      <c r="K3993" s="2">
        <v>1028</v>
      </c>
      <c r="L3993" s="2">
        <v>2</v>
      </c>
      <c r="M3993" s="2"/>
      <c r="N3993" s="8">
        <v>43101.769814814819</v>
      </c>
      <c r="O3993" s="4" t="s">
        <v>6327</v>
      </c>
      <c r="P3993" s="3" t="s">
        <v>6326</v>
      </c>
      <c r="Q3993" s="4"/>
      <c r="R3993" s="4"/>
      <c r="S3993" s="9" t="str">
        <f>HYPERLINK("https://pbs.twimg.com/profile_images/947846639884165120/2XYeHeyF.jpg","View")</f>
        <v>View</v>
      </c>
    </row>
    <row r="3994" spans="1:19" ht="12.5">
      <c r="A3994" s="8">
        <v>43341.547152777777</v>
      </c>
      <c r="B3994" s="11" t="str">
        <f>HYPERLINK("https://twitter.com/coinclass_ir","@coinclass_ir")</f>
        <v>@coinclass_ir</v>
      </c>
      <c r="C3994" s="6" t="s">
        <v>6325</v>
      </c>
      <c r="D3994" s="5" t="s">
        <v>6324</v>
      </c>
      <c r="E3994" s="9" t="str">
        <f>HYPERLINK("https://twitter.com/coinclass_ir/status/1034721791804141568","1034721791804141568")</f>
        <v>1034721791804141568</v>
      </c>
      <c r="F3994" s="4"/>
      <c r="G3994" s="4"/>
      <c r="H3994" s="4"/>
      <c r="I3994" s="10" t="str">
        <f>HYPERLINK("http://twitter.com","Twitter Web Client")</f>
        <v>Twitter Web Client</v>
      </c>
      <c r="J3994" s="2">
        <v>0</v>
      </c>
      <c r="K3994" s="2">
        <v>0</v>
      </c>
      <c r="L3994" s="2">
        <v>0</v>
      </c>
      <c r="M3994" s="2"/>
      <c r="N3994" s="8">
        <v>43326.563564814816</v>
      </c>
      <c r="O3994" s="4" t="s">
        <v>34</v>
      </c>
      <c r="P3994" s="3" t="s">
        <v>6323</v>
      </c>
      <c r="Q3994" s="10" t="s">
        <v>6322</v>
      </c>
      <c r="R3994" s="4"/>
      <c r="S3994" s="9" t="str">
        <f>HYPERLINK("https://pbs.twimg.com/profile_images/1033978133362294785/0nBDYy8m.jpg","View")</f>
        <v>View</v>
      </c>
    </row>
    <row r="3995" spans="1:19" ht="70">
      <c r="A3995" s="8">
        <v>43341.546875</v>
      </c>
      <c r="B3995" s="11" t="str">
        <f>HYPERLINK("https://twitter.com/Entezar123","@Entezar123")</f>
        <v>@Entezar123</v>
      </c>
      <c r="C3995" s="6" t="s">
        <v>6321</v>
      </c>
      <c r="D3995" s="5" t="s">
        <v>6320</v>
      </c>
      <c r="E3995" s="9" t="str">
        <f>HYPERLINK("https://twitter.com/Entezar123/status/1034721693896458240","1034721693896458240")</f>
        <v>1034721693896458240</v>
      </c>
      <c r="F3995" s="10" t="s">
        <v>3978</v>
      </c>
      <c r="G3995" s="4"/>
      <c r="H3995" s="4"/>
      <c r="I3995" s="10" t="str">
        <f>HYPERLINK("http://twitter.com/download/android","Twitter for Android")</f>
        <v>Twitter for Android</v>
      </c>
      <c r="J3995" s="2">
        <v>3776</v>
      </c>
      <c r="K3995" s="2">
        <v>2616</v>
      </c>
      <c r="L3995" s="2">
        <v>3</v>
      </c>
      <c r="M3995" s="2"/>
      <c r="N3995" s="8">
        <v>43026.907222222224</v>
      </c>
      <c r="O3995" s="4" t="s">
        <v>6319</v>
      </c>
      <c r="P3995" s="3" t="s">
        <v>6318</v>
      </c>
      <c r="Q3995" s="4"/>
      <c r="R3995" s="4"/>
      <c r="S3995" s="9" t="str">
        <f>HYPERLINK("https://pbs.twimg.com/profile_images/1031113051997650944/gNSL-3Go.jpg","View")</f>
        <v>View</v>
      </c>
    </row>
    <row r="3996" spans="1:19" ht="12.5">
      <c r="A3996" s="8">
        <v>43341.545983796299</v>
      </c>
      <c r="B3996" s="11" t="str">
        <f>HYPERLINK("https://twitter.com/Mohajerbitab","@Mohajerbitab")</f>
        <v>@Mohajerbitab</v>
      </c>
      <c r="C3996" s="6" t="s">
        <v>5559</v>
      </c>
      <c r="D3996" s="5" t="s">
        <v>6317</v>
      </c>
      <c r="E3996" s="9" t="str">
        <f>HYPERLINK("https://twitter.com/Mohajerbitab/status/1034721370960277504","1034721370960277504")</f>
        <v>1034721370960277504</v>
      </c>
      <c r="F3996" s="4"/>
      <c r="G3996" s="10" t="s">
        <v>6316</v>
      </c>
      <c r="H3996" s="4"/>
      <c r="I3996" s="10" t="str">
        <f>HYPERLINK("http://twitter.com","Twitter Web Client")</f>
        <v>Twitter Web Client</v>
      </c>
      <c r="J3996" s="2">
        <v>117</v>
      </c>
      <c r="K3996" s="2">
        <v>153</v>
      </c>
      <c r="L3996" s="2">
        <v>1</v>
      </c>
      <c r="M3996" s="2"/>
      <c r="N3996" s="8">
        <v>43121.590682870374</v>
      </c>
      <c r="O3996" s="4" t="s">
        <v>17</v>
      </c>
      <c r="P3996" s="3" t="s">
        <v>5557</v>
      </c>
      <c r="Q3996" s="4"/>
      <c r="R3996" s="4"/>
      <c r="S3996" s="9" t="str">
        <f>HYPERLINK("https://pbs.twimg.com/profile_images/955038416697200645/y-gtAR_w.jpg","View")</f>
        <v>View</v>
      </c>
    </row>
    <row r="3997" spans="1:19" ht="40">
      <c r="A3997" s="8">
        <v>43341.545659722222</v>
      </c>
      <c r="B3997" s="11" t="str">
        <f>HYPERLINK("https://twitter.com/Azadi_313kh","@Azadi_313kh")</f>
        <v>@Azadi_313kh</v>
      </c>
      <c r="C3997" s="6" t="s">
        <v>5183</v>
      </c>
      <c r="D3997" s="5" t="s">
        <v>6315</v>
      </c>
      <c r="E3997" s="9" t="str">
        <f>HYPERLINK("https://twitter.com/Azadi_313kh/status/1034721252097884160","1034721252097884160")</f>
        <v>1034721252097884160</v>
      </c>
      <c r="F3997" s="4"/>
      <c r="G3997" s="4"/>
      <c r="H3997" s="4"/>
      <c r="I3997" s="10" t="str">
        <f>HYPERLINK("http://twitter.com/download/iphone","Twitter for iPhone")</f>
        <v>Twitter for iPhone</v>
      </c>
      <c r="J3997" s="2">
        <v>4207</v>
      </c>
      <c r="K3997" s="2">
        <v>1960</v>
      </c>
      <c r="L3997" s="2">
        <v>20</v>
      </c>
      <c r="M3997" s="2"/>
      <c r="N3997" s="8">
        <v>42857.874224537038</v>
      </c>
      <c r="O3997" s="4"/>
      <c r="P3997" s="3" t="s">
        <v>5181</v>
      </c>
      <c r="Q3997" s="4"/>
      <c r="R3997" s="4"/>
      <c r="S3997" s="9" t="str">
        <f>HYPERLINK("https://pbs.twimg.com/profile_images/1034415659994820608/c45kXNee.jpg","View")</f>
        <v>View</v>
      </c>
    </row>
    <row r="3998" spans="1:19" ht="40">
      <c r="A3998" s="8">
        <v>43341.544606481482</v>
      </c>
      <c r="B3998" s="11" t="str">
        <f>HYPERLINK("https://twitter.com/bright_ze","@bright_ze")</f>
        <v>@bright_ze</v>
      </c>
      <c r="C3998" s="11" t="s">
        <v>6314</v>
      </c>
      <c r="D3998" s="5" t="s">
        <v>6313</v>
      </c>
      <c r="E3998" s="9" t="str">
        <f>HYPERLINK("https://twitter.com/bright_ze/status/1034720872937021441","1034720872937021441")</f>
        <v>1034720872937021441</v>
      </c>
      <c r="F3998" s="4"/>
      <c r="G3998" s="4"/>
      <c r="H3998" s="4"/>
      <c r="I3998" s="10" t="str">
        <f>HYPERLINK("https://mobile.twitter.com","Twitter Lite")</f>
        <v>Twitter Lite</v>
      </c>
      <c r="J3998" s="2">
        <v>46</v>
      </c>
      <c r="K3998" s="2">
        <v>114</v>
      </c>
      <c r="L3998" s="2">
        <v>0</v>
      </c>
      <c r="M3998" s="2"/>
      <c r="N3998" s="8">
        <v>42023.743796296301</v>
      </c>
      <c r="O3998" s="4"/>
      <c r="P3998" s="3"/>
      <c r="Q3998" s="4"/>
      <c r="R3998" s="4"/>
      <c r="S3998" s="9" t="str">
        <f>HYPERLINK("https://pbs.twimg.com/profile_images/991821332999475202/tBShmwJO.jpg","View")</f>
        <v>View</v>
      </c>
    </row>
    <row r="3999" spans="1:19" ht="30">
      <c r="A3999" s="8">
        <v>43341.544537037036</v>
      </c>
      <c r="B3999" s="11" t="str">
        <f>HYPERLINK("https://twitter.com/akhondy_yaser","@akhondy_yaser")</f>
        <v>@akhondy_yaser</v>
      </c>
      <c r="C3999" s="6" t="s">
        <v>646</v>
      </c>
      <c r="D3999" s="5" t="s">
        <v>6312</v>
      </c>
      <c r="E3999" s="9" t="str">
        <f>HYPERLINK("https://twitter.com/akhondy_yaser/status/1034720844684124160","1034720844684124160")</f>
        <v>1034720844684124160</v>
      </c>
      <c r="F3999" s="4"/>
      <c r="G3999" s="10" t="s">
        <v>6311</v>
      </c>
      <c r="H3999" s="4"/>
      <c r="I3999" s="10" t="str">
        <f>HYPERLINK("http://twitter.com/download/android","Twitter for Android")</f>
        <v>Twitter for Android</v>
      </c>
      <c r="J3999" s="2">
        <v>712</v>
      </c>
      <c r="K3999" s="2">
        <v>612</v>
      </c>
      <c r="L3999" s="2">
        <v>4</v>
      </c>
      <c r="M3999" s="2"/>
      <c r="N3999" s="8">
        <v>43104.882222222222</v>
      </c>
      <c r="O3999" s="4" t="s">
        <v>640</v>
      </c>
      <c r="P3999" s="3" t="s">
        <v>643</v>
      </c>
      <c r="Q3999" s="4"/>
      <c r="R3999" s="4"/>
      <c r="S3999" s="9" t="str">
        <f>HYPERLINK("https://pbs.twimg.com/profile_images/1006272867468763136/onggLF8d.jpg","View")</f>
        <v>View</v>
      </c>
    </row>
    <row r="4000" spans="1:19" ht="70">
      <c r="A4000" s="8">
        <v>43341.544328703705</v>
      </c>
      <c r="B4000" s="11" t="str">
        <f>HYPERLINK("https://twitter.com/siamakfarid","@siamakfarid")</f>
        <v>@siamakfarid</v>
      </c>
      <c r="C4000" s="6" t="s">
        <v>5115</v>
      </c>
      <c r="D4000" s="5" t="s">
        <v>6310</v>
      </c>
      <c r="E4000" s="9" t="str">
        <f>HYPERLINK("https://twitter.com/siamakfarid/status/1034720770424025088","1034720770424025088")</f>
        <v>1034720770424025088</v>
      </c>
      <c r="F4000" s="10" t="s">
        <v>6309</v>
      </c>
      <c r="G4000" s="4"/>
      <c r="H4000" s="4"/>
      <c r="I4000" s="10" t="str">
        <f>HYPERLINK("http://twitter.com/download/iphone","Twitter for iPhone")</f>
        <v>Twitter for iPhone</v>
      </c>
      <c r="J4000" s="2">
        <v>133</v>
      </c>
      <c r="K4000" s="2">
        <v>260</v>
      </c>
      <c r="L4000" s="2">
        <v>0</v>
      </c>
      <c r="M4000" s="2"/>
      <c r="N4000" s="8">
        <v>41726.132060185184</v>
      </c>
      <c r="O4000" s="4" t="s">
        <v>5113</v>
      </c>
      <c r="P4000" s="3" t="s">
        <v>5112</v>
      </c>
      <c r="Q4000" s="4"/>
      <c r="R4000" s="4"/>
      <c r="S4000" s="9" t="str">
        <f>HYPERLINK("https://pbs.twimg.com/profile_images/1033605273607438336/r_nHwI8s.jpg","View")</f>
        <v>View</v>
      </c>
    </row>
    <row r="4001" spans="1:19" ht="20">
      <c r="A4001" s="8">
        <v>43341.543344907404</v>
      </c>
      <c r="B4001" s="11" t="str">
        <f>HYPERLINK("https://twitter.com/Ahmad13792","@Ahmad13792")</f>
        <v>@Ahmad13792</v>
      </c>
      <c r="C4001" s="6" t="s">
        <v>6308</v>
      </c>
      <c r="D4001" s="5" t="s">
        <v>6307</v>
      </c>
      <c r="E4001" s="9" t="str">
        <f>HYPERLINK("https://twitter.com/Ahmad13792/status/1034720412897341440","1034720412897341440")</f>
        <v>1034720412897341440</v>
      </c>
      <c r="F4001" s="4"/>
      <c r="G4001" s="10" t="s">
        <v>6306</v>
      </c>
      <c r="H4001" s="4"/>
      <c r="I4001" s="10" t="str">
        <f>HYPERLINK("http://twitter.com/download/android","Twitter for Android")</f>
        <v>Twitter for Android</v>
      </c>
      <c r="J4001" s="2">
        <v>37</v>
      </c>
      <c r="K4001" s="2">
        <v>33</v>
      </c>
      <c r="L4001" s="2">
        <v>0</v>
      </c>
      <c r="M4001" s="2"/>
      <c r="N4001" s="8">
        <v>43311.97179398148</v>
      </c>
      <c r="O4001" s="4" t="s">
        <v>748</v>
      </c>
      <c r="P4001" s="3" t="s">
        <v>6305</v>
      </c>
      <c r="Q4001" s="4"/>
      <c r="R4001" s="4"/>
      <c r="S4001" s="9" t="str">
        <f>HYPERLINK("https://pbs.twimg.com/profile_images/1034473988783783936/Y43zoj3C.jpg","View")</f>
        <v>View</v>
      </c>
    </row>
    <row r="4002" spans="1:19" ht="20">
      <c r="A4002" s="8">
        <v>43341.543298611112</v>
      </c>
      <c r="B4002" s="11" t="str">
        <f>HYPERLINK("https://twitter.com/_werg","@_werg")</f>
        <v>@_werg</v>
      </c>
      <c r="C4002" s="6" t="s">
        <v>6304</v>
      </c>
      <c r="D4002" s="5" t="s">
        <v>6303</v>
      </c>
      <c r="E4002" s="9" t="str">
        <f>HYPERLINK("https://twitter.com/_werg/status/1034720395381878784","1034720395381878784")</f>
        <v>1034720395381878784</v>
      </c>
      <c r="F4002" s="4"/>
      <c r="G4002" s="4"/>
      <c r="H4002" s="4"/>
      <c r="I4002" s="10" t="str">
        <f>HYPERLINK("http://twitter.com","Twitter Web Client")</f>
        <v>Twitter Web Client</v>
      </c>
      <c r="J4002" s="2">
        <v>1084</v>
      </c>
      <c r="K4002" s="2">
        <v>376</v>
      </c>
      <c r="L4002" s="2">
        <v>3</v>
      </c>
      <c r="M4002" s="2"/>
      <c r="N4002" s="8">
        <v>42324.69694444444</v>
      </c>
      <c r="O4002" s="4"/>
      <c r="P4002" s="3" t="s">
        <v>6302</v>
      </c>
      <c r="Q4002" s="10" t="s">
        <v>6301</v>
      </c>
      <c r="R4002" s="4"/>
      <c r="S4002" s="9" t="str">
        <f>HYPERLINK("https://pbs.twimg.com/profile_images/903603354122596352/bCjlCBpX.jpg","View")</f>
        <v>View</v>
      </c>
    </row>
    <row r="4003" spans="1:19" ht="30">
      <c r="A4003" s="8">
        <v>43341.543136574073</v>
      </c>
      <c r="B4003" s="11" t="str">
        <f>HYPERLINK("https://twitter.com/H_khosroabadi","@H_khosroabadi")</f>
        <v>@H_khosroabadi</v>
      </c>
      <c r="C4003" s="6" t="s">
        <v>6300</v>
      </c>
      <c r="D4003" s="5" t="s">
        <v>6299</v>
      </c>
      <c r="E4003" s="9" t="str">
        <f>HYPERLINK("https://twitter.com/H_khosroabadi/status/1034720340319055872","1034720340319055872")</f>
        <v>1034720340319055872</v>
      </c>
      <c r="F4003" s="4"/>
      <c r="G4003" s="10" t="s">
        <v>6298</v>
      </c>
      <c r="H4003" s="4"/>
      <c r="I4003" s="10" t="str">
        <f>HYPERLINK("http://twitter.com/download/android","Twitter for Android")</f>
        <v>Twitter for Android</v>
      </c>
      <c r="J4003" s="2">
        <v>961</v>
      </c>
      <c r="K4003" s="2">
        <v>479</v>
      </c>
      <c r="L4003" s="2">
        <v>6</v>
      </c>
      <c r="M4003" s="2"/>
      <c r="N4003" s="8">
        <v>42739.460787037038</v>
      </c>
      <c r="O4003" s="4" t="s">
        <v>145</v>
      </c>
      <c r="P4003" s="3" t="s">
        <v>6297</v>
      </c>
      <c r="Q4003" s="10" t="s">
        <v>6296</v>
      </c>
      <c r="R4003" s="4"/>
      <c r="S4003" s="9" t="str">
        <f>HYPERLINK("https://pbs.twimg.com/profile_images/1017979322886475776/kAlXzCqs.jpg","View")</f>
        <v>View</v>
      </c>
    </row>
    <row r="4004" spans="1:19" ht="20">
      <c r="A4004" s="8">
        <v>43341.542650462958</v>
      </c>
      <c r="B4004" s="11" t="str">
        <f>HYPERLINK("https://twitter.com/d_esfandiare","@d_esfandiare")</f>
        <v>@d_esfandiare</v>
      </c>
      <c r="C4004" s="6" t="s">
        <v>6295</v>
      </c>
      <c r="D4004" s="5" t="s">
        <v>6294</v>
      </c>
      <c r="E4004" s="9" t="str">
        <f>HYPERLINK("https://twitter.com/d_esfandiare/status/1034720161360764930","1034720161360764930")</f>
        <v>1034720161360764930</v>
      </c>
      <c r="F4004" s="4"/>
      <c r="G4004" s="10" t="s">
        <v>6293</v>
      </c>
      <c r="H4004" s="4"/>
      <c r="I4004" s="10" t="str">
        <f>HYPERLINK("http://twitter.com","Twitter Web Client")</f>
        <v>Twitter Web Client</v>
      </c>
      <c r="J4004" s="2">
        <v>6</v>
      </c>
      <c r="K4004" s="2">
        <v>4</v>
      </c>
      <c r="L4004" s="2">
        <v>0</v>
      </c>
      <c r="M4004" s="2"/>
      <c r="N4004" s="8">
        <v>42769.9371412037</v>
      </c>
      <c r="O4004" s="4" t="s">
        <v>34</v>
      </c>
      <c r="P4004" s="3" t="s">
        <v>6292</v>
      </c>
      <c r="Q4004" s="10" t="s">
        <v>6291</v>
      </c>
      <c r="R4004" s="4"/>
      <c r="S4004" s="9" t="str">
        <f>HYPERLINK("https://pbs.twimg.com/profile_images/1034717169085505536/GXr5UKp0.jpg","View")</f>
        <v>View</v>
      </c>
    </row>
    <row r="4005" spans="1:19" ht="40">
      <c r="A4005" s="8">
        <v>43341.54111111111</v>
      </c>
      <c r="B4005" s="11" t="str">
        <f>HYPERLINK("https://twitter.com/tofighfar","@tofighfar")</f>
        <v>@tofighfar</v>
      </c>
      <c r="C4005" s="6" t="s">
        <v>6290</v>
      </c>
      <c r="D4005" s="5" t="s">
        <v>6289</v>
      </c>
      <c r="E4005" s="9" t="str">
        <f>HYPERLINK("https://twitter.com/tofighfar/status/1034719602977243136","1034719602977243136")</f>
        <v>1034719602977243136</v>
      </c>
      <c r="F4005" s="10" t="s">
        <v>6288</v>
      </c>
      <c r="G4005" s="10" t="s">
        <v>6287</v>
      </c>
      <c r="H4005" s="4"/>
      <c r="I4005" s="10" t="str">
        <f>HYPERLINK("http://twitter.com","Twitter Web Client")</f>
        <v>Twitter Web Client</v>
      </c>
      <c r="J4005" s="2">
        <v>912</v>
      </c>
      <c r="K4005" s="2">
        <v>1127</v>
      </c>
      <c r="L4005" s="2">
        <v>2</v>
      </c>
      <c r="M4005" s="2"/>
      <c r="N4005" s="8">
        <v>42836.746053240742</v>
      </c>
      <c r="O4005" s="4" t="s">
        <v>17</v>
      </c>
      <c r="P4005" s="3" t="s">
        <v>6286</v>
      </c>
      <c r="Q4005" s="10" t="s">
        <v>6285</v>
      </c>
      <c r="R4005" s="4"/>
      <c r="S4005" s="9" t="str">
        <f>HYPERLINK("https://pbs.twimg.com/profile_images/997209605561171969/PjeZfbXq.jpg","View")</f>
        <v>View</v>
      </c>
    </row>
    <row r="4006" spans="1:19" ht="20">
      <c r="A4006" s="8">
        <v>43341.540127314816</v>
      </c>
      <c r="B4006" s="11" t="str">
        <f>HYPERLINK("https://twitter.com/MasoudAzad60","@MasoudAzad60")</f>
        <v>@MasoudAzad60</v>
      </c>
      <c r="C4006" s="6" t="s">
        <v>6284</v>
      </c>
      <c r="D4006" s="5" t="s">
        <v>6283</v>
      </c>
      <c r="E4006" s="9" t="str">
        <f>HYPERLINK("https://twitter.com/MasoudAzad60/status/1034719248424333313","1034719248424333313")</f>
        <v>1034719248424333313</v>
      </c>
      <c r="F4006" s="4"/>
      <c r="G4006" s="4"/>
      <c r="H4006" s="4"/>
      <c r="I4006" s="10" t="str">
        <f>HYPERLINK("http://twitter.com/download/iphone","Twitter for iPhone")</f>
        <v>Twitter for iPhone</v>
      </c>
      <c r="J4006" s="2">
        <v>6</v>
      </c>
      <c r="K4006" s="2">
        <v>78</v>
      </c>
      <c r="L4006" s="2">
        <v>0</v>
      </c>
      <c r="M4006" s="2"/>
      <c r="N4006" s="8">
        <v>42750.695289351846</v>
      </c>
      <c r="O4006" s="4" t="s">
        <v>133</v>
      </c>
      <c r="P4006" s="3" t="s">
        <v>6282</v>
      </c>
      <c r="Q4006" s="4"/>
      <c r="R4006" s="4"/>
      <c r="S4006" s="9" t="str">
        <f>HYPERLINK("https://pbs.twimg.com/profile_images/1032448582060793856/92LgTf32.jpg","View")</f>
        <v>View</v>
      </c>
    </row>
    <row r="4007" spans="1:19" ht="30">
      <c r="A4007" s="8">
        <v>43341.539189814815</v>
      </c>
      <c r="B4007" s="11" t="str">
        <f>HYPERLINK("https://twitter.com/DrvOrY9DluKhYOV","@DrvOrY9DluKhYOV")</f>
        <v>@DrvOrY9DluKhYOV</v>
      </c>
      <c r="C4007" s="6" t="s">
        <v>6281</v>
      </c>
      <c r="D4007" s="5" t="s">
        <v>6280</v>
      </c>
      <c r="E4007" s="9" t="str">
        <f>HYPERLINK("https://twitter.com/DrvOrY9DluKhYOV/status/1034718906513014784","1034718906513014784")</f>
        <v>1034718906513014784</v>
      </c>
      <c r="F4007" s="4"/>
      <c r="G4007" s="10" t="s">
        <v>6279</v>
      </c>
      <c r="H4007" s="4"/>
      <c r="I4007" s="10" t="str">
        <f>HYPERLINK("http://twitter.com/download/android","Twitter for Android")</f>
        <v>Twitter for Android</v>
      </c>
      <c r="J4007" s="2">
        <v>21</v>
      </c>
      <c r="K4007" s="2">
        <v>26</v>
      </c>
      <c r="L4007" s="2">
        <v>0</v>
      </c>
      <c r="M4007" s="2"/>
      <c r="N4007" s="8">
        <v>43046.845208333332</v>
      </c>
      <c r="O4007" s="4"/>
      <c r="P4007" s="3" t="s">
        <v>6278</v>
      </c>
      <c r="Q4007" s="4"/>
      <c r="R4007" s="4"/>
      <c r="S4007" s="9" t="str">
        <f>HYPERLINK("https://pbs.twimg.com/profile_images/927943685987291139/PKnZGXXH.jpg","View")</f>
        <v>View</v>
      </c>
    </row>
    <row r="4008" spans="1:19" ht="30">
      <c r="A4008" s="8">
        <v>43341.538391203707</v>
      </c>
      <c r="B4008" s="11" t="str">
        <f>HYPERLINK("https://twitter.com/zizisalehi","@zizisalehi")</f>
        <v>@zizisalehi</v>
      </c>
      <c r="C4008" s="6" t="s">
        <v>6277</v>
      </c>
      <c r="D4008" s="5" t="s">
        <v>6276</v>
      </c>
      <c r="E4008" s="9" t="str">
        <f>HYPERLINK("https://twitter.com/zizisalehi/status/1034718617215094785","1034718617215094785")</f>
        <v>1034718617215094785</v>
      </c>
      <c r="F4008" s="4"/>
      <c r="G4008" s="4"/>
      <c r="H4008" s="4"/>
      <c r="I4008" s="10" t="str">
        <f>HYPERLINK("http://twitter.com/download/android","Twitter for Android")</f>
        <v>Twitter for Android</v>
      </c>
      <c r="J4008" s="2">
        <v>95</v>
      </c>
      <c r="K4008" s="2">
        <v>69</v>
      </c>
      <c r="L4008" s="2">
        <v>1</v>
      </c>
      <c r="M4008" s="2"/>
      <c r="N4008" s="8">
        <v>42817.754027777773</v>
      </c>
      <c r="O4008" s="4"/>
      <c r="P4008" s="3" t="s">
        <v>6275</v>
      </c>
      <c r="Q4008" s="4"/>
      <c r="R4008" s="4"/>
      <c r="S4008" s="9" t="str">
        <f>HYPERLINK("https://pbs.twimg.com/profile_images/943494889207205889/_YPTFfNg.jpg","View")</f>
        <v>View</v>
      </c>
    </row>
    <row r="4009" spans="1:19" ht="40">
      <c r="A4009" s="8">
        <v>43341.537986111114</v>
      </c>
      <c r="B4009" s="11" t="str">
        <f>HYPERLINK("https://twitter.com/bohloleshirazi","@bohloleshirazi")</f>
        <v>@bohloleshirazi</v>
      </c>
      <c r="C4009" s="6" t="s">
        <v>3607</v>
      </c>
      <c r="D4009" s="5" t="s">
        <v>6274</v>
      </c>
      <c r="E4009" s="9" t="str">
        <f>HYPERLINK("https://twitter.com/bohloleshirazi/status/1034718473404985344","1034718473404985344")</f>
        <v>1034718473404985344</v>
      </c>
      <c r="F4009" s="4"/>
      <c r="G4009" s="4"/>
      <c r="H4009" s="4"/>
      <c r="I4009" s="10" t="str">
        <f>HYPERLINK("http://twitter.com/download/android","Twitter for Android")</f>
        <v>Twitter for Android</v>
      </c>
      <c r="J4009" s="2">
        <v>2854</v>
      </c>
      <c r="K4009" s="2">
        <v>4784</v>
      </c>
      <c r="L4009" s="2">
        <v>0</v>
      </c>
      <c r="M4009" s="2"/>
      <c r="N4009" s="8">
        <v>43113.852395833332</v>
      </c>
      <c r="O4009" s="4"/>
      <c r="P4009" s="3" t="s">
        <v>3605</v>
      </c>
      <c r="Q4009" s="4"/>
      <c r="R4009" s="4"/>
      <c r="S4009" s="9" t="str">
        <f>HYPERLINK("https://pbs.twimg.com/profile_images/994610030010826752/S_570yrQ.jpg","View")</f>
        <v>View</v>
      </c>
    </row>
    <row r="4010" spans="1:19" ht="20">
      <c r="A4010" s="8">
        <v>43341.537835648152</v>
      </c>
      <c r="B4010" s="11" t="str">
        <f>HYPERLINK("https://twitter.com/samenolhojaj","@samenolhojaj")</f>
        <v>@samenolhojaj</v>
      </c>
      <c r="C4010" s="6" t="s">
        <v>6273</v>
      </c>
      <c r="D4010" s="5" t="s">
        <v>6272</v>
      </c>
      <c r="E4010" s="9" t="str">
        <f>HYPERLINK("https://twitter.com/samenolhojaj/status/1034718418186854400","1034718418186854400")</f>
        <v>1034718418186854400</v>
      </c>
      <c r="F4010" s="4"/>
      <c r="G4010" s="4"/>
      <c r="H4010" s="4"/>
      <c r="I4010" s="10" t="str">
        <f>HYPERLINK("http://twitter.com","Twitter Web Client")</f>
        <v>Twitter Web Client</v>
      </c>
      <c r="J4010" s="2">
        <v>1</v>
      </c>
      <c r="K4010" s="2">
        <v>7</v>
      </c>
      <c r="L4010" s="2">
        <v>0</v>
      </c>
      <c r="M4010" s="2"/>
      <c r="N4010" s="8">
        <v>42228.601412037038</v>
      </c>
      <c r="O4010" s="4"/>
      <c r="P4010" s="3"/>
      <c r="Q4010" s="4"/>
      <c r="R4010" s="4"/>
      <c r="S4010" s="9" t="str">
        <f>HYPERLINK("https://pbs.twimg.com/profile_images/631404218709090304/R6IzAI-g.jpg","View")</f>
        <v>View</v>
      </c>
    </row>
    <row r="4011" spans="1:19" ht="30">
      <c r="A4011" s="8">
        <v>43341.537141203706</v>
      </c>
      <c r="B4011" s="11" t="str">
        <f>HYPERLINK("https://twitter.com/radiozamaneh","@radiozamaneh")</f>
        <v>@radiozamaneh</v>
      </c>
      <c r="C4011" s="6" t="s">
        <v>5731</v>
      </c>
      <c r="D4011" s="5" t="s">
        <v>6271</v>
      </c>
      <c r="E4011" s="9" t="str">
        <f>HYPERLINK("https://twitter.com/radiozamaneh/status/1034718166117695488","1034718166117695488")</f>
        <v>1034718166117695488</v>
      </c>
      <c r="F4011" s="10" t="s">
        <v>6270</v>
      </c>
      <c r="G4011" s="10" t="s">
        <v>6269</v>
      </c>
      <c r="H4011" s="4"/>
      <c r="I4011" s="10" t="str">
        <f>HYPERLINK("https://www.radiozamaneh.com/","RZAutoPosting")</f>
        <v>RZAutoPosting</v>
      </c>
      <c r="J4011" s="2">
        <v>110202</v>
      </c>
      <c r="K4011" s="2">
        <v>838</v>
      </c>
      <c r="L4011" s="2">
        <v>382</v>
      </c>
      <c r="M4011" s="2" t="s">
        <v>80</v>
      </c>
      <c r="N4011" s="8">
        <v>39573.255729166667</v>
      </c>
      <c r="O4011" s="4" t="s">
        <v>5727</v>
      </c>
      <c r="P4011" s="3" t="s">
        <v>5726</v>
      </c>
      <c r="Q4011" s="10" t="s">
        <v>5725</v>
      </c>
      <c r="R4011" s="4"/>
      <c r="S4011" s="9" t="str">
        <f>HYPERLINK("https://pbs.twimg.com/profile_images/990906227256328192/IYPsq9ai.jpg","View")</f>
        <v>View</v>
      </c>
    </row>
    <row r="4012" spans="1:19" ht="40">
      <c r="A4012" s="8">
        <v>43341.53628472222</v>
      </c>
      <c r="B4012" s="11" t="str">
        <f>HYPERLINK("https://twitter.com/hdsharifi","@hdsharifi")</f>
        <v>@hdsharifi</v>
      </c>
      <c r="C4012" s="6" t="s">
        <v>6268</v>
      </c>
      <c r="D4012" s="5" t="s">
        <v>6267</v>
      </c>
      <c r="E4012" s="9" t="str">
        <f>HYPERLINK("https://twitter.com/hdsharifi/status/1034717853679796224","1034717853679796224")</f>
        <v>1034717853679796224</v>
      </c>
      <c r="F4012" s="4"/>
      <c r="G4012" s="10" t="s">
        <v>6266</v>
      </c>
      <c r="H4012" s="4"/>
      <c r="I4012" s="10" t="str">
        <f>HYPERLINK("http://twitter.com","Twitter Web Client")</f>
        <v>Twitter Web Client</v>
      </c>
      <c r="J4012" s="2">
        <v>1879</v>
      </c>
      <c r="K4012" s="2">
        <v>1041</v>
      </c>
      <c r="L4012" s="2">
        <v>19</v>
      </c>
      <c r="M4012" s="2"/>
      <c r="N4012" s="8">
        <v>41608.811712962961</v>
      </c>
      <c r="O4012" s="4"/>
      <c r="P4012" s="3" t="s">
        <v>6265</v>
      </c>
      <c r="Q4012" s="10" t="s">
        <v>6264</v>
      </c>
      <c r="R4012" s="4"/>
      <c r="S4012" s="9" t="str">
        <f>HYPERLINK("https://pbs.twimg.com/profile_images/1020535395891785728/dISCHTTz.jpg","View")</f>
        <v>View</v>
      </c>
    </row>
    <row r="4013" spans="1:19" ht="40">
      <c r="A4013" s="8">
        <v>43341.535162037035</v>
      </c>
      <c r="B4013" s="11" t="str">
        <f>HYPERLINK("https://twitter.com/mirza1397","@mirza1397")</f>
        <v>@mirza1397</v>
      </c>
      <c r="C4013" s="6" t="s">
        <v>3108</v>
      </c>
      <c r="D4013" s="5" t="s">
        <v>6263</v>
      </c>
      <c r="E4013" s="9" t="str">
        <f>HYPERLINK("https://twitter.com/mirza1397/status/1034717448363077632","1034717448363077632")</f>
        <v>1034717448363077632</v>
      </c>
      <c r="F4013" s="4"/>
      <c r="G4013" s="10" t="s">
        <v>6262</v>
      </c>
      <c r="H4013" s="4"/>
      <c r="I4013" s="10" t="str">
        <f>HYPERLINK("http://twitter.com","Twitter Web Client")</f>
        <v>Twitter Web Client</v>
      </c>
      <c r="J4013" s="2">
        <v>1218</v>
      </c>
      <c r="K4013" s="2">
        <v>2068</v>
      </c>
      <c r="L4013" s="2">
        <v>0</v>
      </c>
      <c r="M4013" s="2"/>
      <c r="N4013" s="8">
        <v>43185.85601851852</v>
      </c>
      <c r="O4013" s="4" t="s">
        <v>3106</v>
      </c>
      <c r="P4013" s="3" t="s">
        <v>3105</v>
      </c>
      <c r="Q4013" s="10" t="s">
        <v>3104</v>
      </c>
      <c r="R4013" s="4"/>
      <c r="S4013" s="9" t="str">
        <f>HYPERLINK("https://pbs.twimg.com/profile_images/1019621726278205441/hom6QSoe.jpg","View")</f>
        <v>View</v>
      </c>
    </row>
    <row r="4014" spans="1:19" ht="20">
      <c r="A4014" s="8">
        <v>43341.534085648149</v>
      </c>
      <c r="B4014" s="11" t="str">
        <f>HYPERLINK("https://twitter.com/radioomid","@radioomid")</f>
        <v>@radioomid</v>
      </c>
      <c r="C4014" s="6" t="s">
        <v>6261</v>
      </c>
      <c r="D4014" s="5" t="s">
        <v>6260</v>
      </c>
      <c r="E4014" s="9" t="str">
        <f>HYPERLINK("https://twitter.com/radioomid/status/1034717059576471553","1034717059576471553")</f>
        <v>1034717059576471553</v>
      </c>
      <c r="F4014" s="4"/>
      <c r="G4014" s="10" t="s">
        <v>6259</v>
      </c>
      <c r="H4014" s="4"/>
      <c r="I4014" s="10" t="str">
        <f>HYPERLINK("http://twitter.com","Twitter Web Client")</f>
        <v>Twitter Web Client</v>
      </c>
      <c r="J4014" s="2">
        <v>664</v>
      </c>
      <c r="K4014" s="2">
        <v>593</v>
      </c>
      <c r="L4014" s="2">
        <v>1</v>
      </c>
      <c r="M4014" s="2"/>
      <c r="N4014" s="8">
        <v>42836.654143518521</v>
      </c>
      <c r="O4014" s="4" t="s">
        <v>6258</v>
      </c>
      <c r="P4014" s="3" t="s">
        <v>6257</v>
      </c>
      <c r="Q4014" s="10" t="s">
        <v>6256</v>
      </c>
      <c r="R4014" s="4"/>
      <c r="S4014" s="9" t="str">
        <f>HYPERLINK("https://pbs.twimg.com/profile_images/864869486729494528/iRFVzy5V.jpg","View")</f>
        <v>View</v>
      </c>
    </row>
    <row r="4015" spans="1:19" ht="40">
      <c r="A4015" s="8">
        <v>43341.534074074079</v>
      </c>
      <c r="B4015" s="11" t="str">
        <f>HYPERLINK("https://twitter.com/hoseinrazzagh","@hoseinrazzagh")</f>
        <v>@hoseinrazzagh</v>
      </c>
      <c r="C4015" s="6" t="s">
        <v>2219</v>
      </c>
      <c r="D4015" s="5" t="s">
        <v>6255</v>
      </c>
      <c r="E4015" s="9" t="str">
        <f>HYPERLINK("https://twitter.com/hoseinrazzagh/status/1034717055730245632","1034717055730245632")</f>
        <v>1034717055730245632</v>
      </c>
      <c r="F4015" s="4"/>
      <c r="G4015" s="4"/>
      <c r="H4015" s="4"/>
      <c r="I4015" s="10" t="str">
        <f>HYPERLINK("http://twitter.com/download/iphone","Twitter for iPhone")</f>
        <v>Twitter for iPhone</v>
      </c>
      <c r="J4015" s="2">
        <v>344</v>
      </c>
      <c r="K4015" s="2">
        <v>350</v>
      </c>
      <c r="L4015" s="2">
        <v>0</v>
      </c>
      <c r="M4015" s="2"/>
      <c r="N4015" s="8">
        <v>43270.740949074076</v>
      </c>
      <c r="O4015" s="4" t="s">
        <v>324</v>
      </c>
      <c r="P4015" s="3" t="s">
        <v>2216</v>
      </c>
      <c r="Q4015" s="4"/>
      <c r="R4015" s="4"/>
      <c r="S4015" s="9" t="str">
        <f>HYPERLINK("https://pbs.twimg.com/profile_images/1009066462127034371/vXoQ6wua.jpg","View")</f>
        <v>View</v>
      </c>
    </row>
    <row r="4016" spans="1:19" ht="20">
      <c r="A4016" s="8">
        <v>43341.533229166671</v>
      </c>
      <c r="B4016" s="11" t="str">
        <f>HYPERLINK("https://twitter.com/EhsanBahrani","@EhsanBahrani")</f>
        <v>@EhsanBahrani</v>
      </c>
      <c r="C4016" s="6" t="s">
        <v>6249</v>
      </c>
      <c r="D4016" s="5" t="s">
        <v>6254</v>
      </c>
      <c r="E4016" s="9" t="str">
        <f>HYPERLINK("https://twitter.com/EhsanBahrani/status/1034716746609905664","1034716746609905664")</f>
        <v>1034716746609905664</v>
      </c>
      <c r="F4016" s="4"/>
      <c r="G4016" s="10" t="s">
        <v>6253</v>
      </c>
      <c r="H4016" s="4"/>
      <c r="I4016" s="10" t="str">
        <f>HYPERLINK("http://twitter.com","Twitter Web Client")</f>
        <v>Twitter Web Client</v>
      </c>
      <c r="J4016" s="2">
        <v>4553</v>
      </c>
      <c r="K4016" s="2">
        <v>2389</v>
      </c>
      <c r="L4016" s="2">
        <v>20</v>
      </c>
      <c r="M4016" s="2"/>
      <c r="N4016" s="8">
        <v>40050.77548611111</v>
      </c>
      <c r="O4016" s="4" t="s">
        <v>17</v>
      </c>
      <c r="P4016" s="3" t="s">
        <v>6247</v>
      </c>
      <c r="Q4016" s="10" t="s">
        <v>2697</v>
      </c>
      <c r="R4016" s="4"/>
      <c r="S4016" s="9" t="str">
        <f>HYPERLINK("https://pbs.twimg.com/profile_images/1010095441281773568/MHd2slGc.jpg","View")</f>
        <v>View</v>
      </c>
    </row>
    <row r="4017" spans="1:19" ht="20">
      <c r="A4017" s="8">
        <v>43341.532569444447</v>
      </c>
      <c r="B4017" s="11" t="str">
        <f>HYPERLINK("https://twitter.com/ayazifariba","@ayazifariba")</f>
        <v>@ayazifariba</v>
      </c>
      <c r="C4017" s="6" t="s">
        <v>6252</v>
      </c>
      <c r="D4017" s="5" t="s">
        <v>6251</v>
      </c>
      <c r="E4017" s="9" t="str">
        <f>HYPERLINK("https://twitter.com/ayazifariba/status/1034716509266952192","1034716509266952192")</f>
        <v>1034716509266952192</v>
      </c>
      <c r="F4017" s="4"/>
      <c r="G4017" s="4"/>
      <c r="H4017" s="4"/>
      <c r="I4017" s="10" t="str">
        <f>HYPERLINK("http://twitter.com/download/android","Twitter for Android")</f>
        <v>Twitter for Android</v>
      </c>
      <c r="J4017" s="2">
        <v>98</v>
      </c>
      <c r="K4017" s="2">
        <v>503</v>
      </c>
      <c r="L4017" s="2">
        <v>0</v>
      </c>
      <c r="M4017" s="2"/>
      <c r="N4017" s="8">
        <v>42973.407708333332</v>
      </c>
      <c r="O4017" s="4"/>
      <c r="P4017" s="3" t="s">
        <v>6250</v>
      </c>
      <c r="Q4017" s="4"/>
      <c r="R4017" s="4"/>
      <c r="S4017" s="9" t="str">
        <f>HYPERLINK("https://pbs.twimg.com/profile_images/934852485575004161/4ZuQQctl.jpg","View")</f>
        <v>View</v>
      </c>
    </row>
    <row r="4018" spans="1:19" ht="20">
      <c r="A4018" s="8">
        <v>43341.531701388885</v>
      </c>
      <c r="B4018" s="11" t="str">
        <f>HYPERLINK("https://twitter.com/EhsanBahrani","@EhsanBahrani")</f>
        <v>@EhsanBahrani</v>
      </c>
      <c r="C4018" s="6" t="s">
        <v>6249</v>
      </c>
      <c r="D4018" s="5" t="s">
        <v>6248</v>
      </c>
      <c r="E4018" s="9" t="str">
        <f>HYPERLINK("https://twitter.com/EhsanBahrani/status/1034716193897115649","1034716193897115649")</f>
        <v>1034716193897115649</v>
      </c>
      <c r="F4018" s="4"/>
      <c r="G4018" s="4"/>
      <c r="H4018" s="4"/>
      <c r="I4018" s="10" t="str">
        <f>HYPERLINK("http://twitter.com","Twitter Web Client")</f>
        <v>Twitter Web Client</v>
      </c>
      <c r="J4018" s="2">
        <v>4553</v>
      </c>
      <c r="K4018" s="2">
        <v>2389</v>
      </c>
      <c r="L4018" s="2">
        <v>20</v>
      </c>
      <c r="M4018" s="2"/>
      <c r="N4018" s="8">
        <v>40050.77548611111</v>
      </c>
      <c r="O4018" s="4" t="s">
        <v>17</v>
      </c>
      <c r="P4018" s="3" t="s">
        <v>6247</v>
      </c>
      <c r="Q4018" s="10" t="s">
        <v>2697</v>
      </c>
      <c r="R4018" s="4"/>
      <c r="S4018" s="9" t="str">
        <f>HYPERLINK("https://pbs.twimg.com/profile_images/1010095441281773568/MHd2slGc.jpg","View")</f>
        <v>View</v>
      </c>
    </row>
    <row r="4019" spans="1:19" ht="12.5">
      <c r="A4019" s="8">
        <v>43341.530300925922</v>
      </c>
      <c r="B4019" s="11" t="str">
        <f>HYPERLINK("https://twitter.com/ilamiyaan","@ilamiyaan")</f>
        <v>@ilamiyaan</v>
      </c>
      <c r="C4019" s="6" t="s">
        <v>6246</v>
      </c>
      <c r="D4019" s="5" t="s">
        <v>6245</v>
      </c>
      <c r="E4019" s="9" t="str">
        <f>HYPERLINK("https://twitter.com/ilamiyaan/status/1034715688529784833","1034715688529784833")</f>
        <v>1034715688529784833</v>
      </c>
      <c r="F4019" s="4"/>
      <c r="G4019" s="4"/>
      <c r="H4019" s="4"/>
      <c r="I4019" s="10" t="str">
        <f>HYPERLINK("http://twitter.com/download/iphone","Twitter for iPhone")</f>
        <v>Twitter for iPhone</v>
      </c>
      <c r="J4019" s="2">
        <v>129</v>
      </c>
      <c r="K4019" s="2">
        <v>2</v>
      </c>
      <c r="L4019" s="2">
        <v>0</v>
      </c>
      <c r="M4019" s="2"/>
      <c r="N4019" s="8">
        <v>42695.423101851848</v>
      </c>
      <c r="O4019" s="4" t="s">
        <v>34</v>
      </c>
      <c r="P4019" s="3" t="s">
        <v>6244</v>
      </c>
      <c r="Q4019" s="10" t="s">
        <v>6243</v>
      </c>
      <c r="R4019" s="4"/>
      <c r="S4019" s="9" t="str">
        <f>HYPERLINK("https://pbs.twimg.com/profile_images/800590103852806144/rAhsLv2D.jpg","View")</f>
        <v>View</v>
      </c>
    </row>
    <row r="4020" spans="1:19" ht="40">
      <c r="A4020" s="8">
        <v>43341.529641203699</v>
      </c>
      <c r="B4020" s="11" t="str">
        <f>HYPERLINK("https://twitter.com/hadisaame","@hadisaame")</f>
        <v>@hadisaame</v>
      </c>
      <c r="C4020" s="6" t="s">
        <v>6242</v>
      </c>
      <c r="D4020" s="5" t="s">
        <v>6241</v>
      </c>
      <c r="E4020" s="9" t="str">
        <f>HYPERLINK("https://twitter.com/hadisaame/status/1034715446908469248","1034715446908469248")</f>
        <v>1034715446908469248</v>
      </c>
      <c r="F4020" s="4"/>
      <c r="G4020" s="10" t="s">
        <v>6240</v>
      </c>
      <c r="H4020" s="4"/>
      <c r="I4020" s="10" t="str">
        <f>HYPERLINK("http://twitter.com","Twitter Web Client")</f>
        <v>Twitter Web Client</v>
      </c>
      <c r="J4020" s="2">
        <v>649</v>
      </c>
      <c r="K4020" s="2">
        <v>368</v>
      </c>
      <c r="L4020" s="2">
        <v>9</v>
      </c>
      <c r="M4020" s="2"/>
      <c r="N4020" s="8">
        <v>42875.730694444443</v>
      </c>
      <c r="O4020" s="4"/>
      <c r="P4020" s="3" t="s">
        <v>6239</v>
      </c>
      <c r="Q4020" s="4"/>
      <c r="R4020" s="4"/>
      <c r="S4020" s="9" t="str">
        <f>HYPERLINK("https://pbs.twimg.com/profile_images/865940033144066049/7XjArPNt.jpg","View")</f>
        <v>View</v>
      </c>
    </row>
    <row r="4021" spans="1:19" ht="40">
      <c r="A4021" s="8">
        <v>43341.528321759259</v>
      </c>
      <c r="B4021" s="11" t="str">
        <f>HYPERLINK("https://twitter.com/8Pd9NlI3BDZS3ja","@8Pd9NlI3BDZS3ja")</f>
        <v>@8Pd9NlI3BDZS3ja</v>
      </c>
      <c r="C4021" s="6" t="s">
        <v>5869</v>
      </c>
      <c r="D4021" s="5" t="s">
        <v>6238</v>
      </c>
      <c r="E4021" s="9" t="str">
        <f>HYPERLINK("https://twitter.com/8Pd9NlI3BDZS3ja/status/1034714970124996608","1034714970124996608")</f>
        <v>1034714970124996608</v>
      </c>
      <c r="F4021" s="4"/>
      <c r="G4021" s="4"/>
      <c r="H4021" s="4"/>
      <c r="I4021" s="10" t="str">
        <f>HYPERLINK("http://twitter.com/download/android","Twitter for Android")</f>
        <v>Twitter for Android</v>
      </c>
      <c r="J4021" s="2">
        <v>0</v>
      </c>
      <c r="K4021" s="2">
        <v>4</v>
      </c>
      <c r="L4021" s="2">
        <v>0</v>
      </c>
      <c r="M4021" s="2"/>
      <c r="N4021" s="8">
        <v>43255.94059027778</v>
      </c>
      <c r="O4021" s="4"/>
      <c r="P4021" s="3"/>
      <c r="Q4021" s="4"/>
      <c r="R4021" s="4"/>
      <c r="S4021" s="9" t="str">
        <f>HYPERLINK("https://pbs.twimg.com/profile_images/1003700732980285440/eZPZoO1T.jpg","View")</f>
        <v>View</v>
      </c>
    </row>
    <row r="4022" spans="1:19" ht="30">
      <c r="A4022" s="8">
        <v>43341.527708333335</v>
      </c>
      <c r="B4022" s="11" t="str">
        <f>HYPERLINK("https://twitter.com/Abuali_313","@Abuali_313")</f>
        <v>@Abuali_313</v>
      </c>
      <c r="C4022" s="6" t="s">
        <v>46</v>
      </c>
      <c r="D4022" s="12" t="s">
        <v>6237</v>
      </c>
      <c r="E4022" s="9" t="str">
        <f>HYPERLINK("https://twitter.com/Abuali_313/status/1034714745901854721","1034714745901854721")</f>
        <v>1034714745901854721</v>
      </c>
      <c r="F4022" s="4"/>
      <c r="G4022" s="4"/>
      <c r="H4022" s="4"/>
      <c r="I4022" s="10" t="str">
        <f>HYPERLINK("http://twitter.com/download/android","Twitter for Android")</f>
        <v>Twitter for Android</v>
      </c>
      <c r="J4022" s="2">
        <v>502</v>
      </c>
      <c r="K4022" s="2">
        <v>555</v>
      </c>
      <c r="L4022" s="2">
        <v>0</v>
      </c>
      <c r="M4022" s="2"/>
      <c r="N4022" s="8">
        <v>43081.298576388886</v>
      </c>
      <c r="O4022" s="4" t="s">
        <v>34</v>
      </c>
      <c r="P4022" s="3" t="s">
        <v>44</v>
      </c>
      <c r="Q4022" s="10" t="s">
        <v>43</v>
      </c>
      <c r="R4022" s="4"/>
      <c r="S4022" s="9" t="str">
        <f>HYPERLINK("https://pbs.twimg.com/profile_images/941006636113637378/T--iAnqV.jpg","View")</f>
        <v>View</v>
      </c>
    </row>
    <row r="4023" spans="1:19" ht="40">
      <c r="A4023" s="8">
        <v>43341.527025462958</v>
      </c>
      <c r="B4023" s="11" t="str">
        <f>HYPERLINK("https://twitter.com/alimojtahedzade","@alimojtahedzade")</f>
        <v>@alimojtahedzade</v>
      </c>
      <c r="C4023" s="6" t="s">
        <v>6236</v>
      </c>
      <c r="D4023" s="5" t="s">
        <v>6235</v>
      </c>
      <c r="E4023" s="9" t="str">
        <f>HYPERLINK("https://twitter.com/alimojtahedzade/status/1034714500522332160","1034714500522332160")</f>
        <v>1034714500522332160</v>
      </c>
      <c r="F4023" s="4"/>
      <c r="G4023" s="4"/>
      <c r="H4023" s="4"/>
      <c r="I4023" s="10" t="str">
        <f>HYPERLINK("http://twitter.com/download/iphone","Twitter for iPhone")</f>
        <v>Twitter for iPhone</v>
      </c>
      <c r="J4023" s="2">
        <v>3824</v>
      </c>
      <c r="K4023" s="2">
        <v>225</v>
      </c>
      <c r="L4023" s="2">
        <v>19</v>
      </c>
      <c r="M4023" s="2"/>
      <c r="N4023" s="8">
        <v>42966.573171296295</v>
      </c>
      <c r="O4023" s="4" t="s">
        <v>34</v>
      </c>
      <c r="P4023" s="3" t="s">
        <v>6234</v>
      </c>
      <c r="Q4023" s="4"/>
      <c r="R4023" s="4"/>
      <c r="S4023" s="9" t="str">
        <f>HYPERLINK("https://pbs.twimg.com/profile_images/898837126468521984/doITVPG2.jpg","View")</f>
        <v>View</v>
      </c>
    </row>
    <row r="4024" spans="1:19" ht="30">
      <c r="A4024" s="8">
        <v>43341.52679398148</v>
      </c>
      <c r="B4024" s="11" t="str">
        <f>HYPERLINK("https://twitter.com/faslevasll","@faslevasll")</f>
        <v>@faslevasll</v>
      </c>
      <c r="C4024" s="6" t="s">
        <v>6233</v>
      </c>
      <c r="D4024" s="5" t="s">
        <v>6232</v>
      </c>
      <c r="E4024" s="9" t="str">
        <f>HYPERLINK("https://twitter.com/faslevasll/status/1034714415667585025","1034714415667585025")</f>
        <v>1034714415667585025</v>
      </c>
      <c r="F4024" s="4"/>
      <c r="G4024" s="4"/>
      <c r="H4024" s="4"/>
      <c r="I4024" s="10" t="str">
        <f>HYPERLINK("http://twitter.com/download/iphone","Twitter for iPhone")</f>
        <v>Twitter for iPhone</v>
      </c>
      <c r="J4024" s="2">
        <v>210</v>
      </c>
      <c r="K4024" s="2">
        <v>68</v>
      </c>
      <c r="L4024" s="2">
        <v>1</v>
      </c>
      <c r="M4024" s="2"/>
      <c r="N4024" s="8">
        <v>43075.459594907406</v>
      </c>
      <c r="O4024" s="4" t="s">
        <v>6231</v>
      </c>
      <c r="P4024" s="3" t="s">
        <v>6230</v>
      </c>
      <c r="Q4024" s="4"/>
      <c r="R4024" s="4"/>
      <c r="S4024" s="9" t="str">
        <f>HYPERLINK("https://pbs.twimg.com/profile_images/1032660083551989760/4vQXfw8b.jpg","View")</f>
        <v>View</v>
      </c>
    </row>
    <row r="4025" spans="1:19" ht="30">
      <c r="A4025" s="8">
        <v>43341.526689814811</v>
      </c>
      <c r="B4025" s="11" t="str">
        <f>HYPERLINK("https://twitter.com/khajenezhadian","@khajenezhadian")</f>
        <v>@khajenezhadian</v>
      </c>
      <c r="C4025" s="6" t="s">
        <v>750</v>
      </c>
      <c r="D4025" s="5" t="s">
        <v>6229</v>
      </c>
      <c r="E4025" s="9" t="str">
        <f>HYPERLINK("https://twitter.com/khajenezhadian/status/1034714377314885632","1034714377314885632")</f>
        <v>1034714377314885632</v>
      </c>
      <c r="F4025" s="4"/>
      <c r="G4025" s="4"/>
      <c r="H4025" s="4"/>
      <c r="I4025" s="10" t="str">
        <f>HYPERLINK("http://twitter.com","Twitter Web Client")</f>
        <v>Twitter Web Client</v>
      </c>
      <c r="J4025" s="2">
        <v>2046</v>
      </c>
      <c r="K4025" s="2">
        <v>4065</v>
      </c>
      <c r="L4025" s="2">
        <v>7</v>
      </c>
      <c r="M4025" s="2"/>
      <c r="N4025" s="8">
        <v>42904.69263888889</v>
      </c>
      <c r="O4025" s="4" t="s">
        <v>748</v>
      </c>
      <c r="P4025" s="3" t="s">
        <v>747</v>
      </c>
      <c r="Q4025" s="10" t="s">
        <v>746</v>
      </c>
      <c r="R4025" s="4"/>
      <c r="S4025" s="9" t="str">
        <f>HYPERLINK("https://pbs.twimg.com/profile_images/1009340038272901120/z4tTTdkR.jpg","View")</f>
        <v>View</v>
      </c>
    </row>
    <row r="4026" spans="1:19" ht="30">
      <c r="A4026" s="8">
        <v>43341.525312500002</v>
      </c>
      <c r="B4026" s="11" t="str">
        <f>HYPERLINK("https://twitter.com/faghatkhodaa","@faghatkhodaa")</f>
        <v>@faghatkhodaa</v>
      </c>
      <c r="C4026" s="6" t="s">
        <v>4323</v>
      </c>
      <c r="D4026" s="5" t="s">
        <v>6228</v>
      </c>
      <c r="E4026" s="9" t="str">
        <f>HYPERLINK("https://twitter.com/faghatkhodaa/status/1034713878238777344","1034713878238777344")</f>
        <v>1034713878238777344</v>
      </c>
      <c r="F4026" s="4"/>
      <c r="G4026" s="4"/>
      <c r="H4026" s="4"/>
      <c r="I4026" s="10" t="str">
        <f>HYPERLINK("http://twitter.com/download/android","Twitter for Android")</f>
        <v>Twitter for Android</v>
      </c>
      <c r="J4026" s="2">
        <v>8754</v>
      </c>
      <c r="K4026" s="2">
        <v>8988</v>
      </c>
      <c r="L4026" s="2">
        <v>23</v>
      </c>
      <c r="M4026" s="2"/>
      <c r="N4026" s="8">
        <v>43126.628379629634</v>
      </c>
      <c r="O4026" s="4" t="s">
        <v>34</v>
      </c>
      <c r="P4026" s="3" t="s">
        <v>4321</v>
      </c>
      <c r="Q4026" s="4"/>
      <c r="R4026" s="4"/>
      <c r="S4026" s="9" t="str">
        <f>HYPERLINK("https://pbs.twimg.com/profile_images/1027942473103040514/73l8O29B.jpg","View")</f>
        <v>View</v>
      </c>
    </row>
    <row r="4027" spans="1:19" ht="20">
      <c r="A4027" s="8">
        <v>43341.523761574077</v>
      </c>
      <c r="B4027" s="11" t="str">
        <f>HYPERLINK("https://twitter.com/mehranghavidel2","@mehranghavidel2")</f>
        <v>@mehranghavidel2</v>
      </c>
      <c r="C4027" s="6" t="s">
        <v>4866</v>
      </c>
      <c r="D4027" s="5" t="s">
        <v>6227</v>
      </c>
      <c r="E4027" s="9" t="str">
        <f>HYPERLINK("https://twitter.com/mehranghavidel2/status/1034713318831939584","1034713318831939584")</f>
        <v>1034713318831939584</v>
      </c>
      <c r="F4027" s="4"/>
      <c r="G4027" s="10" t="s">
        <v>6226</v>
      </c>
      <c r="H4027" s="4"/>
      <c r="I4027" s="10" t="str">
        <f>HYPERLINK("http://twitter.com","Twitter Web Client")</f>
        <v>Twitter Web Client</v>
      </c>
      <c r="J4027" s="2">
        <v>1048</v>
      </c>
      <c r="K4027" s="2">
        <v>1007</v>
      </c>
      <c r="L4027" s="2">
        <v>1</v>
      </c>
      <c r="M4027" s="2"/>
      <c r="N4027" s="8">
        <v>42826.946388888886</v>
      </c>
      <c r="O4027" s="4" t="s">
        <v>4863</v>
      </c>
      <c r="P4027" s="3" t="s">
        <v>4862</v>
      </c>
      <c r="Q4027" s="4"/>
      <c r="R4027" s="4"/>
      <c r="S4027" s="9" t="str">
        <f>HYPERLINK("https://pbs.twimg.com/profile_images/996495121947357185/DUKE6cFP.jpg","View")</f>
        <v>View</v>
      </c>
    </row>
    <row r="4028" spans="1:19" ht="12.5">
      <c r="A4028" s="8">
        <v>43341.5231712963</v>
      </c>
      <c r="B4028" s="11" t="str">
        <f>HYPERLINK("https://twitter.com/yVA4ATUfdofr2xS","@yVA4ATUfdofr2xS")</f>
        <v>@yVA4ATUfdofr2xS</v>
      </c>
      <c r="C4028" s="6" t="s">
        <v>27</v>
      </c>
      <c r="D4028" s="5" t="s">
        <v>6225</v>
      </c>
      <c r="E4028" s="9" t="str">
        <f>HYPERLINK("https://twitter.com/yVA4ATUfdofr2xS/status/1034713102267244545","1034713102267244545")</f>
        <v>1034713102267244545</v>
      </c>
      <c r="F4028" s="4"/>
      <c r="G4028" s="4"/>
      <c r="H4028" s="4"/>
      <c r="I4028" s="10" t="str">
        <f>HYPERLINK("http://twitter.com","Twitter Web Client")</f>
        <v>Twitter Web Client</v>
      </c>
      <c r="J4028" s="2">
        <v>141</v>
      </c>
      <c r="K4028" s="2">
        <v>238</v>
      </c>
      <c r="L4028" s="2">
        <v>0</v>
      </c>
      <c r="M4028" s="2"/>
      <c r="N4028" s="8">
        <v>43323.438252314816</v>
      </c>
      <c r="O4028" s="4" t="s">
        <v>25</v>
      </c>
      <c r="P4028" s="3" t="s">
        <v>24</v>
      </c>
      <c r="Q4028" s="4"/>
      <c r="R4028" s="4"/>
      <c r="S4028" s="9" t="str">
        <f>HYPERLINK("https://pbs.twimg.com/profile_images/1028178183206498305/b7usXKsw.jpg","View")</f>
        <v>View</v>
      </c>
    </row>
    <row r="4029" spans="1:19" ht="50">
      <c r="A4029" s="8">
        <v>43341.523020833338</v>
      </c>
      <c r="B4029" s="11" t="str">
        <f>HYPERLINK("https://twitter.com/Abolfazl46","@Abolfazl46")</f>
        <v>@Abolfazl46</v>
      </c>
      <c r="C4029" s="6" t="s">
        <v>6224</v>
      </c>
      <c r="D4029" s="5" t="s">
        <v>6223</v>
      </c>
      <c r="E4029" s="9" t="str">
        <f>HYPERLINK("https://twitter.com/Abolfazl46/status/1034713049280724993","1034713049280724993")</f>
        <v>1034713049280724993</v>
      </c>
      <c r="F4029" s="10" t="s">
        <v>6222</v>
      </c>
      <c r="G4029" s="4"/>
      <c r="H4029" s="4"/>
      <c r="I4029" s="10" t="str">
        <f>HYPERLINK("http://twitter.com/download/iphone","Twitter for iPhone")</f>
        <v>Twitter for iPhone</v>
      </c>
      <c r="J4029" s="2">
        <v>151</v>
      </c>
      <c r="K4029" s="2">
        <v>443</v>
      </c>
      <c r="L4029" s="2">
        <v>0</v>
      </c>
      <c r="M4029" s="2"/>
      <c r="N4029" s="8">
        <v>42982.93478009259</v>
      </c>
      <c r="O4029" s="4" t="s">
        <v>34</v>
      </c>
      <c r="P4029" s="3" t="s">
        <v>6221</v>
      </c>
      <c r="Q4029" s="4"/>
      <c r="R4029" s="4"/>
      <c r="S4029" s="9" t="str">
        <f>HYPERLINK("https://pbs.twimg.com/profile_images/922910243100622850/hWiaXfRb.jpg","View")</f>
        <v>View</v>
      </c>
    </row>
    <row r="4030" spans="1:19" ht="80">
      <c r="A4030" s="8">
        <v>43341.521851851852</v>
      </c>
      <c r="B4030" s="11" t="str">
        <f>HYPERLINK("https://twitter.com/masi_mim","@masi_mim")</f>
        <v>@masi_mim</v>
      </c>
      <c r="C4030" s="6" t="s">
        <v>6220</v>
      </c>
      <c r="D4030" s="5" t="s">
        <v>6219</v>
      </c>
      <c r="E4030" s="9" t="str">
        <f>HYPERLINK("https://twitter.com/masi_mim/status/1034712623747686400","1034712623747686400")</f>
        <v>1034712623747686400</v>
      </c>
      <c r="F4030" s="10" t="s">
        <v>6218</v>
      </c>
      <c r="G4030" s="10" t="s">
        <v>6217</v>
      </c>
      <c r="H4030" s="4"/>
      <c r="I4030" s="10" t="str">
        <f>HYPERLINK("http://twitter.com","Twitter Web Client")</f>
        <v>Twitter Web Client</v>
      </c>
      <c r="J4030" s="2">
        <v>270</v>
      </c>
      <c r="K4030" s="2">
        <v>267</v>
      </c>
      <c r="L4030" s="2">
        <v>1</v>
      </c>
      <c r="M4030" s="2"/>
      <c r="N4030" s="8">
        <v>43238.987453703703</v>
      </c>
      <c r="O4030" s="4" t="s">
        <v>34</v>
      </c>
      <c r="P4030" s="3" t="s">
        <v>6216</v>
      </c>
      <c r="Q4030" s="4"/>
      <c r="R4030" s="4"/>
      <c r="S4030" s="9" t="str">
        <f>HYPERLINK("https://pbs.twimg.com/profile_images/1002601709540200449/VGvbVidp.jpg","View")</f>
        <v>View</v>
      </c>
    </row>
    <row r="4031" spans="1:19" ht="90">
      <c r="A4031" s="8">
        <v>43341.521273148144</v>
      </c>
      <c r="B4031" s="11" t="str">
        <f>HYPERLINK("https://twitter.com/REALALLAH1","@REALALLAH1")</f>
        <v>@REALALLAH1</v>
      </c>
      <c r="C4031" s="6" t="s">
        <v>909</v>
      </c>
      <c r="D4031" s="5" t="s">
        <v>6215</v>
      </c>
      <c r="E4031" s="9" t="str">
        <f>HYPERLINK("https://twitter.com/REALALLAH1/status/1034712416754589696","1034712416754589696")</f>
        <v>1034712416754589696</v>
      </c>
      <c r="F4031" s="10" t="s">
        <v>3978</v>
      </c>
      <c r="G4031" s="4"/>
      <c r="H4031" s="4"/>
      <c r="I4031" s="10" t="str">
        <f>HYPERLINK("http://twitter.com","Twitter Web Client")</f>
        <v>Twitter Web Client</v>
      </c>
      <c r="J4031" s="2">
        <v>81</v>
      </c>
      <c r="K4031" s="2">
        <v>172</v>
      </c>
      <c r="L4031" s="2">
        <v>0</v>
      </c>
      <c r="M4031" s="2"/>
      <c r="N4031" s="8">
        <v>43303.822754629626</v>
      </c>
      <c r="O4031" s="4" t="s">
        <v>906</v>
      </c>
      <c r="P4031" s="3" t="s">
        <v>905</v>
      </c>
      <c r="Q4031" s="4"/>
      <c r="R4031" s="4"/>
      <c r="S4031" s="9" t="str">
        <f>HYPERLINK("https://pbs.twimg.com/profile_images/1021829205372198912/psCRJb46.jpg","View")</f>
        <v>View</v>
      </c>
    </row>
    <row r="4032" spans="1:19" ht="30">
      <c r="A4032" s="8">
        <v>43341.52043981482</v>
      </c>
      <c r="B4032" s="11" t="str">
        <f>HYPERLINK("https://twitter.com/SushiansH","@SushiansH")</f>
        <v>@SushiansH</v>
      </c>
      <c r="C4032" s="6" t="s">
        <v>2231</v>
      </c>
      <c r="D4032" s="5" t="s">
        <v>6214</v>
      </c>
      <c r="E4032" s="9" t="str">
        <f>HYPERLINK("https://twitter.com/SushiansH/status/1034712113695154176","1034712113695154176")</f>
        <v>1034712113695154176</v>
      </c>
      <c r="F4032" s="4"/>
      <c r="G4032" s="4"/>
      <c r="H4032" s="4"/>
      <c r="I4032" s="10" t="str">
        <f>HYPERLINK("http://twitter.com/download/android","Twitter for Android")</f>
        <v>Twitter for Android</v>
      </c>
      <c r="J4032" s="2">
        <v>57</v>
      </c>
      <c r="K4032" s="2">
        <v>152</v>
      </c>
      <c r="L4032" s="2">
        <v>0</v>
      </c>
      <c r="M4032" s="2"/>
      <c r="N4032" s="8">
        <v>43261.064687499995</v>
      </c>
      <c r="O4032" s="4" t="s">
        <v>34</v>
      </c>
      <c r="P4032" s="3" t="s">
        <v>2229</v>
      </c>
      <c r="Q4032" s="4"/>
      <c r="R4032" s="4"/>
      <c r="S4032" s="9" t="str">
        <f>HYPERLINK("https://pbs.twimg.com/profile_images/1005558117738926080/jT-GBMIX.jpg","View")</f>
        <v>View</v>
      </c>
    </row>
    <row r="4033" spans="1:19" ht="20">
      <c r="A4033" s="8">
        <v>43341.519548611112</v>
      </c>
      <c r="B4033" s="11" t="str">
        <f>HYPERLINK("https://twitter.com/yVA4ATUfdofr2xS","@yVA4ATUfdofr2xS")</f>
        <v>@yVA4ATUfdofr2xS</v>
      </c>
      <c r="C4033" s="6" t="s">
        <v>27</v>
      </c>
      <c r="D4033" s="5" t="s">
        <v>6213</v>
      </c>
      <c r="E4033" s="9" t="str">
        <f>HYPERLINK("https://twitter.com/yVA4ATUfdofr2xS/status/1034711789492006912","1034711789492006912")</f>
        <v>1034711789492006912</v>
      </c>
      <c r="F4033" s="10" t="s">
        <v>6212</v>
      </c>
      <c r="G4033" s="10" t="s">
        <v>6211</v>
      </c>
      <c r="H4033" s="4"/>
      <c r="I4033" s="10" t="str">
        <f>HYPERLINK("http://twitter.com","Twitter Web Client")</f>
        <v>Twitter Web Client</v>
      </c>
      <c r="J4033" s="2">
        <v>141</v>
      </c>
      <c r="K4033" s="2">
        <v>238</v>
      </c>
      <c r="L4033" s="2">
        <v>0</v>
      </c>
      <c r="M4033" s="2"/>
      <c r="N4033" s="8">
        <v>43323.438252314816</v>
      </c>
      <c r="O4033" s="4" t="s">
        <v>25</v>
      </c>
      <c r="P4033" s="3" t="s">
        <v>24</v>
      </c>
      <c r="Q4033" s="4"/>
      <c r="R4033" s="4"/>
      <c r="S4033" s="9" t="str">
        <f>HYPERLINK("https://pbs.twimg.com/profile_images/1028178183206498305/b7usXKsw.jpg","View")</f>
        <v>View</v>
      </c>
    </row>
    <row r="4034" spans="1:19" ht="12.5">
      <c r="A4034" s="8">
        <v>43341.518703703703</v>
      </c>
      <c r="B4034" s="11" t="str">
        <f>HYPERLINK("https://twitter.com/SamDoone","@SamDoone")</f>
        <v>@SamDoone</v>
      </c>
      <c r="C4034" s="6" t="s">
        <v>6210</v>
      </c>
      <c r="D4034" s="5" t="s">
        <v>6209</v>
      </c>
      <c r="E4034" s="9" t="str">
        <f>HYPERLINK("https://twitter.com/SamDoone/status/1034711485803638784","1034711485803638784")</f>
        <v>1034711485803638784</v>
      </c>
      <c r="F4034" s="4"/>
      <c r="G4034" s="10" t="s">
        <v>6208</v>
      </c>
      <c r="H4034" s="4"/>
      <c r="I4034" s="10" t="str">
        <f>HYPERLINK("http://twitter.com/download/iphone","Twitter for iPhone")</f>
        <v>Twitter for iPhone</v>
      </c>
      <c r="J4034" s="2">
        <v>38</v>
      </c>
      <c r="K4034" s="2">
        <v>186</v>
      </c>
      <c r="L4034" s="2">
        <v>0</v>
      </c>
      <c r="M4034" s="2"/>
      <c r="N4034" s="8">
        <v>42407.92597222222</v>
      </c>
      <c r="O4034" s="4"/>
      <c r="P4034" s="3"/>
      <c r="Q4034" s="4"/>
      <c r="R4034" s="4"/>
      <c r="S4034" s="9" t="str">
        <f>HYPERLINK("https://pbs.twimg.com/profile_images/1021361045007286273/IWED7CRV.jpg","View")</f>
        <v>View</v>
      </c>
    </row>
    <row r="4035" spans="1:19" ht="20">
      <c r="A4035" s="8">
        <v>43341.518634259264</v>
      </c>
      <c r="B4035" s="11" t="str">
        <f>HYPERLINK("https://twitter.com/Seyed_M_1988","@Seyed_M_1988")</f>
        <v>@Seyed_M_1988</v>
      </c>
      <c r="C4035" s="6" t="s">
        <v>2982</v>
      </c>
      <c r="D4035" s="5" t="s">
        <v>6207</v>
      </c>
      <c r="E4035" s="9" t="str">
        <f>HYPERLINK("https://twitter.com/Seyed_M_1988/status/1034711457517248512","1034711457517248512")</f>
        <v>1034711457517248512</v>
      </c>
      <c r="F4035" s="4"/>
      <c r="G4035" s="4"/>
      <c r="H4035" s="4"/>
      <c r="I4035" s="10" t="str">
        <f>HYPERLINK("http://twitter.com/download/android","Twitter for Android")</f>
        <v>Twitter for Android</v>
      </c>
      <c r="J4035" s="2">
        <v>1747</v>
      </c>
      <c r="K4035" s="2">
        <v>864</v>
      </c>
      <c r="L4035" s="2">
        <v>4</v>
      </c>
      <c r="M4035" s="2"/>
      <c r="N4035" s="8">
        <v>42915.407916666663</v>
      </c>
      <c r="O4035" s="4" t="s">
        <v>2980</v>
      </c>
      <c r="P4035" s="3" t="s">
        <v>2979</v>
      </c>
      <c r="Q4035" s="4"/>
      <c r="R4035" s="4"/>
      <c r="S4035" s="9" t="str">
        <f>HYPERLINK("https://pbs.twimg.com/profile_images/1034012774467350529/WeTTbzn-.jpg","View")</f>
        <v>View</v>
      </c>
    </row>
    <row r="4036" spans="1:19" ht="20">
      <c r="A4036" s="8">
        <v>43341.51829861111</v>
      </c>
      <c r="B4036" s="11" t="str">
        <f>HYPERLINK("https://twitter.com/farzande_iran69","@farzande_iran69")</f>
        <v>@farzande_iran69</v>
      </c>
      <c r="C4036" s="6" t="s">
        <v>6206</v>
      </c>
      <c r="D4036" s="5" t="s">
        <v>6205</v>
      </c>
      <c r="E4036" s="9" t="str">
        <f>HYPERLINK("https://twitter.com/farzande_iran69/status/1034711338499670017","1034711338499670017")</f>
        <v>1034711338499670017</v>
      </c>
      <c r="F4036" s="4"/>
      <c r="G4036" s="10" t="s">
        <v>6204</v>
      </c>
      <c r="H4036" s="4"/>
      <c r="I4036" s="10" t="str">
        <f>HYPERLINK("http://twitter.com/download/android","Twitter for Android")</f>
        <v>Twitter for Android</v>
      </c>
      <c r="J4036" s="2">
        <v>3</v>
      </c>
      <c r="K4036" s="2">
        <v>15</v>
      </c>
      <c r="L4036" s="2">
        <v>0</v>
      </c>
      <c r="M4036" s="2"/>
      <c r="N4036" s="8">
        <v>43341.370925925927</v>
      </c>
      <c r="O4036" s="4" t="s">
        <v>17</v>
      </c>
      <c r="P4036" s="3" t="s">
        <v>6203</v>
      </c>
      <c r="Q4036" s="4"/>
      <c r="R4036" s="4"/>
      <c r="S4036" s="9" t="str">
        <f>HYPERLINK("https://pbs.twimg.com/profile_images/1034661926519930881/VIoPhBXL.jpg","View")</f>
        <v>View</v>
      </c>
    </row>
    <row r="4037" spans="1:19" ht="20">
      <c r="A4037" s="8">
        <v>43341.518287037034</v>
      </c>
      <c r="B4037" s="11" t="str">
        <f>HYPERLINK("https://twitter.com/seymoury13","@seymoury13")</f>
        <v>@seymoury13</v>
      </c>
      <c r="C4037" s="6" t="s">
        <v>6202</v>
      </c>
      <c r="D4037" s="5" t="s">
        <v>6201</v>
      </c>
      <c r="E4037" s="9" t="str">
        <f>HYPERLINK("https://twitter.com/seymoury13/status/1034711332807946241","1034711332807946241")</f>
        <v>1034711332807946241</v>
      </c>
      <c r="F4037" s="4"/>
      <c r="G4037" s="4"/>
      <c r="H4037" s="4"/>
      <c r="I4037" s="10" t="str">
        <f>HYPERLINK("http://twitter.com/download/android","Twitter for Android")</f>
        <v>Twitter for Android</v>
      </c>
      <c r="J4037" s="2">
        <v>3412</v>
      </c>
      <c r="K4037" s="2">
        <v>2588</v>
      </c>
      <c r="L4037" s="2">
        <v>11</v>
      </c>
      <c r="M4037" s="2"/>
      <c r="N4037" s="8">
        <v>42722.707060185188</v>
      </c>
      <c r="O4037" s="4"/>
      <c r="P4037" s="3" t="s">
        <v>6200</v>
      </c>
      <c r="Q4037" s="4"/>
      <c r="R4037" s="4"/>
      <c r="S4037" s="9" t="str">
        <f>HYPERLINK("https://pbs.twimg.com/profile_images/950494038226022400/kCZG9flH.jpg","View")</f>
        <v>View</v>
      </c>
    </row>
    <row r="4038" spans="1:19" ht="40">
      <c r="A4038" s="8">
        <v>43341.516203703708</v>
      </c>
      <c r="B4038" s="11" t="str">
        <f>HYPERLINK("https://twitter.com/sibiloman","@sibiloman")</f>
        <v>@sibiloman</v>
      </c>
      <c r="C4038" s="6" t="s">
        <v>6199</v>
      </c>
      <c r="D4038" s="5" t="s">
        <v>6198</v>
      </c>
      <c r="E4038" s="9" t="str">
        <f>HYPERLINK("https://twitter.com/sibiloman/status/1034710576847446016","1034710576847446016")</f>
        <v>1034710576847446016</v>
      </c>
      <c r="F4038" s="4"/>
      <c r="G4038" s="4"/>
      <c r="H4038" s="4"/>
      <c r="I4038" s="10" t="str">
        <f>HYPERLINK("http://twitter.com/download/android","Twitter for Android")</f>
        <v>Twitter for Android</v>
      </c>
      <c r="J4038" s="2">
        <v>0</v>
      </c>
      <c r="K4038" s="2">
        <v>7</v>
      </c>
      <c r="L4038" s="2">
        <v>0</v>
      </c>
      <c r="M4038" s="2"/>
      <c r="N4038" s="8">
        <v>43182.90556712963</v>
      </c>
      <c r="O4038" s="4"/>
      <c r="P4038" s="3"/>
      <c r="Q4038" s="4"/>
      <c r="R4038" s="4"/>
      <c r="S4038" s="9" t="str">
        <f>HYPERLINK("https://pbs.twimg.com/profile_images/1031994108624203776/FvDak2Zc.jpg","View")</f>
        <v>View</v>
      </c>
    </row>
    <row r="4039" spans="1:19" ht="40">
      <c r="A4039" s="8">
        <v>43341.5158912037</v>
      </c>
      <c r="B4039" s="11" t="str">
        <f>HYPERLINK("https://twitter.com/afkarnews","@afkarnews")</f>
        <v>@afkarnews</v>
      </c>
      <c r="C4039" s="6" t="s">
        <v>6197</v>
      </c>
      <c r="D4039" s="5" t="s">
        <v>6196</v>
      </c>
      <c r="E4039" s="9" t="str">
        <f>HYPERLINK("https://twitter.com/afkarnews/status/1034710466990198784","1034710466990198784")</f>
        <v>1034710466990198784</v>
      </c>
      <c r="F4039" s="4"/>
      <c r="G4039" s="4"/>
      <c r="H4039" s="4"/>
      <c r="I4039" s="10" t="str">
        <f>HYPERLINK("http://twitter.com/download/android","Twitter for Android")</f>
        <v>Twitter for Android</v>
      </c>
      <c r="J4039" s="2">
        <v>1521</v>
      </c>
      <c r="K4039" s="2">
        <v>1430</v>
      </c>
      <c r="L4039" s="2">
        <v>7</v>
      </c>
      <c r="M4039" s="2"/>
      <c r="N4039" s="8">
        <v>41145.974780092591</v>
      </c>
      <c r="O4039" s="4"/>
      <c r="P4039" s="3" t="s">
        <v>6195</v>
      </c>
      <c r="Q4039" s="10" t="s">
        <v>6194</v>
      </c>
      <c r="R4039" s="4"/>
      <c r="S4039" s="9" t="str">
        <f>HYPERLINK("https://pbs.twimg.com/profile_images/933714176790401025/6Y9lqG7t.jpg","View")</f>
        <v>View</v>
      </c>
    </row>
    <row r="4040" spans="1:19" ht="30">
      <c r="A4040" s="8">
        <v>43341.515752314815</v>
      </c>
      <c r="B4040" s="11" t="str">
        <f>HYPERLINK("https://twitter.com/DrPeymanHaddadi","@DrPeymanHaddadi")</f>
        <v>@DrPeymanHaddadi</v>
      </c>
      <c r="C4040" s="6" t="s">
        <v>6193</v>
      </c>
      <c r="D4040" s="5" t="s">
        <v>6192</v>
      </c>
      <c r="E4040" s="9" t="str">
        <f>HYPERLINK("https://twitter.com/DrPeymanHaddadi/status/1034710413987012608","1034710413987012608")</f>
        <v>1034710413987012608</v>
      </c>
      <c r="F4040" s="4"/>
      <c r="G4040" s="4"/>
      <c r="H4040" s="4"/>
      <c r="I4040" s="10" t="str">
        <f>HYPERLINK("http://twitter.com/download/android","Twitter for Android")</f>
        <v>Twitter for Android</v>
      </c>
      <c r="J4040" s="2">
        <v>25</v>
      </c>
      <c r="K4040" s="2">
        <v>75</v>
      </c>
      <c r="L4040" s="2">
        <v>0</v>
      </c>
      <c r="M4040" s="2"/>
      <c r="N4040" s="8">
        <v>42939.65221064815</v>
      </c>
      <c r="O4040" s="4" t="s">
        <v>34</v>
      </c>
      <c r="P4040" s="3" t="s">
        <v>6191</v>
      </c>
      <c r="Q4040" s="4"/>
      <c r="R4040" s="4"/>
      <c r="S4040" s="9" t="str">
        <f>HYPERLINK("https://pbs.twimg.com/profile_images/889082367910055936/04UULWjV.jpg","View")</f>
        <v>View</v>
      </c>
    </row>
    <row r="4041" spans="1:19" ht="20">
      <c r="A4041" s="8">
        <v>43341.515578703707</v>
      </c>
      <c r="B4041" s="11" t="str">
        <f>HYPERLINK("https://twitter.com/nim_negaah","@nim_negaah")</f>
        <v>@nim_negaah</v>
      </c>
      <c r="C4041" s="6" t="s">
        <v>6190</v>
      </c>
      <c r="D4041" s="5" t="s">
        <v>6189</v>
      </c>
      <c r="E4041" s="9" t="str">
        <f>HYPERLINK("https://twitter.com/nim_negaah/status/1034710350636113921","1034710350636113921")</f>
        <v>1034710350636113921</v>
      </c>
      <c r="F4041" s="4"/>
      <c r="G4041" s="4"/>
      <c r="H4041" s="4"/>
      <c r="I4041" s="10" t="str">
        <f>HYPERLINK("http://twitter.com","Twitter Web Client")</f>
        <v>Twitter Web Client</v>
      </c>
      <c r="J4041" s="2">
        <v>26</v>
      </c>
      <c r="K4041" s="2">
        <v>92</v>
      </c>
      <c r="L4041" s="2">
        <v>0</v>
      </c>
      <c r="M4041" s="2"/>
      <c r="N4041" s="8">
        <v>43103.809953703705</v>
      </c>
      <c r="O4041" s="4"/>
      <c r="P4041" s="3" t="s">
        <v>6188</v>
      </c>
      <c r="Q4041" s="4"/>
      <c r="R4041" s="4"/>
      <c r="S4041" s="9" t="str">
        <f>HYPERLINK("https://pbs.twimg.com/profile_images/948587158226452480/4GNKM7rF.jpg","View")</f>
        <v>View</v>
      </c>
    </row>
    <row r="4042" spans="1:19" ht="20">
      <c r="A4042" s="8">
        <v>43341.515462962961</v>
      </c>
      <c r="B4042" s="11" t="str">
        <f>HYPERLINK("https://twitter.com/emmedia2","@emmedia2")</f>
        <v>@emmedia2</v>
      </c>
      <c r="C4042" s="6" t="s">
        <v>6187</v>
      </c>
      <c r="D4042" s="5" t="s">
        <v>6186</v>
      </c>
      <c r="E4042" s="9" t="str">
        <f>HYPERLINK("https://twitter.com/emmedia2/status/1034710307703205888","1034710307703205888")</f>
        <v>1034710307703205888</v>
      </c>
      <c r="F4042" s="4"/>
      <c r="G4042" s="4"/>
      <c r="H4042" s="4"/>
      <c r="I4042" s="10" t="str">
        <f>HYPERLINK("https://mobile.twitter.com","Twitter Lite")</f>
        <v>Twitter Lite</v>
      </c>
      <c r="J4042" s="2">
        <v>1033</v>
      </c>
      <c r="K4042" s="2">
        <v>1515</v>
      </c>
      <c r="L4042" s="2">
        <v>2</v>
      </c>
      <c r="M4042" s="2"/>
      <c r="N4042" s="8">
        <v>41625.987199074072</v>
      </c>
      <c r="O4042" s="4"/>
      <c r="P4042" s="3" t="s">
        <v>6185</v>
      </c>
      <c r="Q4042" s="4"/>
      <c r="R4042" s="4"/>
      <c r="S4042" s="9" t="str">
        <f>HYPERLINK("https://pbs.twimg.com/profile_images/969797968218877952/oVzZXZGp.jpg","View")</f>
        <v>View</v>
      </c>
    </row>
    <row r="4043" spans="1:19" ht="40">
      <c r="A4043" s="8">
        <v>43341.514780092592</v>
      </c>
      <c r="B4043" s="11" t="str">
        <f>HYPERLINK("https://twitter.com/nargesrasouli","@nargesrasouli")</f>
        <v>@nargesrasouli</v>
      </c>
      <c r="C4043" s="6" t="s">
        <v>6184</v>
      </c>
      <c r="D4043" s="5" t="s">
        <v>6183</v>
      </c>
      <c r="E4043" s="9" t="str">
        <f>HYPERLINK("https://twitter.com/nargesrasouli/status/1034710064135847937","1034710064135847937")</f>
        <v>1034710064135847937</v>
      </c>
      <c r="F4043" s="4"/>
      <c r="G4043" s="4"/>
      <c r="H4043" s="4"/>
      <c r="I4043" s="10" t="str">
        <f>HYPERLINK("http://twitter.com/download/iphone","Twitter for iPhone")</f>
        <v>Twitter for iPhone</v>
      </c>
      <c r="J4043" s="2">
        <v>338</v>
      </c>
      <c r="K4043" s="2">
        <v>471</v>
      </c>
      <c r="L4043" s="2">
        <v>0</v>
      </c>
      <c r="M4043" s="2"/>
      <c r="N4043" s="8">
        <v>42745.601793981477</v>
      </c>
      <c r="O4043" s="4" t="s">
        <v>34</v>
      </c>
      <c r="P4043" s="3"/>
      <c r="Q4043" s="4"/>
      <c r="R4043" s="4"/>
      <c r="S4043" s="9" t="str">
        <f>HYPERLINK("https://pbs.twimg.com/profile_images/818777362766643200/38LTnKKS.jpg","View")</f>
        <v>View</v>
      </c>
    </row>
    <row r="4044" spans="1:19" ht="40">
      <c r="A4044" s="8">
        <v>43341.513738425929</v>
      </c>
      <c r="B4044" s="11" t="str">
        <f>HYPERLINK("https://twitter.com/mirza1397","@mirza1397")</f>
        <v>@mirza1397</v>
      </c>
      <c r="C4044" s="6" t="s">
        <v>3108</v>
      </c>
      <c r="D4044" s="5" t="s">
        <v>6182</v>
      </c>
      <c r="E4044" s="9" t="str">
        <f>HYPERLINK("https://twitter.com/mirza1397/status/1034709683796201473","1034709683796201473")</f>
        <v>1034709683796201473</v>
      </c>
      <c r="F4044" s="4"/>
      <c r="G4044" s="10" t="s">
        <v>6181</v>
      </c>
      <c r="H4044" s="4"/>
      <c r="I4044" s="10" t="str">
        <f>HYPERLINK("http://twitter.com","Twitter Web Client")</f>
        <v>Twitter Web Client</v>
      </c>
      <c r="J4044" s="2">
        <v>1218</v>
      </c>
      <c r="K4044" s="2">
        <v>2068</v>
      </c>
      <c r="L4044" s="2">
        <v>0</v>
      </c>
      <c r="M4044" s="2"/>
      <c r="N4044" s="8">
        <v>43185.85601851852</v>
      </c>
      <c r="O4044" s="4" t="s">
        <v>3106</v>
      </c>
      <c r="P4044" s="3" t="s">
        <v>3105</v>
      </c>
      <c r="Q4044" s="10" t="s">
        <v>3104</v>
      </c>
      <c r="R4044" s="4"/>
      <c r="S4044" s="9" t="str">
        <f>HYPERLINK("https://pbs.twimg.com/profile_images/1019621726278205441/hom6QSoe.jpg","View")</f>
        <v>View</v>
      </c>
    </row>
    <row r="4045" spans="1:19" ht="30">
      <c r="A4045" s="8">
        <v>43341.513310185182</v>
      </c>
      <c r="B4045" s="11" t="str">
        <f>HYPERLINK("https://twitter.com/farzad_mehrdad","@farzad_mehrdad")</f>
        <v>@farzad_mehrdad</v>
      </c>
      <c r="C4045" s="6" t="s">
        <v>5891</v>
      </c>
      <c r="D4045" s="5" t="s">
        <v>6180</v>
      </c>
      <c r="E4045" s="9" t="str">
        <f>HYPERLINK("https://twitter.com/farzad_mehrdad/status/1034709527747129344","1034709527747129344")</f>
        <v>1034709527747129344</v>
      </c>
      <c r="F4045" s="4"/>
      <c r="G4045" s="4"/>
      <c r="H4045" s="4"/>
      <c r="I4045" s="10" t="str">
        <f>HYPERLINK("http://twitter.com/download/android","Twitter for Android")</f>
        <v>Twitter for Android</v>
      </c>
      <c r="J4045" s="2">
        <v>110</v>
      </c>
      <c r="K4045" s="2">
        <v>126</v>
      </c>
      <c r="L4045" s="2">
        <v>0</v>
      </c>
      <c r="M4045" s="2"/>
      <c r="N4045" s="8">
        <v>42442.959791666668</v>
      </c>
      <c r="O4045" s="4" t="s">
        <v>5889</v>
      </c>
      <c r="P4045" s="3" t="s">
        <v>5888</v>
      </c>
      <c r="Q4045" s="4"/>
      <c r="R4045" s="4"/>
      <c r="S4045" s="9" t="str">
        <f>HYPERLINK("https://pbs.twimg.com/profile_images/1028285559775604736/9Ae-pzf7.jpg","View")</f>
        <v>View</v>
      </c>
    </row>
    <row r="4046" spans="1:19" ht="40">
      <c r="A4046" s="8">
        <v>43341.512835648144</v>
      </c>
      <c r="B4046" s="11" t="str">
        <f>HYPERLINK("https://twitter.com/mirza1397","@mirza1397")</f>
        <v>@mirza1397</v>
      </c>
      <c r="C4046" s="6" t="s">
        <v>3108</v>
      </c>
      <c r="D4046" s="5" t="s">
        <v>6179</v>
      </c>
      <c r="E4046" s="9" t="str">
        <f>HYPERLINK("https://twitter.com/mirza1397/status/1034709357462675456","1034709357462675456")</f>
        <v>1034709357462675456</v>
      </c>
      <c r="F4046" s="4"/>
      <c r="G4046" s="10" t="s">
        <v>6178</v>
      </c>
      <c r="H4046" s="4"/>
      <c r="I4046" s="10" t="str">
        <f>HYPERLINK("http://twitter.com","Twitter Web Client")</f>
        <v>Twitter Web Client</v>
      </c>
      <c r="J4046" s="2">
        <v>1219</v>
      </c>
      <c r="K4046" s="2">
        <v>2068</v>
      </c>
      <c r="L4046" s="2">
        <v>0</v>
      </c>
      <c r="M4046" s="2"/>
      <c r="N4046" s="8">
        <v>43185.85601851852</v>
      </c>
      <c r="O4046" s="4" t="s">
        <v>3106</v>
      </c>
      <c r="P4046" s="3" t="s">
        <v>3105</v>
      </c>
      <c r="Q4046" s="10" t="s">
        <v>3104</v>
      </c>
      <c r="R4046" s="4"/>
      <c r="S4046" s="9" t="str">
        <f>HYPERLINK("https://pbs.twimg.com/profile_images/1019621726278205441/hom6QSoe.jpg","View")</f>
        <v>View</v>
      </c>
    </row>
    <row r="4047" spans="1:19" ht="40">
      <c r="A4047" s="8">
        <v>43341.512743055559</v>
      </c>
      <c r="B4047" s="11" t="str">
        <f>HYPERLINK("https://twitter.com/Amirkabir1979","@Amirkabir1979")</f>
        <v>@Amirkabir1979</v>
      </c>
      <c r="C4047" s="6" t="s">
        <v>6177</v>
      </c>
      <c r="D4047" s="5" t="s">
        <v>6176</v>
      </c>
      <c r="E4047" s="9" t="str">
        <f>HYPERLINK("https://twitter.com/Amirkabir1979/status/1034709323107057664","1034709323107057664")</f>
        <v>1034709323107057664</v>
      </c>
      <c r="F4047" s="4"/>
      <c r="G4047" s="4"/>
      <c r="H4047" s="4"/>
      <c r="I4047" s="10" t="str">
        <f>HYPERLINK("http://twitter.com/download/android","Twitter for Android")</f>
        <v>Twitter for Android</v>
      </c>
      <c r="J4047" s="2">
        <v>438</v>
      </c>
      <c r="K4047" s="2">
        <v>377</v>
      </c>
      <c r="L4047" s="2">
        <v>0</v>
      </c>
      <c r="M4047" s="2"/>
      <c r="N4047" s="8">
        <v>43263.579675925925</v>
      </c>
      <c r="O4047" s="4"/>
      <c r="P4047" s="3" t="s">
        <v>6175</v>
      </c>
      <c r="Q4047" s="4"/>
      <c r="R4047" s="4"/>
      <c r="S4047" s="9" t="str">
        <f>HYPERLINK("https://pbs.twimg.com/profile_images/1006470220964335621/Go5Bsl6s.jpg","View")</f>
        <v>View</v>
      </c>
    </row>
    <row r="4048" spans="1:19" ht="30">
      <c r="A4048" s="8">
        <v>43341.512488425928</v>
      </c>
      <c r="B4048" s="11" t="str">
        <f>HYPERLINK("https://twitter.com/Tara_HI88","@Tara_HI88")</f>
        <v>@Tara_HI88</v>
      </c>
      <c r="C4048" s="6" t="s">
        <v>6174</v>
      </c>
      <c r="D4048" s="5" t="s">
        <v>6173</v>
      </c>
      <c r="E4048" s="9" t="str">
        <f>HYPERLINK("https://twitter.com/Tara_HI88/status/1034709233130864642","1034709233130864642")</f>
        <v>1034709233130864642</v>
      </c>
      <c r="F4048" s="4"/>
      <c r="G4048" s="4"/>
      <c r="H4048" s="4"/>
      <c r="I4048" s="10" t="str">
        <f>HYPERLINK("http://twitter.com/download/android","Twitter for Android")</f>
        <v>Twitter for Android</v>
      </c>
      <c r="J4048" s="2">
        <v>238</v>
      </c>
      <c r="K4048" s="2">
        <v>354</v>
      </c>
      <c r="L4048" s="2">
        <v>1</v>
      </c>
      <c r="M4048" s="2"/>
      <c r="N4048" s="8">
        <v>41724.392094907409</v>
      </c>
      <c r="O4048" s="4"/>
      <c r="P4048" s="3" t="s">
        <v>6172</v>
      </c>
      <c r="Q4048" s="4"/>
      <c r="R4048" s="4"/>
      <c r="S4048" s="9" t="str">
        <f>HYPERLINK("https://pbs.twimg.com/profile_images/1023818124318015488/GfOyurzh.jpg","View")</f>
        <v>View</v>
      </c>
    </row>
    <row r="4049" spans="1:19" ht="30">
      <c r="A4049" s="8">
        <v>43341.51226851852</v>
      </c>
      <c r="B4049" s="11" t="str">
        <f>HYPERLINK("https://twitter.com/dr_mahdiyar","@dr_mahdiyar")</f>
        <v>@dr_mahdiyar</v>
      </c>
      <c r="C4049" s="6" t="s">
        <v>6171</v>
      </c>
      <c r="D4049" s="5" t="s">
        <v>6170</v>
      </c>
      <c r="E4049" s="9" t="str">
        <f>HYPERLINK("https://twitter.com/dr_mahdiyar/status/1034709150834589696","1034709150834589696")</f>
        <v>1034709150834589696</v>
      </c>
      <c r="F4049" s="4"/>
      <c r="G4049" s="10" t="s">
        <v>6169</v>
      </c>
      <c r="H4049" s="4"/>
      <c r="I4049" s="10" t="str">
        <f>HYPERLINK("http://twitter.com","Twitter Web Client")</f>
        <v>Twitter Web Client</v>
      </c>
      <c r="J4049" s="2">
        <v>2355</v>
      </c>
      <c r="K4049" s="2">
        <v>1380</v>
      </c>
      <c r="L4049" s="2">
        <v>3</v>
      </c>
      <c r="M4049" s="2"/>
      <c r="N4049" s="8">
        <v>42168.716689814813</v>
      </c>
      <c r="O4049" s="4" t="s">
        <v>6168</v>
      </c>
      <c r="P4049" s="3" t="s">
        <v>6167</v>
      </c>
      <c r="Q4049" s="4"/>
      <c r="R4049" s="4"/>
      <c r="S4049" s="9" t="str">
        <f>HYPERLINK("https://pbs.twimg.com/profile_images/993139078940917767/vFVdZDMh.jpg","View")</f>
        <v>View</v>
      </c>
    </row>
    <row r="4050" spans="1:19" ht="30">
      <c r="A4050" s="8">
        <v>43341.512083333335</v>
      </c>
      <c r="B4050" s="11" t="str">
        <f>HYPERLINK("https://twitter.com/ome_vassi13","@ome_vassi13")</f>
        <v>@ome_vassi13</v>
      </c>
      <c r="C4050" s="6" t="s">
        <v>6166</v>
      </c>
      <c r="D4050" s="5" t="s">
        <v>6165</v>
      </c>
      <c r="E4050" s="9" t="str">
        <f>HYPERLINK("https://twitter.com/ome_vassi13/status/1034709084623314944","1034709084623314944")</f>
        <v>1034709084623314944</v>
      </c>
      <c r="F4050" s="10" t="s">
        <v>6164</v>
      </c>
      <c r="G4050" s="4"/>
      <c r="H4050" s="4"/>
      <c r="I4050" s="10" t="str">
        <f>HYPERLINK("http://instagram.com","Instagram")</f>
        <v>Instagram</v>
      </c>
      <c r="J4050" s="2">
        <v>349</v>
      </c>
      <c r="K4050" s="2">
        <v>828</v>
      </c>
      <c r="L4050" s="2">
        <v>0</v>
      </c>
      <c r="M4050" s="2"/>
      <c r="N4050" s="8">
        <v>42737.924756944441</v>
      </c>
      <c r="O4050" s="4" t="s">
        <v>6163</v>
      </c>
      <c r="P4050" s="3" t="s">
        <v>6162</v>
      </c>
      <c r="Q4050" s="4"/>
      <c r="R4050" s="4"/>
      <c r="S4050" s="9" t="str">
        <f>HYPERLINK("https://pbs.twimg.com/profile_images/921203946487721984/mhLeXclS.jpg","View")</f>
        <v>View</v>
      </c>
    </row>
    <row r="4051" spans="1:19" ht="40">
      <c r="A4051" s="8">
        <v>43341.510972222226</v>
      </c>
      <c r="B4051" s="11" t="str">
        <f>HYPERLINK("https://twitter.com/iribnewsFa","@iribnewsFa")</f>
        <v>@iribnewsFa</v>
      </c>
      <c r="C4051" s="6" t="s">
        <v>6161</v>
      </c>
      <c r="D4051" s="5" t="s">
        <v>6160</v>
      </c>
      <c r="E4051" s="9" t="str">
        <f>HYPERLINK("https://twitter.com/iribnewsFa/status/1034708683194806274","1034708683194806274")</f>
        <v>1034708683194806274</v>
      </c>
      <c r="F4051" s="4"/>
      <c r="G4051" s="4"/>
      <c r="H4051" s="4"/>
      <c r="I4051" s="10" t="str">
        <f>HYPERLINK("http://twitter.com","Twitter Web Client")</f>
        <v>Twitter Web Client</v>
      </c>
      <c r="J4051" s="2">
        <v>191</v>
      </c>
      <c r="K4051" s="2">
        <v>89</v>
      </c>
      <c r="L4051" s="2">
        <v>4</v>
      </c>
      <c r="M4051" s="2"/>
      <c r="N4051" s="8">
        <v>43297.475810185184</v>
      </c>
      <c r="O4051" s="4" t="s">
        <v>34</v>
      </c>
      <c r="P4051" s="3" t="s">
        <v>6159</v>
      </c>
      <c r="Q4051" s="4"/>
      <c r="R4051" s="4"/>
      <c r="S4051" s="9" t="str">
        <f>HYPERLINK("https://pbs.twimg.com/profile_images/1018766929786560512/S7nJiRM5.jpg","View")</f>
        <v>View</v>
      </c>
    </row>
    <row r="4052" spans="1:19" ht="40">
      <c r="A4052" s="8">
        <v>43341.51085648148</v>
      </c>
      <c r="B4052" s="11" t="str">
        <f>HYPERLINK("https://twitter.com/Tasnimnews_Fa","@Tasnimnews_Fa")</f>
        <v>@Tasnimnews_Fa</v>
      </c>
      <c r="C4052" s="6" t="s">
        <v>603</v>
      </c>
      <c r="D4052" s="5" t="s">
        <v>6158</v>
      </c>
      <c r="E4052" s="9" t="str">
        <f>HYPERLINK("https://twitter.com/Tasnimnews_Fa/status/1034708641587363841","1034708641587363841")</f>
        <v>1034708641587363841</v>
      </c>
      <c r="F4052" s="10" t="s">
        <v>6157</v>
      </c>
      <c r="G4052" s="10" t="s">
        <v>6156</v>
      </c>
      <c r="H4052" s="4"/>
      <c r="I4052" s="10" t="str">
        <f>HYPERLINK("http://twitter.com","Twitter Web Client")</f>
        <v>Twitter Web Client</v>
      </c>
      <c r="J4052" s="2">
        <v>109398</v>
      </c>
      <c r="K4052" s="2">
        <v>20</v>
      </c>
      <c r="L4052" s="2">
        <v>375</v>
      </c>
      <c r="M4052" s="2" t="s">
        <v>80</v>
      </c>
      <c r="N4052" s="8">
        <v>41868.671585648146</v>
      </c>
      <c r="O4052" s="4" t="s">
        <v>133</v>
      </c>
      <c r="P4052" s="3" t="s">
        <v>599</v>
      </c>
      <c r="Q4052" s="10" t="s">
        <v>598</v>
      </c>
      <c r="R4052" s="4"/>
      <c r="S4052" s="9" t="str">
        <f>HYPERLINK("https://pbs.twimg.com/profile_images/942003149430239232/hvLw_1_E.jpg","View")</f>
        <v>View</v>
      </c>
    </row>
    <row r="4053" spans="1:19" ht="40">
      <c r="A4053" s="8">
        <v>43341.510462962964</v>
      </c>
      <c r="B4053" s="11" t="str">
        <f>HYPERLINK("https://twitter.com/mohammad1908","@mohammad1908")</f>
        <v>@mohammad1908</v>
      </c>
      <c r="C4053" s="6" t="s">
        <v>2549</v>
      </c>
      <c r="D4053" s="5" t="s">
        <v>6155</v>
      </c>
      <c r="E4053" s="9" t="str">
        <f>HYPERLINK("https://twitter.com/mohammad1908/status/1034708496493637632","1034708496493637632")</f>
        <v>1034708496493637632</v>
      </c>
      <c r="F4053" s="4"/>
      <c r="G4053" s="10" t="s">
        <v>6154</v>
      </c>
      <c r="H4053" s="4"/>
      <c r="I4053" s="10" t="str">
        <f>HYPERLINK("http://twitter.com/download/iphone","Twitter for iPhone")</f>
        <v>Twitter for iPhone</v>
      </c>
      <c r="J4053" s="2">
        <v>90</v>
      </c>
      <c r="K4053" s="2">
        <v>141</v>
      </c>
      <c r="L4053" s="2">
        <v>2</v>
      </c>
      <c r="M4053" s="2"/>
      <c r="N4053" s="8">
        <v>40998.572083333333</v>
      </c>
      <c r="O4053" s="4" t="s">
        <v>34</v>
      </c>
      <c r="P4053" s="3" t="s">
        <v>2547</v>
      </c>
      <c r="Q4053" s="4"/>
      <c r="R4053" s="4"/>
      <c r="S4053" s="9" t="str">
        <f>HYPERLINK("https://pbs.twimg.com/profile_images/698054305706852353/zsvD1zJV.jpg","View")</f>
        <v>View</v>
      </c>
    </row>
    <row r="4054" spans="1:19" ht="30">
      <c r="A4054" s="8">
        <v>43341.50953703704</v>
      </c>
      <c r="B4054" s="11" t="str">
        <f>HYPERLINK("https://twitter.com/SocratesQomi","@SocratesQomi")</f>
        <v>@SocratesQomi</v>
      </c>
      <c r="C4054" s="6" t="s">
        <v>2563</v>
      </c>
      <c r="D4054" s="5" t="s">
        <v>6153</v>
      </c>
      <c r="E4054" s="9" t="str">
        <f>HYPERLINK("https://twitter.com/SocratesQomi/status/1034708161893150721","1034708161893150721")</f>
        <v>1034708161893150721</v>
      </c>
      <c r="F4054" s="4"/>
      <c r="G4054" s="4"/>
      <c r="H4054" s="4"/>
      <c r="I4054" s="10" t="str">
        <f>HYPERLINK("http://twitter.com/download/android","Twitter for Android")</f>
        <v>Twitter for Android</v>
      </c>
      <c r="J4054" s="2">
        <v>1404</v>
      </c>
      <c r="K4054" s="2">
        <v>717</v>
      </c>
      <c r="L4054" s="2">
        <v>6</v>
      </c>
      <c r="M4054" s="2"/>
      <c r="N4054" s="8">
        <v>43111.609143518523</v>
      </c>
      <c r="O4054" s="4" t="s">
        <v>2560</v>
      </c>
      <c r="P4054" s="3" t="s">
        <v>2559</v>
      </c>
      <c r="Q4054" s="10" t="s">
        <v>2558</v>
      </c>
      <c r="R4054" s="4"/>
      <c r="S4054" s="9" t="str">
        <f>HYPERLINK("https://pbs.twimg.com/profile_images/990429110685044737/AlyWGvoy.jpg","View")</f>
        <v>View</v>
      </c>
    </row>
    <row r="4055" spans="1:19" ht="20">
      <c r="A4055" s="8">
        <v>43341.508425925931</v>
      </c>
      <c r="B4055" s="11" t="str">
        <f>HYPERLINK("https://twitter.com/edward_snoowden","@edward_snoowden")</f>
        <v>@edward_snoowden</v>
      </c>
      <c r="C4055" s="6" t="s">
        <v>6152</v>
      </c>
      <c r="D4055" s="5" t="s">
        <v>6151</v>
      </c>
      <c r="E4055" s="9" t="str">
        <f>HYPERLINK("https://twitter.com/edward_snoowden/status/1034707760573759488","1034707760573759488")</f>
        <v>1034707760573759488</v>
      </c>
      <c r="F4055" s="4"/>
      <c r="G4055" s="10" t="s">
        <v>6150</v>
      </c>
      <c r="H4055" s="4"/>
      <c r="I4055" s="10" t="str">
        <f>HYPERLINK("http://twitter.com/download/android","Twitter for Android")</f>
        <v>Twitter for Android</v>
      </c>
      <c r="J4055" s="2">
        <v>44</v>
      </c>
      <c r="K4055" s="2">
        <v>106</v>
      </c>
      <c r="L4055" s="2">
        <v>0</v>
      </c>
      <c r="M4055" s="2"/>
      <c r="N4055" s="8">
        <v>43330.502106481479</v>
      </c>
      <c r="O4055" s="4"/>
      <c r="P4055" s="3" t="s">
        <v>6149</v>
      </c>
      <c r="Q4055" s="4"/>
      <c r="R4055" s="4"/>
      <c r="S4055" s="9" t="str">
        <f>HYPERLINK("https://pbs.twimg.com/profile_images/1030760313598234627/RTuB5uUw.jpg","View")</f>
        <v>View</v>
      </c>
    </row>
    <row r="4056" spans="1:19" ht="20">
      <c r="A4056" s="8">
        <v>43341.508402777778</v>
      </c>
      <c r="B4056" s="11" t="str">
        <f>HYPERLINK("https://twitter.com/Alitaheripak","@Alitaheripak")</f>
        <v>@Alitaheripak</v>
      </c>
      <c r="C4056" s="6" t="s">
        <v>5390</v>
      </c>
      <c r="D4056" s="5" t="s">
        <v>6148</v>
      </c>
      <c r="E4056" s="9" t="str">
        <f>HYPERLINK("https://twitter.com/Alitaheripak/status/1034707751941877760","1034707751941877760")</f>
        <v>1034707751941877760</v>
      </c>
      <c r="F4056" s="10" t="s">
        <v>6147</v>
      </c>
      <c r="G4056" s="4"/>
      <c r="H4056" s="4"/>
      <c r="I4056" s="10" t="str">
        <f>HYPERLINK("https://mobile.twitter.com","Twitter Lite")</f>
        <v>Twitter Lite</v>
      </c>
      <c r="J4056" s="2">
        <v>1674</v>
      </c>
      <c r="K4056" s="2">
        <v>1655</v>
      </c>
      <c r="L4056" s="2">
        <v>2</v>
      </c>
      <c r="M4056" s="2"/>
      <c r="N4056" s="8">
        <v>43085.646944444445</v>
      </c>
      <c r="O4056" s="4" t="s">
        <v>5388</v>
      </c>
      <c r="P4056" s="3"/>
      <c r="Q4056" s="4"/>
      <c r="R4056" s="4"/>
      <c r="S4056" s="9" t="str">
        <f>HYPERLINK("https://pbs.twimg.com/profile_images/942673249711935488/s3W6LBul.jpg","View")</f>
        <v>View</v>
      </c>
    </row>
    <row r="4057" spans="1:19" ht="70">
      <c r="A4057" s="8">
        <v>43341.508379629631</v>
      </c>
      <c r="B4057" s="11" t="str">
        <f>HYPERLINK("https://twitter.com/davoodi_es","@davoodi_es")</f>
        <v>@davoodi_es</v>
      </c>
      <c r="C4057" s="6" t="s">
        <v>6146</v>
      </c>
      <c r="D4057" s="5" t="s">
        <v>6145</v>
      </c>
      <c r="E4057" s="9" t="str">
        <f>HYPERLINK("https://twitter.com/davoodi_es/status/1034707743117127680","1034707743117127680")</f>
        <v>1034707743117127680</v>
      </c>
      <c r="F4057" s="10" t="s">
        <v>6144</v>
      </c>
      <c r="G4057" s="10" t="s">
        <v>1756</v>
      </c>
      <c r="H4057" s="4"/>
      <c r="I4057" s="10" t="str">
        <f>HYPERLINK("http://twitter.com","Twitter Web Client")</f>
        <v>Twitter Web Client</v>
      </c>
      <c r="J4057" s="2">
        <v>135</v>
      </c>
      <c r="K4057" s="2">
        <v>175</v>
      </c>
      <c r="L4057" s="2">
        <v>1</v>
      </c>
      <c r="M4057" s="2"/>
      <c r="N4057" s="8">
        <v>42819.065462962964</v>
      </c>
      <c r="O4057" s="4" t="s">
        <v>3893</v>
      </c>
      <c r="P4057" s="3" t="s">
        <v>6143</v>
      </c>
      <c r="Q4057" s="4"/>
      <c r="R4057" s="4"/>
      <c r="S4057" s="9" t="str">
        <f>HYPERLINK("https://pbs.twimg.com/profile_images/1018042551931039744/Y0R3mhW2.jpg","View")</f>
        <v>View</v>
      </c>
    </row>
    <row r="4058" spans="1:19" ht="12.5">
      <c r="A4058" s="8">
        <v>43341.507407407407</v>
      </c>
      <c r="B4058" s="11" t="str">
        <f>HYPERLINK("https://twitter.com/yVA4ATUfdofr2xS","@yVA4ATUfdofr2xS")</f>
        <v>@yVA4ATUfdofr2xS</v>
      </c>
      <c r="C4058" s="6" t="s">
        <v>27</v>
      </c>
      <c r="D4058" s="5" t="s">
        <v>6142</v>
      </c>
      <c r="E4058" s="9" t="str">
        <f>HYPERLINK("https://twitter.com/yVA4ATUfdofr2xS/status/1034707391516880896","1034707391516880896")</f>
        <v>1034707391516880896</v>
      </c>
      <c r="F4058" s="4"/>
      <c r="G4058" s="10" t="s">
        <v>6141</v>
      </c>
      <c r="H4058" s="4"/>
      <c r="I4058" s="10" t="str">
        <f>HYPERLINK("http://twitter.com","Twitter Web Client")</f>
        <v>Twitter Web Client</v>
      </c>
      <c r="J4058" s="2">
        <v>142</v>
      </c>
      <c r="K4058" s="2">
        <v>238</v>
      </c>
      <c r="L4058" s="2">
        <v>0</v>
      </c>
      <c r="M4058" s="2"/>
      <c r="N4058" s="8">
        <v>43323.438252314816</v>
      </c>
      <c r="O4058" s="4" t="s">
        <v>25</v>
      </c>
      <c r="P4058" s="3" t="s">
        <v>24</v>
      </c>
      <c r="Q4058" s="4"/>
      <c r="R4058" s="4"/>
      <c r="S4058" s="9" t="str">
        <f>HYPERLINK("https://pbs.twimg.com/profile_images/1028178183206498305/b7usXKsw.jpg","View")</f>
        <v>View</v>
      </c>
    </row>
    <row r="4059" spans="1:19" ht="30">
      <c r="A4059" s="8">
        <v>43341.507349537038</v>
      </c>
      <c r="B4059" s="11" t="str">
        <f>HYPERLINK("https://twitter.com/SajjadShool","@SajjadShool")</f>
        <v>@SajjadShool</v>
      </c>
      <c r="C4059" s="6" t="s">
        <v>6140</v>
      </c>
      <c r="D4059" s="5" t="s">
        <v>6139</v>
      </c>
      <c r="E4059" s="9" t="str">
        <f>HYPERLINK("https://twitter.com/SajjadShool/status/1034707367504400385","1034707367504400385")</f>
        <v>1034707367504400385</v>
      </c>
      <c r="F4059" s="4"/>
      <c r="G4059" s="4"/>
      <c r="H4059" s="4"/>
      <c r="I4059" s="10" t="str">
        <f>HYPERLINK("http://twitter.com/download/android","Twitter for Android")</f>
        <v>Twitter for Android</v>
      </c>
      <c r="J4059" s="2">
        <v>73</v>
      </c>
      <c r="K4059" s="2">
        <v>78</v>
      </c>
      <c r="L4059" s="2">
        <v>0</v>
      </c>
      <c r="M4059" s="2"/>
      <c r="N4059" s="8">
        <v>42702.729027777779</v>
      </c>
      <c r="O4059" s="4"/>
      <c r="P4059" s="3" t="s">
        <v>6138</v>
      </c>
      <c r="Q4059" s="4"/>
      <c r="R4059" s="4"/>
      <c r="S4059" s="9" t="str">
        <f>HYPERLINK("https://pbs.twimg.com/profile_images/1013424421615349764/9xRQjtp8.jpg","View")</f>
        <v>View</v>
      </c>
    </row>
    <row r="4060" spans="1:19" ht="30">
      <c r="A4060" s="8">
        <v>43341.506886574076</v>
      </c>
      <c r="B4060" s="11" t="str">
        <f>HYPERLINK("https://twitter.com/siamakfarid","@siamakfarid")</f>
        <v>@siamakfarid</v>
      </c>
      <c r="C4060" s="6" t="s">
        <v>5115</v>
      </c>
      <c r="D4060" s="5" t="s">
        <v>6137</v>
      </c>
      <c r="E4060" s="9" t="str">
        <f>HYPERLINK("https://twitter.com/siamakfarid/status/1034707201091399680","1034707201091399680")</f>
        <v>1034707201091399680</v>
      </c>
      <c r="F4060" s="4"/>
      <c r="G4060" s="10" t="s">
        <v>6136</v>
      </c>
      <c r="H4060" s="4"/>
      <c r="I4060" s="10" t="str">
        <f>HYPERLINK("http://twitter.com/download/iphone","Twitter for iPhone")</f>
        <v>Twitter for iPhone</v>
      </c>
      <c r="J4060" s="2">
        <v>133</v>
      </c>
      <c r="K4060" s="2">
        <v>260</v>
      </c>
      <c r="L4060" s="2">
        <v>0</v>
      </c>
      <c r="M4060" s="2"/>
      <c r="N4060" s="8">
        <v>41726.132060185184</v>
      </c>
      <c r="O4060" s="4" t="s">
        <v>5113</v>
      </c>
      <c r="P4060" s="3" t="s">
        <v>5112</v>
      </c>
      <c r="Q4060" s="4"/>
      <c r="R4060" s="4"/>
      <c r="S4060" s="9" t="str">
        <f>HYPERLINK("https://pbs.twimg.com/profile_images/1033605273607438336/r_nHwI8s.jpg","View")</f>
        <v>View</v>
      </c>
    </row>
    <row r="4061" spans="1:19" ht="20">
      <c r="A4061" s="8">
        <v>43341.506840277776</v>
      </c>
      <c r="B4061" s="11" t="str">
        <f>HYPERLINK("https://twitter.com/Entekhab_News","@Entekhab_News")</f>
        <v>@Entekhab_News</v>
      </c>
      <c r="C4061" s="6" t="s">
        <v>519</v>
      </c>
      <c r="D4061" s="5" t="s">
        <v>6135</v>
      </c>
      <c r="E4061" s="9" t="str">
        <f>HYPERLINK("https://twitter.com/Entekhab_News/status/1034707183232053248","1034707183232053248")</f>
        <v>1034707183232053248</v>
      </c>
      <c r="F4061" s="4"/>
      <c r="G4061" s="10" t="s">
        <v>6134</v>
      </c>
      <c r="H4061" s="4"/>
      <c r="I4061" s="10" t="str">
        <f>HYPERLINK("http://twitter.com/download/android","Twitter for Android")</f>
        <v>Twitter for Android</v>
      </c>
      <c r="J4061" s="2">
        <v>16188</v>
      </c>
      <c r="K4061" s="2">
        <v>0</v>
      </c>
      <c r="L4061" s="2">
        <v>153</v>
      </c>
      <c r="M4061" s="2"/>
      <c r="N4061" s="8">
        <v>41846.90483796296</v>
      </c>
      <c r="O4061" s="4" t="s">
        <v>244</v>
      </c>
      <c r="P4061" s="3" t="s">
        <v>517</v>
      </c>
      <c r="Q4061" s="10" t="s">
        <v>516</v>
      </c>
      <c r="R4061" s="4"/>
      <c r="S4061" s="9" t="str">
        <f>HYPERLINK("https://pbs.twimg.com/profile_images/840302676332146689/objFI1sw.jpg","View")</f>
        <v>View</v>
      </c>
    </row>
    <row r="4062" spans="1:19" ht="40">
      <c r="A4062" s="8">
        <v>43341.506597222222</v>
      </c>
      <c r="B4062" s="11" t="str">
        <f>HYPERLINK("https://twitter.com/fuckiing_dead","@fuckiing_dead")</f>
        <v>@fuckiing_dead</v>
      </c>
      <c r="C4062" s="6" t="s">
        <v>6133</v>
      </c>
      <c r="D4062" s="5" t="s">
        <v>6132</v>
      </c>
      <c r="E4062" s="9" t="str">
        <f>HYPERLINK("https://twitter.com/fuckiing_dead/status/1034707097827598336","1034707097827598336")</f>
        <v>1034707097827598336</v>
      </c>
      <c r="F4062" s="4"/>
      <c r="G4062" s="4"/>
      <c r="H4062" s="4"/>
      <c r="I4062" s="10" t="str">
        <f>HYPERLINK("http://twitter.com/download/android","Twitter for Android")</f>
        <v>Twitter for Android</v>
      </c>
      <c r="J4062" s="2">
        <v>40</v>
      </c>
      <c r="K4062" s="2">
        <v>240</v>
      </c>
      <c r="L4062" s="2">
        <v>0</v>
      </c>
      <c r="M4062" s="2"/>
      <c r="N4062" s="8">
        <v>43287.120624999996</v>
      </c>
      <c r="O4062" s="4" t="s">
        <v>145</v>
      </c>
      <c r="P4062" s="3" t="s">
        <v>6131</v>
      </c>
      <c r="Q4062" s="4"/>
      <c r="R4062" s="4"/>
      <c r="S4062" s="9" t="str">
        <f>HYPERLINK("https://pbs.twimg.com/profile_images/1023068683365752832/z2RIz5Wj.jpg","View")</f>
        <v>View</v>
      </c>
    </row>
    <row r="4063" spans="1:19" ht="30">
      <c r="A4063" s="8">
        <v>43341.503530092596</v>
      </c>
      <c r="B4063" s="11" t="str">
        <f>HYPERLINK("https://twitter.com/Mbt1397","@Mbt1397")</f>
        <v>@Mbt1397</v>
      </c>
      <c r="C4063" s="6" t="s">
        <v>6130</v>
      </c>
      <c r="D4063" s="5" t="s">
        <v>6129</v>
      </c>
      <c r="E4063" s="9" t="str">
        <f>HYPERLINK("https://twitter.com/Mbt1397/status/1034705984885858304","1034705984885858304")</f>
        <v>1034705984885858304</v>
      </c>
      <c r="F4063" s="4"/>
      <c r="G4063" s="10" t="s">
        <v>6128</v>
      </c>
      <c r="H4063" s="4"/>
      <c r="I4063" s="10" t="str">
        <f>HYPERLINK("http://twitter.com","Twitter Web Client")</f>
        <v>Twitter Web Client</v>
      </c>
      <c r="J4063" s="2">
        <v>373</v>
      </c>
      <c r="K4063" s="2">
        <v>2125</v>
      </c>
      <c r="L4063" s="2">
        <v>1</v>
      </c>
      <c r="M4063" s="2"/>
      <c r="N4063" s="8">
        <v>43236.447615740741</v>
      </c>
      <c r="O4063" s="4"/>
      <c r="P4063" s="3" t="s">
        <v>6127</v>
      </c>
      <c r="Q4063" s="4"/>
      <c r="R4063" s="4"/>
      <c r="S4063" s="9" t="str">
        <f>HYPERLINK("https://pbs.twimg.com/profile_images/1029968548280578048/U7o9geK0.jpg","View")</f>
        <v>View</v>
      </c>
    </row>
    <row r="4064" spans="1:19" ht="20">
      <c r="A4064" s="8">
        <v>43341.50277777778</v>
      </c>
      <c r="B4064" s="11" t="str">
        <f>HYPERLINK("https://twitter.com/Roozbeh_rm","@Roozbeh_rm")</f>
        <v>@Roozbeh_rm</v>
      </c>
      <c r="C4064" s="6" t="s">
        <v>1234</v>
      </c>
      <c r="D4064" s="5" t="s">
        <v>6126</v>
      </c>
      <c r="E4064" s="9" t="str">
        <f>HYPERLINK("https://twitter.com/Roozbeh_rm/status/1034705710943219713","1034705710943219713")</f>
        <v>1034705710943219713</v>
      </c>
      <c r="F4064" s="4"/>
      <c r="G4064" s="10" t="s">
        <v>6125</v>
      </c>
      <c r="H4064" s="4"/>
      <c r="I4064" s="10" t="str">
        <f>HYPERLINK("http://twitter.com/download/android","Twitter for Android")</f>
        <v>Twitter for Android</v>
      </c>
      <c r="J4064" s="2">
        <v>126</v>
      </c>
      <c r="K4064" s="2">
        <v>306</v>
      </c>
      <c r="L4064" s="2">
        <v>0</v>
      </c>
      <c r="M4064" s="2"/>
      <c r="N4064" s="8">
        <v>43262.722303240742</v>
      </c>
      <c r="O4064" s="4" t="s">
        <v>1231</v>
      </c>
      <c r="P4064" s="3" t="s">
        <v>1230</v>
      </c>
      <c r="Q4064" s="4"/>
      <c r="R4064" s="4"/>
      <c r="S4064" s="9" t="str">
        <f>HYPERLINK("https://pbs.twimg.com/profile_images/1033619312983121920/KDHQxmMu.jpg","View")</f>
        <v>View</v>
      </c>
    </row>
    <row r="4065" spans="1:19" ht="40">
      <c r="A4065" s="8">
        <v>43341.50209490741</v>
      </c>
      <c r="B4065" s="11" t="str">
        <f>HYPERLINK("https://twitter.com/pouriazeraati","@pouriazeraati")</f>
        <v>@pouriazeraati</v>
      </c>
      <c r="C4065" s="6" t="s">
        <v>462</v>
      </c>
      <c r="D4065" s="5" t="s">
        <v>6124</v>
      </c>
      <c r="E4065" s="9" t="str">
        <f>HYPERLINK("https://twitter.com/pouriazeraati/status/1034705467145109504","1034705467145109504")</f>
        <v>1034705467145109504</v>
      </c>
      <c r="F4065" s="4"/>
      <c r="G4065" s="10" t="s">
        <v>6123</v>
      </c>
      <c r="H4065" s="4"/>
      <c r="I4065" s="10" t="str">
        <f>HYPERLINK("http://twitter.com/download/iphone","Twitter for iPhone")</f>
        <v>Twitter for iPhone</v>
      </c>
      <c r="J4065" s="2">
        <v>40834</v>
      </c>
      <c r="K4065" s="2">
        <v>96</v>
      </c>
      <c r="L4065" s="2">
        <v>111</v>
      </c>
      <c r="M4065" s="2" t="s">
        <v>80</v>
      </c>
      <c r="N4065" s="8">
        <v>41400.92423611111</v>
      </c>
      <c r="O4065" s="4" t="s">
        <v>460</v>
      </c>
      <c r="P4065" s="3" t="s">
        <v>459</v>
      </c>
      <c r="Q4065" s="10" t="s">
        <v>458</v>
      </c>
      <c r="R4065" s="4"/>
      <c r="S4065" s="9" t="str">
        <f>HYPERLINK("https://pbs.twimg.com/profile_images/960258469214523394/ngAPQ1IU.jpg","View")</f>
        <v>View</v>
      </c>
    </row>
    <row r="4066" spans="1:19" ht="40">
      <c r="A4066" s="8">
        <v>43341.501134259262</v>
      </c>
      <c r="B4066" s="11" t="str">
        <f>HYPERLINK("https://twitter.com/Mrhashemiaj","@Mrhashemiaj")</f>
        <v>@Mrhashemiaj</v>
      </c>
      <c r="C4066" s="6" t="s">
        <v>4911</v>
      </c>
      <c r="D4066" s="5" t="s">
        <v>6122</v>
      </c>
      <c r="E4066" s="9" t="str">
        <f>HYPERLINK("https://twitter.com/Mrhashemiaj/status/1034705119319875584","1034705119319875584")</f>
        <v>1034705119319875584</v>
      </c>
      <c r="F4066" s="4"/>
      <c r="G4066" s="4"/>
      <c r="H4066" s="4"/>
      <c r="I4066" s="10" t="str">
        <f>HYPERLINK("http://twitter.com/download/iphone","Twitter for iPhone")</f>
        <v>Twitter for iPhone</v>
      </c>
      <c r="J4066" s="2">
        <v>487</v>
      </c>
      <c r="K4066" s="2">
        <v>308</v>
      </c>
      <c r="L4066" s="2">
        <v>3</v>
      </c>
      <c r="M4066" s="2"/>
      <c r="N4066" s="8">
        <v>42787.385393518518</v>
      </c>
      <c r="O4066" s="4" t="s">
        <v>34</v>
      </c>
      <c r="P4066" s="3" t="s">
        <v>4908</v>
      </c>
      <c r="Q4066" s="4"/>
      <c r="R4066" s="4"/>
      <c r="S4066" s="9" t="str">
        <f>HYPERLINK("https://pbs.twimg.com/profile_images/1030852476076007424/KBxcReFx.jpg","View")</f>
        <v>View</v>
      </c>
    </row>
    <row r="4067" spans="1:19" ht="20">
      <c r="A4067" s="8">
        <v>43341.500648148147</v>
      </c>
      <c r="B4067" s="11" t="str">
        <f>HYPERLINK("https://twitter.com/borkhesdog","@borkhesdog")</f>
        <v>@borkhesdog</v>
      </c>
      <c r="C4067" s="6" t="s">
        <v>6121</v>
      </c>
      <c r="D4067" s="5" t="s">
        <v>6120</v>
      </c>
      <c r="E4067" s="9" t="str">
        <f>HYPERLINK("https://twitter.com/borkhesdog/status/1034704940537659392","1034704940537659392")</f>
        <v>1034704940537659392</v>
      </c>
      <c r="F4067" s="4"/>
      <c r="G4067" s="4"/>
      <c r="H4067" s="4"/>
      <c r="I4067" s="10" t="str">
        <f>HYPERLINK("http://twitter.com/download/iphone","Twitter for iPhone")</f>
        <v>Twitter for iPhone</v>
      </c>
      <c r="J4067" s="2">
        <v>15</v>
      </c>
      <c r="K4067" s="2">
        <v>16</v>
      </c>
      <c r="L4067" s="2">
        <v>0</v>
      </c>
      <c r="M4067" s="2"/>
      <c r="N4067" s="8">
        <v>43236.9918287037</v>
      </c>
      <c r="O4067" s="4"/>
      <c r="P4067" s="3"/>
      <c r="Q4067" s="4"/>
      <c r="R4067" s="4"/>
      <c r="S4067" s="9" t="str">
        <f>HYPERLINK("https://pbs.twimg.com/profile_images/996835687319076864/zIu4W9-_.jpg","View")</f>
        <v>View</v>
      </c>
    </row>
    <row r="4068" spans="1:19" ht="40">
      <c r="A4068" s="8">
        <v>43341.499976851846</v>
      </c>
      <c r="B4068" s="11" t="str">
        <f>HYPERLINK("https://twitter.com/ShabnamNezami","@ShabnamNezami")</f>
        <v>@ShabnamNezami</v>
      </c>
      <c r="C4068" s="6" t="s">
        <v>6119</v>
      </c>
      <c r="D4068" s="5" t="s">
        <v>6118</v>
      </c>
      <c r="E4068" s="9" t="str">
        <f>HYPERLINK("https://twitter.com/ShabnamNezami/status/1034704699230957568","1034704699230957568")</f>
        <v>1034704699230957568</v>
      </c>
      <c r="F4068" s="4"/>
      <c r="G4068" s="4"/>
      <c r="H4068" s="4"/>
      <c r="I4068" s="10" t="str">
        <f>HYPERLINK("http://twitter.com/download/android","Twitter for Android")</f>
        <v>Twitter for Android</v>
      </c>
      <c r="J4068" s="2">
        <v>1061</v>
      </c>
      <c r="K4068" s="2">
        <v>191</v>
      </c>
      <c r="L4068" s="2">
        <v>1</v>
      </c>
      <c r="M4068" s="2"/>
      <c r="N4068" s="8">
        <v>42610.730243055557</v>
      </c>
      <c r="O4068" s="4" t="s">
        <v>17</v>
      </c>
      <c r="P4068" s="3" t="s">
        <v>6117</v>
      </c>
      <c r="Q4068" s="4"/>
      <c r="R4068" s="4"/>
      <c r="S4068" s="9" t="str">
        <f>HYPERLINK("https://pbs.twimg.com/profile_images/1018719133628862465/E-YqBlTu.jpg","View")</f>
        <v>View</v>
      </c>
    </row>
    <row r="4069" spans="1:19" ht="40">
      <c r="A4069" s="8">
        <v>43341.498749999999</v>
      </c>
      <c r="B4069" s="11" t="str">
        <f>HYPERLINK("https://twitter.com/sadreddin1995","@sadreddin1995")</f>
        <v>@sadreddin1995</v>
      </c>
      <c r="C4069" s="6" t="s">
        <v>6116</v>
      </c>
      <c r="D4069" s="5" t="s">
        <v>6115</v>
      </c>
      <c r="E4069" s="9" t="str">
        <f>HYPERLINK("https://twitter.com/sadreddin1995/status/1034704252999032832","1034704252999032832")</f>
        <v>1034704252999032832</v>
      </c>
      <c r="F4069" s="4"/>
      <c r="G4069" s="4"/>
      <c r="H4069" s="4"/>
      <c r="I4069" s="10" t="str">
        <f>HYPERLINK("http://twitter.com/download/android","Twitter for Android")</f>
        <v>Twitter for Android</v>
      </c>
      <c r="J4069" s="2">
        <v>944</v>
      </c>
      <c r="K4069" s="2">
        <v>1061</v>
      </c>
      <c r="L4069" s="2">
        <v>1</v>
      </c>
      <c r="M4069" s="2"/>
      <c r="N4069" s="8">
        <v>42609.901261574079</v>
      </c>
      <c r="O4069" s="4" t="s">
        <v>34</v>
      </c>
      <c r="P4069" s="3" t="s">
        <v>6114</v>
      </c>
      <c r="Q4069" s="4"/>
      <c r="R4069" s="4"/>
      <c r="S4069" s="9" t="str">
        <f>HYPERLINK("https://pbs.twimg.com/profile_images/881525514237857793/DtawRsL3.jpg","View")</f>
        <v>View</v>
      </c>
    </row>
    <row r="4070" spans="1:19" ht="30">
      <c r="A4070" s="8">
        <v>43341.498599537037</v>
      </c>
      <c r="B4070" s="11" t="str">
        <f>HYPERLINK("https://twitter.com/Eranico_com","@Eranico_com")</f>
        <v>@Eranico_com</v>
      </c>
      <c r="C4070" s="6" t="s">
        <v>6113</v>
      </c>
      <c r="D4070" s="5" t="s">
        <v>6112</v>
      </c>
      <c r="E4070" s="9" t="str">
        <f>HYPERLINK("https://twitter.com/Eranico_com/status/1034704199152353281","1034704199152353281")</f>
        <v>1034704199152353281</v>
      </c>
      <c r="F4070" s="4"/>
      <c r="G4070" s="10" t="s">
        <v>6111</v>
      </c>
      <c r="H4070" s="4"/>
      <c r="I4070" s="10" t="str">
        <f>HYPERLINK("https://about.twitter.com/products/tweetdeck","TweetDeck")</f>
        <v>TweetDeck</v>
      </c>
      <c r="J4070" s="2">
        <v>7500</v>
      </c>
      <c r="K4070" s="2">
        <v>103</v>
      </c>
      <c r="L4070" s="2">
        <v>122</v>
      </c>
      <c r="M4070" s="2"/>
      <c r="N4070" s="8">
        <v>41771.456817129627</v>
      </c>
      <c r="O4070" s="4" t="s">
        <v>894</v>
      </c>
      <c r="P4070" s="3" t="s">
        <v>6110</v>
      </c>
      <c r="Q4070" s="10" t="s">
        <v>6109</v>
      </c>
      <c r="R4070" s="4"/>
      <c r="S4070" s="9" t="str">
        <f>HYPERLINK("https://pbs.twimg.com/profile_images/932620790100647936/TOsgkBi2.jpg","View")</f>
        <v>View</v>
      </c>
    </row>
    <row r="4071" spans="1:19" ht="60">
      <c r="A4071" s="8">
        <v>43341.497557870374</v>
      </c>
      <c r="B4071" s="11" t="str">
        <f>HYPERLINK("https://twitter.com/yVA4ATUfdofr2xS","@yVA4ATUfdofr2xS")</f>
        <v>@yVA4ATUfdofr2xS</v>
      </c>
      <c r="C4071" s="6" t="s">
        <v>27</v>
      </c>
      <c r="D4071" s="5" t="s">
        <v>6108</v>
      </c>
      <c r="E4071" s="9" t="str">
        <f>HYPERLINK("https://twitter.com/yVA4ATUfdofr2xS/status/1034703822596190209","1034703822596190209")</f>
        <v>1034703822596190209</v>
      </c>
      <c r="F4071" s="10" t="s">
        <v>6107</v>
      </c>
      <c r="G4071" s="4"/>
      <c r="H4071" s="4"/>
      <c r="I4071" s="10" t="str">
        <f>HYPERLINK("http://twitter.com","Twitter Web Client")</f>
        <v>Twitter Web Client</v>
      </c>
      <c r="J4071" s="2">
        <v>142</v>
      </c>
      <c r="K4071" s="2">
        <v>238</v>
      </c>
      <c r="L4071" s="2">
        <v>0</v>
      </c>
      <c r="M4071" s="2"/>
      <c r="N4071" s="8">
        <v>43323.438252314816</v>
      </c>
      <c r="O4071" s="4" t="s">
        <v>25</v>
      </c>
      <c r="P4071" s="3" t="s">
        <v>24</v>
      </c>
      <c r="Q4071" s="4"/>
      <c r="R4071" s="4"/>
      <c r="S4071" s="9" t="str">
        <f>HYPERLINK("https://pbs.twimg.com/profile_images/1028178183206498305/b7usXKsw.jpg","View")</f>
        <v>View</v>
      </c>
    </row>
    <row r="4072" spans="1:19" ht="50">
      <c r="A4072" s="8">
        <v>43341.497233796297</v>
      </c>
      <c r="B4072" s="11" t="str">
        <f>HYPERLINK("https://twitter.com/hany_troy","@hany_troy")</f>
        <v>@hany_troy</v>
      </c>
      <c r="C4072" s="6" t="s">
        <v>6106</v>
      </c>
      <c r="D4072" s="5" t="s">
        <v>6105</v>
      </c>
      <c r="E4072" s="9" t="str">
        <f>HYPERLINK("https://twitter.com/hany_troy/status/1034703702777638912","1034703702777638912")</f>
        <v>1034703702777638912</v>
      </c>
      <c r="F4072" s="4"/>
      <c r="G4072" s="4"/>
      <c r="H4072" s="4"/>
      <c r="I4072" s="10" t="str">
        <f>HYPERLINK("http://twitter.com/download/iphone","Twitter for iPhone")</f>
        <v>Twitter for iPhone</v>
      </c>
      <c r="J4072" s="2">
        <v>110</v>
      </c>
      <c r="K4072" s="2">
        <v>1852</v>
      </c>
      <c r="L4072" s="2">
        <v>0</v>
      </c>
      <c r="M4072" s="2"/>
      <c r="N4072" s="8">
        <v>43251.618877314817</v>
      </c>
      <c r="O4072" s="4" t="s">
        <v>34</v>
      </c>
      <c r="P4072" s="3" t="s">
        <v>6104</v>
      </c>
      <c r="Q4072" s="4"/>
      <c r="R4072" s="4"/>
      <c r="S4072" s="9" t="str">
        <f>HYPERLINK("https://pbs.twimg.com/profile_images/1030565836501786629/_EGkljMj.jpg","View")</f>
        <v>View</v>
      </c>
    </row>
    <row r="4073" spans="1:19" ht="30">
      <c r="A4073" s="8">
        <v>43341.496388888889</v>
      </c>
      <c r="B4073" s="11" t="str">
        <f>HYPERLINK("https://twitter.com/meysamsaaedi","@meysamsaaedi")</f>
        <v>@meysamsaaedi</v>
      </c>
      <c r="C4073" s="6" t="s">
        <v>6103</v>
      </c>
      <c r="D4073" s="5" t="s">
        <v>6102</v>
      </c>
      <c r="E4073" s="9" t="str">
        <f>HYPERLINK("https://twitter.com/meysamsaaedi/status/1034703396907954176","1034703396907954176")</f>
        <v>1034703396907954176</v>
      </c>
      <c r="F4073" s="4"/>
      <c r="G4073" s="4"/>
      <c r="H4073" s="4"/>
      <c r="I4073" s="10" t="str">
        <f>HYPERLINK("http://twitter.com/download/iphone","Twitter for iPhone")</f>
        <v>Twitter for iPhone</v>
      </c>
      <c r="J4073" s="2">
        <v>629</v>
      </c>
      <c r="K4073" s="2">
        <v>513</v>
      </c>
      <c r="L4073" s="2">
        <v>1</v>
      </c>
      <c r="M4073" s="2"/>
      <c r="N4073" s="8">
        <v>43214.727488425924</v>
      </c>
      <c r="O4073" s="4" t="s">
        <v>34</v>
      </c>
      <c r="P4073" s="3"/>
      <c r="Q4073" s="4"/>
      <c r="R4073" s="4"/>
      <c r="S4073" s="9" t="str">
        <f>HYPERLINK("https://pbs.twimg.com/profile_images/997481549778927616/C5gWF06K.jpg","View")</f>
        <v>View</v>
      </c>
    </row>
    <row r="4074" spans="1:19" ht="12.5">
      <c r="A4074" s="8">
        <v>43341.495370370365</v>
      </c>
      <c r="B4074" s="11" t="str">
        <f>HYPERLINK("https://twitter.com/MasoudRezaei_","@MasoudRezaei_")</f>
        <v>@MasoudRezaei_</v>
      </c>
      <c r="C4074" s="6" t="s">
        <v>6101</v>
      </c>
      <c r="D4074" s="5" t="s">
        <v>6100</v>
      </c>
      <c r="E4074" s="9" t="str">
        <f>HYPERLINK("https://twitter.com/MasoudRezaei_/status/1034703030241775617","1034703030241775617")</f>
        <v>1034703030241775617</v>
      </c>
      <c r="F4074" s="4"/>
      <c r="G4074" s="4"/>
      <c r="H4074" s="4"/>
      <c r="I4074" s="10" t="str">
        <f>HYPERLINK("http://twitter.com/download/iphone","Twitter for iPhone")</f>
        <v>Twitter for iPhone</v>
      </c>
      <c r="J4074" s="2">
        <v>7</v>
      </c>
      <c r="K4074" s="2">
        <v>30</v>
      </c>
      <c r="L4074" s="2">
        <v>0</v>
      </c>
      <c r="M4074" s="2"/>
      <c r="N4074" s="8">
        <v>43060.105578703704</v>
      </c>
      <c r="O4074" s="4" t="s">
        <v>6099</v>
      </c>
      <c r="P4074" s="3" t="s">
        <v>6098</v>
      </c>
      <c r="Q4074" s="4"/>
      <c r="R4074" s="4"/>
      <c r="S4074" s="9" t="str">
        <f>HYPERLINK("https://pbs.twimg.com/profile_images/1001700893740425221/ikEZWTvK.jpg","View")</f>
        <v>View</v>
      </c>
    </row>
    <row r="4075" spans="1:19" ht="20">
      <c r="A4075" s="8">
        <v>43341.49490740741</v>
      </c>
      <c r="B4075" s="11" t="str">
        <f>HYPERLINK("https://twitter.com/Zahra_Zarei74","@Zahra_Zarei74")</f>
        <v>@Zahra_Zarei74</v>
      </c>
      <c r="C4075" s="6" t="s">
        <v>6097</v>
      </c>
      <c r="D4075" s="5" t="s">
        <v>6096</v>
      </c>
      <c r="E4075" s="9" t="str">
        <f>HYPERLINK("https://twitter.com/Zahra_Zarei74/status/1034702859110109184","1034702859110109184")</f>
        <v>1034702859110109184</v>
      </c>
      <c r="F4075" s="4"/>
      <c r="G4075" s="4"/>
      <c r="H4075" s="4"/>
      <c r="I4075" s="10" t="str">
        <f>HYPERLINK("http://twitter.com/download/android","Twitter for Android")</f>
        <v>Twitter for Android</v>
      </c>
      <c r="J4075" s="2">
        <v>1629</v>
      </c>
      <c r="K4075" s="2">
        <v>1051</v>
      </c>
      <c r="L4075" s="2">
        <v>6</v>
      </c>
      <c r="M4075" s="2"/>
      <c r="N4075" s="8">
        <v>42915.919560185182</v>
      </c>
      <c r="O4075" s="4" t="s">
        <v>34</v>
      </c>
      <c r="P4075" s="3" t="s">
        <v>6095</v>
      </c>
      <c r="Q4075" s="4"/>
      <c r="R4075" s="4"/>
      <c r="S4075" s="9" t="str">
        <f>HYPERLINK("https://pbs.twimg.com/profile_images/947418069198082048/vQHjb5fw.jpg","View")</f>
        <v>View</v>
      </c>
    </row>
    <row r="4076" spans="1:19" ht="20">
      <c r="A4076" s="8">
        <v>43341.494525462964</v>
      </c>
      <c r="B4076" s="11" t="str">
        <f>HYPERLINK("https://twitter.com/miladfadai","@miladfadai")</f>
        <v>@miladfadai</v>
      </c>
      <c r="C4076" s="6" t="s">
        <v>6094</v>
      </c>
      <c r="D4076" s="5" t="s">
        <v>6093</v>
      </c>
      <c r="E4076" s="9" t="str">
        <f>HYPERLINK("https://twitter.com/miladfadai/status/1034702724007219200","1034702724007219200")</f>
        <v>1034702724007219200</v>
      </c>
      <c r="F4076" s="4"/>
      <c r="G4076" s="4"/>
      <c r="H4076" s="4"/>
      <c r="I4076" s="10" t="str">
        <f>HYPERLINK("http://twitter.com/download/android","Twitter for Android")</f>
        <v>Twitter for Android</v>
      </c>
      <c r="J4076" s="2">
        <v>3154</v>
      </c>
      <c r="K4076" s="2">
        <v>523</v>
      </c>
      <c r="L4076" s="2">
        <v>33</v>
      </c>
      <c r="M4076" s="2"/>
      <c r="N4076" s="8">
        <v>40630.804664351854</v>
      </c>
      <c r="O4076" s="4" t="s">
        <v>133</v>
      </c>
      <c r="P4076" s="3" t="s">
        <v>6092</v>
      </c>
      <c r="Q4076" s="10" t="s">
        <v>6091</v>
      </c>
      <c r="R4076" s="4"/>
      <c r="S4076" s="9" t="str">
        <f>HYPERLINK("https://pbs.twimg.com/profile_images/985257996543561729/h_vWdFsw.jpg","View")</f>
        <v>View</v>
      </c>
    </row>
    <row r="4077" spans="1:19" ht="20">
      <c r="A4077" s="8">
        <v>43341.494004629625</v>
      </c>
      <c r="B4077" s="11" t="str">
        <f>HYPERLINK("https://twitter.com/Ahmad110_313","@Ahmad110_313")</f>
        <v>@Ahmad110_313</v>
      </c>
      <c r="C4077" s="6" t="s">
        <v>4618</v>
      </c>
      <c r="D4077" s="5" t="s">
        <v>6090</v>
      </c>
      <c r="E4077" s="9" t="str">
        <f>HYPERLINK("https://twitter.com/Ahmad110_313/status/1034702533791555584","1034702533791555584")</f>
        <v>1034702533791555584</v>
      </c>
      <c r="F4077" s="4"/>
      <c r="G4077" s="10" t="s">
        <v>6089</v>
      </c>
      <c r="H4077" s="4"/>
      <c r="I4077" s="10" t="str">
        <f>HYPERLINK("http://twitter.com/download/android","Twitter for Android")</f>
        <v>Twitter for Android</v>
      </c>
      <c r="J4077" s="2">
        <v>533</v>
      </c>
      <c r="K4077" s="2">
        <v>742</v>
      </c>
      <c r="L4077" s="2">
        <v>2</v>
      </c>
      <c r="M4077" s="2"/>
      <c r="N4077" s="8">
        <v>43081.937199074076</v>
      </c>
      <c r="O4077" s="4" t="s">
        <v>4615</v>
      </c>
      <c r="P4077" s="3" t="s">
        <v>4614</v>
      </c>
      <c r="Q4077" s="4"/>
      <c r="R4077" s="4"/>
      <c r="S4077" s="9" t="str">
        <f>HYPERLINK("https://pbs.twimg.com/profile_images/1007778647816704000/UhOXVJOT.jpg","View")</f>
        <v>View</v>
      </c>
    </row>
    <row r="4078" spans="1:19" ht="20">
      <c r="A4078" s="8">
        <v>43341.493159722224</v>
      </c>
      <c r="B4078" s="11" t="str">
        <f>HYPERLINK("https://twitter.com/MortezaGasemi66","@MortezaGasemi66")</f>
        <v>@MortezaGasemi66</v>
      </c>
      <c r="C4078" s="6" t="s">
        <v>6088</v>
      </c>
      <c r="D4078" s="5" t="s">
        <v>6087</v>
      </c>
      <c r="E4078" s="9" t="str">
        <f>HYPERLINK("https://twitter.com/MortezaGasemi66/status/1034702227003371521","1034702227003371521")</f>
        <v>1034702227003371521</v>
      </c>
      <c r="F4078" s="4"/>
      <c r="G4078" s="4"/>
      <c r="H4078" s="4"/>
      <c r="I4078" s="10" t="str">
        <f>HYPERLINK("http://twitter.com","Twitter Web Client")</f>
        <v>Twitter Web Client</v>
      </c>
      <c r="J4078" s="2">
        <v>297</v>
      </c>
      <c r="K4078" s="2">
        <v>69</v>
      </c>
      <c r="L4078" s="2">
        <v>2</v>
      </c>
      <c r="M4078" s="2"/>
      <c r="N4078" s="8">
        <v>43171.879444444443</v>
      </c>
      <c r="O4078" s="4"/>
      <c r="P4078" s="3" t="s">
        <v>6086</v>
      </c>
      <c r="Q4078" s="4"/>
      <c r="R4078" s="4"/>
      <c r="S4078" s="9" t="str">
        <f>HYPERLINK("https://pbs.twimg.com/profile_images/973258282994487296/py6bItR_.jpg","View")</f>
        <v>View</v>
      </c>
    </row>
    <row r="4079" spans="1:19" ht="30">
      <c r="A4079" s="8">
        <v>43341.491990740746</v>
      </c>
      <c r="B4079" s="11" t="str">
        <f>HYPERLINK("https://twitter.com/RahaTaraneh1","@RahaTaraneh1")</f>
        <v>@RahaTaraneh1</v>
      </c>
      <c r="C4079" s="6" t="s">
        <v>1952</v>
      </c>
      <c r="D4079" s="5" t="s">
        <v>6085</v>
      </c>
      <c r="E4079" s="9" t="str">
        <f>HYPERLINK("https://twitter.com/RahaTaraneh1/status/1034701802128728064","1034701802128728064")</f>
        <v>1034701802128728064</v>
      </c>
      <c r="F4079" s="4"/>
      <c r="G4079" s="10" t="s">
        <v>6084</v>
      </c>
      <c r="H4079" s="4"/>
      <c r="I4079" s="10" t="str">
        <f>HYPERLINK("http://twitter.com","Twitter Web Client")</f>
        <v>Twitter Web Client</v>
      </c>
      <c r="J4079" s="2">
        <v>3786</v>
      </c>
      <c r="K4079" s="2">
        <v>3472</v>
      </c>
      <c r="L4079" s="2">
        <v>19</v>
      </c>
      <c r="M4079" s="2"/>
      <c r="N4079" s="8">
        <v>42486.583125000005</v>
      </c>
      <c r="O4079" s="4"/>
      <c r="P4079" s="3" t="s">
        <v>1949</v>
      </c>
      <c r="Q4079" s="4"/>
      <c r="R4079" s="4"/>
      <c r="S4079" s="9" t="str">
        <f>HYPERLINK("https://pbs.twimg.com/profile_images/964895094041034752/IsWagN_U.jpg","View")</f>
        <v>View</v>
      </c>
    </row>
    <row r="4080" spans="1:19" ht="20">
      <c r="A4080" s="8">
        <v>43341.491770833338</v>
      </c>
      <c r="B4080" s="11" t="str">
        <f>HYPERLINK("https://twitter.com/alishaeri89","@alishaeri89")</f>
        <v>@alishaeri89</v>
      </c>
      <c r="C4080" s="6" t="s">
        <v>1787</v>
      </c>
      <c r="D4080" s="5" t="s">
        <v>6083</v>
      </c>
      <c r="E4080" s="9" t="str">
        <f>HYPERLINK("https://twitter.com/alishaeri89/status/1034701723976261632","1034701723976261632")</f>
        <v>1034701723976261632</v>
      </c>
      <c r="F4080" s="4"/>
      <c r="G4080" s="4"/>
      <c r="H4080" s="4"/>
      <c r="I4080" s="10" t="str">
        <f>HYPERLINK("http://twitter.com/download/android","Twitter for Android")</f>
        <v>Twitter for Android</v>
      </c>
      <c r="J4080" s="2">
        <v>1191</v>
      </c>
      <c r="K4080" s="2">
        <v>1175</v>
      </c>
      <c r="L4080" s="2">
        <v>2</v>
      </c>
      <c r="M4080" s="2"/>
      <c r="N4080" s="8">
        <v>43248.747106481482</v>
      </c>
      <c r="O4080" s="4" t="s">
        <v>17</v>
      </c>
      <c r="P4080" s="3" t="s">
        <v>1784</v>
      </c>
      <c r="Q4080" s="4"/>
      <c r="R4080" s="4"/>
      <c r="S4080" s="9" t="str">
        <f>HYPERLINK("https://pbs.twimg.com/profile_images/1019917938999070720/VqHRCseB.jpg","View")</f>
        <v>View</v>
      </c>
    </row>
    <row r="4081" spans="1:19" ht="40">
      <c r="A4081" s="8">
        <v>43341.491168981476</v>
      </c>
      <c r="B4081" s="11" t="str">
        <f>HYPERLINK("https://twitter.com/MirdamadiSeraj","@MirdamadiSeraj")</f>
        <v>@MirdamadiSeraj</v>
      </c>
      <c r="C4081" s="6" t="s">
        <v>6082</v>
      </c>
      <c r="D4081" s="5" t="s">
        <v>6081</v>
      </c>
      <c r="E4081" s="9" t="str">
        <f>HYPERLINK("https://twitter.com/MirdamadiSeraj/status/1034701505079726080","1034701505079726080")</f>
        <v>1034701505079726080</v>
      </c>
      <c r="F4081" s="4"/>
      <c r="G4081" s="4"/>
      <c r="H4081" s="4"/>
      <c r="I4081" s="10" t="str">
        <f>HYPERLINK("http://twitter.com","Twitter Web Client")</f>
        <v>Twitter Web Client</v>
      </c>
      <c r="J4081" s="2">
        <v>1942</v>
      </c>
      <c r="K4081" s="2">
        <v>198</v>
      </c>
      <c r="L4081" s="2">
        <v>16</v>
      </c>
      <c r="M4081" s="2"/>
      <c r="N4081" s="8">
        <v>43055.5237037037</v>
      </c>
      <c r="O4081" s="4" t="s">
        <v>6080</v>
      </c>
      <c r="P4081" s="3" t="s">
        <v>6079</v>
      </c>
      <c r="Q4081" s="4"/>
      <c r="R4081" s="4"/>
      <c r="S4081" s="9" t="str">
        <f>HYPERLINK("https://pbs.twimg.com/profile_images/1032287975684616192/0wAjAAG3.jpg","View")</f>
        <v>View</v>
      </c>
    </row>
    <row r="4082" spans="1:19" ht="40">
      <c r="A4082" s="8">
        <v>43341.48883101852</v>
      </c>
      <c r="B4082" s="11" t="str">
        <f>HYPERLINK("https://twitter.com/simayazaditv","@simayazaditv")</f>
        <v>@simayazaditv</v>
      </c>
      <c r="C4082" s="6" t="s">
        <v>1758</v>
      </c>
      <c r="D4082" s="5" t="s">
        <v>6078</v>
      </c>
      <c r="E4082" s="9" t="str">
        <f>HYPERLINK("https://twitter.com/simayazaditv/status/1034700656681144320","1034700656681144320")</f>
        <v>1034700656681144320</v>
      </c>
      <c r="F4082" s="4"/>
      <c r="G4082" s="10" t="s">
        <v>6077</v>
      </c>
      <c r="H4082" s="4"/>
      <c r="I4082" s="10" t="str">
        <f>HYPERLINK("http://twitter.com","Twitter Web Client")</f>
        <v>Twitter Web Client</v>
      </c>
      <c r="J4082" s="2">
        <v>6031</v>
      </c>
      <c r="K4082" s="2">
        <v>1</v>
      </c>
      <c r="L4082" s="2">
        <v>100</v>
      </c>
      <c r="M4082" s="2"/>
      <c r="N4082" s="8">
        <v>42209.662442129629</v>
      </c>
      <c r="O4082" s="4" t="s">
        <v>252</v>
      </c>
      <c r="P4082" s="3"/>
      <c r="Q4082" s="10" t="s">
        <v>1755</v>
      </c>
      <c r="R4082" s="4"/>
      <c r="S4082" s="9" t="str">
        <f>HYPERLINK("https://pbs.twimg.com/profile_images/624546008937144321/5aqccHix.png","View")</f>
        <v>View</v>
      </c>
    </row>
    <row r="4083" spans="1:19" ht="40">
      <c r="A4083" s="8">
        <v>43341.488159722227</v>
      </c>
      <c r="B4083" s="11" t="str">
        <f>HYPERLINK("https://twitter.com/SharifzadehReza","@SharifzadehReza")</f>
        <v>@SharifzadehReza</v>
      </c>
      <c r="C4083" s="6" t="s">
        <v>6076</v>
      </c>
      <c r="D4083" s="5" t="s">
        <v>6075</v>
      </c>
      <c r="E4083" s="9" t="str">
        <f>HYPERLINK("https://twitter.com/SharifzadehReza/status/1034700413885403136","1034700413885403136")</f>
        <v>1034700413885403136</v>
      </c>
      <c r="F4083" s="4"/>
      <c r="G4083" s="4"/>
      <c r="H4083" s="4"/>
      <c r="I4083" s="10" t="str">
        <f>HYPERLINK("http://twitter.com/download/iphone","Twitter for iPhone")</f>
        <v>Twitter for iPhone</v>
      </c>
      <c r="J4083" s="2">
        <v>933</v>
      </c>
      <c r="K4083" s="2">
        <v>1017</v>
      </c>
      <c r="L4083" s="2">
        <v>0</v>
      </c>
      <c r="M4083" s="2"/>
      <c r="N4083" s="8">
        <v>42878.504803240736</v>
      </c>
      <c r="O4083" s="4" t="s">
        <v>6074</v>
      </c>
      <c r="P4083" s="3" t="s">
        <v>6073</v>
      </c>
      <c r="Q4083" s="4"/>
      <c r="R4083" s="4"/>
      <c r="S4083" s="9" t="str">
        <f>HYPERLINK("https://pbs.twimg.com/profile_images/1002622489938276353/YjFZJV49.jpg","View")</f>
        <v>View</v>
      </c>
    </row>
    <row r="4084" spans="1:19" ht="30">
      <c r="A4084" s="8">
        <v>43341.488125000003</v>
      </c>
      <c r="B4084" s="11" t="str">
        <f>HYPERLINK("https://twitter.com/mahdizzzzz","@mahdizzzzz")</f>
        <v>@mahdizzzzz</v>
      </c>
      <c r="C4084" s="6" t="s">
        <v>6072</v>
      </c>
      <c r="D4084" s="5" t="s">
        <v>6071</v>
      </c>
      <c r="E4084" s="9" t="str">
        <f>HYPERLINK("https://twitter.com/mahdizzzzz/status/1034700404087508993","1034700404087508993")</f>
        <v>1034700404087508993</v>
      </c>
      <c r="F4084" s="4"/>
      <c r="G4084" s="4"/>
      <c r="H4084" s="4"/>
      <c r="I4084" s="10" t="str">
        <f>HYPERLINK("http://twitter.com","Twitter Web Client")</f>
        <v>Twitter Web Client</v>
      </c>
      <c r="J4084" s="2">
        <v>9</v>
      </c>
      <c r="K4084" s="2">
        <v>58</v>
      </c>
      <c r="L4084" s="2">
        <v>0</v>
      </c>
      <c r="M4084" s="2"/>
      <c r="N4084" s="8">
        <v>43313.935648148152</v>
      </c>
      <c r="O4084" s="4" t="s">
        <v>25</v>
      </c>
      <c r="P4084" s="3" t="s">
        <v>6070</v>
      </c>
      <c r="Q4084" s="4"/>
      <c r="R4084" s="4"/>
      <c r="S4084" s="9" t="str">
        <f>HYPERLINK("https://pbs.twimg.com/profile_images/1030522677566550017/xFlt70vC.jpg","View")</f>
        <v>View</v>
      </c>
    </row>
    <row r="4085" spans="1:19" ht="30">
      <c r="A4085" s="8">
        <v>43341.487569444449</v>
      </c>
      <c r="B4085" s="11" t="str">
        <f>HYPERLINK("https://twitter.com/toomadj","@toomadj")</f>
        <v>@toomadj</v>
      </c>
      <c r="C4085" s="6" t="s">
        <v>6069</v>
      </c>
      <c r="D4085" s="5" t="s">
        <v>6068</v>
      </c>
      <c r="E4085" s="9" t="str">
        <f>HYPERLINK("https://twitter.com/toomadj/status/1034700199556509696","1034700199556509696")</f>
        <v>1034700199556509696</v>
      </c>
      <c r="F4085" s="4"/>
      <c r="G4085" s="4"/>
      <c r="H4085" s="4"/>
      <c r="I4085" s="10" t="str">
        <f>HYPERLINK("http://twitter.com/download/android","Twitter for Android")</f>
        <v>Twitter for Android</v>
      </c>
      <c r="J4085" s="2">
        <v>1970</v>
      </c>
      <c r="K4085" s="2">
        <v>1132</v>
      </c>
      <c r="L4085" s="2">
        <v>13</v>
      </c>
      <c r="M4085" s="2"/>
      <c r="N4085" s="8">
        <v>39884.637615740743</v>
      </c>
      <c r="O4085" s="4"/>
      <c r="P4085" s="3" t="s">
        <v>6067</v>
      </c>
      <c r="Q4085" s="4"/>
      <c r="R4085" s="4"/>
      <c r="S4085" s="9" t="str">
        <f>HYPERLINK("https://pbs.twimg.com/profile_images/824277971456376832/I941WXSV.jpg","View")</f>
        <v>View</v>
      </c>
    </row>
    <row r="4086" spans="1:19" ht="30">
      <c r="A4086" s="8">
        <v>43341.487500000003</v>
      </c>
      <c r="B4086" s="11" t="str">
        <f>HYPERLINK("https://twitter.com/abbas7293","@abbas7293")</f>
        <v>@abbas7293</v>
      </c>
      <c r="C4086" s="6" t="s">
        <v>4661</v>
      </c>
      <c r="D4086" s="5" t="s">
        <v>6066</v>
      </c>
      <c r="E4086" s="9" t="str">
        <f>HYPERLINK("https://twitter.com/abbas7293/status/1034700177515401217","1034700177515401217")</f>
        <v>1034700177515401217</v>
      </c>
      <c r="F4086" s="4"/>
      <c r="G4086" s="4"/>
      <c r="H4086" s="4"/>
      <c r="I4086" s="10" t="str">
        <f>HYPERLINK("http://twitter.com/download/iphone","Twitter for iPhone")</f>
        <v>Twitter for iPhone</v>
      </c>
      <c r="J4086" s="2">
        <v>229</v>
      </c>
      <c r="K4086" s="2">
        <v>691</v>
      </c>
      <c r="L4086" s="2">
        <v>2</v>
      </c>
      <c r="M4086" s="2"/>
      <c r="N4086" s="8">
        <v>42960.999189814815</v>
      </c>
      <c r="O4086" s="4" t="s">
        <v>34</v>
      </c>
      <c r="P4086" s="3" t="s">
        <v>4659</v>
      </c>
      <c r="Q4086" s="4"/>
      <c r="R4086" s="4"/>
      <c r="S4086" s="9" t="str">
        <f>HYPERLINK("https://pbs.twimg.com/profile_images/1025129929283960833/tZ1l1bo-.jpg","View")</f>
        <v>View</v>
      </c>
    </row>
    <row r="4087" spans="1:19" ht="40">
      <c r="A4087" s="8">
        <v>43341.486944444448</v>
      </c>
      <c r="B4087" s="11" t="str">
        <f>HYPERLINK("https://twitter.com/Ghoghnus11","@Ghoghnus11")</f>
        <v>@Ghoghnus11</v>
      </c>
      <c r="C4087" s="6" t="s">
        <v>15</v>
      </c>
      <c r="D4087" s="5" t="s">
        <v>6065</v>
      </c>
      <c r="E4087" s="9" t="str">
        <f>HYPERLINK("https://twitter.com/Ghoghnus11/status/1034699973298974720","1034699973298974720")</f>
        <v>1034699973298974720</v>
      </c>
      <c r="F4087" s="4"/>
      <c r="G4087" s="4"/>
      <c r="H4087" s="4"/>
      <c r="I4087" s="10" t="str">
        <f>HYPERLINK("http://twitter.com/download/android","Twitter for Android")</f>
        <v>Twitter for Android</v>
      </c>
      <c r="J4087" s="2">
        <v>1267</v>
      </c>
      <c r="K4087" s="2">
        <v>1476</v>
      </c>
      <c r="L4087" s="2">
        <v>2</v>
      </c>
      <c r="M4087" s="2"/>
      <c r="N4087" s="8">
        <v>43145.030578703707</v>
      </c>
      <c r="O4087" s="4"/>
      <c r="P4087" s="3" t="s">
        <v>13</v>
      </c>
      <c r="Q4087" s="4"/>
      <c r="R4087" s="4"/>
      <c r="S4087" s="9" t="str">
        <f>HYPERLINK("https://pbs.twimg.com/profile_images/998733120865091584/fgjpCWOH.jpg","View")</f>
        <v>View</v>
      </c>
    </row>
    <row r="4088" spans="1:19" ht="30">
      <c r="A4088" s="8">
        <v>43341.486921296295</v>
      </c>
      <c r="B4088" s="11" t="str">
        <f>HYPERLINK("https://twitter.com/AkhbarFori","@AkhbarFori")</f>
        <v>@AkhbarFori</v>
      </c>
      <c r="C4088" s="6" t="s">
        <v>703</v>
      </c>
      <c r="D4088" s="5" t="s">
        <v>6064</v>
      </c>
      <c r="E4088" s="9" t="str">
        <f>HYPERLINK("https://twitter.com/AkhbarFori/status/1034699966675992576","1034699966675992576")</f>
        <v>1034699966675992576</v>
      </c>
      <c r="F4088" s="4"/>
      <c r="G4088" s="4"/>
      <c r="H4088" s="4"/>
      <c r="I4088" s="10" t="str">
        <f>HYPERLINK("http://twitter.com/download/android","Twitter for Android")</f>
        <v>Twitter for Android</v>
      </c>
      <c r="J4088" s="2">
        <v>2281</v>
      </c>
      <c r="K4088" s="2">
        <v>56</v>
      </c>
      <c r="L4088" s="2">
        <v>10</v>
      </c>
      <c r="M4088" s="2"/>
      <c r="N4088" s="8">
        <v>42681.433865740742</v>
      </c>
      <c r="O4088" s="4" t="s">
        <v>34</v>
      </c>
      <c r="P4088" s="3" t="s">
        <v>700</v>
      </c>
      <c r="Q4088" s="10" t="s">
        <v>699</v>
      </c>
      <c r="R4088" s="4"/>
      <c r="S4088" s="9" t="str">
        <f>HYPERLINK("https://pbs.twimg.com/profile_images/966310274599964674/M_bW7CfD.jpg","View")</f>
        <v>View</v>
      </c>
    </row>
    <row r="4089" spans="1:19" ht="30">
      <c r="A4089" s="8">
        <v>43341.486828703702</v>
      </c>
      <c r="B4089" s="11" t="str">
        <f>HYPERLINK("https://twitter.com/pouriazeraati","@pouriazeraati")</f>
        <v>@pouriazeraati</v>
      </c>
      <c r="C4089" s="6" t="s">
        <v>462</v>
      </c>
      <c r="D4089" s="5" t="s">
        <v>6063</v>
      </c>
      <c r="E4089" s="9" t="str">
        <f>HYPERLINK("https://twitter.com/pouriazeraati/status/1034699934359007233","1034699934359007233")</f>
        <v>1034699934359007233</v>
      </c>
      <c r="F4089" s="4"/>
      <c r="G4089" s="4"/>
      <c r="H4089" s="4"/>
      <c r="I4089" s="10" t="str">
        <f>HYPERLINK("http://twitter.com/download/iphone","Twitter for iPhone")</f>
        <v>Twitter for iPhone</v>
      </c>
      <c r="J4089" s="2">
        <v>40834</v>
      </c>
      <c r="K4089" s="2">
        <v>96</v>
      </c>
      <c r="L4089" s="2">
        <v>111</v>
      </c>
      <c r="M4089" s="2" t="s">
        <v>80</v>
      </c>
      <c r="N4089" s="8">
        <v>41400.92423611111</v>
      </c>
      <c r="O4089" s="4" t="s">
        <v>460</v>
      </c>
      <c r="P4089" s="3" t="s">
        <v>459</v>
      </c>
      <c r="Q4089" s="10" t="s">
        <v>458</v>
      </c>
      <c r="R4089" s="4"/>
      <c r="S4089" s="9" t="str">
        <f>HYPERLINK("https://pbs.twimg.com/profile_images/960258469214523394/ngAPQ1IU.jpg","View")</f>
        <v>View</v>
      </c>
    </row>
    <row r="4090" spans="1:19" ht="30">
      <c r="A4090" s="8">
        <v>43341.486481481479</v>
      </c>
      <c r="B4090" s="11" t="str">
        <f>HYPERLINK("https://twitter.com/Tasnimnews_Fa","@Tasnimnews_Fa")</f>
        <v>@Tasnimnews_Fa</v>
      </c>
      <c r="C4090" s="6" t="s">
        <v>603</v>
      </c>
      <c r="D4090" s="5" t="s">
        <v>6062</v>
      </c>
      <c r="E4090" s="9" t="str">
        <f>HYPERLINK("https://twitter.com/Tasnimnews_Fa/status/1034699808626429952","1034699808626429952")</f>
        <v>1034699808626429952</v>
      </c>
      <c r="F4090" s="4"/>
      <c r="G4090" s="10" t="s">
        <v>6061</v>
      </c>
      <c r="H4090" s="4"/>
      <c r="I4090" s="10" t="str">
        <f>HYPERLINK("http://twitter.com","Twitter Web Client")</f>
        <v>Twitter Web Client</v>
      </c>
      <c r="J4090" s="2">
        <v>109398</v>
      </c>
      <c r="K4090" s="2">
        <v>20</v>
      </c>
      <c r="L4090" s="2">
        <v>375</v>
      </c>
      <c r="M4090" s="2" t="s">
        <v>80</v>
      </c>
      <c r="N4090" s="8">
        <v>41868.671585648146</v>
      </c>
      <c r="O4090" s="4" t="s">
        <v>133</v>
      </c>
      <c r="P4090" s="3" t="s">
        <v>599</v>
      </c>
      <c r="Q4090" s="10" t="s">
        <v>598</v>
      </c>
      <c r="R4090" s="4"/>
      <c r="S4090" s="9" t="str">
        <f>HYPERLINK("https://pbs.twimg.com/profile_images/942003149430239232/hvLw_1_E.jpg","View")</f>
        <v>View</v>
      </c>
    </row>
    <row r="4091" spans="1:19" ht="20">
      <c r="A4091" s="8">
        <v>43341.485439814816</v>
      </c>
      <c r="B4091" s="11" t="str">
        <f>HYPERLINK("https://twitter.com/akharinkhabar","@akharinkhabar")</f>
        <v>@akharinkhabar</v>
      </c>
      <c r="C4091" s="6" t="s">
        <v>6060</v>
      </c>
      <c r="D4091" s="5" t="s">
        <v>6059</v>
      </c>
      <c r="E4091" s="9" t="str">
        <f>HYPERLINK("https://twitter.com/akharinkhabar/status/1034699428622462976","1034699428622462976")</f>
        <v>1034699428622462976</v>
      </c>
      <c r="F4091" s="4"/>
      <c r="G4091" s="10" t="s">
        <v>6058</v>
      </c>
      <c r="H4091" s="4"/>
      <c r="I4091" s="10" t="str">
        <f>HYPERLINK("http://twitter.com","Twitter Web Client")</f>
        <v>Twitter Web Client</v>
      </c>
      <c r="J4091" s="2">
        <v>6159</v>
      </c>
      <c r="K4091" s="2">
        <v>160</v>
      </c>
      <c r="L4091" s="2">
        <v>38</v>
      </c>
      <c r="M4091" s="2"/>
      <c r="N4091" s="8">
        <v>41664.528194444443</v>
      </c>
      <c r="O4091" s="4" t="s">
        <v>34</v>
      </c>
      <c r="P4091" s="3" t="s">
        <v>6057</v>
      </c>
      <c r="Q4091" s="10" t="s">
        <v>6056</v>
      </c>
      <c r="R4091" s="4"/>
      <c r="S4091" s="9" t="str">
        <f>HYPERLINK("https://pbs.twimg.com/profile_images/907548400987537408/C7mr0GDN.jpg","View")</f>
        <v>View</v>
      </c>
    </row>
    <row r="4092" spans="1:19" ht="20">
      <c r="A4092" s="8">
        <v>43341.484872685185</v>
      </c>
      <c r="B4092" s="11" t="str">
        <f>HYPERLINK("https://twitter.com/mmshia76","@mmshia76")</f>
        <v>@mmshia76</v>
      </c>
      <c r="C4092" s="6" t="s">
        <v>6055</v>
      </c>
      <c r="D4092" s="5" t="s">
        <v>6054</v>
      </c>
      <c r="E4092" s="9" t="str">
        <f>HYPERLINK("https://twitter.com/mmshia76/status/1034699223927848960","1034699223927848960")</f>
        <v>1034699223927848960</v>
      </c>
      <c r="F4092" s="4"/>
      <c r="G4092" s="4"/>
      <c r="H4092" s="4"/>
      <c r="I4092" s="10" t="str">
        <f>HYPERLINK("https://t.me/TweetItBot","TweetItBot")</f>
        <v>TweetItBot</v>
      </c>
      <c r="J4092" s="2">
        <v>2535</v>
      </c>
      <c r="K4092" s="2">
        <v>1538</v>
      </c>
      <c r="L4092" s="2">
        <v>16</v>
      </c>
      <c r="M4092" s="2"/>
      <c r="N4092" s="8">
        <v>42804.880405092597</v>
      </c>
      <c r="O4092" s="4" t="s">
        <v>4293</v>
      </c>
      <c r="P4092" s="3" t="s">
        <v>6053</v>
      </c>
      <c r="Q4092" s="10" t="s">
        <v>6052</v>
      </c>
      <c r="R4092" s="4"/>
      <c r="S4092" s="9" t="str">
        <f>HYPERLINK("https://pbs.twimg.com/profile_images/991750272400621571/5kIbN_KT.jpg","View")</f>
        <v>View</v>
      </c>
    </row>
    <row r="4093" spans="1:19" ht="40">
      <c r="A4093" s="8">
        <v>43341.48436342593</v>
      </c>
      <c r="B4093" s="11" t="str">
        <f>HYPERLINK("https://twitter.com/shahin_sepahrad","@shahin_sepahrad")</f>
        <v>@shahin_sepahrad</v>
      </c>
      <c r="C4093" s="6" t="s">
        <v>5895</v>
      </c>
      <c r="D4093" s="5" t="s">
        <v>6051</v>
      </c>
      <c r="E4093" s="9" t="str">
        <f>HYPERLINK("https://twitter.com/shahin_sepahrad/status/1034699040116666368","1034699040116666368")</f>
        <v>1034699040116666368</v>
      </c>
      <c r="F4093" s="4"/>
      <c r="G4093" s="4"/>
      <c r="H4093" s="4"/>
      <c r="I4093" s="10" t="str">
        <f>HYPERLINK("http://twitter.com/download/android","Twitter for Android")</f>
        <v>Twitter for Android</v>
      </c>
      <c r="J4093" s="2">
        <v>117</v>
      </c>
      <c r="K4093" s="2">
        <v>31</v>
      </c>
      <c r="L4093" s="2">
        <v>1</v>
      </c>
      <c r="M4093" s="2"/>
      <c r="N4093" s="8">
        <v>42731.452685185184</v>
      </c>
      <c r="O4093" s="4" t="s">
        <v>34</v>
      </c>
      <c r="P4093" s="3" t="s">
        <v>5893</v>
      </c>
      <c r="Q4093" s="4"/>
      <c r="R4093" s="4"/>
      <c r="S4093" s="9" t="str">
        <f>HYPERLINK("https://pbs.twimg.com/profile_images/813648290554200064/-fEr8D0p.jpg","View")</f>
        <v>View</v>
      </c>
    </row>
    <row r="4094" spans="1:19" ht="40">
      <c r="A4094" s="8">
        <v>43341.483888888892</v>
      </c>
      <c r="B4094" s="11" t="str">
        <f>HYPERLINK("https://twitter.com/hussein_Moradi","@hussein_Moradi")</f>
        <v>@hussein_Moradi</v>
      </c>
      <c r="C4094" s="6" t="s">
        <v>361</v>
      </c>
      <c r="D4094" s="5" t="s">
        <v>6050</v>
      </c>
      <c r="E4094" s="9" t="str">
        <f>HYPERLINK("https://twitter.com/hussein_Moradi/status/1034698865834958849","1034698865834958849")</f>
        <v>1034698865834958849</v>
      </c>
      <c r="F4094" s="4"/>
      <c r="G4094" s="4"/>
      <c r="H4094" s="4"/>
      <c r="I4094" s="10" t="str">
        <f>HYPERLINK("http://twitter.com/download/iphone","Twitter for iPhone")</f>
        <v>Twitter for iPhone</v>
      </c>
      <c r="J4094" s="2">
        <v>437</v>
      </c>
      <c r="K4094" s="2">
        <v>411</v>
      </c>
      <c r="L4094" s="2">
        <v>0</v>
      </c>
      <c r="M4094" s="2"/>
      <c r="N4094" s="8">
        <v>43131.863796296297</v>
      </c>
      <c r="O4094" s="4" t="s">
        <v>34</v>
      </c>
      <c r="P4094" s="3" t="s">
        <v>359</v>
      </c>
      <c r="Q4094" s="4"/>
      <c r="R4094" s="4"/>
      <c r="S4094" s="9" t="str">
        <f>HYPERLINK("https://pbs.twimg.com/profile_images/1032227000902184961/6sakncVx.jpg","View")</f>
        <v>View</v>
      </c>
    </row>
    <row r="4095" spans="1:19" ht="30">
      <c r="A4095" s="8">
        <v>43341.483148148152</v>
      </c>
      <c r="B4095" s="11" t="str">
        <f>HYPERLINK("https://twitter.com/daryushkohan1","@daryushkohan1")</f>
        <v>@daryushkohan1</v>
      </c>
      <c r="C4095" s="6" t="s">
        <v>6049</v>
      </c>
      <c r="D4095" s="5" t="s">
        <v>6048</v>
      </c>
      <c r="E4095" s="9" t="str">
        <f>HYPERLINK("https://twitter.com/daryushkohan1/status/1034698600415023104","1034698600415023104")</f>
        <v>1034698600415023104</v>
      </c>
      <c r="F4095" s="4"/>
      <c r="G4095" s="4"/>
      <c r="H4095" s="4"/>
      <c r="I4095" s="10" t="str">
        <f>HYPERLINK("http://twitter.com","Twitter Web Client")</f>
        <v>Twitter Web Client</v>
      </c>
      <c r="J4095" s="2">
        <v>1155</v>
      </c>
      <c r="K4095" s="2">
        <v>1796</v>
      </c>
      <c r="L4095" s="2">
        <v>2</v>
      </c>
      <c r="M4095" s="2"/>
      <c r="N4095" s="8">
        <v>43104.835752314815</v>
      </c>
      <c r="O4095" s="4"/>
      <c r="P4095" s="3" t="s">
        <v>6047</v>
      </c>
      <c r="Q4095" s="4"/>
      <c r="R4095" s="4"/>
      <c r="S4095" s="9" t="str">
        <f>HYPERLINK("https://pbs.twimg.com/profile_images/996446448756506625/CfqPPt3X.jpg","View")</f>
        <v>View</v>
      </c>
    </row>
    <row r="4096" spans="1:19" ht="80">
      <c r="A4096" s="8">
        <v>43341.482303240744</v>
      </c>
      <c r="B4096" s="11" t="str">
        <f>HYPERLINK("https://twitter.com/abbasemahdavi","@abbasemahdavi")</f>
        <v>@abbasemahdavi</v>
      </c>
      <c r="C4096" s="6" t="s">
        <v>6046</v>
      </c>
      <c r="D4096" s="5" t="s">
        <v>6045</v>
      </c>
      <c r="E4096" s="9" t="str">
        <f>HYPERLINK("https://twitter.com/abbasemahdavi/status/1034698292695887872","1034698292695887872")</f>
        <v>1034698292695887872</v>
      </c>
      <c r="F4096" s="10" t="s">
        <v>6044</v>
      </c>
      <c r="G4096" s="10" t="s">
        <v>6043</v>
      </c>
      <c r="H4096" s="4"/>
      <c r="I4096" s="10" t="str">
        <f>HYPERLINK("http://twitter.com","Twitter Web Client")</f>
        <v>Twitter Web Client</v>
      </c>
      <c r="J4096" s="2">
        <v>174</v>
      </c>
      <c r="K4096" s="2">
        <v>134</v>
      </c>
      <c r="L4096" s="2">
        <v>2</v>
      </c>
      <c r="M4096" s="2"/>
      <c r="N4096" s="8">
        <v>42459.729050925926</v>
      </c>
      <c r="O4096" s="4"/>
      <c r="P4096" s="3"/>
      <c r="Q4096" s="10" t="s">
        <v>6042</v>
      </c>
      <c r="R4096" s="4"/>
      <c r="S4096" s="9" t="str">
        <f>HYPERLINK("https://pbs.twimg.com/profile_images/997185930728431616/0pC7tQCU.jpg","View")</f>
        <v>View</v>
      </c>
    </row>
    <row r="4097" spans="1:19" ht="40">
      <c r="A4097" s="8">
        <v>43341.481874999998</v>
      </c>
      <c r="B4097" s="11" t="str">
        <f>HYPERLINK("https://twitter.com/hojjat_kalashi","@hojjat_kalashi")</f>
        <v>@hojjat_kalashi</v>
      </c>
      <c r="C4097" s="6" t="s">
        <v>6041</v>
      </c>
      <c r="D4097" s="5" t="s">
        <v>6040</v>
      </c>
      <c r="E4097" s="9" t="str">
        <f>HYPERLINK("https://twitter.com/hojjat_kalashi/status/1034698138664218626","1034698138664218626")</f>
        <v>1034698138664218626</v>
      </c>
      <c r="F4097" s="4"/>
      <c r="G4097" s="4"/>
      <c r="H4097" s="4"/>
      <c r="I4097" s="10" t="str">
        <f>HYPERLINK("http://twitter.com","Twitter Web Client")</f>
        <v>Twitter Web Client</v>
      </c>
      <c r="J4097" s="2">
        <v>809</v>
      </c>
      <c r="K4097" s="2">
        <v>434</v>
      </c>
      <c r="L4097" s="2">
        <v>1</v>
      </c>
      <c r="M4097" s="2"/>
      <c r="N4097" s="8">
        <v>43135.012673611112</v>
      </c>
      <c r="O4097" s="4"/>
      <c r="P4097" s="3" t="s">
        <v>6039</v>
      </c>
      <c r="Q4097" s="4"/>
      <c r="R4097" s="4"/>
      <c r="S4097" s="9" t="str">
        <f>HYPERLINK("https://pbs.twimg.com/profile_images/1027880791429341187/Qe3jVd-l.jpg","View")</f>
        <v>View</v>
      </c>
    </row>
    <row r="4098" spans="1:19" ht="30">
      <c r="A4098" s="8">
        <v>43341.481192129635</v>
      </c>
      <c r="B4098" s="11" t="str">
        <f>HYPERLINK("https://twitter.com/ShararehAb","@ShararehAb")</f>
        <v>@ShararehAb</v>
      </c>
      <c r="C4098" s="6" t="s">
        <v>6038</v>
      </c>
      <c r="D4098" s="5" t="s">
        <v>6037</v>
      </c>
      <c r="E4098" s="9" t="str">
        <f>HYPERLINK("https://twitter.com/ShararehAb/status/1034697892362117120","1034697892362117120")</f>
        <v>1034697892362117120</v>
      </c>
      <c r="F4098" s="4"/>
      <c r="G4098" s="4"/>
      <c r="H4098" s="4"/>
      <c r="I4098" s="10" t="str">
        <f>HYPERLINK("http://twitter.com/download/iphone","Twitter for iPhone")</f>
        <v>Twitter for iPhone</v>
      </c>
      <c r="J4098" s="2">
        <v>159</v>
      </c>
      <c r="K4098" s="2">
        <v>421</v>
      </c>
      <c r="L4098" s="2">
        <v>0</v>
      </c>
      <c r="M4098" s="2"/>
      <c r="N4098" s="8">
        <v>41545.727152777778</v>
      </c>
      <c r="O4098" s="4" t="s">
        <v>1415</v>
      </c>
      <c r="P4098" s="3" t="s">
        <v>6036</v>
      </c>
      <c r="Q4098" s="4"/>
      <c r="R4098" s="4"/>
      <c r="S4098" s="9" t="str">
        <f>HYPERLINK("https://pbs.twimg.com/profile_images/590477627875459072/VQU7CN_s.jpg","View")</f>
        <v>View</v>
      </c>
    </row>
    <row r="4099" spans="1:19" ht="30">
      <c r="A4099" s="8">
        <v>43341.481064814812</v>
      </c>
      <c r="B4099" s="11" t="str">
        <f>HYPERLINK("https://twitter.com/nornor3330","@nornor3330")</f>
        <v>@nornor3330</v>
      </c>
      <c r="C4099" s="6" t="s">
        <v>6035</v>
      </c>
      <c r="D4099" s="5" t="s">
        <v>6034</v>
      </c>
      <c r="E4099" s="9" t="str">
        <f>HYPERLINK("https://twitter.com/nornor3330/status/1034697842898751489","1034697842898751489")</f>
        <v>1034697842898751489</v>
      </c>
      <c r="F4099" s="4"/>
      <c r="G4099" s="4"/>
      <c r="H4099" s="4"/>
      <c r="I4099" s="10" t="str">
        <f>HYPERLINK("http://twitter.com/download/android","Twitter for Android")</f>
        <v>Twitter for Android</v>
      </c>
      <c r="J4099" s="2">
        <v>166</v>
      </c>
      <c r="K4099" s="2">
        <v>479</v>
      </c>
      <c r="L4099" s="2">
        <v>1</v>
      </c>
      <c r="M4099" s="2"/>
      <c r="N4099" s="8">
        <v>43001.098217592589</v>
      </c>
      <c r="O4099" s="4" t="s">
        <v>6033</v>
      </c>
      <c r="P4099" s="3" t="s">
        <v>6032</v>
      </c>
      <c r="Q4099" s="10" t="s">
        <v>6031</v>
      </c>
      <c r="R4099" s="4"/>
      <c r="S4099" s="9" t="str">
        <f>HYPERLINK("https://pbs.twimg.com/profile_images/1025110439095615488/ymCoUr_9.jpg","View")</f>
        <v>View</v>
      </c>
    </row>
    <row r="4100" spans="1:19" ht="20">
      <c r="A4100" s="8">
        <v>43341.480844907404</v>
      </c>
      <c r="B4100" s="11" t="str">
        <f>HYPERLINK("https://twitter.com/donyaevarone","@donyaevarone")</f>
        <v>@donyaevarone</v>
      </c>
      <c r="C4100" s="6" t="s">
        <v>6030</v>
      </c>
      <c r="D4100" s="5" t="s">
        <v>6029</v>
      </c>
      <c r="E4100" s="9" t="str">
        <f>HYPERLINK("https://twitter.com/donyaevarone/status/1034697764402352128","1034697764402352128")</f>
        <v>1034697764402352128</v>
      </c>
      <c r="F4100" s="4"/>
      <c r="G4100" s="4"/>
      <c r="H4100" s="4"/>
      <c r="I4100" s="10" t="str">
        <f>HYPERLINK("http://twitter.com/download/android","Twitter for Android")</f>
        <v>Twitter for Android</v>
      </c>
      <c r="J4100" s="2">
        <v>698</v>
      </c>
      <c r="K4100" s="2">
        <v>1194</v>
      </c>
      <c r="L4100" s="2">
        <v>0</v>
      </c>
      <c r="M4100" s="2"/>
      <c r="N4100" s="8">
        <v>43288.358622685184</v>
      </c>
      <c r="O4100" s="4"/>
      <c r="P4100" s="3"/>
      <c r="Q4100" s="4"/>
      <c r="R4100" s="4"/>
      <c r="S4100" s="9" t="str">
        <f>HYPERLINK("https://pbs.twimg.com/profile_images/1016581762888151040/9U_hN9fo.jpg","View")</f>
        <v>View</v>
      </c>
    </row>
    <row r="4101" spans="1:19" ht="40">
      <c r="A4101" s="8">
        <v>43341.480671296296</v>
      </c>
      <c r="B4101" s="11" t="str">
        <f>HYPERLINK("https://twitter.com/eghtesadonline","@eghtesadonline")</f>
        <v>@eghtesadonline</v>
      </c>
      <c r="C4101" s="6" t="s">
        <v>5935</v>
      </c>
      <c r="D4101" s="5" t="s">
        <v>6028</v>
      </c>
      <c r="E4101" s="9" t="str">
        <f>HYPERLINK("https://twitter.com/eghtesadonline/status/1034697700493676544","1034697700493676544")</f>
        <v>1034697700493676544</v>
      </c>
      <c r="F4101" s="4"/>
      <c r="G4101" s="4"/>
      <c r="H4101" s="4"/>
      <c r="I4101" s="10" t="str">
        <f>HYPERLINK("http://twitter.com","Twitter Web Client")</f>
        <v>Twitter Web Client</v>
      </c>
      <c r="J4101" s="2">
        <v>2086</v>
      </c>
      <c r="K4101" s="2">
        <v>7</v>
      </c>
      <c r="L4101" s="2">
        <v>43</v>
      </c>
      <c r="M4101" s="2"/>
      <c r="N4101" s="8">
        <v>41595.377060185187</v>
      </c>
      <c r="O4101" s="4" t="s">
        <v>17</v>
      </c>
      <c r="P4101" s="3" t="s">
        <v>5933</v>
      </c>
      <c r="Q4101" s="10" t="s">
        <v>5932</v>
      </c>
      <c r="R4101" s="4"/>
      <c r="S4101" s="9" t="str">
        <f>HYPERLINK("https://pbs.twimg.com/profile_images/1034350708475224064/4dNqWRJC.jpg","View")</f>
        <v>View</v>
      </c>
    </row>
    <row r="4102" spans="1:19" ht="30">
      <c r="A4102" s="8">
        <v>43341.479999999996</v>
      </c>
      <c r="B4102" s="11" t="str">
        <f>HYPERLINK("https://twitter.com/farkhodadadian","@farkhodadadian")</f>
        <v>@farkhodadadian</v>
      </c>
      <c r="C4102" s="6" t="s">
        <v>6027</v>
      </c>
      <c r="D4102" s="5" t="s">
        <v>6026</v>
      </c>
      <c r="E4102" s="9" t="str">
        <f>HYPERLINK("https://twitter.com/farkhodadadian/status/1034697459186978816","1034697459186978816")</f>
        <v>1034697459186978816</v>
      </c>
      <c r="F4102" s="4"/>
      <c r="G4102" s="4"/>
      <c r="H4102" s="4"/>
      <c r="I4102" s="10" t="str">
        <f>HYPERLINK("http://twitter.com/download/android","Twitter for Android")</f>
        <v>Twitter for Android</v>
      </c>
      <c r="J4102" s="2">
        <v>112</v>
      </c>
      <c r="K4102" s="2">
        <v>219</v>
      </c>
      <c r="L4102" s="2">
        <v>0</v>
      </c>
      <c r="M4102" s="2"/>
      <c r="N4102" s="8">
        <v>42499.467766203699</v>
      </c>
      <c r="O4102" s="4" t="s">
        <v>34</v>
      </c>
      <c r="P4102" s="3" t="s">
        <v>6025</v>
      </c>
      <c r="Q4102" s="10" t="s">
        <v>6024</v>
      </c>
      <c r="R4102" s="4"/>
      <c r="S4102" s="9" t="str">
        <f>HYPERLINK("https://pbs.twimg.com/profile_images/996071542936260610/FgYJYyY3.jpg","View")</f>
        <v>View</v>
      </c>
    </row>
    <row r="4103" spans="1:19" ht="30">
      <c r="A4103" s="8">
        <v>43341.479976851857</v>
      </c>
      <c r="B4103" s="11" t="str">
        <f>HYPERLINK("https://twitter.com/kingelessar1996","@kingelessar1996")</f>
        <v>@kingelessar1996</v>
      </c>
      <c r="C4103" s="6" t="s">
        <v>6023</v>
      </c>
      <c r="D4103" s="5" t="s">
        <v>6022</v>
      </c>
      <c r="E4103" s="9" t="str">
        <f>HYPERLINK("https://twitter.com/kingelessar1996/status/1034697451050029057","1034697451050029057")</f>
        <v>1034697451050029057</v>
      </c>
      <c r="F4103" s="4"/>
      <c r="G4103" s="4"/>
      <c r="H4103" s="4"/>
      <c r="I4103" s="10" t="str">
        <f>HYPERLINK("http://twitter.com/download/android","Twitter for Android")</f>
        <v>Twitter for Android</v>
      </c>
      <c r="J4103" s="2">
        <v>187</v>
      </c>
      <c r="K4103" s="2">
        <v>315</v>
      </c>
      <c r="L4103" s="2">
        <v>0</v>
      </c>
      <c r="M4103" s="2"/>
      <c r="N4103" s="8">
        <v>42096.911006944443</v>
      </c>
      <c r="O4103" s="4" t="s">
        <v>6021</v>
      </c>
      <c r="P4103" s="3" t="s">
        <v>6020</v>
      </c>
      <c r="Q4103" s="10" t="s">
        <v>6019</v>
      </c>
      <c r="R4103" s="4"/>
      <c r="S4103" s="9" t="str">
        <f>HYPERLINK("https://pbs.twimg.com/profile_images/1012069639491289088/hZpJ81lA.jpg","View")</f>
        <v>View</v>
      </c>
    </row>
    <row r="4104" spans="1:19" ht="30">
      <c r="A4104" s="8">
        <v>43341.479826388888</v>
      </c>
      <c r="B4104" s="11" t="str">
        <f>HYPERLINK("https://twitter.com/mortaza_jalili","@mortaza_jalili")</f>
        <v>@mortaza_jalili</v>
      </c>
      <c r="C4104" s="6" t="s">
        <v>6018</v>
      </c>
      <c r="D4104" s="5" t="s">
        <v>6017</v>
      </c>
      <c r="E4104" s="9" t="str">
        <f>HYPERLINK("https://twitter.com/mortaza_jalili/status/1034697394691207168","1034697394691207168")</f>
        <v>1034697394691207168</v>
      </c>
      <c r="F4104" s="4"/>
      <c r="G4104" s="4"/>
      <c r="H4104" s="4"/>
      <c r="I4104" s="10" t="str">
        <f>HYPERLINK("http://twitter.com/download/android","Twitter for Android")</f>
        <v>Twitter for Android</v>
      </c>
      <c r="J4104" s="2">
        <v>12517</v>
      </c>
      <c r="K4104" s="2">
        <v>3420</v>
      </c>
      <c r="L4104" s="2">
        <v>26</v>
      </c>
      <c r="M4104" s="2"/>
      <c r="N4104" s="8">
        <v>42809.739641203705</v>
      </c>
      <c r="O4104" s="4" t="s">
        <v>6016</v>
      </c>
      <c r="P4104" s="3" t="s">
        <v>6015</v>
      </c>
      <c r="Q4104" s="10" t="s">
        <v>6014</v>
      </c>
      <c r="R4104" s="4"/>
      <c r="S4104" s="9" t="str">
        <f>HYPERLINK("https://pbs.twimg.com/profile_images/1005598261137141760/amdhrlkt.jpg","View")</f>
        <v>View</v>
      </c>
    </row>
    <row r="4105" spans="1:19" ht="30">
      <c r="A4105" s="8">
        <v>43341.479571759264</v>
      </c>
      <c r="B4105" s="11" t="str">
        <f>HYPERLINK("https://twitter.com/radiozamaneh","@radiozamaneh")</f>
        <v>@radiozamaneh</v>
      </c>
      <c r="C4105" s="6" t="s">
        <v>5731</v>
      </c>
      <c r="D4105" s="5" t="s">
        <v>6013</v>
      </c>
      <c r="E4105" s="9" t="str">
        <f>HYPERLINK("https://twitter.com/radiozamaneh/status/1034697302513016832","1034697302513016832")</f>
        <v>1034697302513016832</v>
      </c>
      <c r="F4105" s="10" t="s">
        <v>6012</v>
      </c>
      <c r="G4105" s="10" t="s">
        <v>6011</v>
      </c>
      <c r="H4105" s="4"/>
      <c r="I4105" s="10" t="str">
        <f>HYPERLINK("https://www.radiozamaneh.com/","RZAutoPosting")</f>
        <v>RZAutoPosting</v>
      </c>
      <c r="J4105" s="2">
        <v>110200</v>
      </c>
      <c r="K4105" s="2">
        <v>838</v>
      </c>
      <c r="L4105" s="2">
        <v>382</v>
      </c>
      <c r="M4105" s="2" t="s">
        <v>80</v>
      </c>
      <c r="N4105" s="8">
        <v>39573.255729166667</v>
      </c>
      <c r="O4105" s="4" t="s">
        <v>5727</v>
      </c>
      <c r="P4105" s="3" t="s">
        <v>5726</v>
      </c>
      <c r="Q4105" s="10" t="s">
        <v>5725</v>
      </c>
      <c r="R4105" s="4"/>
      <c r="S4105" s="9" t="str">
        <f>HYPERLINK("https://pbs.twimg.com/profile_images/990906227256328192/IYPsq9ai.jpg","View")</f>
        <v>View</v>
      </c>
    </row>
    <row r="4106" spans="1:19" ht="20">
      <c r="A4106" s="8">
        <v>43341.478912037041</v>
      </c>
      <c r="B4106" s="11" t="str">
        <f>HYPERLINK("https://twitter.com/pooneh_rt","@pooneh_rt")</f>
        <v>@pooneh_rt</v>
      </c>
      <c r="C4106" s="6" t="s">
        <v>6010</v>
      </c>
      <c r="D4106" s="5" t="s">
        <v>6009</v>
      </c>
      <c r="E4106" s="9" t="str">
        <f>HYPERLINK("https://twitter.com/pooneh_rt/status/1034697064834314240","1034697064834314240")</f>
        <v>1034697064834314240</v>
      </c>
      <c r="F4106" s="4"/>
      <c r="G4106" s="4"/>
      <c r="H4106" s="4"/>
      <c r="I4106" s="10" t="str">
        <f>HYPERLINK("http://twitter.com","Twitter Web Client")</f>
        <v>Twitter Web Client</v>
      </c>
      <c r="J4106" s="2">
        <v>11</v>
      </c>
      <c r="K4106" s="2">
        <v>31</v>
      </c>
      <c r="L4106" s="2">
        <v>0</v>
      </c>
      <c r="M4106" s="2"/>
      <c r="N4106" s="8">
        <v>43137.716504629629</v>
      </c>
      <c r="O4106" s="4" t="s">
        <v>324</v>
      </c>
      <c r="P4106" s="3"/>
      <c r="Q4106" s="4"/>
      <c r="R4106" s="4"/>
      <c r="S4106" s="9" t="str">
        <f>HYPERLINK("https://pbs.twimg.com/profile_images/960872598178582528/E0jThcg8.jpg","View")</f>
        <v>View</v>
      </c>
    </row>
    <row r="4107" spans="1:19" ht="20">
      <c r="A4107" s="8">
        <v>43341.47861111111</v>
      </c>
      <c r="B4107" s="11" t="str">
        <f>HYPERLINK("https://twitter.com/edris_vahdat","@edris_vahdat")</f>
        <v>@edris_vahdat</v>
      </c>
      <c r="C4107" s="6" t="s">
        <v>6008</v>
      </c>
      <c r="D4107" s="5" t="s">
        <v>6007</v>
      </c>
      <c r="E4107" s="9" t="str">
        <f>HYPERLINK("https://twitter.com/edris_vahdat/status/1034696956197650432","1034696956197650432")</f>
        <v>1034696956197650432</v>
      </c>
      <c r="F4107" s="4"/>
      <c r="G4107" s="4"/>
      <c r="H4107" s="4"/>
      <c r="I4107" s="10" t="str">
        <f>HYPERLINK("http://twitter.com/download/android","Twitter for Android")</f>
        <v>Twitter for Android</v>
      </c>
      <c r="J4107" s="2">
        <v>19</v>
      </c>
      <c r="K4107" s="2">
        <v>101</v>
      </c>
      <c r="L4107" s="2">
        <v>0</v>
      </c>
      <c r="M4107" s="2"/>
      <c r="N4107" s="8">
        <v>43319.623981481476</v>
      </c>
      <c r="O4107" s="4"/>
      <c r="P4107" s="3" t="s">
        <v>6006</v>
      </c>
      <c r="Q4107" s="4"/>
      <c r="R4107" s="4"/>
      <c r="S4107" s="9" t="str">
        <f>HYPERLINK("https://pbs.twimg.com/profile_images/1031798483500584960/m1aRg6cN.jpg","View")</f>
        <v>View</v>
      </c>
    </row>
    <row r="4108" spans="1:19" ht="40">
      <c r="A4108" s="8">
        <v>43341.478530092594</v>
      </c>
      <c r="B4108" s="11" t="str">
        <f>HYPERLINK("https://twitter.com/knematipour","@knematipour")</f>
        <v>@knematipour</v>
      </c>
      <c r="C4108" s="6" t="s">
        <v>6005</v>
      </c>
      <c r="D4108" s="5" t="s">
        <v>6004</v>
      </c>
      <c r="E4108" s="9" t="str">
        <f>HYPERLINK("https://twitter.com/knematipour/status/1034696926623657984","1034696926623657984")</f>
        <v>1034696926623657984</v>
      </c>
      <c r="F4108" s="4"/>
      <c r="G4108" s="4"/>
      <c r="H4108" s="4"/>
      <c r="I4108" s="10" t="str">
        <f>HYPERLINK("http://twitter.com/download/iphone","Twitter for iPhone")</f>
        <v>Twitter for iPhone</v>
      </c>
      <c r="J4108" s="2">
        <v>202</v>
      </c>
      <c r="K4108" s="2">
        <v>389</v>
      </c>
      <c r="L4108" s="2">
        <v>2</v>
      </c>
      <c r="M4108" s="2"/>
      <c r="N4108" s="8">
        <v>39916.081307870372</v>
      </c>
      <c r="O4108" s="4" t="s">
        <v>2642</v>
      </c>
      <c r="P4108" s="3" t="s">
        <v>6003</v>
      </c>
      <c r="Q4108" s="10" t="s">
        <v>6002</v>
      </c>
      <c r="R4108" s="4"/>
      <c r="S4108" s="9" t="str">
        <f>HYPERLINK("https://pbs.twimg.com/profile_images/1004979279527141377/XUtxhBT-.jpg","View")</f>
        <v>View</v>
      </c>
    </row>
    <row r="4109" spans="1:19" ht="70">
      <c r="A4109" s="8">
        <v>43341.478321759263</v>
      </c>
      <c r="B4109" s="11" t="str">
        <f>HYPERLINK("https://twitter.com/Hadi_167","@Hadi_167")</f>
        <v>@Hadi_167</v>
      </c>
      <c r="C4109" s="6" t="s">
        <v>3980</v>
      </c>
      <c r="D4109" s="5" t="s">
        <v>6001</v>
      </c>
      <c r="E4109" s="9" t="str">
        <f>HYPERLINK("https://twitter.com/Hadi_167/status/1034696849893015552","1034696849893015552")</f>
        <v>1034696849893015552</v>
      </c>
      <c r="F4109" s="10" t="s">
        <v>6000</v>
      </c>
      <c r="G4109" s="10" t="s">
        <v>5840</v>
      </c>
      <c r="H4109" s="4"/>
      <c r="I4109" s="10" t="str">
        <f>HYPERLINK("http://twitter.com/download/android","Twitter for Android")</f>
        <v>Twitter for Android</v>
      </c>
      <c r="J4109" s="2">
        <v>48</v>
      </c>
      <c r="K4109" s="2">
        <v>47</v>
      </c>
      <c r="L4109" s="2">
        <v>0</v>
      </c>
      <c r="M4109" s="2"/>
      <c r="N4109" s="8">
        <v>43320.320034722223</v>
      </c>
      <c r="O4109" s="4" t="s">
        <v>324</v>
      </c>
      <c r="P4109" s="3" t="s">
        <v>3977</v>
      </c>
      <c r="Q4109" s="4"/>
      <c r="R4109" s="4"/>
      <c r="S4109" s="9" t="str">
        <f>HYPERLINK("https://pbs.twimg.com/profile_images/1027031814018400256/Uea5hPM7.jpg","View")</f>
        <v>View</v>
      </c>
    </row>
    <row r="4110" spans="1:19" ht="20">
      <c r="A4110" s="8">
        <v>43341.47729166667</v>
      </c>
      <c r="B4110" s="11" t="str">
        <f>HYPERLINK("https://twitter.com/AhmadMokhtari93","@AhmadMokhtari93")</f>
        <v>@AhmadMokhtari93</v>
      </c>
      <c r="C4110" s="6" t="s">
        <v>5999</v>
      </c>
      <c r="D4110" s="5" t="s">
        <v>5998</v>
      </c>
      <c r="E4110" s="9" t="str">
        <f>HYPERLINK("https://twitter.com/AhmadMokhtari93/status/1034696474947403776","1034696474947403776")</f>
        <v>1034696474947403776</v>
      </c>
      <c r="F4110" s="10" t="s">
        <v>5997</v>
      </c>
      <c r="G4110" s="10" t="s">
        <v>5996</v>
      </c>
      <c r="H4110" s="4"/>
      <c r="I4110" s="10" t="str">
        <f>HYPERLINK("http://twitter.com/download/android","Twitter for Android")</f>
        <v>Twitter for Android</v>
      </c>
      <c r="J4110" s="2">
        <v>21</v>
      </c>
      <c r="K4110" s="2">
        <v>37</v>
      </c>
      <c r="L4110" s="2">
        <v>0</v>
      </c>
      <c r="M4110" s="2"/>
      <c r="N4110" s="8">
        <v>41218.031030092592</v>
      </c>
      <c r="O4110" s="4" t="s">
        <v>133</v>
      </c>
      <c r="P4110" s="3" t="s">
        <v>5995</v>
      </c>
      <c r="Q4110" s="4"/>
      <c r="R4110" s="4"/>
      <c r="S4110" s="9" t="str">
        <f>HYPERLINK("https://pbs.twimg.com/profile_images/3772488039/31fc6cfc84ac73484dba9c71e934bfe0.jpeg","View")</f>
        <v>View</v>
      </c>
    </row>
    <row r="4111" spans="1:19" ht="20">
      <c r="A4111" s="8">
        <v>43341.477071759262</v>
      </c>
      <c r="B4111" s="11" t="str">
        <f>HYPERLINK("https://twitter.com/Emtedadnews","@Emtedadnews")</f>
        <v>@Emtedadnews</v>
      </c>
      <c r="C4111" s="11" t="s">
        <v>5994</v>
      </c>
      <c r="D4111" s="5" t="s">
        <v>5993</v>
      </c>
      <c r="E4111" s="9" t="str">
        <f>HYPERLINK("https://twitter.com/Emtedadnews/status/1034696398736908289","1034696398736908289")</f>
        <v>1034696398736908289</v>
      </c>
      <c r="F4111" s="4"/>
      <c r="G4111" s="10" t="s">
        <v>5992</v>
      </c>
      <c r="H4111" s="4"/>
      <c r="I4111" s="10" t="str">
        <f>HYPERLINK("http://twitter.com/download/iphone","Twitter for iPhone")</f>
        <v>Twitter for iPhone</v>
      </c>
      <c r="J4111" s="2">
        <v>2932</v>
      </c>
      <c r="K4111" s="2">
        <v>23</v>
      </c>
      <c r="L4111" s="2">
        <v>22</v>
      </c>
      <c r="M4111" s="2"/>
      <c r="N4111" s="8">
        <v>42836.838078703702</v>
      </c>
      <c r="O4111" s="4" t="s">
        <v>34</v>
      </c>
      <c r="P4111" s="3" t="s">
        <v>5991</v>
      </c>
      <c r="Q4111" s="10" t="s">
        <v>5990</v>
      </c>
      <c r="R4111" s="4"/>
      <c r="S4111" s="9" t="str">
        <f>HYPERLINK("https://pbs.twimg.com/profile_images/856112453649932289/LCZwrtbr.jpg","View")</f>
        <v>View</v>
      </c>
    </row>
    <row r="4112" spans="1:19" ht="40">
      <c r="A4112" s="8">
        <v>43341.475995370369</v>
      </c>
      <c r="B4112" s="11" t="str">
        <f>HYPERLINK("https://twitter.com/rouydad24","@rouydad24")</f>
        <v>@rouydad24</v>
      </c>
      <c r="C4112" s="6" t="s">
        <v>5989</v>
      </c>
      <c r="D4112" s="5" t="s">
        <v>5986</v>
      </c>
      <c r="E4112" s="9" t="str">
        <f>HYPERLINK("https://twitter.com/rouydad24/status/1034696005474832384","1034696005474832384")</f>
        <v>1034696005474832384</v>
      </c>
      <c r="F4112" s="4"/>
      <c r="G4112" s="4"/>
      <c r="H4112" s="4"/>
      <c r="I4112" s="10" t="str">
        <f>HYPERLINK("http://twitter.com","Twitter Web Client")</f>
        <v>Twitter Web Client</v>
      </c>
      <c r="J4112" s="2">
        <v>416</v>
      </c>
      <c r="K4112" s="2">
        <v>1900</v>
      </c>
      <c r="L4112" s="2">
        <v>5</v>
      </c>
      <c r="M4112" s="2"/>
      <c r="N4112" s="8">
        <v>42919.631469907406</v>
      </c>
      <c r="O4112" s="4" t="s">
        <v>133</v>
      </c>
      <c r="P4112" s="3" t="s">
        <v>5988</v>
      </c>
      <c r="Q4112" s="10" t="s">
        <v>5987</v>
      </c>
      <c r="R4112" s="4"/>
      <c r="S4112" s="9" t="str">
        <f>HYPERLINK("https://pbs.twimg.com/profile_images/881825939713282048/o2O6cC6w.jpg","View")</f>
        <v>View</v>
      </c>
    </row>
    <row r="4113" spans="1:19" ht="40">
      <c r="A4113" s="8">
        <v>43341.475983796292</v>
      </c>
      <c r="B4113" s="11" t="str">
        <f>HYPERLINK("https://twitter.com/sobhe_no","@sobhe_no")</f>
        <v>@sobhe_no</v>
      </c>
      <c r="C4113" s="6" t="s">
        <v>4185</v>
      </c>
      <c r="D4113" s="5" t="s">
        <v>5986</v>
      </c>
      <c r="E4113" s="9" t="str">
        <f>HYPERLINK("https://twitter.com/sobhe_no/status/1034696003570597888","1034696003570597888")</f>
        <v>1034696003570597888</v>
      </c>
      <c r="F4113" s="4"/>
      <c r="G4113" s="4"/>
      <c r="H4113" s="4"/>
      <c r="I4113" s="10" t="str">
        <f>HYPERLINK("http://twitter.com","Twitter Web Client")</f>
        <v>Twitter Web Client</v>
      </c>
      <c r="J4113" s="2">
        <v>10635</v>
      </c>
      <c r="K4113" s="2">
        <v>31</v>
      </c>
      <c r="L4113" s="2">
        <v>72</v>
      </c>
      <c r="M4113" s="2"/>
      <c r="N4113" s="8">
        <v>42471.601400462961</v>
      </c>
      <c r="O4113" s="4" t="s">
        <v>34</v>
      </c>
      <c r="P4113" s="3" t="s">
        <v>4182</v>
      </c>
      <c r="Q4113" s="10" t="s">
        <v>4181</v>
      </c>
      <c r="R4113" s="4"/>
      <c r="S4113" s="9" t="str">
        <f>HYPERLINK("https://pbs.twimg.com/profile_images/737719828429963265/nghJhp_N.jpg","View")</f>
        <v>View</v>
      </c>
    </row>
    <row r="4114" spans="1:19" ht="30">
      <c r="A4114" s="8">
        <v>43341.475937499999</v>
      </c>
      <c r="B4114" s="11" t="str">
        <f>HYPERLINK("https://twitter.com/kazemi_j","@kazemi_j")</f>
        <v>@kazemi_j</v>
      </c>
      <c r="C4114" s="6" t="s">
        <v>5985</v>
      </c>
      <c r="D4114" s="5" t="s">
        <v>5984</v>
      </c>
      <c r="E4114" s="9" t="str">
        <f>HYPERLINK("https://twitter.com/kazemi_j/status/1034695984704643072","1034695984704643072")</f>
        <v>1034695984704643072</v>
      </c>
      <c r="F4114" s="4"/>
      <c r="G4114" s="4"/>
      <c r="H4114" s="4"/>
      <c r="I4114" s="10" t="str">
        <f>HYPERLINK("http://twitter.com/download/android","Twitter for Android")</f>
        <v>Twitter for Android</v>
      </c>
      <c r="J4114" s="2">
        <v>1</v>
      </c>
      <c r="K4114" s="2">
        <v>6</v>
      </c>
      <c r="L4114" s="2">
        <v>0</v>
      </c>
      <c r="M4114" s="2"/>
      <c r="N4114" s="8">
        <v>43250.755856481483</v>
      </c>
      <c r="O4114" s="4"/>
      <c r="P4114" s="3" t="s">
        <v>5983</v>
      </c>
      <c r="Q4114" s="4"/>
      <c r="R4114" s="4"/>
      <c r="S4114" s="9" t="str">
        <f>HYPERLINK("https://pbs.twimg.com/profile_images/1002129329378164736/5PMTFFLO.jpg","View")</f>
        <v>View</v>
      </c>
    </row>
    <row r="4115" spans="1:19" ht="40">
      <c r="A4115" s="8">
        <v>43341.47583333333</v>
      </c>
      <c r="B4115" s="11" t="str">
        <f>HYPERLINK("https://twitter.com/Ahmadsalsabili","@Ahmadsalsabili")</f>
        <v>@Ahmadsalsabili</v>
      </c>
      <c r="C4115" s="6" t="s">
        <v>5982</v>
      </c>
      <c r="D4115" s="5" t="s">
        <v>5981</v>
      </c>
      <c r="E4115" s="9" t="str">
        <f>HYPERLINK("https://twitter.com/Ahmadsalsabili/status/1034695947983323136","1034695947983323136")</f>
        <v>1034695947983323136</v>
      </c>
      <c r="F4115" s="4"/>
      <c r="G4115" s="4"/>
      <c r="H4115" s="4"/>
      <c r="I4115" s="10" t="str">
        <f>HYPERLINK("http://twitter.com/download/android","Twitter for Android")</f>
        <v>Twitter for Android</v>
      </c>
      <c r="J4115" s="2">
        <v>82</v>
      </c>
      <c r="K4115" s="2">
        <v>322</v>
      </c>
      <c r="L4115" s="2">
        <v>0</v>
      </c>
      <c r="M4115" s="2"/>
      <c r="N4115" s="8">
        <v>42232.650706018518</v>
      </c>
      <c r="O4115" s="4" t="s">
        <v>34</v>
      </c>
      <c r="P4115" s="3" t="s">
        <v>5980</v>
      </c>
      <c r="Q4115" s="4"/>
      <c r="R4115" s="4"/>
      <c r="S4115" s="9" t="str">
        <f>HYPERLINK("https://pbs.twimg.com/profile_images/1011917008705867776/6sRHQRCx.jpg","View")</f>
        <v>View</v>
      </c>
    </row>
    <row r="4116" spans="1:19" ht="40">
      <c r="A4116" s="8">
        <v>43341.475648148145</v>
      </c>
      <c r="B4116" s="11" t="str">
        <f>HYPERLINK("https://twitter.com/alignmd","@alignmd")</f>
        <v>@alignmd</v>
      </c>
      <c r="C4116" s="6" t="s">
        <v>722</v>
      </c>
      <c r="D4116" s="5" t="s">
        <v>5979</v>
      </c>
      <c r="E4116" s="9" t="str">
        <f>HYPERLINK("https://twitter.com/alignmd/status/1034695880614535169","1034695880614535169")</f>
        <v>1034695880614535169</v>
      </c>
      <c r="F4116" s="4"/>
      <c r="G4116" s="4"/>
      <c r="H4116" s="4"/>
      <c r="I4116" s="10" t="str">
        <f>HYPERLINK("http://twitter.com/download/iphone","Twitter for iPhone")</f>
        <v>Twitter for iPhone</v>
      </c>
      <c r="J4116" s="2">
        <v>207</v>
      </c>
      <c r="K4116" s="2">
        <v>499</v>
      </c>
      <c r="L4116" s="2">
        <v>0</v>
      </c>
      <c r="M4116" s="2"/>
      <c r="N4116" s="8">
        <v>39977.207141203704</v>
      </c>
      <c r="O4116" s="4"/>
      <c r="P4116" s="3"/>
      <c r="Q4116" s="4"/>
      <c r="R4116" s="4"/>
      <c r="S4116" s="9" t="str">
        <f>HYPERLINK("https://pbs.twimg.com/profile_images/1004626436148342784/OEnenyj5.jpg","View")</f>
        <v>View</v>
      </c>
    </row>
    <row r="4117" spans="1:19" ht="40">
      <c r="A4117" s="8">
        <v>43341.475543981476</v>
      </c>
      <c r="B4117" s="11" t="str">
        <f>HYPERLINK("https://twitter.com/sajjad_mgd","@sajjad_mgd")</f>
        <v>@sajjad_mgd</v>
      </c>
      <c r="C4117" s="6" t="s">
        <v>5978</v>
      </c>
      <c r="D4117" s="5" t="s">
        <v>5977</v>
      </c>
      <c r="E4117" s="9" t="str">
        <f>HYPERLINK("https://twitter.com/sajjad_mgd/status/1034695841695637509","1034695841695637509")</f>
        <v>1034695841695637509</v>
      </c>
      <c r="F4117" s="4"/>
      <c r="G4117" s="4"/>
      <c r="H4117" s="4"/>
      <c r="I4117" s="10" t="str">
        <f>HYPERLINK("http://twitter.com/download/android","Twitter for Android")</f>
        <v>Twitter for Android</v>
      </c>
      <c r="J4117" s="2">
        <v>433</v>
      </c>
      <c r="K4117" s="2">
        <v>873</v>
      </c>
      <c r="L4117" s="2">
        <v>1</v>
      </c>
      <c r="M4117" s="2"/>
      <c r="N4117" s="8">
        <v>42742.52548611111</v>
      </c>
      <c r="O4117" s="4" t="s">
        <v>17</v>
      </c>
      <c r="P4117" s="3" t="s">
        <v>5976</v>
      </c>
      <c r="Q4117" s="10" t="s">
        <v>5975</v>
      </c>
      <c r="R4117" s="4"/>
      <c r="S4117" s="9" t="str">
        <f>HYPERLINK("https://pbs.twimg.com/profile_images/913875665182756864/vaFnZrg9.jpg","View")</f>
        <v>View</v>
      </c>
    </row>
    <row r="4118" spans="1:19" ht="30">
      <c r="A4118" s="8">
        <v>43341.475405092591</v>
      </c>
      <c r="B4118" s="11" t="str">
        <f>HYPERLINK("https://twitter.com/Nasser74525203","@Nasser74525203")</f>
        <v>@Nasser74525203</v>
      </c>
      <c r="C4118" s="6" t="s">
        <v>5974</v>
      </c>
      <c r="D4118" s="5" t="s">
        <v>5973</v>
      </c>
      <c r="E4118" s="9" t="str">
        <f>HYPERLINK("https://twitter.com/Nasser74525203/status/1034695793805062144","1034695793805062144")</f>
        <v>1034695793805062144</v>
      </c>
      <c r="F4118" s="4"/>
      <c r="G4118" s="10" t="s">
        <v>5972</v>
      </c>
      <c r="H4118" s="4"/>
      <c r="I4118" s="10" t="str">
        <f>HYPERLINK("http://twitter.com/download/android","Twitter for Android")</f>
        <v>Twitter for Android</v>
      </c>
      <c r="J4118" s="2">
        <v>511</v>
      </c>
      <c r="K4118" s="2">
        <v>1241</v>
      </c>
      <c r="L4118" s="2">
        <v>0</v>
      </c>
      <c r="M4118" s="2"/>
      <c r="N4118" s="8">
        <v>43220.521782407406</v>
      </c>
      <c r="O4118" s="4"/>
      <c r="P4118" s="3"/>
      <c r="Q4118" s="4"/>
      <c r="R4118" s="4"/>
      <c r="S4118" s="9" t="str">
        <f>HYPERLINK("https://pbs.twimg.com/profile_images/1031914305237729282/Ii8Ylhc0.jpg","View")</f>
        <v>View</v>
      </c>
    </row>
    <row r="4119" spans="1:19" ht="12.5">
      <c r="A4119" s="8">
        <v>43341.47520833333</v>
      </c>
      <c r="B4119" s="11" t="str">
        <f>HYPERLINK("https://twitter.com/hesamdjnaser","@hesamdjnaser")</f>
        <v>@hesamdjnaser</v>
      </c>
      <c r="C4119" s="6" t="s">
        <v>5971</v>
      </c>
      <c r="D4119" s="5" t="s">
        <v>5970</v>
      </c>
      <c r="E4119" s="9" t="str">
        <f>HYPERLINK("https://twitter.com/hesamdjnaser/status/1034695720392122369","1034695720392122369")</f>
        <v>1034695720392122369</v>
      </c>
      <c r="F4119" s="4"/>
      <c r="G4119" s="4"/>
      <c r="H4119" s="4"/>
      <c r="I4119" s="10" t="str">
        <f>HYPERLINK("http://twitter.com/download/android","Twitter for Android")</f>
        <v>Twitter for Android</v>
      </c>
      <c r="J4119" s="2">
        <v>1217</v>
      </c>
      <c r="K4119" s="2">
        <v>1585</v>
      </c>
      <c r="L4119" s="2">
        <v>2</v>
      </c>
      <c r="M4119" s="2"/>
      <c r="N4119" s="8">
        <v>41701.659930555557</v>
      </c>
      <c r="O4119" s="4" t="s">
        <v>1631</v>
      </c>
      <c r="P4119" s="3" t="s">
        <v>5969</v>
      </c>
      <c r="Q4119" s="4"/>
      <c r="R4119" s="4"/>
      <c r="S4119" s="9" t="str">
        <f>HYPERLINK("https://pbs.twimg.com/profile_images/1027120912536096770/ATH6-dm1.jpg","View")</f>
        <v>View</v>
      </c>
    </row>
    <row r="4120" spans="1:19" ht="40">
      <c r="A4120" s="8">
        <v>43341.475173611107</v>
      </c>
      <c r="B4120" s="11" t="str">
        <f>HYPERLINK("https://twitter.com/ghotnibaf_h","@ghotnibaf_h")</f>
        <v>@ghotnibaf_h</v>
      </c>
      <c r="C4120" s="6" t="s">
        <v>5968</v>
      </c>
      <c r="D4120" s="5" t="s">
        <v>5967</v>
      </c>
      <c r="E4120" s="9" t="str">
        <f>HYPERLINK("https://twitter.com/ghotnibaf_h/status/1034695707733753856","1034695707733753856")</f>
        <v>1034695707733753856</v>
      </c>
      <c r="F4120" s="4"/>
      <c r="G4120" s="4"/>
      <c r="H4120" s="4"/>
      <c r="I4120" s="10" t="str">
        <f>HYPERLINK("http://twitter.com","Twitter Web Client")</f>
        <v>Twitter Web Client</v>
      </c>
      <c r="J4120" s="2">
        <v>60</v>
      </c>
      <c r="K4120" s="2">
        <v>70</v>
      </c>
      <c r="L4120" s="2">
        <v>0</v>
      </c>
      <c r="M4120" s="2"/>
      <c r="N4120" s="8">
        <v>43140.877939814818</v>
      </c>
      <c r="O4120" s="4" t="s">
        <v>104</v>
      </c>
      <c r="P4120" s="3" t="s">
        <v>5966</v>
      </c>
      <c r="Q4120" s="10" t="s">
        <v>5965</v>
      </c>
      <c r="R4120" s="4"/>
      <c r="S4120" s="9" t="str">
        <f>HYPERLINK("https://pbs.twimg.com/profile_images/962017875803303936/5je4CLyT.jpg","View")</f>
        <v>View</v>
      </c>
    </row>
    <row r="4121" spans="1:19" ht="20">
      <c r="A4121" s="8">
        <v>43341.47446759259</v>
      </c>
      <c r="B4121" s="11" t="str">
        <f>HYPERLINK("https://twitter.com/Ghoghnus11","@Ghoghnus11")</f>
        <v>@Ghoghnus11</v>
      </c>
      <c r="C4121" s="6" t="s">
        <v>15</v>
      </c>
      <c r="D4121" s="5" t="s">
        <v>5964</v>
      </c>
      <c r="E4121" s="9" t="str">
        <f>HYPERLINK("https://twitter.com/Ghoghnus11/status/1034695453101707265","1034695453101707265")</f>
        <v>1034695453101707265</v>
      </c>
      <c r="F4121" s="4"/>
      <c r="G4121" s="4"/>
      <c r="H4121" s="4"/>
      <c r="I4121" s="10" t="str">
        <f>HYPERLINK("http://twitter.com/download/android","Twitter for Android")</f>
        <v>Twitter for Android</v>
      </c>
      <c r="J4121" s="2">
        <v>1267</v>
      </c>
      <c r="K4121" s="2">
        <v>1476</v>
      </c>
      <c r="L4121" s="2">
        <v>2</v>
      </c>
      <c r="M4121" s="2"/>
      <c r="N4121" s="8">
        <v>43145.030578703707</v>
      </c>
      <c r="O4121" s="4"/>
      <c r="P4121" s="3" t="s">
        <v>13</v>
      </c>
      <c r="Q4121" s="4"/>
      <c r="R4121" s="4"/>
      <c r="S4121" s="9" t="str">
        <f>HYPERLINK("https://pbs.twimg.com/profile_images/998733120865091584/fgjpCWOH.jpg","View")</f>
        <v>View</v>
      </c>
    </row>
    <row r="4122" spans="1:19" ht="30">
      <c r="A4122" s="8">
        <v>43341.473425925928</v>
      </c>
      <c r="B4122" s="11" t="str">
        <f>HYPERLINK("https://twitter.com/h_saeedfirozeh","@h_saeedfirozeh")</f>
        <v>@h_saeedfirozeh</v>
      </c>
      <c r="C4122" s="6" t="s">
        <v>5963</v>
      </c>
      <c r="D4122" s="5" t="s">
        <v>5962</v>
      </c>
      <c r="E4122" s="9" t="str">
        <f>HYPERLINK("https://twitter.com/h_saeedfirozeh/status/1034695075899555840","1034695075899555840")</f>
        <v>1034695075899555840</v>
      </c>
      <c r="F4122" s="4"/>
      <c r="G4122" s="10" t="s">
        <v>5961</v>
      </c>
      <c r="H4122" s="4"/>
      <c r="I4122" s="10" t="str">
        <f>HYPERLINK("http://twitter.com/download/android","Twitter for Android")</f>
        <v>Twitter for Android</v>
      </c>
      <c r="J4122" s="2">
        <v>3918</v>
      </c>
      <c r="K4122" s="2">
        <v>3054</v>
      </c>
      <c r="L4122" s="2">
        <v>11</v>
      </c>
      <c r="M4122" s="2"/>
      <c r="N4122" s="8">
        <v>42745.632997685185</v>
      </c>
      <c r="O4122" s="4" t="s">
        <v>2193</v>
      </c>
      <c r="P4122" s="3" t="s">
        <v>5960</v>
      </c>
      <c r="Q4122" s="4"/>
      <c r="R4122" s="4"/>
      <c r="S4122" s="9" t="str">
        <f>HYPERLINK("https://pbs.twimg.com/profile_images/1026893594362355714/ncrzZV2t.jpg","View")</f>
        <v>View</v>
      </c>
    </row>
    <row r="4123" spans="1:19" ht="20">
      <c r="A4123" s="8">
        <v>43341.472511574073</v>
      </c>
      <c r="B4123" s="11" t="str">
        <f>HYPERLINK("https://twitter.com/yjcagency","@yjcagency")</f>
        <v>@yjcagency</v>
      </c>
      <c r="C4123" s="6" t="s">
        <v>3511</v>
      </c>
      <c r="D4123" s="5" t="s">
        <v>5959</v>
      </c>
      <c r="E4123" s="9" t="str">
        <f>HYPERLINK("https://twitter.com/yjcagency/status/1034694743941365760","1034694743941365760")</f>
        <v>1034694743941365760</v>
      </c>
      <c r="F4123" s="10" t="s">
        <v>5958</v>
      </c>
      <c r="G4123" s="10" t="s">
        <v>5957</v>
      </c>
      <c r="H4123" s="4"/>
      <c r="I4123" s="10" t="str">
        <f>HYPERLINK("http://twitter.com/download/android","Twitter for Android")</f>
        <v>Twitter for Android</v>
      </c>
      <c r="J4123" s="2">
        <v>10735</v>
      </c>
      <c r="K4123" s="2">
        <v>3</v>
      </c>
      <c r="L4123" s="2">
        <v>55</v>
      </c>
      <c r="M4123" s="2"/>
      <c r="N4123" s="8">
        <v>42691.645821759259</v>
      </c>
      <c r="O4123" s="4" t="s">
        <v>3508</v>
      </c>
      <c r="P4123" s="3" t="s">
        <v>3507</v>
      </c>
      <c r="Q4123" s="10" t="s">
        <v>3506</v>
      </c>
      <c r="R4123" s="4"/>
      <c r="S4123" s="9" t="str">
        <f>HYPERLINK("https://pbs.twimg.com/profile_images/1016530264250568704/lVYN9g8h.jpg","View")</f>
        <v>View</v>
      </c>
    </row>
    <row r="4124" spans="1:19" ht="20">
      <c r="A4124" s="8">
        <v>43341.472048611111</v>
      </c>
      <c r="B4124" s="11" t="str">
        <f>HYPERLINK("https://twitter.com/Seyedrashmi","@Seyedrashmi")</f>
        <v>@Seyedrashmi</v>
      </c>
      <c r="C4124" s="6" t="s">
        <v>1505</v>
      </c>
      <c r="D4124" s="5" t="s">
        <v>5956</v>
      </c>
      <c r="E4124" s="9" t="str">
        <f>HYPERLINK("https://twitter.com/Seyedrashmi/status/1034694576613851141","1034694576613851141")</f>
        <v>1034694576613851141</v>
      </c>
      <c r="F4124" s="4"/>
      <c r="G4124" s="4"/>
      <c r="H4124" s="4"/>
      <c r="I4124" s="10" t="str">
        <f>HYPERLINK("http://twitter.com/download/iphone","Twitter for iPhone")</f>
        <v>Twitter for iPhone</v>
      </c>
      <c r="J4124" s="2">
        <v>9</v>
      </c>
      <c r="K4124" s="2">
        <v>26</v>
      </c>
      <c r="L4124" s="2">
        <v>0</v>
      </c>
      <c r="M4124" s="2"/>
      <c r="N4124" s="8">
        <v>40846.517962962964</v>
      </c>
      <c r="O4124" s="4" t="s">
        <v>1503</v>
      </c>
      <c r="P4124" s="3" t="s">
        <v>1502</v>
      </c>
      <c r="Q4124" s="10" t="s">
        <v>1501</v>
      </c>
      <c r="R4124" s="4"/>
      <c r="S4124" s="9" t="str">
        <f>HYPERLINK("https://pbs.twimg.com/profile_images/1010528866815959040/b5_hEHrn.jpg","View")</f>
        <v>View</v>
      </c>
    </row>
    <row r="4125" spans="1:19" ht="20">
      <c r="A4125" s="8">
        <v>43341.471215277779</v>
      </c>
      <c r="B4125" s="11" t="str">
        <f>HYPERLINK("https://twitter.com/Mahdi25783774","@Mahdi25783774")</f>
        <v>@Mahdi25783774</v>
      </c>
      <c r="C4125" s="6" t="s">
        <v>5469</v>
      </c>
      <c r="D4125" s="5" t="s">
        <v>5955</v>
      </c>
      <c r="E4125" s="9" t="str">
        <f>HYPERLINK("https://twitter.com/Mahdi25783774/status/1034694276075139072","1034694276075139072")</f>
        <v>1034694276075139072</v>
      </c>
      <c r="F4125" s="4"/>
      <c r="G4125" s="10" t="s">
        <v>5954</v>
      </c>
      <c r="H4125" s="4"/>
      <c r="I4125" s="10" t="str">
        <f>HYPERLINK("http://twitter.com/download/android","Twitter for Android")</f>
        <v>Twitter for Android</v>
      </c>
      <c r="J4125" s="2">
        <v>613</v>
      </c>
      <c r="K4125" s="2">
        <v>813</v>
      </c>
      <c r="L4125" s="2">
        <v>1</v>
      </c>
      <c r="M4125" s="2"/>
      <c r="N4125" s="8">
        <v>43233.519814814819</v>
      </c>
      <c r="O4125" s="4" t="s">
        <v>133</v>
      </c>
      <c r="P4125" s="3" t="s">
        <v>5466</v>
      </c>
      <c r="Q4125" s="4"/>
      <c r="R4125" s="4"/>
      <c r="S4125" s="9" t="str">
        <f>HYPERLINK("https://pbs.twimg.com/profile_images/1033642102679318528/4lBWskrd.jpg","View")</f>
        <v>View</v>
      </c>
    </row>
    <row r="4126" spans="1:19" ht="20">
      <c r="A4126" s="8">
        <v>43341.470625000002</v>
      </c>
      <c r="B4126" s="11" t="str">
        <f>HYPERLINK("https://twitter.com/ta_hododi_sina","@ta_hododi_sina")</f>
        <v>@ta_hododi_sina</v>
      </c>
      <c r="C4126" s="6" t="s">
        <v>5953</v>
      </c>
      <c r="D4126" s="5" t="s">
        <v>5952</v>
      </c>
      <c r="E4126" s="9" t="str">
        <f>HYPERLINK("https://twitter.com/ta_hododi_sina/status/1034694059292549121","1034694059292549121")</f>
        <v>1034694059292549121</v>
      </c>
      <c r="F4126" s="4"/>
      <c r="G4126" s="4"/>
      <c r="H4126" s="4"/>
      <c r="I4126" s="10" t="str">
        <f>HYPERLINK("http://twitter.com/download/android","Twitter for Android")</f>
        <v>Twitter for Android</v>
      </c>
      <c r="J4126" s="2">
        <v>257</v>
      </c>
      <c r="K4126" s="2">
        <v>193</v>
      </c>
      <c r="L4126" s="2">
        <v>0</v>
      </c>
      <c r="M4126" s="2"/>
      <c r="N4126" s="8">
        <v>42827.535694444443</v>
      </c>
      <c r="O4126" s="4" t="s">
        <v>5940</v>
      </c>
      <c r="P4126" s="3" t="s">
        <v>5951</v>
      </c>
      <c r="Q4126" s="4"/>
      <c r="R4126" s="4"/>
      <c r="S4126" s="9" t="str">
        <f>HYPERLINK("https://pbs.twimg.com/profile_images/1022980687446593538/uiQJtzPP.jpg","View")</f>
        <v>View</v>
      </c>
    </row>
    <row r="4127" spans="1:19" ht="30">
      <c r="A4127" s="8">
        <v>43341.47047453704</v>
      </c>
      <c r="B4127" s="11" t="str">
        <f>HYPERLINK("https://twitter.com/hamshahrinews","@hamshahrinews")</f>
        <v>@hamshahrinews</v>
      </c>
      <c r="C4127" s="6" t="s">
        <v>2149</v>
      </c>
      <c r="D4127" s="5" t="s">
        <v>5950</v>
      </c>
      <c r="E4127" s="9" t="str">
        <f>HYPERLINK("https://twitter.com/hamshahrinews/status/1034694004443672576","1034694004443672576")</f>
        <v>1034694004443672576</v>
      </c>
      <c r="F4127" s="4"/>
      <c r="G4127" s="10" t="s">
        <v>5949</v>
      </c>
      <c r="H4127" s="4"/>
      <c r="I4127" s="10" t="str">
        <f>HYPERLINK("http://twitter.com","Twitter Web Client")</f>
        <v>Twitter Web Client</v>
      </c>
      <c r="J4127" s="2">
        <v>1851</v>
      </c>
      <c r="K4127" s="2">
        <v>12</v>
      </c>
      <c r="L4127" s="2">
        <v>36</v>
      </c>
      <c r="M4127" s="2"/>
      <c r="N4127" s="8">
        <v>42984.575752314813</v>
      </c>
      <c r="O4127" s="4" t="s">
        <v>133</v>
      </c>
      <c r="P4127" s="3" t="s">
        <v>2146</v>
      </c>
      <c r="Q4127" s="10" t="s">
        <v>2145</v>
      </c>
      <c r="R4127" s="4"/>
      <c r="S4127" s="9" t="str">
        <f>HYPERLINK("https://pbs.twimg.com/profile_images/918008480631533568/-awyAU90.jpg","View")</f>
        <v>View</v>
      </c>
    </row>
    <row r="4128" spans="1:19" ht="20">
      <c r="A4128" s="8">
        <v>43341.470358796301</v>
      </c>
      <c r="B4128" s="11" t="str">
        <f>HYPERLINK("https://twitter.com/mahjavad","@mahjavad")</f>
        <v>@mahjavad</v>
      </c>
      <c r="C4128" s="6" t="s">
        <v>3737</v>
      </c>
      <c r="D4128" s="5" t="s">
        <v>5948</v>
      </c>
      <c r="E4128" s="9" t="str">
        <f>HYPERLINK("https://twitter.com/mahjavad/status/1034693965273067520","1034693965273067520")</f>
        <v>1034693965273067520</v>
      </c>
      <c r="F4128" s="4"/>
      <c r="G4128" s="4"/>
      <c r="H4128" s="4"/>
      <c r="I4128" s="10" t="str">
        <f>HYPERLINK("http://twitter.com/download/android","Twitter for Android")</f>
        <v>Twitter for Android</v>
      </c>
      <c r="J4128" s="2">
        <v>792</v>
      </c>
      <c r="K4128" s="2">
        <v>788</v>
      </c>
      <c r="L4128" s="2">
        <v>1</v>
      </c>
      <c r="M4128" s="2"/>
      <c r="N4128" s="8">
        <v>43145.424097222218</v>
      </c>
      <c r="O4128" s="4" t="s">
        <v>3735</v>
      </c>
      <c r="P4128" s="3" t="s">
        <v>3734</v>
      </c>
      <c r="Q4128" s="4"/>
      <c r="R4128" s="4"/>
      <c r="S4128" s="9" t="str">
        <f>HYPERLINK("https://pbs.twimg.com/profile_images/971279225780162560/KBpebqeH.jpg","View")</f>
        <v>View</v>
      </c>
    </row>
    <row r="4129" spans="1:19" ht="20">
      <c r="A4129" s="8">
        <v>43341.470162037032</v>
      </c>
      <c r="B4129" s="11" t="str">
        <f>HYPERLINK("https://twitter.com/Tasnimnews_Fa","@Tasnimnews_Fa")</f>
        <v>@Tasnimnews_Fa</v>
      </c>
      <c r="C4129" s="6" t="s">
        <v>603</v>
      </c>
      <c r="D4129" s="5" t="s">
        <v>5947</v>
      </c>
      <c r="E4129" s="9" t="str">
        <f>HYPERLINK("https://twitter.com/Tasnimnews_Fa/status/1034693894443806721","1034693894443806721")</f>
        <v>1034693894443806721</v>
      </c>
      <c r="F4129" s="4"/>
      <c r="G4129" s="10" t="s">
        <v>5946</v>
      </c>
      <c r="H4129" s="4"/>
      <c r="I4129" s="10" t="str">
        <f>HYPERLINK("http://twitter.com","Twitter Web Client")</f>
        <v>Twitter Web Client</v>
      </c>
      <c r="J4129" s="2">
        <v>109393</v>
      </c>
      <c r="K4129" s="2">
        <v>20</v>
      </c>
      <c r="L4129" s="2">
        <v>375</v>
      </c>
      <c r="M4129" s="2" t="s">
        <v>80</v>
      </c>
      <c r="N4129" s="8">
        <v>41868.671585648146</v>
      </c>
      <c r="O4129" s="4" t="s">
        <v>133</v>
      </c>
      <c r="P4129" s="3" t="s">
        <v>599</v>
      </c>
      <c r="Q4129" s="10" t="s">
        <v>598</v>
      </c>
      <c r="R4129" s="4"/>
      <c r="S4129" s="9" t="str">
        <f>HYPERLINK("https://pbs.twimg.com/profile_images/942003149430239232/hvLw_1_E.jpg","View")</f>
        <v>View</v>
      </c>
    </row>
    <row r="4130" spans="1:19" ht="20">
      <c r="A4130" s="8">
        <v>43341.47011574074</v>
      </c>
      <c r="B4130" s="11" t="str">
        <f>HYPERLINK("https://twitter.com/parisapershad","@parisapershad")</f>
        <v>@parisapershad</v>
      </c>
      <c r="C4130" s="6" t="s">
        <v>5945</v>
      </c>
      <c r="D4130" s="5" t="s">
        <v>5944</v>
      </c>
      <c r="E4130" s="9" t="str">
        <f>HYPERLINK("https://twitter.com/parisapershad/status/1034693876517404672","1034693876517404672")</f>
        <v>1034693876517404672</v>
      </c>
      <c r="F4130" s="4"/>
      <c r="G4130" s="10" t="s">
        <v>5943</v>
      </c>
      <c r="H4130" s="4"/>
      <c r="I4130" s="10" t="str">
        <f>HYPERLINK("http://twitter.com/download/android","Twitter for Android")</f>
        <v>Twitter for Android</v>
      </c>
      <c r="J4130" s="2">
        <v>40</v>
      </c>
      <c r="K4130" s="2">
        <v>84</v>
      </c>
      <c r="L4130" s="2">
        <v>0</v>
      </c>
      <c r="M4130" s="2"/>
      <c r="N4130" s="8">
        <v>41425.364247685182</v>
      </c>
      <c r="O4130" s="4"/>
      <c r="P4130" s="3" t="s">
        <v>704</v>
      </c>
      <c r="Q4130" s="4"/>
      <c r="R4130" s="4"/>
      <c r="S4130" s="9" t="str">
        <f>HYPERLINK("https://pbs.twimg.com/profile_images/1033793695546527746/VHnH9WVC.jpg","View")</f>
        <v>View</v>
      </c>
    </row>
    <row r="4131" spans="1:19" ht="30">
      <c r="A4131" s="8">
        <v>43341.469421296293</v>
      </c>
      <c r="B4131" s="11" t="str">
        <f>HYPERLINK("https://twitter.com/javoonak","@javoonak")</f>
        <v>@javoonak</v>
      </c>
      <c r="C4131" s="6" t="s">
        <v>5942</v>
      </c>
      <c r="D4131" s="5" t="s">
        <v>5941</v>
      </c>
      <c r="E4131" s="9" t="str">
        <f>HYPERLINK("https://twitter.com/javoonak/status/1034693623768600577","1034693623768600577")</f>
        <v>1034693623768600577</v>
      </c>
      <c r="F4131" s="4"/>
      <c r="G4131" s="4"/>
      <c r="H4131" s="4"/>
      <c r="I4131" s="10" t="str">
        <f>HYPERLINK("http://twitter.com/download/android","Twitter for Android")</f>
        <v>Twitter for Android</v>
      </c>
      <c r="J4131" s="2">
        <v>531</v>
      </c>
      <c r="K4131" s="2">
        <v>454</v>
      </c>
      <c r="L4131" s="2">
        <v>0</v>
      </c>
      <c r="M4131" s="2"/>
      <c r="N4131" s="8">
        <v>40406.47047453704</v>
      </c>
      <c r="O4131" s="4" t="s">
        <v>5940</v>
      </c>
      <c r="P4131" s="3" t="s">
        <v>5939</v>
      </c>
      <c r="Q4131" s="4"/>
      <c r="R4131" s="4"/>
      <c r="S4131" s="9" t="str">
        <f>HYPERLINK("https://pbs.twimg.com/profile_images/1030092008055078912/p5mZWu3u.jpg","View")</f>
        <v>View</v>
      </c>
    </row>
    <row r="4132" spans="1:19" ht="40">
      <c r="A4132" s="8">
        <v>43341.469224537039</v>
      </c>
      <c r="B4132" s="11" t="str">
        <f>HYPERLINK("https://twitter.com/Tasnimnews_Fa","@Tasnimnews_Fa")</f>
        <v>@Tasnimnews_Fa</v>
      </c>
      <c r="C4132" s="6" t="s">
        <v>603</v>
      </c>
      <c r="D4132" s="5" t="s">
        <v>5938</v>
      </c>
      <c r="E4132" s="9" t="str">
        <f>HYPERLINK("https://twitter.com/Tasnimnews_Fa/status/1034693553857941504","1034693553857941504")</f>
        <v>1034693553857941504</v>
      </c>
      <c r="F4132" s="10" t="s">
        <v>5937</v>
      </c>
      <c r="G4132" s="10" t="s">
        <v>5936</v>
      </c>
      <c r="H4132" s="4"/>
      <c r="I4132" s="10" t="str">
        <f>HYPERLINK("http://twitter.com","Twitter Web Client")</f>
        <v>Twitter Web Client</v>
      </c>
      <c r="J4132" s="2">
        <v>109393</v>
      </c>
      <c r="K4132" s="2">
        <v>20</v>
      </c>
      <c r="L4132" s="2">
        <v>375</v>
      </c>
      <c r="M4132" s="2" t="s">
        <v>80</v>
      </c>
      <c r="N4132" s="8">
        <v>41868.671585648146</v>
      </c>
      <c r="O4132" s="4" t="s">
        <v>133</v>
      </c>
      <c r="P4132" s="3" t="s">
        <v>599</v>
      </c>
      <c r="Q4132" s="10" t="s">
        <v>598</v>
      </c>
      <c r="R4132" s="4"/>
      <c r="S4132" s="9" t="str">
        <f>HYPERLINK("https://pbs.twimg.com/profile_images/942003149430239232/hvLw_1_E.jpg","View")</f>
        <v>View</v>
      </c>
    </row>
    <row r="4133" spans="1:19" ht="30">
      <c r="A4133" s="8">
        <v>43341.469004629631</v>
      </c>
      <c r="B4133" s="11" t="str">
        <f>HYPERLINK("https://twitter.com/eghtesadonline","@eghtesadonline")</f>
        <v>@eghtesadonline</v>
      </c>
      <c r="C4133" s="6" t="s">
        <v>5935</v>
      </c>
      <c r="D4133" s="5" t="s">
        <v>5934</v>
      </c>
      <c r="E4133" s="9" t="str">
        <f>HYPERLINK("https://twitter.com/eghtesadonline/status/1034693475894284288","1034693475894284288")</f>
        <v>1034693475894284288</v>
      </c>
      <c r="F4133" s="4"/>
      <c r="G4133" s="4"/>
      <c r="H4133" s="4"/>
      <c r="I4133" s="10" t="str">
        <f>HYPERLINK("http://twitter.com","Twitter Web Client")</f>
        <v>Twitter Web Client</v>
      </c>
      <c r="J4133" s="2">
        <v>2086</v>
      </c>
      <c r="K4133" s="2">
        <v>7</v>
      </c>
      <c r="L4133" s="2">
        <v>41</v>
      </c>
      <c r="M4133" s="2"/>
      <c r="N4133" s="8">
        <v>41595.377060185187</v>
      </c>
      <c r="O4133" s="4" t="s">
        <v>17</v>
      </c>
      <c r="P4133" s="3" t="s">
        <v>5933</v>
      </c>
      <c r="Q4133" s="10" t="s">
        <v>5932</v>
      </c>
      <c r="R4133" s="4"/>
      <c r="S4133" s="9" t="str">
        <f>HYPERLINK("https://pbs.twimg.com/profile_images/1034350708475224064/4dNqWRJC.jpg","View")</f>
        <v>View</v>
      </c>
    </row>
    <row r="4134" spans="1:19" ht="20">
      <c r="A4134" s="8">
        <v>43341.468587962961</v>
      </c>
      <c r="B4134" s="11" t="str">
        <f>HYPERLINK("https://twitter.com/mahdiyavaran_","@mahdiyavaran_")</f>
        <v>@mahdiyavaran_</v>
      </c>
      <c r="C4134" s="6" t="s">
        <v>5839</v>
      </c>
      <c r="D4134" s="5" t="s">
        <v>5931</v>
      </c>
      <c r="E4134" s="9" t="str">
        <f>HYPERLINK("https://twitter.com/mahdiyavaran_/status/1034693324400218119","1034693324400218119")</f>
        <v>1034693324400218119</v>
      </c>
      <c r="F4134" s="4"/>
      <c r="G4134" s="4"/>
      <c r="H4134" s="4"/>
      <c r="I4134" s="10" t="str">
        <f>HYPERLINK("http://twitter.com/download/iphone","Twitter for iPhone")</f>
        <v>Twitter for iPhone</v>
      </c>
      <c r="J4134" s="2">
        <v>1874</v>
      </c>
      <c r="K4134" s="2">
        <v>2033</v>
      </c>
      <c r="L4134" s="2">
        <v>2</v>
      </c>
      <c r="M4134" s="2"/>
      <c r="N4134" s="8">
        <v>43248.949444444443</v>
      </c>
      <c r="O4134" s="4" t="s">
        <v>34</v>
      </c>
      <c r="P4134" s="3" t="s">
        <v>5835</v>
      </c>
      <c r="Q4134" s="4"/>
      <c r="R4134" s="4"/>
      <c r="S4134" s="9" t="str">
        <f>HYPERLINK("https://pbs.twimg.com/profile_images/1034016650792718336/FR1LY_2Y.jpg","View")</f>
        <v>View</v>
      </c>
    </row>
    <row r="4135" spans="1:19" ht="12.5">
      <c r="A4135" s="8">
        <v>43341.468310185184</v>
      </c>
      <c r="B4135" s="11" t="str">
        <f>HYPERLINK("https://twitter.com/alnapachino","@alnapachino")</f>
        <v>@alnapachino</v>
      </c>
      <c r="C4135" s="6" t="s">
        <v>5930</v>
      </c>
      <c r="D4135" s="5" t="s">
        <v>5929</v>
      </c>
      <c r="E4135" s="9" t="str">
        <f>HYPERLINK("https://twitter.com/alnapachino/status/1034693223871115264","1034693223871115264")</f>
        <v>1034693223871115264</v>
      </c>
      <c r="F4135" s="4"/>
      <c r="G4135" s="10" t="s">
        <v>5928</v>
      </c>
      <c r="H4135" s="4"/>
      <c r="I4135" s="10" t="str">
        <f>HYPERLINK("http://twitter.com","Twitter Web Client")</f>
        <v>Twitter Web Client</v>
      </c>
      <c r="J4135" s="2">
        <v>820</v>
      </c>
      <c r="K4135" s="2">
        <v>531</v>
      </c>
      <c r="L4135" s="2">
        <v>2</v>
      </c>
      <c r="M4135" s="2"/>
      <c r="N4135" s="8">
        <v>42425.999039351853</v>
      </c>
      <c r="O4135" s="4"/>
      <c r="P4135" s="3" t="s">
        <v>5927</v>
      </c>
      <c r="Q4135" s="4"/>
      <c r="R4135" s="4"/>
      <c r="S4135" s="9" t="str">
        <f>HYPERLINK("https://pbs.twimg.com/profile_images/981244499757236224/pbpEdfIz.jpg","View")</f>
        <v>View</v>
      </c>
    </row>
    <row r="4136" spans="1:19" ht="40">
      <c r="A4136" s="8">
        <v>43341.46769675926</v>
      </c>
      <c r="B4136" s="11" t="str">
        <f>HYPERLINK("https://twitter.com/MoeinMD","@MoeinMD")</f>
        <v>@MoeinMD</v>
      </c>
      <c r="C4136" s="6" t="s">
        <v>5926</v>
      </c>
      <c r="D4136" s="5" t="s">
        <v>5925</v>
      </c>
      <c r="E4136" s="9" t="str">
        <f>HYPERLINK("https://twitter.com/MoeinMD/status/1034692999702302720","1034692999702302720")</f>
        <v>1034692999702302720</v>
      </c>
      <c r="F4136" s="4"/>
      <c r="G4136" s="4"/>
      <c r="H4136" s="4"/>
      <c r="I4136" s="10" t="str">
        <f>HYPERLINK("http://twitter.com/download/android","Twitter for Android")</f>
        <v>Twitter for Android</v>
      </c>
      <c r="J4136" s="2">
        <v>279</v>
      </c>
      <c r="K4136" s="2">
        <v>161</v>
      </c>
      <c r="L4136" s="2">
        <v>3</v>
      </c>
      <c r="M4136" s="2"/>
      <c r="N4136" s="8">
        <v>39988.629652777774</v>
      </c>
      <c r="O4136" s="4" t="s">
        <v>5924</v>
      </c>
      <c r="P4136" s="3" t="s">
        <v>5923</v>
      </c>
      <c r="Q4136" s="4"/>
      <c r="R4136" s="4"/>
      <c r="S4136" s="9" t="str">
        <f>HYPERLINK("https://pbs.twimg.com/profile_images/1034332680362582016/cejkHP-A.jpg","View")</f>
        <v>View</v>
      </c>
    </row>
    <row r="4137" spans="1:19" ht="20">
      <c r="A4137" s="8">
        <v>43341.466979166667</v>
      </c>
      <c r="B4137" s="11" t="str">
        <f>HYPERLINK("https://twitter.com/khoshbakhtime","@khoshbakhtime")</f>
        <v>@khoshbakhtime</v>
      </c>
      <c r="C4137" s="6" t="s">
        <v>2003</v>
      </c>
      <c r="D4137" s="5" t="s">
        <v>5922</v>
      </c>
      <c r="E4137" s="9" t="str">
        <f>HYPERLINK("https://twitter.com/khoshbakhtime/status/1034692738342703105","1034692738342703105")</f>
        <v>1034692738342703105</v>
      </c>
      <c r="F4137" s="4"/>
      <c r="G4137" s="4"/>
      <c r="H4137" s="4"/>
      <c r="I4137" s="10" t="str">
        <f>HYPERLINK("http://twitter.com/download/iphone","Twitter for iPhone")</f>
        <v>Twitter for iPhone</v>
      </c>
      <c r="J4137" s="2">
        <v>856</v>
      </c>
      <c r="K4137" s="2">
        <v>316</v>
      </c>
      <c r="L4137" s="2">
        <v>7</v>
      </c>
      <c r="M4137" s="2"/>
      <c r="N4137" s="8">
        <v>41439.947465277779</v>
      </c>
      <c r="O4137" s="4" t="s">
        <v>34</v>
      </c>
      <c r="P4137" s="3" t="s">
        <v>2000</v>
      </c>
      <c r="Q4137" s="10" t="s">
        <v>1999</v>
      </c>
      <c r="R4137" s="4"/>
      <c r="S4137" s="9" t="str">
        <f>HYPERLINK("https://pbs.twimg.com/profile_images/1014770146634760192/ORl2EIoH.jpg","View")</f>
        <v>View</v>
      </c>
    </row>
    <row r="4138" spans="1:19" ht="30">
      <c r="A4138" s="8">
        <v>43341.466053240743</v>
      </c>
      <c r="B4138" s="11" t="str">
        <f>HYPERLINK("https://twitter.com/Entekhab_News","@Entekhab_News")</f>
        <v>@Entekhab_News</v>
      </c>
      <c r="C4138" s="6" t="s">
        <v>519</v>
      </c>
      <c r="D4138" s="5" t="s">
        <v>5921</v>
      </c>
      <c r="E4138" s="9" t="str">
        <f>HYPERLINK("https://twitter.com/Entekhab_News/status/1034692402274025472","1034692402274025472")</f>
        <v>1034692402274025472</v>
      </c>
      <c r="F4138" s="4"/>
      <c r="G4138" s="4"/>
      <c r="H4138" s="4"/>
      <c r="I4138" s="10" t="str">
        <f>HYPERLINK("http://twitter.com/download/android","Twitter for Android")</f>
        <v>Twitter for Android</v>
      </c>
      <c r="J4138" s="2">
        <v>16188</v>
      </c>
      <c r="K4138" s="2">
        <v>0</v>
      </c>
      <c r="L4138" s="2">
        <v>151</v>
      </c>
      <c r="M4138" s="2"/>
      <c r="N4138" s="8">
        <v>41846.90483796296</v>
      </c>
      <c r="O4138" s="4" t="s">
        <v>244</v>
      </c>
      <c r="P4138" s="3" t="s">
        <v>517</v>
      </c>
      <c r="Q4138" s="10" t="s">
        <v>516</v>
      </c>
      <c r="R4138" s="4"/>
      <c r="S4138" s="9" t="str">
        <f>HYPERLINK("https://pbs.twimg.com/profile_images/840302676332146689/objFI1sw.jpg","View")</f>
        <v>View</v>
      </c>
    </row>
    <row r="4139" spans="1:19" ht="30">
      <c r="A4139" s="8">
        <v>43341.466006944444</v>
      </c>
      <c r="B4139" s="11" t="str">
        <f>HYPERLINK("https://twitter.com/hamshahrinews","@hamshahrinews")</f>
        <v>@hamshahrinews</v>
      </c>
      <c r="C4139" s="6" t="s">
        <v>2149</v>
      </c>
      <c r="D4139" s="5" t="s">
        <v>5920</v>
      </c>
      <c r="E4139" s="9" t="str">
        <f>HYPERLINK("https://twitter.com/hamshahrinews/status/1034692387749220352","1034692387749220352")</f>
        <v>1034692387749220352</v>
      </c>
      <c r="F4139" s="10" t="s">
        <v>5919</v>
      </c>
      <c r="G4139" s="4"/>
      <c r="H4139" s="4"/>
      <c r="I4139" s="10" t="str">
        <f>HYPERLINK("http://twitter.com","Twitter Web Client")</f>
        <v>Twitter Web Client</v>
      </c>
      <c r="J4139" s="2">
        <v>1851</v>
      </c>
      <c r="K4139" s="2">
        <v>12</v>
      </c>
      <c r="L4139" s="2">
        <v>36</v>
      </c>
      <c r="M4139" s="2"/>
      <c r="N4139" s="8">
        <v>42984.575752314813</v>
      </c>
      <c r="O4139" s="4" t="s">
        <v>133</v>
      </c>
      <c r="P4139" s="3" t="s">
        <v>2146</v>
      </c>
      <c r="Q4139" s="10" t="s">
        <v>2145</v>
      </c>
      <c r="R4139" s="4"/>
      <c r="S4139" s="9" t="str">
        <f>HYPERLINK("https://pbs.twimg.com/profile_images/918008480631533568/-awyAU90.jpg","View")</f>
        <v>View</v>
      </c>
    </row>
    <row r="4140" spans="1:19" ht="30">
      <c r="A4140" s="8">
        <v>43341.465775462959</v>
      </c>
      <c r="B4140" s="11" t="str">
        <f>HYPERLINK("https://twitter.com/mehrnews_fa","@mehrnews_fa")</f>
        <v>@mehrnews_fa</v>
      </c>
      <c r="C4140" s="6" t="s">
        <v>2447</v>
      </c>
      <c r="D4140" s="5" t="s">
        <v>5918</v>
      </c>
      <c r="E4140" s="9" t="str">
        <f>HYPERLINK("https://twitter.com/mehrnews_fa/status/1034692303913451525","1034692303913451525")</f>
        <v>1034692303913451525</v>
      </c>
      <c r="F4140" s="4" t="s">
        <v>5917</v>
      </c>
      <c r="G4140" s="4"/>
      <c r="H4140" s="4"/>
      <c r="I4140" s="10" t="str">
        <f>HYPERLINK("http://twitter.com","Twitter Web Client")</f>
        <v>Twitter Web Client</v>
      </c>
      <c r="J4140" s="2">
        <v>23987</v>
      </c>
      <c r="K4140" s="2">
        <v>8</v>
      </c>
      <c r="L4140" s="2">
        <v>134</v>
      </c>
      <c r="M4140" s="2"/>
      <c r="N4140" s="8">
        <v>42113.452511574069</v>
      </c>
      <c r="O4140" s="4" t="s">
        <v>17</v>
      </c>
      <c r="P4140" s="3" t="s">
        <v>2444</v>
      </c>
      <c r="Q4140" s="10" t="s">
        <v>2443</v>
      </c>
      <c r="R4140" s="4"/>
      <c r="S4140" s="9" t="str">
        <f>HYPERLINK("https://pbs.twimg.com/profile_images/963011131404177408/MUZXzT7V.jpg","View")</f>
        <v>View</v>
      </c>
    </row>
    <row r="4141" spans="1:19" ht="20">
      <c r="A4141" s="8">
        <v>43341.46565972222</v>
      </c>
      <c r="B4141" s="11" t="str">
        <f>HYPERLINK("https://twitter.com/smhadimousavi","@smhadimousavi")</f>
        <v>@smhadimousavi</v>
      </c>
      <c r="C4141" s="6" t="s">
        <v>465</v>
      </c>
      <c r="D4141" s="5" t="s">
        <v>5916</v>
      </c>
      <c r="E4141" s="9" t="str">
        <f>HYPERLINK("https://twitter.com/smhadimousavi/status/1034692261827805184","1034692261827805184")</f>
        <v>1034692261827805184</v>
      </c>
      <c r="F4141" s="4"/>
      <c r="G4141" s="4"/>
      <c r="H4141" s="4"/>
      <c r="I4141" s="10" t="str">
        <f>HYPERLINK("http://twitter.com","Twitter Web Client")</f>
        <v>Twitter Web Client</v>
      </c>
      <c r="J4141" s="2">
        <v>10693</v>
      </c>
      <c r="K4141" s="2">
        <v>2816</v>
      </c>
      <c r="L4141" s="2">
        <v>65</v>
      </c>
      <c r="M4141" s="2"/>
      <c r="N4141" s="8">
        <v>42729.651006944448</v>
      </c>
      <c r="O4141" s="4" t="s">
        <v>34</v>
      </c>
      <c r="P4141" s="3" t="s">
        <v>463</v>
      </c>
      <c r="Q4141" s="4"/>
      <c r="R4141" s="4"/>
      <c r="S4141" s="9" t="str">
        <f>HYPERLINK("https://pbs.twimg.com/profile_images/1029708470688333824/RfeGSTXA.jpg","View")</f>
        <v>View</v>
      </c>
    </row>
    <row r="4142" spans="1:19" ht="40">
      <c r="A4142" s="8">
        <v>43341.464687500003</v>
      </c>
      <c r="B4142" s="11" t="str">
        <f>HYPERLINK("https://twitter.com/ZaminiSib","@ZaminiSib")</f>
        <v>@ZaminiSib</v>
      </c>
      <c r="C4142" s="6" t="s">
        <v>5915</v>
      </c>
      <c r="D4142" s="5" t="s">
        <v>5914</v>
      </c>
      <c r="E4142" s="9" t="str">
        <f>HYPERLINK("https://twitter.com/ZaminiSib/status/1034691910986854400","1034691910986854400")</f>
        <v>1034691910986854400</v>
      </c>
      <c r="F4142" s="4"/>
      <c r="G4142" s="4"/>
      <c r="H4142" s="4"/>
      <c r="I4142" s="10" t="str">
        <f>HYPERLINK("http://twitter.com","Twitter Web Client")</f>
        <v>Twitter Web Client</v>
      </c>
      <c r="J4142" s="2">
        <v>292</v>
      </c>
      <c r="K4142" s="2">
        <v>378</v>
      </c>
      <c r="L4142" s="2">
        <v>1</v>
      </c>
      <c r="M4142" s="2"/>
      <c r="N4142" s="8">
        <v>43278.350659722222</v>
      </c>
      <c r="O4142" s="4"/>
      <c r="P4142" s="3" t="s">
        <v>5913</v>
      </c>
      <c r="Q4142" s="4"/>
      <c r="R4142" s="4"/>
      <c r="S4142" s="9" t="str">
        <f>HYPERLINK("https://pbs.twimg.com/profile_images/1014080201410609157/zXkeaAgh.jpg","View")</f>
        <v>View</v>
      </c>
    </row>
    <row r="4143" spans="1:19" ht="30">
      <c r="A4143" s="8">
        <v>43341.464687500003</v>
      </c>
      <c r="B4143" s="11" t="str">
        <f>HYPERLINK("https://twitter.com/Farhadimani08","@Farhadimani08")</f>
        <v>@Farhadimani08</v>
      </c>
      <c r="C4143" s="6" t="s">
        <v>5912</v>
      </c>
      <c r="D4143" s="5" t="s">
        <v>5911</v>
      </c>
      <c r="E4143" s="9" t="str">
        <f>HYPERLINK("https://twitter.com/Farhadimani08/status/1034691907681759234","1034691907681759234")</f>
        <v>1034691907681759234</v>
      </c>
      <c r="F4143" s="10" t="s">
        <v>5910</v>
      </c>
      <c r="G4143" s="10" t="s">
        <v>5901</v>
      </c>
      <c r="H4143" s="4"/>
      <c r="I4143" s="10" t="str">
        <f>HYPERLINK("http://twitter.com/download/android","Twitter for Android")</f>
        <v>Twitter for Android</v>
      </c>
      <c r="J4143" s="2">
        <v>3355</v>
      </c>
      <c r="K4143" s="2">
        <v>2766</v>
      </c>
      <c r="L4143" s="2">
        <v>8</v>
      </c>
      <c r="M4143" s="2"/>
      <c r="N4143" s="8">
        <v>42708.359375</v>
      </c>
      <c r="O4143" s="4" t="s">
        <v>5909</v>
      </c>
      <c r="P4143" s="3" t="s">
        <v>5908</v>
      </c>
      <c r="Q4143" s="10" t="s">
        <v>5539</v>
      </c>
      <c r="R4143" s="4"/>
      <c r="S4143" s="9" t="str">
        <f>HYPERLINK("https://pbs.twimg.com/profile_images/1029700059896705024/Nr4tSHGY.jpg","View")</f>
        <v>View</v>
      </c>
    </row>
    <row r="4144" spans="1:19" ht="12.5">
      <c r="A4144" s="8">
        <v>43341.464062500003</v>
      </c>
      <c r="B4144" s="11" t="str">
        <f>HYPERLINK("https://twitter.com/Payambarpour","@Payambarpour")</f>
        <v>@Payambarpour</v>
      </c>
      <c r="C4144" s="6" t="s">
        <v>5907</v>
      </c>
      <c r="D4144" s="5" t="s">
        <v>5906</v>
      </c>
      <c r="E4144" s="9" t="str">
        <f>HYPERLINK("https://twitter.com/Payambarpour/status/1034691684540403712","1034691684540403712")</f>
        <v>1034691684540403712</v>
      </c>
      <c r="F4144" s="4"/>
      <c r="G4144" s="10" t="s">
        <v>5905</v>
      </c>
      <c r="H4144" s="4"/>
      <c r="I4144" s="10" t="str">
        <f>HYPERLINK("http://twitter.com","Twitter Web Client")</f>
        <v>Twitter Web Client</v>
      </c>
      <c r="J4144" s="2">
        <v>22</v>
      </c>
      <c r="K4144" s="2">
        <v>9</v>
      </c>
      <c r="L4144" s="2">
        <v>0</v>
      </c>
      <c r="M4144" s="2"/>
      <c r="N4144" s="8">
        <v>41076.335416666669</v>
      </c>
      <c r="O4144" s="4"/>
      <c r="P4144" s="3" t="s">
        <v>5904</v>
      </c>
      <c r="Q4144" s="10" t="s">
        <v>5903</v>
      </c>
      <c r="R4144" s="4"/>
      <c r="S4144" s="9" t="str">
        <f>HYPERLINK("https://pbs.twimg.com/profile_images/922737352837021696/rN8u2nPe.jpg","View")</f>
        <v>View</v>
      </c>
    </row>
    <row r="4145" spans="1:19" ht="20">
      <c r="A4145" s="8">
        <v>43341.463240740741</v>
      </c>
      <c r="B4145" s="11" t="str">
        <f>HYPERLINK("https://twitter.com/FarsNews_Agency","@FarsNews_Agency")</f>
        <v>@FarsNews_Agency</v>
      </c>
      <c r="C4145" s="6" t="s">
        <v>83</v>
      </c>
      <c r="D4145" s="5" t="s">
        <v>5902</v>
      </c>
      <c r="E4145" s="9" t="str">
        <f>HYPERLINK("https://twitter.com/FarsNews_Agency/status/1034691385599946752","1034691385599946752")</f>
        <v>1034691385599946752</v>
      </c>
      <c r="F4145" s="4"/>
      <c r="G4145" s="10" t="s">
        <v>5901</v>
      </c>
      <c r="H4145" s="4"/>
      <c r="I4145" s="10" t="str">
        <f>HYPERLINK("http://twitter.com","Twitter Web Client")</f>
        <v>Twitter Web Client</v>
      </c>
      <c r="J4145" s="2">
        <v>54340</v>
      </c>
      <c r="K4145" s="2">
        <v>1</v>
      </c>
      <c r="L4145" s="2">
        <v>345</v>
      </c>
      <c r="M4145" s="2" t="s">
        <v>80</v>
      </c>
      <c r="N4145" s="8">
        <v>41779.409398148149</v>
      </c>
      <c r="O4145" s="4" t="s">
        <v>79</v>
      </c>
      <c r="P4145" s="3" t="s">
        <v>78</v>
      </c>
      <c r="Q4145" s="10" t="s">
        <v>77</v>
      </c>
      <c r="R4145" s="4"/>
      <c r="S4145" s="9" t="str">
        <f>HYPERLINK("https://pbs.twimg.com/profile_images/970300864257777664/8y7AvX_N.jpg","View")</f>
        <v>View</v>
      </c>
    </row>
    <row r="4146" spans="1:19" ht="30">
      <c r="A4146" s="8">
        <v>43341.463020833333</v>
      </c>
      <c r="B4146" s="11" t="str">
        <f>HYPERLINK("https://twitter.com/shazdekouchulu","@shazdekouchulu")</f>
        <v>@shazdekouchulu</v>
      </c>
      <c r="C4146" s="6" t="s">
        <v>642</v>
      </c>
      <c r="D4146" s="5" t="s">
        <v>5900</v>
      </c>
      <c r="E4146" s="9" t="str">
        <f>HYPERLINK("https://twitter.com/shazdekouchulu/status/1034691307292250112","1034691307292250112")</f>
        <v>1034691307292250112</v>
      </c>
      <c r="F4146" s="4"/>
      <c r="G4146" s="4"/>
      <c r="H4146" s="4"/>
      <c r="I4146" s="10" t="str">
        <f>HYPERLINK("http://twitter.com/download/android","Twitter for Android")</f>
        <v>Twitter for Android</v>
      </c>
      <c r="J4146" s="2">
        <v>6658</v>
      </c>
      <c r="K4146" s="2">
        <v>1330</v>
      </c>
      <c r="L4146" s="2">
        <v>26</v>
      </c>
      <c r="M4146" s="2"/>
      <c r="N4146" s="8">
        <v>43041.222407407404</v>
      </c>
      <c r="O4146" s="4" t="s">
        <v>640</v>
      </c>
      <c r="P4146" s="3" t="s">
        <v>639</v>
      </c>
      <c r="Q4146" s="4"/>
      <c r="R4146" s="4"/>
      <c r="S4146" s="9" t="str">
        <f>HYPERLINK("https://pbs.twimg.com/profile_images/1013790417131671552/2FbjF2SJ.jpg","View")</f>
        <v>View</v>
      </c>
    </row>
    <row r="4147" spans="1:19" ht="40">
      <c r="A4147" s="8">
        <v>43341.46130787037</v>
      </c>
      <c r="B4147" s="11" t="str">
        <f>HYPERLINK("https://twitter.com/TasnimPolitics","@TasnimPolitics")</f>
        <v>@TasnimPolitics</v>
      </c>
      <c r="C4147" s="6" t="s">
        <v>5899</v>
      </c>
      <c r="D4147" s="5" t="s">
        <v>5898</v>
      </c>
      <c r="E4147" s="9" t="str">
        <f>HYPERLINK("https://twitter.com/TasnimPolitics/status/1034690685998387201","1034690685998387201")</f>
        <v>1034690685998387201</v>
      </c>
      <c r="F4147" s="4"/>
      <c r="G4147" s="4"/>
      <c r="H4147" s="4"/>
      <c r="I4147" s="10" t="str">
        <f>HYPERLINK("http://twitter.com/download/android","Twitter for Android")</f>
        <v>Twitter for Android</v>
      </c>
      <c r="J4147" s="2">
        <v>1852</v>
      </c>
      <c r="K4147" s="2">
        <v>1567</v>
      </c>
      <c r="L4147" s="2">
        <v>6</v>
      </c>
      <c r="M4147" s="2"/>
      <c r="N4147" s="8">
        <v>42873.233842592592</v>
      </c>
      <c r="O4147" s="4"/>
      <c r="P4147" s="3" t="s">
        <v>5897</v>
      </c>
      <c r="Q4147" s="10" t="s">
        <v>5896</v>
      </c>
      <c r="R4147" s="4"/>
      <c r="S4147" s="9" t="str">
        <f>HYPERLINK("https://pbs.twimg.com/profile_images/1024628781770854400/T9_cBfpi.jpg","View")</f>
        <v>View</v>
      </c>
    </row>
    <row r="4148" spans="1:19" ht="40">
      <c r="A4148" s="8">
        <v>43341.460520833338</v>
      </c>
      <c r="B4148" s="11" t="str">
        <f>HYPERLINK("https://twitter.com/shahin_sepahrad","@shahin_sepahrad")</f>
        <v>@shahin_sepahrad</v>
      </c>
      <c r="C4148" s="6" t="s">
        <v>5895</v>
      </c>
      <c r="D4148" s="5" t="s">
        <v>5894</v>
      </c>
      <c r="E4148" s="9" t="str">
        <f>HYPERLINK("https://twitter.com/shahin_sepahrad/status/1034690399292588032","1034690399292588032")</f>
        <v>1034690399292588032</v>
      </c>
      <c r="F4148" s="4"/>
      <c r="G4148" s="4"/>
      <c r="H4148" s="4"/>
      <c r="I4148" s="10" t="str">
        <f>HYPERLINK("http://twitter.com/download/android","Twitter for Android")</f>
        <v>Twitter for Android</v>
      </c>
      <c r="J4148" s="2">
        <v>117</v>
      </c>
      <c r="K4148" s="2">
        <v>31</v>
      </c>
      <c r="L4148" s="2">
        <v>1</v>
      </c>
      <c r="M4148" s="2"/>
      <c r="N4148" s="8">
        <v>42731.452685185184</v>
      </c>
      <c r="O4148" s="4" t="s">
        <v>34</v>
      </c>
      <c r="P4148" s="3" t="s">
        <v>5893</v>
      </c>
      <c r="Q4148" s="4"/>
      <c r="R4148" s="4"/>
      <c r="S4148" s="9" t="str">
        <f>HYPERLINK("https://pbs.twimg.com/profile_images/813648290554200064/-fEr8D0p.jpg","View")</f>
        <v>View</v>
      </c>
    </row>
    <row r="4149" spans="1:19" ht="20">
      <c r="A4149" s="8">
        <v>43341.459560185191</v>
      </c>
      <c r="B4149" s="11" t="str">
        <f>HYPERLINK("https://twitter.com/abbas7293","@abbas7293")</f>
        <v>@abbas7293</v>
      </c>
      <c r="C4149" s="6" t="s">
        <v>4661</v>
      </c>
      <c r="D4149" s="5" t="s">
        <v>5892</v>
      </c>
      <c r="E4149" s="9" t="str">
        <f>HYPERLINK("https://twitter.com/abbas7293/status/1034690052801146880","1034690052801146880")</f>
        <v>1034690052801146880</v>
      </c>
      <c r="F4149" s="4"/>
      <c r="G4149" s="4"/>
      <c r="H4149" s="4"/>
      <c r="I4149" s="10" t="str">
        <f>HYPERLINK("http://twitter.com/download/iphone","Twitter for iPhone")</f>
        <v>Twitter for iPhone</v>
      </c>
      <c r="J4149" s="2">
        <v>231</v>
      </c>
      <c r="K4149" s="2">
        <v>691</v>
      </c>
      <c r="L4149" s="2">
        <v>2</v>
      </c>
      <c r="M4149" s="2"/>
      <c r="N4149" s="8">
        <v>42960.999189814815</v>
      </c>
      <c r="O4149" s="4" t="s">
        <v>34</v>
      </c>
      <c r="P4149" s="3" t="s">
        <v>4659</v>
      </c>
      <c r="Q4149" s="4"/>
      <c r="R4149" s="4"/>
      <c r="S4149" s="9" t="str">
        <f>HYPERLINK("https://pbs.twimg.com/profile_images/1025129929283960833/tZ1l1bo-.jpg","View")</f>
        <v>View</v>
      </c>
    </row>
    <row r="4150" spans="1:19" ht="30">
      <c r="A4150" s="8">
        <v>43341.455983796295</v>
      </c>
      <c r="B4150" s="11" t="str">
        <f>HYPERLINK("https://twitter.com/farzad_mehrdad","@farzad_mehrdad")</f>
        <v>@farzad_mehrdad</v>
      </c>
      <c r="C4150" s="6" t="s">
        <v>5891</v>
      </c>
      <c r="D4150" s="5" t="s">
        <v>5890</v>
      </c>
      <c r="E4150" s="9" t="str">
        <f>HYPERLINK("https://twitter.com/farzad_mehrdad/status/1034688754433368064","1034688754433368064")</f>
        <v>1034688754433368064</v>
      </c>
      <c r="F4150" s="4"/>
      <c r="G4150" s="4"/>
      <c r="H4150" s="4"/>
      <c r="I4150" s="10" t="str">
        <f>HYPERLINK("http://twitter.com/download/android","Twitter for Android")</f>
        <v>Twitter for Android</v>
      </c>
      <c r="J4150" s="2">
        <v>110</v>
      </c>
      <c r="K4150" s="2">
        <v>126</v>
      </c>
      <c r="L4150" s="2">
        <v>0</v>
      </c>
      <c r="M4150" s="2"/>
      <c r="N4150" s="8">
        <v>42442.959791666668</v>
      </c>
      <c r="O4150" s="4" t="s">
        <v>5889</v>
      </c>
      <c r="P4150" s="3" t="s">
        <v>5888</v>
      </c>
      <c r="Q4150" s="4"/>
      <c r="R4150" s="4"/>
      <c r="S4150" s="9" t="str">
        <f>HYPERLINK("https://pbs.twimg.com/profile_images/1028285559775604736/9Ae-pzf7.jpg","View")</f>
        <v>View</v>
      </c>
    </row>
    <row r="4151" spans="1:19" ht="20">
      <c r="A4151" s="8">
        <v>43341.454837962963</v>
      </c>
      <c r="B4151" s="11" t="str">
        <f>HYPERLINK("https://twitter.com/Hosseiining","@Hosseiining")</f>
        <v>@Hosseiining</v>
      </c>
      <c r="C4151" s="6" t="s">
        <v>5787</v>
      </c>
      <c r="D4151" s="5" t="s">
        <v>5887</v>
      </c>
      <c r="E4151" s="9" t="str">
        <f>HYPERLINK("https://twitter.com/Hosseiining/status/1034688339050463232","1034688339050463232")</f>
        <v>1034688339050463232</v>
      </c>
      <c r="F4151" s="4"/>
      <c r="G4151" s="10" t="s">
        <v>5886</v>
      </c>
      <c r="H4151" s="4"/>
      <c r="I4151" s="10" t="str">
        <f>HYPERLINK("http://twitter.com","Twitter Web Client")</f>
        <v>Twitter Web Client</v>
      </c>
      <c r="J4151" s="2">
        <v>1536</v>
      </c>
      <c r="K4151" s="2">
        <v>1562</v>
      </c>
      <c r="L4151" s="2">
        <v>1</v>
      </c>
      <c r="M4151" s="2"/>
      <c r="N4151" s="8">
        <v>42980.922951388886</v>
      </c>
      <c r="O4151" s="4" t="s">
        <v>5785</v>
      </c>
      <c r="P4151" s="3" t="s">
        <v>5784</v>
      </c>
      <c r="Q4151" s="10" t="s">
        <v>5783</v>
      </c>
      <c r="R4151" s="4"/>
      <c r="S4151" s="9" t="str">
        <f>HYPERLINK("https://pbs.twimg.com/profile_images/991661871114674176/MCmf1JQC.jpg","View")</f>
        <v>View</v>
      </c>
    </row>
    <row r="4152" spans="1:19" ht="40">
      <c r="A4152" s="8">
        <v>43341.454571759255</v>
      </c>
      <c r="B4152" s="11" t="str">
        <f>HYPERLINK("https://twitter.com/Tasnimnews_Fa","@Tasnimnews_Fa")</f>
        <v>@Tasnimnews_Fa</v>
      </c>
      <c r="C4152" s="6" t="s">
        <v>603</v>
      </c>
      <c r="D4152" s="5" t="s">
        <v>5885</v>
      </c>
      <c r="E4152" s="9" t="str">
        <f>HYPERLINK("https://twitter.com/Tasnimnews_Fa/status/1034688245572018176","1034688245572018176")</f>
        <v>1034688245572018176</v>
      </c>
      <c r="F4152" s="10" t="s">
        <v>5884</v>
      </c>
      <c r="G4152" s="10" t="s">
        <v>5883</v>
      </c>
      <c r="H4152" s="4"/>
      <c r="I4152" s="10" t="str">
        <f>HYPERLINK("http://twitter.com","Twitter Web Client")</f>
        <v>Twitter Web Client</v>
      </c>
      <c r="J4152" s="2">
        <v>109393</v>
      </c>
      <c r="K4152" s="2">
        <v>20</v>
      </c>
      <c r="L4152" s="2">
        <v>375</v>
      </c>
      <c r="M4152" s="2" t="s">
        <v>80</v>
      </c>
      <c r="N4152" s="8">
        <v>41868.671585648146</v>
      </c>
      <c r="O4152" s="4" t="s">
        <v>133</v>
      </c>
      <c r="P4152" s="3" t="s">
        <v>599</v>
      </c>
      <c r="Q4152" s="10" t="s">
        <v>598</v>
      </c>
      <c r="R4152" s="4"/>
      <c r="S4152" s="9" t="str">
        <f>HYPERLINK("https://pbs.twimg.com/profile_images/942003149430239232/hvLw_1_E.jpg","View")</f>
        <v>View</v>
      </c>
    </row>
    <row r="4153" spans="1:19" ht="40">
      <c r="A4153" s="8">
        <v>43341.454386574071</v>
      </c>
      <c r="B4153" s="11" t="str">
        <f>HYPERLINK("https://twitter.com/M_H_Jamalzadeh","@M_H_Jamalzadeh")</f>
        <v>@M_H_Jamalzadeh</v>
      </c>
      <c r="C4153" s="6" t="s">
        <v>5882</v>
      </c>
      <c r="D4153" s="5" t="s">
        <v>5881</v>
      </c>
      <c r="E4153" s="9" t="str">
        <f>HYPERLINK("https://twitter.com/M_H_Jamalzadeh/status/1034688175724220416","1034688175724220416")</f>
        <v>1034688175724220416</v>
      </c>
      <c r="F4153" s="4"/>
      <c r="G4153" s="4"/>
      <c r="H4153" s="4"/>
      <c r="I4153" s="10" t="str">
        <f>HYPERLINK("http://twitter.com/download/android","Twitter for Android")</f>
        <v>Twitter for Android</v>
      </c>
      <c r="J4153" s="2">
        <v>1051</v>
      </c>
      <c r="K4153" s="2">
        <v>1024</v>
      </c>
      <c r="L4153" s="2">
        <v>2</v>
      </c>
      <c r="M4153" s="2"/>
      <c r="N4153" s="8">
        <v>40162.598819444444</v>
      </c>
      <c r="O4153" s="4" t="s">
        <v>5880</v>
      </c>
      <c r="P4153" s="3" t="s">
        <v>5879</v>
      </c>
      <c r="Q4153" s="10" t="s">
        <v>5878</v>
      </c>
      <c r="R4153" s="4"/>
      <c r="S4153" s="9" t="str">
        <f>HYPERLINK("https://pbs.twimg.com/profile_images/971473822732955648/pUxy7AjH.jpg","View")</f>
        <v>View</v>
      </c>
    </row>
    <row r="4154" spans="1:19" ht="30">
      <c r="A4154" s="8">
        <v>43341.454236111109</v>
      </c>
      <c r="B4154" s="11" t="str">
        <f>HYPERLINK("https://twitter.com/h_mohammadi1372","@h_mohammadi1372")</f>
        <v>@h_mohammadi1372</v>
      </c>
      <c r="C4154" s="6" t="s">
        <v>5877</v>
      </c>
      <c r="D4154" s="5" t="s">
        <v>5876</v>
      </c>
      <c r="E4154" s="9" t="str">
        <f>HYPERLINK("https://twitter.com/h_mohammadi1372/status/1034688123354132480","1034688123354132480")</f>
        <v>1034688123354132480</v>
      </c>
      <c r="F4154" s="4"/>
      <c r="G4154" s="10" t="s">
        <v>5875</v>
      </c>
      <c r="H4154" s="4"/>
      <c r="I4154" s="10" t="str">
        <f>HYPERLINK("http://twitter.com","Twitter Web Client")</f>
        <v>Twitter Web Client</v>
      </c>
      <c r="J4154" s="2">
        <v>5380</v>
      </c>
      <c r="K4154" s="2">
        <v>5663</v>
      </c>
      <c r="L4154" s="2">
        <v>3</v>
      </c>
      <c r="M4154" s="2"/>
      <c r="N4154" s="8">
        <v>43136.547731481478</v>
      </c>
      <c r="O4154" s="4" t="s">
        <v>5874</v>
      </c>
      <c r="P4154" s="3" t="s">
        <v>5873</v>
      </c>
      <c r="Q4154" s="4"/>
      <c r="R4154" s="4"/>
      <c r="S4154" s="9" t="str">
        <f>HYPERLINK("https://pbs.twimg.com/profile_images/1030753491936002048/UMKFivrN.jpg","View")</f>
        <v>View</v>
      </c>
    </row>
    <row r="4155" spans="1:19" ht="20">
      <c r="A4155" s="8">
        <v>43341.451886574076</v>
      </c>
      <c r="B4155" s="11" t="str">
        <f>HYPERLINK("https://twitter.com/Sarinaaa18","@Sarinaaa18")</f>
        <v>@Sarinaaa18</v>
      </c>
      <c r="C4155" s="6" t="s">
        <v>5872</v>
      </c>
      <c r="D4155" s="5" t="s">
        <v>5871</v>
      </c>
      <c r="E4155" s="9" t="str">
        <f>HYPERLINK("https://twitter.com/Sarinaaa18/status/1034687270190764033","1034687270190764033")</f>
        <v>1034687270190764033</v>
      </c>
      <c r="F4155" s="4"/>
      <c r="G4155" s="4"/>
      <c r="H4155" s="4"/>
      <c r="I4155" s="10" t="str">
        <f>HYPERLINK("http://twitter.com/download/android","Twitter for Android")</f>
        <v>Twitter for Android</v>
      </c>
      <c r="J4155" s="2">
        <v>18</v>
      </c>
      <c r="K4155" s="2">
        <v>46</v>
      </c>
      <c r="L4155" s="2">
        <v>0</v>
      </c>
      <c r="M4155" s="2"/>
      <c r="N4155" s="8">
        <v>43106.712511574078</v>
      </c>
      <c r="O4155" s="4"/>
      <c r="P4155" s="3" t="s">
        <v>5870</v>
      </c>
      <c r="Q4155" s="4"/>
      <c r="R4155" s="4"/>
      <c r="S4155" s="9" t="str">
        <f>HYPERLINK("https://pbs.twimg.com/profile_images/949759959486664704/A-6UZkUR.jpg","View")</f>
        <v>View</v>
      </c>
    </row>
    <row r="4156" spans="1:19" ht="40">
      <c r="A4156" s="8">
        <v>43341.451724537037</v>
      </c>
      <c r="B4156" s="11" t="str">
        <f>HYPERLINK("https://twitter.com/8Pd9NlI3BDZS3ja","@8Pd9NlI3BDZS3ja")</f>
        <v>@8Pd9NlI3BDZS3ja</v>
      </c>
      <c r="C4156" s="6" t="s">
        <v>5869</v>
      </c>
      <c r="D4156" s="5" t="s">
        <v>5868</v>
      </c>
      <c r="E4156" s="9" t="str">
        <f>HYPERLINK("https://twitter.com/8Pd9NlI3BDZS3ja/status/1034687213257125888","1034687213257125888")</f>
        <v>1034687213257125888</v>
      </c>
      <c r="F4156" s="4"/>
      <c r="G4156" s="4"/>
      <c r="H4156" s="4"/>
      <c r="I4156" s="10" t="str">
        <f>HYPERLINK("http://twitter.com/download/android","Twitter for Android")</f>
        <v>Twitter for Android</v>
      </c>
      <c r="J4156" s="2">
        <v>0</v>
      </c>
      <c r="K4156" s="2">
        <v>4</v>
      </c>
      <c r="L4156" s="2">
        <v>0</v>
      </c>
      <c r="M4156" s="2"/>
      <c r="N4156" s="8">
        <v>43255.94059027778</v>
      </c>
      <c r="O4156" s="4"/>
      <c r="P4156" s="3"/>
      <c r="Q4156" s="4"/>
      <c r="R4156" s="4"/>
      <c r="S4156" s="9" t="str">
        <f>HYPERLINK("https://pbs.twimg.com/profile_images/1003700732980285440/eZPZoO1T.jpg","View")</f>
        <v>View</v>
      </c>
    </row>
    <row r="4157" spans="1:19" ht="20">
      <c r="A4157" s="8">
        <v>43341.450856481482</v>
      </c>
      <c r="B4157" s="11" t="str">
        <f>HYPERLINK("https://twitter.com/yVA4ATUfdofr2xS","@yVA4ATUfdofr2xS")</f>
        <v>@yVA4ATUfdofr2xS</v>
      </c>
      <c r="C4157" s="6" t="s">
        <v>27</v>
      </c>
      <c r="D4157" s="5" t="s">
        <v>5867</v>
      </c>
      <c r="E4157" s="9" t="str">
        <f>HYPERLINK("https://twitter.com/yVA4ATUfdofr2xS/status/1034686896239046656","1034686896239046656")</f>
        <v>1034686896239046656</v>
      </c>
      <c r="F4157" s="4"/>
      <c r="G4157" s="4"/>
      <c r="H4157" s="4"/>
      <c r="I4157" s="10" t="str">
        <f>HYPERLINK("http://twitter.com","Twitter Web Client")</f>
        <v>Twitter Web Client</v>
      </c>
      <c r="J4157" s="2">
        <v>139</v>
      </c>
      <c r="K4157" s="2">
        <v>237</v>
      </c>
      <c r="L4157" s="2">
        <v>0</v>
      </c>
      <c r="M4157" s="2"/>
      <c r="N4157" s="8">
        <v>43323.438252314816</v>
      </c>
      <c r="O4157" s="4" t="s">
        <v>25</v>
      </c>
      <c r="P4157" s="3" t="s">
        <v>24</v>
      </c>
      <c r="Q4157" s="4"/>
      <c r="R4157" s="4"/>
      <c r="S4157" s="9" t="str">
        <f>HYPERLINK("https://pbs.twimg.com/profile_images/1028178183206498305/b7usXKsw.jpg","View")</f>
        <v>View</v>
      </c>
    </row>
    <row r="4158" spans="1:19" ht="40">
      <c r="A4158" s="8">
        <v>43341.45040509259</v>
      </c>
      <c r="B4158" s="11" t="str">
        <f>HYPERLINK("https://twitter.com/sabeti_twt","@sabeti_twt")</f>
        <v>@sabeti_twt</v>
      </c>
      <c r="C4158" s="6" t="s">
        <v>1309</v>
      </c>
      <c r="D4158" s="5" t="s">
        <v>5866</v>
      </c>
      <c r="E4158" s="9" t="str">
        <f>HYPERLINK("https://twitter.com/sabeti_twt/status/1034686735635099648","1034686735635099648")</f>
        <v>1034686735635099648</v>
      </c>
      <c r="F4158" s="4"/>
      <c r="G4158" s="4"/>
      <c r="H4158" s="4"/>
      <c r="I4158" s="10" t="str">
        <f>HYPERLINK("http://twitter.com/download/android","Twitter for Android")</f>
        <v>Twitter for Android</v>
      </c>
      <c r="J4158" s="2">
        <v>19241</v>
      </c>
      <c r="K4158" s="2">
        <v>199</v>
      </c>
      <c r="L4158" s="2">
        <v>102</v>
      </c>
      <c r="M4158" s="2"/>
      <c r="N4158" s="8">
        <v>42708.790023148147</v>
      </c>
      <c r="O4158" s="4" t="s">
        <v>104</v>
      </c>
      <c r="P4158" s="3" t="s">
        <v>1307</v>
      </c>
      <c r="Q4158" s="10" t="s">
        <v>1306</v>
      </c>
      <c r="R4158" s="4"/>
      <c r="S4158" s="9" t="str">
        <f>HYPERLINK("https://pbs.twimg.com/profile_images/992804516050423809/unqV-Hrp.jpg","View")</f>
        <v>View</v>
      </c>
    </row>
    <row r="4159" spans="1:19" ht="30">
      <c r="A4159" s="8">
        <v>43341.450173611112</v>
      </c>
      <c r="B4159" s="11" t="str">
        <f>HYPERLINK("https://twitter.com/joooker128","@joooker128")</f>
        <v>@joooker128</v>
      </c>
      <c r="C4159" s="6" t="s">
        <v>5865</v>
      </c>
      <c r="D4159" s="5" t="s">
        <v>5864</v>
      </c>
      <c r="E4159" s="9" t="str">
        <f>HYPERLINK("https://twitter.com/joooker128/status/1034686649513304064","1034686649513304064")</f>
        <v>1034686649513304064</v>
      </c>
      <c r="F4159" s="4"/>
      <c r="G4159" s="4"/>
      <c r="H4159" s="4"/>
      <c r="I4159" s="10" t="str">
        <f>HYPERLINK("http://twitter.com/download/android","Twitter for Android")</f>
        <v>Twitter for Android</v>
      </c>
      <c r="J4159" s="2">
        <v>72</v>
      </c>
      <c r="K4159" s="2">
        <v>96</v>
      </c>
      <c r="L4159" s="2">
        <v>0</v>
      </c>
      <c r="M4159" s="2"/>
      <c r="N4159" s="8">
        <v>43221.506145833337</v>
      </c>
      <c r="O4159" s="4" t="s">
        <v>5863</v>
      </c>
      <c r="P4159" s="3" t="s">
        <v>5862</v>
      </c>
      <c r="Q4159" s="4"/>
      <c r="R4159" s="4"/>
      <c r="S4159" s="9" t="str">
        <f>HYPERLINK("https://pbs.twimg.com/profile_images/1025207294332686336/Wbvmmm-0.jpg","View")</f>
        <v>View</v>
      </c>
    </row>
    <row r="4160" spans="1:19" ht="40">
      <c r="A4160" s="8">
        <v>43341.450150462959</v>
      </c>
      <c r="B4160" s="11" t="str">
        <f>HYPERLINK("https://twitter.com/Migh_Ir","@Migh_Ir")</f>
        <v>@Migh_Ir</v>
      </c>
      <c r="C4160" s="6" t="s">
        <v>5860</v>
      </c>
      <c r="D4160" s="5" t="s">
        <v>5861</v>
      </c>
      <c r="E4160" s="9" t="str">
        <f>HYPERLINK("https://twitter.com/Migh_Ir/status/1034686639245864962","1034686639245864962")</f>
        <v>1034686639245864962</v>
      </c>
      <c r="F4160" s="4"/>
      <c r="G4160" s="4"/>
      <c r="H4160" s="4"/>
      <c r="I4160" s="10" t="str">
        <f>HYPERLINK("http://twitter.com/download/android","Twitter for Android")</f>
        <v>Twitter for Android</v>
      </c>
      <c r="J4160" s="2">
        <v>83</v>
      </c>
      <c r="K4160" s="2">
        <v>347</v>
      </c>
      <c r="L4160" s="2">
        <v>0</v>
      </c>
      <c r="M4160" s="2"/>
      <c r="N4160" s="8">
        <v>43182.809849537036</v>
      </c>
      <c r="O4160" s="4" t="s">
        <v>34</v>
      </c>
      <c r="P4160" s="3" t="s">
        <v>5858</v>
      </c>
      <c r="Q4160" s="10" t="s">
        <v>5857</v>
      </c>
      <c r="R4160" s="4"/>
      <c r="S4160" s="9" t="str">
        <f>HYPERLINK("https://pbs.twimg.com/profile_images/1012657502931116032/_EAANLvT.jpg","View")</f>
        <v>View</v>
      </c>
    </row>
    <row r="4161" spans="1:19" ht="40">
      <c r="A4161" s="8">
        <v>43341.450138888889</v>
      </c>
      <c r="B4161" s="11" t="str">
        <f>HYPERLINK("https://twitter.com/Migh_Ir","@Migh_Ir")</f>
        <v>@Migh_Ir</v>
      </c>
      <c r="C4161" s="6" t="s">
        <v>5860</v>
      </c>
      <c r="D4161" s="5" t="s">
        <v>5859</v>
      </c>
      <c r="E4161" s="9" t="str">
        <f>HYPERLINK("https://twitter.com/Migh_Ir/status/1034686638356672512","1034686638356672512")</f>
        <v>1034686638356672512</v>
      </c>
      <c r="F4161" s="4"/>
      <c r="G4161" s="4"/>
      <c r="H4161" s="4"/>
      <c r="I4161" s="10" t="str">
        <f>HYPERLINK("http://twitter.com/download/android","Twitter for Android")</f>
        <v>Twitter for Android</v>
      </c>
      <c r="J4161" s="2">
        <v>83</v>
      </c>
      <c r="K4161" s="2">
        <v>347</v>
      </c>
      <c r="L4161" s="2">
        <v>0</v>
      </c>
      <c r="M4161" s="2"/>
      <c r="N4161" s="8">
        <v>43182.809849537036</v>
      </c>
      <c r="O4161" s="4" t="s">
        <v>34</v>
      </c>
      <c r="P4161" s="3" t="s">
        <v>5858</v>
      </c>
      <c r="Q4161" s="10" t="s">
        <v>5857</v>
      </c>
      <c r="R4161" s="4"/>
      <c r="S4161" s="9" t="str">
        <f>HYPERLINK("https://pbs.twimg.com/profile_images/1012657502931116032/_EAANLvT.jpg","View")</f>
        <v>View</v>
      </c>
    </row>
    <row r="4162" spans="1:19" ht="50">
      <c r="A4162" s="8">
        <v>43341.45012731482</v>
      </c>
      <c r="B4162" s="11" t="str">
        <f>HYPERLINK("https://twitter.com/Muhammadhaghjoo","@Muhammadhaghjoo")</f>
        <v>@Muhammadhaghjoo</v>
      </c>
      <c r="C4162" s="6" t="s">
        <v>5856</v>
      </c>
      <c r="D4162" s="5" t="s">
        <v>5855</v>
      </c>
      <c r="E4162" s="9" t="str">
        <f>HYPERLINK("https://twitter.com/Muhammadhaghjoo/status/1034686633235423232","1034686633235423232")</f>
        <v>1034686633235423232</v>
      </c>
      <c r="F4162" s="4"/>
      <c r="G4162" s="4"/>
      <c r="H4162" s="4"/>
      <c r="I4162" s="10" t="str">
        <f>HYPERLINK("http://twitter.com/download/android","Twitter for Android")</f>
        <v>Twitter for Android</v>
      </c>
      <c r="J4162" s="2">
        <v>26</v>
      </c>
      <c r="K4162" s="2">
        <v>56</v>
      </c>
      <c r="L4162" s="2">
        <v>0</v>
      </c>
      <c r="M4162" s="2"/>
      <c r="N4162" s="8">
        <v>43310.866122685184</v>
      </c>
      <c r="O4162" s="4" t="s">
        <v>34</v>
      </c>
      <c r="P4162" s="3" t="s">
        <v>5854</v>
      </c>
      <c r="Q4162" s="10" t="s">
        <v>5853</v>
      </c>
      <c r="R4162" s="4"/>
      <c r="S4162" s="9" t="str">
        <f>HYPERLINK("https://pbs.twimg.com/profile_images/1023605344533204992/zQ3ak4QI.jpg","View")</f>
        <v>View</v>
      </c>
    </row>
    <row r="4163" spans="1:19" ht="20">
      <c r="A4163" s="8">
        <v>43341.449074074073</v>
      </c>
      <c r="B4163" s="11" t="str">
        <f>HYPERLINK("https://twitter.com/irane_Azad","@irane_Azad")</f>
        <v>@irane_Azad</v>
      </c>
      <c r="C4163" s="6" t="s">
        <v>1773</v>
      </c>
      <c r="D4163" s="5" t="s">
        <v>5852</v>
      </c>
      <c r="E4163" s="9" t="str">
        <f>HYPERLINK("https://twitter.com/irane_Azad/status/1034686251088130048","1034686251088130048")</f>
        <v>1034686251088130048</v>
      </c>
      <c r="F4163" s="10" t="s">
        <v>5851</v>
      </c>
      <c r="G4163" s="4"/>
      <c r="H4163" s="4"/>
      <c r="I4163" s="10" t="str">
        <f>HYPERLINK("http://twitter.com","Twitter Web Client")</f>
        <v>Twitter Web Client</v>
      </c>
      <c r="J4163" s="2">
        <v>3847</v>
      </c>
      <c r="K4163" s="2">
        <v>996</v>
      </c>
      <c r="L4163" s="2">
        <v>91</v>
      </c>
      <c r="M4163" s="2"/>
      <c r="N4163" s="8">
        <v>41246.45039351852</v>
      </c>
      <c r="O4163" s="4" t="s">
        <v>1770</v>
      </c>
      <c r="P4163" s="3" t="s">
        <v>1769</v>
      </c>
      <c r="Q4163" s="10" t="s">
        <v>1768</v>
      </c>
      <c r="R4163" s="4"/>
      <c r="S4163" s="9" t="str">
        <f>HYPERLINK("https://pbs.twimg.com/profile_images/1006316813871976450/YDReYvPB.jpg","View")</f>
        <v>View</v>
      </c>
    </row>
    <row r="4164" spans="1:19" ht="40">
      <c r="A4164" s="8">
        <v>43341.449062500003</v>
      </c>
      <c r="B4164" s="11" t="str">
        <f>HYPERLINK("https://twitter.com/ebrahimRezaei3","@ebrahimRezaei3")</f>
        <v>@ebrahimRezaei3</v>
      </c>
      <c r="C4164" s="6" t="s">
        <v>5850</v>
      </c>
      <c r="D4164" s="5" t="s">
        <v>5849</v>
      </c>
      <c r="E4164" s="9" t="str">
        <f>HYPERLINK("https://twitter.com/ebrahimRezaei3/status/1034686247510401025","1034686247510401025")</f>
        <v>1034686247510401025</v>
      </c>
      <c r="F4164" s="4"/>
      <c r="G4164" s="10" t="s">
        <v>5848</v>
      </c>
      <c r="H4164" s="4"/>
      <c r="I4164" s="10" t="str">
        <f>HYPERLINK("http://twitter.com/download/android","Twitter for Android")</f>
        <v>Twitter for Android</v>
      </c>
      <c r="J4164" s="2">
        <v>2637</v>
      </c>
      <c r="K4164" s="2">
        <v>2434</v>
      </c>
      <c r="L4164" s="2">
        <v>3</v>
      </c>
      <c r="M4164" s="2"/>
      <c r="N4164" s="8">
        <v>42198.78056712963</v>
      </c>
      <c r="O4164" s="4" t="s">
        <v>5847</v>
      </c>
      <c r="P4164" s="3" t="s">
        <v>5846</v>
      </c>
      <c r="Q4164" s="4"/>
      <c r="R4164" s="4"/>
      <c r="S4164" s="9" t="str">
        <f>HYPERLINK("https://pbs.twimg.com/profile_images/1012654556034076673/OG2MYXol.jpg","View")</f>
        <v>View</v>
      </c>
    </row>
    <row r="4165" spans="1:19" ht="30">
      <c r="A4165" s="8">
        <v>43341.448993055557</v>
      </c>
      <c r="B4165" s="11" t="str">
        <f>HYPERLINK("https://twitter.com/Mnsour_zartosht","@Mnsour_zartosht")</f>
        <v>@Mnsour_zartosht</v>
      </c>
      <c r="C4165" s="6" t="s">
        <v>5845</v>
      </c>
      <c r="D4165" s="5" t="s">
        <v>5844</v>
      </c>
      <c r="E4165" s="9" t="str">
        <f>HYPERLINK("https://twitter.com/Mnsour_zartosht/status/1034686222126473216","1034686222126473216")</f>
        <v>1034686222126473216</v>
      </c>
      <c r="F4165" s="4"/>
      <c r="G4165" s="4"/>
      <c r="H4165" s="4"/>
      <c r="I4165" s="10" t="str">
        <f>HYPERLINK("http://twitter.com/download/iphone","Twitter for iPhone")</f>
        <v>Twitter for iPhone</v>
      </c>
      <c r="J4165" s="2">
        <v>2824</v>
      </c>
      <c r="K4165" s="2">
        <v>995</v>
      </c>
      <c r="L4165" s="2">
        <v>10</v>
      </c>
      <c r="M4165" s="2"/>
      <c r="N4165" s="8">
        <v>42953.087743055556</v>
      </c>
      <c r="O4165" s="4" t="s">
        <v>5843</v>
      </c>
      <c r="P4165" s="3" t="s">
        <v>5842</v>
      </c>
      <c r="Q4165" s="4"/>
      <c r="R4165" s="4"/>
      <c r="S4165" s="9" t="str">
        <f>HYPERLINK("https://pbs.twimg.com/profile_images/1002704138705293313/DTQEn4up.jpg","View")</f>
        <v>View</v>
      </c>
    </row>
    <row r="4166" spans="1:19" ht="30">
      <c r="A4166" s="8">
        <v>43341.448877314819</v>
      </c>
      <c r="B4166" s="11" t="str">
        <f>HYPERLINK("https://twitter.com/Hadi_167","@Hadi_167")</f>
        <v>@Hadi_167</v>
      </c>
      <c r="C4166" s="6" t="s">
        <v>3980</v>
      </c>
      <c r="D4166" s="5" t="s">
        <v>5841</v>
      </c>
      <c r="E4166" s="9" t="str">
        <f>HYPERLINK("https://twitter.com/Hadi_167/status/1034686180699324416","1034686180699324416")</f>
        <v>1034686180699324416</v>
      </c>
      <c r="F4166" s="4"/>
      <c r="G4166" s="10" t="s">
        <v>5840</v>
      </c>
      <c r="H4166" s="4"/>
      <c r="I4166" s="10" t="str">
        <f>HYPERLINK("http://twitter.com/download/android","Twitter for Android")</f>
        <v>Twitter for Android</v>
      </c>
      <c r="J4166" s="2">
        <v>48</v>
      </c>
      <c r="K4166" s="2">
        <v>47</v>
      </c>
      <c r="L4166" s="2">
        <v>0</v>
      </c>
      <c r="M4166" s="2"/>
      <c r="N4166" s="8">
        <v>43320.320034722223</v>
      </c>
      <c r="O4166" s="4" t="s">
        <v>324</v>
      </c>
      <c r="P4166" s="3" t="s">
        <v>3977</v>
      </c>
      <c r="Q4166" s="4"/>
      <c r="R4166" s="4"/>
      <c r="S4166" s="9" t="str">
        <f>HYPERLINK("https://pbs.twimg.com/profile_images/1027031814018400256/Uea5hPM7.jpg","View")</f>
        <v>View</v>
      </c>
    </row>
    <row r="4167" spans="1:19" ht="50">
      <c r="A4167" s="8">
        <v>43341.448796296296</v>
      </c>
      <c r="B4167" s="11" t="str">
        <f>HYPERLINK("https://twitter.com/mahdiyavaran_","@mahdiyavaran_")</f>
        <v>@mahdiyavaran_</v>
      </c>
      <c r="C4167" s="6" t="s">
        <v>5839</v>
      </c>
      <c r="D4167" s="5" t="s">
        <v>5838</v>
      </c>
      <c r="E4167" s="9" t="str">
        <f>HYPERLINK("https://twitter.com/mahdiyavaran_/status/1034686149619576832","1034686149619576832")</f>
        <v>1034686149619576832</v>
      </c>
      <c r="F4167" s="10" t="s">
        <v>5837</v>
      </c>
      <c r="G4167" s="10" t="s">
        <v>5836</v>
      </c>
      <c r="H4167" s="4"/>
      <c r="I4167" s="10" t="str">
        <f>HYPERLINK("http://twitter.com/download/iphone","Twitter for iPhone")</f>
        <v>Twitter for iPhone</v>
      </c>
      <c r="J4167" s="2">
        <v>1874</v>
      </c>
      <c r="K4167" s="2">
        <v>2033</v>
      </c>
      <c r="L4167" s="2">
        <v>2</v>
      </c>
      <c r="M4167" s="2"/>
      <c r="N4167" s="8">
        <v>43248.949444444443</v>
      </c>
      <c r="O4167" s="4" t="s">
        <v>34</v>
      </c>
      <c r="P4167" s="3" t="s">
        <v>5835</v>
      </c>
      <c r="Q4167" s="4"/>
      <c r="R4167" s="4"/>
      <c r="S4167" s="9" t="str">
        <f>HYPERLINK("https://pbs.twimg.com/profile_images/1034016650792718336/FR1LY_2Y.jpg","View")</f>
        <v>View</v>
      </c>
    </row>
    <row r="4168" spans="1:19" ht="40">
      <c r="A4168" s="8">
        <v>43341.448472222226</v>
      </c>
      <c r="B4168" s="11" t="str">
        <f>HYPERLINK("https://twitter.com/khajeh_yahya","@khajeh_yahya")</f>
        <v>@khajeh_yahya</v>
      </c>
      <c r="C4168" s="6" t="s">
        <v>1744</v>
      </c>
      <c r="D4168" s="5" t="s">
        <v>5834</v>
      </c>
      <c r="E4168" s="9" t="str">
        <f>HYPERLINK("https://twitter.com/khajeh_yahya/status/1034686031516377088","1034686031516377088")</f>
        <v>1034686031516377088</v>
      </c>
      <c r="F4168" s="4"/>
      <c r="G4168" s="4"/>
      <c r="H4168" s="4"/>
      <c r="I4168" s="10" t="str">
        <f>HYPERLINK("http://twitter.com/download/iphone","Twitter for iPhone")</f>
        <v>Twitter for iPhone</v>
      </c>
      <c r="J4168" s="2">
        <v>2096</v>
      </c>
      <c r="K4168" s="2">
        <v>2104</v>
      </c>
      <c r="L4168" s="2">
        <v>3</v>
      </c>
      <c r="M4168" s="2"/>
      <c r="N4168" s="8">
        <v>42897.495636574073</v>
      </c>
      <c r="O4168" s="4" t="s">
        <v>1742</v>
      </c>
      <c r="P4168" s="3" t="s">
        <v>1741</v>
      </c>
      <c r="Q4168" s="10" t="s">
        <v>1740</v>
      </c>
      <c r="R4168" s="4"/>
      <c r="S4168" s="9" t="str">
        <f>HYPERLINK("https://pbs.twimg.com/profile_images/944728555824574464/QdQd1dP6.jpg","View")</f>
        <v>View</v>
      </c>
    </row>
    <row r="4169" spans="1:19" ht="40">
      <c r="A4169" s="8">
        <v>43341.447974537034</v>
      </c>
      <c r="B4169" s="11" t="str">
        <f>HYPERLINK("https://twitter.com/HatefSalehi","@HatefSalehi")</f>
        <v>@HatefSalehi</v>
      </c>
      <c r="C4169" s="6" t="s">
        <v>5833</v>
      </c>
      <c r="D4169" s="12" t="s">
        <v>5832</v>
      </c>
      <c r="E4169" s="9" t="str">
        <f>HYPERLINK("https://twitter.com/HatefSalehi/status/1034685853988212736","1034685853988212736")</f>
        <v>1034685853988212736</v>
      </c>
      <c r="F4169" s="4"/>
      <c r="G4169" s="10" t="s">
        <v>5831</v>
      </c>
      <c r="H4169" s="4"/>
      <c r="I4169" s="10" t="str">
        <f>HYPERLINK("http://twitter.com/download/android","Twitter for Android")</f>
        <v>Twitter for Android</v>
      </c>
      <c r="J4169" s="2">
        <v>86</v>
      </c>
      <c r="K4169" s="2">
        <v>17</v>
      </c>
      <c r="L4169" s="2">
        <v>2</v>
      </c>
      <c r="M4169" s="2"/>
      <c r="N4169" s="8">
        <v>42894.030266203699</v>
      </c>
      <c r="O4169" s="4" t="s">
        <v>34</v>
      </c>
      <c r="P4169" s="3" t="s">
        <v>5830</v>
      </c>
      <c r="Q4169" s="4"/>
      <c r="R4169" s="4"/>
      <c r="S4169" s="9" t="str">
        <f>HYPERLINK("https://pbs.twimg.com/profile_images/913564523038232576/-T7zIxED.jpg","View")</f>
        <v>View</v>
      </c>
    </row>
    <row r="4170" spans="1:19" ht="40">
      <c r="A4170" s="8">
        <v>43341.447129629625</v>
      </c>
      <c r="B4170" s="11" t="str">
        <f>HYPERLINK("https://twitter.com/eliyaomid","@eliyaomid")</f>
        <v>@eliyaomid</v>
      </c>
      <c r="C4170" s="6" t="s">
        <v>5821</v>
      </c>
      <c r="D4170" s="5" t="s">
        <v>5829</v>
      </c>
      <c r="E4170" s="9" t="str">
        <f>HYPERLINK("https://twitter.com/eliyaomid/status/1034685547778920448","1034685547778920448")</f>
        <v>1034685547778920448</v>
      </c>
      <c r="F4170" s="10" t="s">
        <v>5828</v>
      </c>
      <c r="G4170" s="10" t="s">
        <v>5827</v>
      </c>
      <c r="H4170" s="4"/>
      <c r="I4170" s="10" t="str">
        <f>HYPERLINK("http://tickethall.ir","Tickethall")</f>
        <v>Tickethall</v>
      </c>
      <c r="J4170" s="2">
        <v>42</v>
      </c>
      <c r="K4170" s="2">
        <v>39</v>
      </c>
      <c r="L4170" s="2">
        <v>1</v>
      </c>
      <c r="M4170" s="2"/>
      <c r="N4170" s="8">
        <v>41893.800821759258</v>
      </c>
      <c r="O4170" s="4"/>
      <c r="P4170" s="3" t="s">
        <v>5818</v>
      </c>
      <c r="Q4170" s="10" t="s">
        <v>5817</v>
      </c>
      <c r="R4170" s="4"/>
      <c r="S4170" s="2" t="s">
        <v>155</v>
      </c>
    </row>
    <row r="4171" spans="1:19" ht="20">
      <c r="A4171" s="8">
        <v>43341.446828703702</v>
      </c>
      <c r="B4171" s="11" t="str">
        <f>HYPERLINK("https://twitter.com/hasanak_2","@hasanak_2")</f>
        <v>@hasanak_2</v>
      </c>
      <c r="C4171" s="6" t="s">
        <v>5826</v>
      </c>
      <c r="D4171" s="5" t="s">
        <v>5825</v>
      </c>
      <c r="E4171" s="9" t="str">
        <f>HYPERLINK("https://twitter.com/hasanak_2/status/1034685438592577537","1034685438592577537")</f>
        <v>1034685438592577537</v>
      </c>
      <c r="F4171" s="4"/>
      <c r="G4171" s="4"/>
      <c r="H4171" s="4"/>
      <c r="I4171" s="10" t="str">
        <f>HYPERLINK("http://twitter.com","Twitter Web Client")</f>
        <v>Twitter Web Client</v>
      </c>
      <c r="J4171" s="2">
        <v>5</v>
      </c>
      <c r="K4171" s="2">
        <v>23</v>
      </c>
      <c r="L4171" s="2">
        <v>0</v>
      </c>
      <c r="M4171" s="2"/>
      <c r="N4171" s="8">
        <v>43250.636331018519</v>
      </c>
      <c r="O4171" s="4"/>
      <c r="P4171" s="3"/>
      <c r="Q4171" s="4"/>
      <c r="R4171" s="4"/>
      <c r="S4171" s="9" t="str">
        <f>HYPERLINK("https://pbs.twimg.com/profile_images/1014411461865627649/ROBmM0QM.jpg","View")</f>
        <v>View</v>
      </c>
    </row>
    <row r="4172" spans="1:19" ht="40">
      <c r="A4172" s="8">
        <v>43341.446712962963</v>
      </c>
      <c r="B4172" s="11" t="str">
        <f>HYPERLINK("https://twitter.com/Leon65nm","@Leon65nm")</f>
        <v>@Leon65nm</v>
      </c>
      <c r="C4172" s="6" t="s">
        <v>929</v>
      </c>
      <c r="D4172" s="5" t="s">
        <v>5824</v>
      </c>
      <c r="E4172" s="9" t="str">
        <f>HYPERLINK("https://twitter.com/Leon65nm/status/1034685396905541632","1034685396905541632")</f>
        <v>1034685396905541632</v>
      </c>
      <c r="F4172" s="4"/>
      <c r="G4172" s="4"/>
      <c r="H4172" s="4"/>
      <c r="I4172" s="10" t="str">
        <f>HYPERLINK("http://twitter.com/download/android","Twitter for Android")</f>
        <v>Twitter for Android</v>
      </c>
      <c r="J4172" s="2">
        <v>6</v>
      </c>
      <c r="K4172" s="2">
        <v>17</v>
      </c>
      <c r="L4172" s="2">
        <v>0</v>
      </c>
      <c r="M4172" s="2"/>
      <c r="N4172" s="8">
        <v>43226.442523148144</v>
      </c>
      <c r="O4172" s="4"/>
      <c r="P4172" s="3"/>
      <c r="Q4172" s="4"/>
      <c r="R4172" s="4"/>
      <c r="S4172" s="9" t="str">
        <f>HYPERLINK("https://pbs.twimg.com/profile_images/993012338801496065/Q7wP_C1o.jpg","View")</f>
        <v>View</v>
      </c>
    </row>
    <row r="4173" spans="1:19" ht="12.5">
      <c r="A4173" s="8">
        <v>43341.446423611109</v>
      </c>
      <c r="B4173" s="11" t="str">
        <f>HYPERLINK("https://twitter.com/yaghma_fashkham","@yaghma_fashkham")</f>
        <v>@yaghma_fashkham</v>
      </c>
      <c r="C4173" s="6" t="s">
        <v>1981</v>
      </c>
      <c r="D4173" s="5" t="s">
        <v>5823</v>
      </c>
      <c r="E4173" s="9" t="str">
        <f>HYPERLINK("https://twitter.com/yaghma_fashkham/status/1034685292496736256","1034685292496736256")</f>
        <v>1034685292496736256</v>
      </c>
      <c r="F4173" s="4"/>
      <c r="G4173" s="10" t="s">
        <v>5822</v>
      </c>
      <c r="H4173" s="4"/>
      <c r="I4173" s="10" t="str">
        <f>HYPERLINK("http://twitter.com/download/android","Twitter for Android")</f>
        <v>Twitter for Android</v>
      </c>
      <c r="J4173" s="2">
        <v>2803</v>
      </c>
      <c r="K4173" s="2">
        <v>193</v>
      </c>
      <c r="L4173" s="2">
        <v>19</v>
      </c>
      <c r="M4173" s="2"/>
      <c r="N4173" s="8">
        <v>43179.734803240739</v>
      </c>
      <c r="O4173" s="4" t="s">
        <v>34</v>
      </c>
      <c r="P4173" s="3" t="s">
        <v>1979</v>
      </c>
      <c r="Q4173" s="4"/>
      <c r="R4173" s="4"/>
      <c r="S4173" s="9" t="str">
        <f>HYPERLINK("https://pbs.twimg.com/profile_images/976099342233817088/REHFW4Jv.jpg","View")</f>
        <v>View</v>
      </c>
    </row>
    <row r="4174" spans="1:19" ht="40">
      <c r="A4174" s="8">
        <v>43341.446342592593</v>
      </c>
      <c r="B4174" s="11" t="str">
        <f>HYPERLINK("https://twitter.com/eliyaomid","@eliyaomid")</f>
        <v>@eliyaomid</v>
      </c>
      <c r="C4174" s="6" t="s">
        <v>5821</v>
      </c>
      <c r="D4174" s="5" t="s">
        <v>5820</v>
      </c>
      <c r="E4174" s="9" t="str">
        <f>HYPERLINK("https://twitter.com/eliyaomid/status/1034685261337255936","1034685261337255936")</f>
        <v>1034685261337255936</v>
      </c>
      <c r="F4174" s="4"/>
      <c r="G4174" s="10" t="s">
        <v>5819</v>
      </c>
      <c r="H4174" s="4"/>
      <c r="I4174" s="10" t="str">
        <f>HYPERLINK("http://tickethall.ir","Tickethall")</f>
        <v>Tickethall</v>
      </c>
      <c r="J4174" s="2">
        <v>42</v>
      </c>
      <c r="K4174" s="2">
        <v>39</v>
      </c>
      <c r="L4174" s="2">
        <v>1</v>
      </c>
      <c r="M4174" s="2"/>
      <c r="N4174" s="8">
        <v>41893.800821759258</v>
      </c>
      <c r="O4174" s="4"/>
      <c r="P4174" s="3" t="s">
        <v>5818</v>
      </c>
      <c r="Q4174" s="10" t="s">
        <v>5817</v>
      </c>
      <c r="R4174" s="4"/>
      <c r="S4174" s="2" t="s">
        <v>155</v>
      </c>
    </row>
    <row r="4175" spans="1:19" ht="20">
      <c r="A4175" s="8">
        <v>43341.446296296301</v>
      </c>
      <c r="B4175" s="11" t="str">
        <f>HYPERLINK("https://twitter.com/bazkarmahan","@bazkarmahan")</f>
        <v>@bazkarmahan</v>
      </c>
      <c r="C4175" s="6" t="s">
        <v>5816</v>
      </c>
      <c r="D4175" s="5" t="s">
        <v>5815</v>
      </c>
      <c r="E4175" s="9" t="str">
        <f>HYPERLINK("https://twitter.com/bazkarmahan/status/1034685243347877888","1034685243347877888")</f>
        <v>1034685243347877888</v>
      </c>
      <c r="F4175" s="4"/>
      <c r="G4175" s="10" t="s">
        <v>5814</v>
      </c>
      <c r="H4175" s="4"/>
      <c r="I4175" s="10" t="str">
        <f>HYPERLINK("http://twitter.com/download/android","Twitter for Android")</f>
        <v>Twitter for Android</v>
      </c>
      <c r="J4175" s="2">
        <v>1100</v>
      </c>
      <c r="K4175" s="2">
        <v>1850</v>
      </c>
      <c r="L4175" s="2">
        <v>3</v>
      </c>
      <c r="M4175" s="2"/>
      <c r="N4175" s="8">
        <v>42912.973148148143</v>
      </c>
      <c r="O4175" s="4" t="s">
        <v>324</v>
      </c>
      <c r="P4175" s="3" t="s">
        <v>5813</v>
      </c>
      <c r="Q4175" s="4"/>
      <c r="R4175" s="4"/>
      <c r="S4175" s="9" t="str">
        <f>HYPERLINK("https://pbs.twimg.com/profile_images/948858046402498561/FBJF5JOw.jpg","View")</f>
        <v>View</v>
      </c>
    </row>
    <row r="4176" spans="1:19" ht="30">
      <c r="A4176" s="8">
        <v>43341.445173611108</v>
      </c>
      <c r="B4176" s="11" t="str">
        <f>HYPERLINK("https://twitter.com/sobhanmm","@sobhanmm")</f>
        <v>@sobhanmm</v>
      </c>
      <c r="C4176" s="6" t="s">
        <v>5589</v>
      </c>
      <c r="D4176" s="5" t="s">
        <v>5812</v>
      </c>
      <c r="E4176" s="9" t="str">
        <f>HYPERLINK("https://twitter.com/sobhanmm/status/1034684839365148672","1034684839365148672")</f>
        <v>1034684839365148672</v>
      </c>
      <c r="F4176" s="4"/>
      <c r="G4176" s="4"/>
      <c r="H4176" s="4"/>
      <c r="I4176" s="10" t="str">
        <f>HYPERLINK("http://twitter.com/#!/download/ipad","Twitter for iPad")</f>
        <v>Twitter for iPad</v>
      </c>
      <c r="J4176" s="2">
        <v>117</v>
      </c>
      <c r="K4176" s="2">
        <v>134</v>
      </c>
      <c r="L4176" s="2">
        <v>0</v>
      </c>
      <c r="M4176" s="2"/>
      <c r="N4176" s="8">
        <v>41008.285682870366</v>
      </c>
      <c r="O4176" s="4" t="s">
        <v>133</v>
      </c>
      <c r="P4176" s="3" t="s">
        <v>5586</v>
      </c>
      <c r="Q4176" s="4"/>
      <c r="R4176" s="4"/>
      <c r="S4176" s="9" t="str">
        <f>HYPERLINK("https://pbs.twimg.com/profile_images/901321224323837952/dMzpjDvz.jpg","View")</f>
        <v>View</v>
      </c>
    </row>
    <row r="4177" spans="1:19" ht="30">
      <c r="A4177" s="8">
        <v>43341.444293981476</v>
      </c>
      <c r="B4177" s="11" t="str">
        <f>HYPERLINK("https://twitter.com/hamid45299622","@hamid45299622")</f>
        <v>@hamid45299622</v>
      </c>
      <c r="C4177" s="6" t="s">
        <v>5811</v>
      </c>
      <c r="D4177" s="5" t="s">
        <v>5810</v>
      </c>
      <c r="E4177" s="9" t="str">
        <f>HYPERLINK("https://twitter.com/hamid45299622/status/1034684518408572928","1034684518408572928")</f>
        <v>1034684518408572928</v>
      </c>
      <c r="F4177" s="4"/>
      <c r="G4177" s="10" t="s">
        <v>5809</v>
      </c>
      <c r="H4177" s="4"/>
      <c r="I4177" s="10" t="str">
        <f>HYPERLINK("http://twitter.com/download/iphone","Twitter for iPhone")</f>
        <v>Twitter for iPhone</v>
      </c>
      <c r="J4177" s="2">
        <v>14</v>
      </c>
      <c r="K4177" s="2">
        <v>21</v>
      </c>
      <c r="L4177" s="2">
        <v>0</v>
      </c>
      <c r="M4177" s="2"/>
      <c r="N4177" s="8">
        <v>43302.092187499999</v>
      </c>
      <c r="O4177" s="4" t="s">
        <v>5808</v>
      </c>
      <c r="P4177" s="3" t="s">
        <v>5807</v>
      </c>
      <c r="Q4177" s="4"/>
      <c r="R4177" s="4"/>
      <c r="S4177" s="9" t="str">
        <f>HYPERLINK("https://pbs.twimg.com/profile_images/1021200700133593088/G951ywHp.jpg","View")</f>
        <v>View</v>
      </c>
    </row>
    <row r="4178" spans="1:19" ht="30">
      <c r="A4178" s="8">
        <v>43341.444131944445</v>
      </c>
      <c r="B4178" s="11" t="str">
        <f>HYPERLINK("https://twitter.com/somi_morovati","@somi_morovati")</f>
        <v>@somi_morovati</v>
      </c>
      <c r="C4178" s="6" t="s">
        <v>5806</v>
      </c>
      <c r="D4178" s="5" t="s">
        <v>5805</v>
      </c>
      <c r="E4178" s="9" t="str">
        <f>HYPERLINK("https://twitter.com/somi_morovati/status/1034684458845265920","1034684458845265920")</f>
        <v>1034684458845265920</v>
      </c>
      <c r="F4178" s="4"/>
      <c r="G4178" s="10" t="s">
        <v>5804</v>
      </c>
      <c r="H4178" s="4"/>
      <c r="I4178" s="10" t="str">
        <f>HYPERLINK("http://twitter.com/download/iphone","Twitter for iPhone")</f>
        <v>Twitter for iPhone</v>
      </c>
      <c r="J4178" s="2">
        <v>3979</v>
      </c>
      <c r="K4178" s="2">
        <v>3254</v>
      </c>
      <c r="L4178" s="2">
        <v>5</v>
      </c>
      <c r="M4178" s="2"/>
      <c r="N4178" s="8">
        <v>43168.584999999999</v>
      </c>
      <c r="O4178" s="4"/>
      <c r="P4178" s="3" t="s">
        <v>5803</v>
      </c>
      <c r="Q4178" s="4"/>
      <c r="R4178" s="4"/>
      <c r="S4178" s="9" t="str">
        <f>HYPERLINK("https://pbs.twimg.com/profile_images/992432999647137792/wRY3dwpK.jpg","View")</f>
        <v>View</v>
      </c>
    </row>
    <row r="4179" spans="1:19" ht="40">
      <c r="A4179" s="8">
        <v>43341.44321759259</v>
      </c>
      <c r="B4179" s="11" t="str">
        <f>HYPERLINK("https://twitter.com/MasoudFadak","@MasoudFadak")</f>
        <v>@MasoudFadak</v>
      </c>
      <c r="C4179" s="6" t="s">
        <v>2958</v>
      </c>
      <c r="D4179" s="5" t="s">
        <v>5802</v>
      </c>
      <c r="E4179" s="9" t="str">
        <f>HYPERLINK("https://twitter.com/MasoudFadak/status/1034684126924890112","1034684126924890112")</f>
        <v>1034684126924890112</v>
      </c>
      <c r="F4179" s="4"/>
      <c r="G4179" s="4"/>
      <c r="H4179" s="4"/>
      <c r="I4179" s="10" t="str">
        <f>HYPERLINK("http://twitter.com/download/android","Twitter for Android")</f>
        <v>Twitter for Android</v>
      </c>
      <c r="J4179" s="2">
        <v>7147</v>
      </c>
      <c r="K4179" s="2">
        <v>6162</v>
      </c>
      <c r="L4179" s="2">
        <v>30</v>
      </c>
      <c r="M4179" s="2"/>
      <c r="N4179" s="8">
        <v>42854.617997685185</v>
      </c>
      <c r="O4179" s="4" t="s">
        <v>2956</v>
      </c>
      <c r="P4179" s="3" t="s">
        <v>2955</v>
      </c>
      <c r="Q4179" s="4"/>
      <c r="R4179" s="4"/>
      <c r="S4179" s="9" t="str">
        <f>HYPERLINK("https://pbs.twimg.com/profile_images/1014586713728045056/f2HZQtbX.jpg","View")</f>
        <v>View</v>
      </c>
    </row>
    <row r="4180" spans="1:19" ht="20">
      <c r="A4180" s="8">
        <v>43341.443171296298</v>
      </c>
      <c r="B4180" s="11" t="str">
        <f>HYPERLINK("https://twitter.com/BehnazMoghadas","@BehnazMoghadas")</f>
        <v>@BehnazMoghadas</v>
      </c>
      <c r="C4180" s="6" t="s">
        <v>5801</v>
      </c>
      <c r="D4180" s="5" t="s">
        <v>5800</v>
      </c>
      <c r="E4180" s="9" t="str">
        <f>HYPERLINK("https://twitter.com/BehnazMoghadas/status/1034684110206377985","1034684110206377985")</f>
        <v>1034684110206377985</v>
      </c>
      <c r="F4180" s="4"/>
      <c r="G4180" s="10" t="s">
        <v>5799</v>
      </c>
      <c r="H4180" s="4"/>
      <c r="I4180" s="10" t="str">
        <f>HYPERLINK("http://twitter.com/download/android","Twitter for Android")</f>
        <v>Twitter for Android</v>
      </c>
      <c r="J4180" s="2">
        <v>3566</v>
      </c>
      <c r="K4180" s="2">
        <v>120</v>
      </c>
      <c r="L4180" s="2">
        <v>3</v>
      </c>
      <c r="M4180" s="2"/>
      <c r="N4180" s="8">
        <v>41495.617951388893</v>
      </c>
      <c r="O4180" s="4"/>
      <c r="P4180" s="3" t="s">
        <v>5798</v>
      </c>
      <c r="Q4180" s="4"/>
      <c r="R4180" s="4"/>
      <c r="S4180" s="9" t="str">
        <f>HYPERLINK("https://pbs.twimg.com/profile_images/978593200083480577/dUWEDi7p.jpg","View")</f>
        <v>View</v>
      </c>
    </row>
    <row r="4181" spans="1:19" ht="20">
      <c r="A4181" s="8">
        <v>43341.442986111113</v>
      </c>
      <c r="B4181" s="11" t="str">
        <f>HYPERLINK("https://twitter.com/Avizooon","@Avizooon")</f>
        <v>@Avizooon</v>
      </c>
      <c r="C4181" s="6" t="s">
        <v>5797</v>
      </c>
      <c r="D4181" s="5" t="s">
        <v>5796</v>
      </c>
      <c r="E4181" s="9" t="str">
        <f>HYPERLINK("https://twitter.com/Avizooon/status/1034684045693788160","1034684045693788160")</f>
        <v>1034684045693788160</v>
      </c>
      <c r="F4181" s="4"/>
      <c r="G4181" s="4"/>
      <c r="H4181" s="4"/>
      <c r="I4181" s="10" t="str">
        <f>HYPERLINK("http://twitter.com/download/android","Twitter for Android")</f>
        <v>Twitter for Android</v>
      </c>
      <c r="J4181" s="2">
        <v>130</v>
      </c>
      <c r="K4181" s="2">
        <v>144</v>
      </c>
      <c r="L4181" s="2">
        <v>0</v>
      </c>
      <c r="M4181" s="2"/>
      <c r="N4181" s="8">
        <v>43284.456076388888</v>
      </c>
      <c r="O4181" s="4"/>
      <c r="P4181" s="3" t="s">
        <v>5795</v>
      </c>
      <c r="Q4181" s="4"/>
      <c r="R4181" s="4"/>
      <c r="S4181" s="9" t="str">
        <f>HYPERLINK("https://pbs.twimg.com/profile_images/1032902582031863808/UDdkGCqD.jpg","View")</f>
        <v>View</v>
      </c>
    </row>
    <row r="4182" spans="1:19" ht="20">
      <c r="A4182" s="8">
        <v>43341.441932870366</v>
      </c>
      <c r="B4182" s="11" t="str">
        <f>HYPERLINK("https://twitter.com/222tilit","@222tilit")</f>
        <v>@222tilit</v>
      </c>
      <c r="C4182" s="6" t="s">
        <v>4757</v>
      </c>
      <c r="D4182" s="5" t="s">
        <v>5794</v>
      </c>
      <c r="E4182" s="9" t="str">
        <f>HYPERLINK("https://twitter.com/222tilit/status/1034683661868851200","1034683661868851200")</f>
        <v>1034683661868851200</v>
      </c>
      <c r="F4182" s="4"/>
      <c r="G4182" s="10" t="s">
        <v>5793</v>
      </c>
      <c r="H4182" s="4"/>
      <c r="I4182" s="10" t="str">
        <f>HYPERLINK("http://twitter.com/download/android","Twitter for Android")</f>
        <v>Twitter for Android</v>
      </c>
      <c r="J4182" s="2">
        <v>2653</v>
      </c>
      <c r="K4182" s="2">
        <v>1414</v>
      </c>
      <c r="L4182" s="2">
        <v>5</v>
      </c>
      <c r="M4182" s="2"/>
      <c r="N4182" s="8">
        <v>42915.957592592589</v>
      </c>
      <c r="O4182" s="4" t="s">
        <v>4755</v>
      </c>
      <c r="P4182" s="3" t="s">
        <v>4754</v>
      </c>
      <c r="Q4182" s="4"/>
      <c r="R4182" s="4"/>
      <c r="S4182" s="9" t="str">
        <f>HYPERLINK("https://pbs.twimg.com/profile_images/1011163389886959616/f1uUp1lN.jpg","View")</f>
        <v>View</v>
      </c>
    </row>
    <row r="4183" spans="1:19" ht="40">
      <c r="A4183" s="8">
        <v>43341.441724537042</v>
      </c>
      <c r="B4183" s="11" t="str">
        <f>HYPERLINK("https://twitter.com/rahimy355","@rahimy355")</f>
        <v>@rahimy355</v>
      </c>
      <c r="C4183" s="6" t="s">
        <v>5792</v>
      </c>
      <c r="D4183" s="5" t="s">
        <v>5791</v>
      </c>
      <c r="E4183" s="9" t="str">
        <f>HYPERLINK("https://twitter.com/rahimy355/status/1034683587528994816","1034683587528994816")</f>
        <v>1034683587528994816</v>
      </c>
      <c r="F4183" s="4"/>
      <c r="G4183" s="10" t="s">
        <v>5790</v>
      </c>
      <c r="H4183" s="4"/>
      <c r="I4183" s="10" t="str">
        <f>HYPERLINK("http://twitter.com","Twitter Web Client")</f>
        <v>Twitter Web Client</v>
      </c>
      <c r="J4183" s="2">
        <v>6755</v>
      </c>
      <c r="K4183" s="2">
        <v>6408</v>
      </c>
      <c r="L4183" s="2">
        <v>30</v>
      </c>
      <c r="M4183" s="2"/>
      <c r="N4183" s="8">
        <v>42834.95484953704</v>
      </c>
      <c r="O4183" s="4" t="s">
        <v>5789</v>
      </c>
      <c r="P4183" s="3" t="s">
        <v>5788</v>
      </c>
      <c r="Q4183" s="4"/>
      <c r="R4183" s="4"/>
      <c r="S4183" s="9" t="str">
        <f>HYPERLINK("https://pbs.twimg.com/profile_images/1016224631324278784/98B-KiH7.jpg","View")</f>
        <v>View</v>
      </c>
    </row>
    <row r="4184" spans="1:19" ht="40">
      <c r="A4184" s="8">
        <v>43341.441203703704</v>
      </c>
      <c r="B4184" s="11" t="str">
        <f>HYPERLINK("https://twitter.com/Hosseiining","@Hosseiining")</f>
        <v>@Hosseiining</v>
      </c>
      <c r="C4184" s="6" t="s">
        <v>5787</v>
      </c>
      <c r="D4184" s="5" t="s">
        <v>5786</v>
      </c>
      <c r="E4184" s="9" t="str">
        <f>HYPERLINK("https://twitter.com/Hosseiining/status/1034683400823730177","1034683400823730177")</f>
        <v>1034683400823730177</v>
      </c>
      <c r="F4184" s="4"/>
      <c r="G4184" s="4"/>
      <c r="H4184" s="4"/>
      <c r="I4184" s="10" t="str">
        <f>HYPERLINK("http://twitter.com","Twitter Web Client")</f>
        <v>Twitter Web Client</v>
      </c>
      <c r="J4184" s="2">
        <v>1536</v>
      </c>
      <c r="K4184" s="2">
        <v>1562</v>
      </c>
      <c r="L4184" s="2">
        <v>1</v>
      </c>
      <c r="M4184" s="2"/>
      <c r="N4184" s="8">
        <v>42980.922951388886</v>
      </c>
      <c r="O4184" s="4" t="s">
        <v>5785</v>
      </c>
      <c r="P4184" s="3" t="s">
        <v>5784</v>
      </c>
      <c r="Q4184" s="10" t="s">
        <v>5783</v>
      </c>
      <c r="R4184" s="4"/>
      <c r="S4184" s="9" t="str">
        <f>HYPERLINK("https://pbs.twimg.com/profile_images/991661871114674176/MCmf1JQC.jpg","View")</f>
        <v>View</v>
      </c>
    </row>
    <row r="4185" spans="1:19" ht="20">
      <c r="A4185" s="8">
        <v>43341.440092592587</v>
      </c>
      <c r="B4185" s="11" t="str">
        <f>HYPERLINK("https://twitter.com/sarbazemahdi","@sarbazemahdi")</f>
        <v>@sarbazemahdi</v>
      </c>
      <c r="C4185" s="6" t="s">
        <v>5743</v>
      </c>
      <c r="D4185" s="5" t="s">
        <v>5782</v>
      </c>
      <c r="E4185" s="9" t="str">
        <f>HYPERLINK("https://twitter.com/sarbazemahdi/status/1034682995066761216","1034682995066761216")</f>
        <v>1034682995066761216</v>
      </c>
      <c r="F4185" s="4"/>
      <c r="G4185" s="4"/>
      <c r="H4185" s="4"/>
      <c r="I4185" s="10" t="str">
        <f>HYPERLINK("http://twitter.com/download/android","Twitter for Android")</f>
        <v>Twitter for Android</v>
      </c>
      <c r="J4185" s="2">
        <v>5577</v>
      </c>
      <c r="K4185" s="2">
        <v>3985</v>
      </c>
      <c r="L4185" s="2">
        <v>16</v>
      </c>
      <c r="M4185" s="2"/>
      <c r="N4185" s="8">
        <v>42739.89543981482</v>
      </c>
      <c r="O4185" s="4" t="s">
        <v>324</v>
      </c>
      <c r="P4185" s="3" t="s">
        <v>5741</v>
      </c>
      <c r="Q4185" s="4"/>
      <c r="R4185" s="4"/>
      <c r="S4185" s="9" t="str">
        <f>HYPERLINK("https://pbs.twimg.com/profile_images/956268067406991361/o9kwXMvJ.jpg","View")</f>
        <v>View</v>
      </c>
    </row>
    <row r="4186" spans="1:19" ht="30">
      <c r="A4186" s="8">
        <v>43341.439733796295</v>
      </c>
      <c r="B4186" s="11" t="str">
        <f>HYPERLINK("https://twitter.com/papilo0n","@papilo0n")</f>
        <v>@papilo0n</v>
      </c>
      <c r="C4186" s="6" t="s">
        <v>5781</v>
      </c>
      <c r="D4186" s="5" t="s">
        <v>5780</v>
      </c>
      <c r="E4186" s="9" t="str">
        <f>HYPERLINK("https://twitter.com/papilo0n/status/1034682865622167553","1034682865622167553")</f>
        <v>1034682865622167553</v>
      </c>
      <c r="F4186" s="4"/>
      <c r="G4186" s="10" t="s">
        <v>5779</v>
      </c>
      <c r="H4186" s="4"/>
      <c r="I4186" s="10" t="str">
        <f>HYPERLINK("http://twitter.com/download/android","Twitter for Android")</f>
        <v>Twitter for Android</v>
      </c>
      <c r="J4186" s="2">
        <v>2063</v>
      </c>
      <c r="K4186" s="2">
        <v>897</v>
      </c>
      <c r="L4186" s="2">
        <v>1</v>
      </c>
      <c r="M4186" s="2"/>
      <c r="N4186" s="8">
        <v>43073.053981481484</v>
      </c>
      <c r="O4186" s="4" t="s">
        <v>1415</v>
      </c>
      <c r="P4186" s="3" t="s">
        <v>5778</v>
      </c>
      <c r="Q4186" s="4"/>
      <c r="R4186" s="4"/>
      <c r="S4186" s="9" t="str">
        <f>HYPERLINK("https://pbs.twimg.com/profile_images/1009564646951530496/3I5OGJrd.jpg","View")</f>
        <v>View</v>
      </c>
    </row>
    <row r="4187" spans="1:19" ht="20">
      <c r="A4187" s="8">
        <v>43341.439456018517</v>
      </c>
      <c r="B4187" s="11" t="str">
        <f>HYPERLINK("https://twitter.com/ibenair","@ibenair")</f>
        <v>@ibenair</v>
      </c>
      <c r="C4187" s="11" t="s">
        <v>570</v>
      </c>
      <c r="D4187" s="5" t="s">
        <v>5777</v>
      </c>
      <c r="E4187" s="9" t="str">
        <f>HYPERLINK("https://twitter.com/ibenair/status/1034682763721535488","1034682763721535488")</f>
        <v>1034682763721535488</v>
      </c>
      <c r="F4187" s="10" t="s">
        <v>5776</v>
      </c>
      <c r="G4187" s="4"/>
      <c r="H4187" s="4"/>
      <c r="I4187" s="10" t="str">
        <f>HYPERLINK("http://twitter.com/download/iphone","Twitter for iPhone")</f>
        <v>Twitter for iPhone</v>
      </c>
      <c r="J4187" s="2">
        <v>47</v>
      </c>
      <c r="K4187" s="2">
        <v>7</v>
      </c>
      <c r="L4187" s="2">
        <v>1</v>
      </c>
      <c r="M4187" s="2"/>
      <c r="N4187" s="8">
        <v>43206.519918981481</v>
      </c>
      <c r="O4187" s="4" t="s">
        <v>17</v>
      </c>
      <c r="P4187" s="3" t="s">
        <v>567</v>
      </c>
      <c r="Q4187" s="10" t="s">
        <v>566</v>
      </c>
      <c r="R4187" s="4"/>
      <c r="S4187" s="9" t="str">
        <f>HYPERLINK("https://pbs.twimg.com/profile_images/985793204661506048/Esq8e1Qs.jpg","View")</f>
        <v>View</v>
      </c>
    </row>
    <row r="4188" spans="1:19" ht="12.5">
      <c r="A4188" s="8">
        <v>43341.438275462962</v>
      </c>
      <c r="B4188" s="11" t="str">
        <f>HYPERLINK("https://twitter.com/Roshangari_ir","@Roshangari_ir")</f>
        <v>@Roshangari_ir</v>
      </c>
      <c r="C4188" s="11" t="s">
        <v>5770</v>
      </c>
      <c r="D4188" s="5" t="s">
        <v>5775</v>
      </c>
      <c r="E4188" s="9" t="str">
        <f>HYPERLINK("https://twitter.com/Roshangari_ir/status/1034682339476103168","1034682339476103168")</f>
        <v>1034682339476103168</v>
      </c>
      <c r="F4188" s="10" t="s">
        <v>5774</v>
      </c>
      <c r="G4188" s="10" t="s">
        <v>5773</v>
      </c>
      <c r="H4188" s="4"/>
      <c r="I4188" s="10" t="str">
        <f>HYPERLINK("http://twitter.com","Twitter Web Client")</f>
        <v>Twitter Web Client</v>
      </c>
      <c r="J4188" s="2">
        <v>5881</v>
      </c>
      <c r="K4188" s="2">
        <v>4704</v>
      </c>
      <c r="L4188" s="2">
        <v>17</v>
      </c>
      <c r="M4188" s="2"/>
      <c r="N4188" s="8">
        <v>41759.410682870366</v>
      </c>
      <c r="O4188" s="4"/>
      <c r="P4188" s="3"/>
      <c r="Q4188" s="4"/>
      <c r="R4188" s="4"/>
      <c r="S4188" s="9" t="str">
        <f>HYPERLINK("https://pbs.twimg.com/profile_images/968820789456748546/nwIwZqCA.jpg","View")</f>
        <v>View</v>
      </c>
    </row>
    <row r="4189" spans="1:19" ht="40">
      <c r="A4189" s="8">
        <v>43341.43813657407</v>
      </c>
      <c r="B4189" s="11" t="str">
        <f>HYPERLINK("https://twitter.com/moslehi_ir","@moslehi_ir")</f>
        <v>@moslehi_ir</v>
      </c>
      <c r="C4189" s="6" t="s">
        <v>4492</v>
      </c>
      <c r="D4189" s="5" t="s">
        <v>5772</v>
      </c>
      <c r="E4189" s="9" t="str">
        <f>HYPERLINK("https://twitter.com/moslehi_ir/status/1034682285780594688","1034682285780594688")</f>
        <v>1034682285780594688</v>
      </c>
      <c r="F4189" s="4"/>
      <c r="G4189" s="10" t="s">
        <v>5771</v>
      </c>
      <c r="H4189" s="4"/>
      <c r="I4189" s="10" t="str">
        <f>HYPERLINK("http://twitter.com/download/android","Twitter for Android")</f>
        <v>Twitter for Android</v>
      </c>
      <c r="J4189" s="2">
        <v>11</v>
      </c>
      <c r="K4189" s="2">
        <v>53</v>
      </c>
      <c r="L4189" s="2">
        <v>0</v>
      </c>
      <c r="M4189" s="2"/>
      <c r="N4189" s="8">
        <v>42512.966817129629</v>
      </c>
      <c r="O4189" s="4"/>
      <c r="P4189" s="3" t="s">
        <v>4489</v>
      </c>
      <c r="Q4189" s="10" t="s">
        <v>4488</v>
      </c>
      <c r="R4189" s="4"/>
      <c r="S4189" s="9" t="str">
        <f>HYPERLINK("https://pbs.twimg.com/profile_images/1033291050885042176/L41hsYqf.jpg","View")</f>
        <v>View</v>
      </c>
    </row>
    <row r="4190" spans="1:19" ht="12.5">
      <c r="A4190" s="8">
        <v>43341.437881944439</v>
      </c>
      <c r="B4190" s="11" t="str">
        <f>HYPERLINK("https://twitter.com/Roshangari_ir","@Roshangari_ir")</f>
        <v>@Roshangari_ir</v>
      </c>
      <c r="C4190" s="11" t="s">
        <v>5770</v>
      </c>
      <c r="D4190" s="5" t="s">
        <v>5769</v>
      </c>
      <c r="E4190" s="9" t="str">
        <f>HYPERLINK("https://twitter.com/Roshangari_ir/status/1034682197079404544","1034682197079404544")</f>
        <v>1034682197079404544</v>
      </c>
      <c r="F4190" s="10" t="s">
        <v>5768</v>
      </c>
      <c r="G4190" s="10" t="s">
        <v>5767</v>
      </c>
      <c r="H4190" s="4"/>
      <c r="I4190" s="10" t="str">
        <f>HYPERLINK("http://twitter.com","Twitter Web Client")</f>
        <v>Twitter Web Client</v>
      </c>
      <c r="J4190" s="2">
        <v>5881</v>
      </c>
      <c r="K4190" s="2">
        <v>4704</v>
      </c>
      <c r="L4190" s="2">
        <v>17</v>
      </c>
      <c r="M4190" s="2"/>
      <c r="N4190" s="8">
        <v>41759.410682870366</v>
      </c>
      <c r="O4190" s="4"/>
      <c r="P4190" s="3"/>
      <c r="Q4190" s="4"/>
      <c r="R4190" s="4"/>
      <c r="S4190" s="9" t="str">
        <f>HYPERLINK("https://pbs.twimg.com/profile_images/968820789456748546/nwIwZqCA.jpg","View")</f>
        <v>View</v>
      </c>
    </row>
    <row r="4191" spans="1:19" ht="20">
      <c r="A4191" s="8">
        <v>43341.437696759254</v>
      </c>
      <c r="B4191" s="11" t="str">
        <f>HYPERLINK("https://twitter.com/faghih_h","@faghih_h")</f>
        <v>@faghih_h</v>
      </c>
      <c r="C4191" s="6" t="s">
        <v>3931</v>
      </c>
      <c r="D4191" s="5" t="s">
        <v>5766</v>
      </c>
      <c r="E4191" s="9" t="str">
        <f>HYPERLINK("https://twitter.com/faghih_h/status/1034682126229270529","1034682126229270529")</f>
        <v>1034682126229270529</v>
      </c>
      <c r="F4191" s="4"/>
      <c r="G4191" s="4"/>
      <c r="H4191" s="4"/>
      <c r="I4191" s="10" t="str">
        <f>HYPERLINK("http://twitter.com/download/android","Twitter for Android")</f>
        <v>Twitter for Android</v>
      </c>
      <c r="J4191" s="2">
        <v>4968</v>
      </c>
      <c r="K4191" s="2">
        <v>2993</v>
      </c>
      <c r="L4191" s="2">
        <v>12</v>
      </c>
      <c r="M4191" s="2"/>
      <c r="N4191" s="8">
        <v>42740.44059027778</v>
      </c>
      <c r="O4191" s="4" t="s">
        <v>17</v>
      </c>
      <c r="P4191" s="3" t="s">
        <v>3929</v>
      </c>
      <c r="Q4191" s="4"/>
      <c r="R4191" s="4"/>
      <c r="S4191" s="9" t="str">
        <f>HYPERLINK("https://pbs.twimg.com/profile_images/991603591851978752/0RORECgR.jpg","View")</f>
        <v>View</v>
      </c>
    </row>
    <row r="4192" spans="1:19" ht="40">
      <c r="A4192" s="8">
        <v>43341.437476851846</v>
      </c>
      <c r="B4192" s="11" t="str">
        <f>HYPERLINK("https://twitter.com/kateb_ouham","@kateb_ouham")</f>
        <v>@kateb_ouham</v>
      </c>
      <c r="C4192" s="6" t="s">
        <v>2997</v>
      </c>
      <c r="D4192" s="5" t="s">
        <v>5765</v>
      </c>
      <c r="E4192" s="9" t="str">
        <f>HYPERLINK("https://twitter.com/kateb_ouham/status/1034682049414787072","1034682049414787072")</f>
        <v>1034682049414787072</v>
      </c>
      <c r="F4192" s="4"/>
      <c r="G4192" s="4"/>
      <c r="H4192" s="4"/>
      <c r="I4192" s="10" t="str">
        <f>HYPERLINK("http://twitter.com/download/android","Twitter for Android")</f>
        <v>Twitter for Android</v>
      </c>
      <c r="J4192" s="2">
        <v>1602</v>
      </c>
      <c r="K4192" s="2">
        <v>1270</v>
      </c>
      <c r="L4192" s="2">
        <v>1</v>
      </c>
      <c r="M4192" s="2"/>
      <c r="N4192" s="8">
        <v>43238.326655092591</v>
      </c>
      <c r="O4192" s="4" t="s">
        <v>34</v>
      </c>
      <c r="P4192" s="3" t="s">
        <v>2995</v>
      </c>
      <c r="Q4192" s="4"/>
      <c r="R4192" s="4"/>
      <c r="S4192" s="9" t="str">
        <f>HYPERLINK("https://pbs.twimg.com/profile_images/1026085330624163840/hPNekdYn.jpg","View")</f>
        <v>View</v>
      </c>
    </row>
    <row r="4193" spans="1:19" ht="40">
      <c r="A4193" s="8">
        <v>43341.436712962968</v>
      </c>
      <c r="B4193" s="11" t="str">
        <f>HYPERLINK("https://twitter.com/Hadi_167","@Hadi_167")</f>
        <v>@Hadi_167</v>
      </c>
      <c r="C4193" s="6" t="s">
        <v>3980</v>
      </c>
      <c r="D4193" s="5" t="s">
        <v>5764</v>
      </c>
      <c r="E4193" s="9" t="str">
        <f>HYPERLINK("https://twitter.com/Hadi_167/status/1034681772603256832","1034681772603256832")</f>
        <v>1034681772603256832</v>
      </c>
      <c r="F4193" s="4"/>
      <c r="G4193" s="10" t="s">
        <v>5763</v>
      </c>
      <c r="H4193" s="4"/>
      <c r="I4193" s="10" t="str">
        <f>HYPERLINK("http://twitter.com/download/android","Twitter for Android")</f>
        <v>Twitter for Android</v>
      </c>
      <c r="J4193" s="2">
        <v>48</v>
      </c>
      <c r="K4193" s="2">
        <v>47</v>
      </c>
      <c r="L4193" s="2">
        <v>0</v>
      </c>
      <c r="M4193" s="2"/>
      <c r="N4193" s="8">
        <v>43320.320034722223</v>
      </c>
      <c r="O4193" s="4" t="s">
        <v>324</v>
      </c>
      <c r="P4193" s="3" t="s">
        <v>3977</v>
      </c>
      <c r="Q4193" s="4"/>
      <c r="R4193" s="4"/>
      <c r="S4193" s="9" t="str">
        <f>HYPERLINK("https://pbs.twimg.com/profile_images/1027031814018400256/Uea5hPM7.jpg","View")</f>
        <v>View</v>
      </c>
    </row>
    <row r="4194" spans="1:19" ht="30">
      <c r="A4194" s="8">
        <v>43341.436469907407</v>
      </c>
      <c r="B4194" s="11" t="str">
        <f>HYPERLINK("https://twitter.com/salmaan_paarsi","@salmaan_paarsi")</f>
        <v>@salmaan_paarsi</v>
      </c>
      <c r="C4194" s="6" t="s">
        <v>2851</v>
      </c>
      <c r="D4194" s="5" t="s">
        <v>5762</v>
      </c>
      <c r="E4194" s="9" t="str">
        <f>HYPERLINK("https://twitter.com/salmaan_paarsi/status/1034681685613457409","1034681685613457409")</f>
        <v>1034681685613457409</v>
      </c>
      <c r="F4194" s="4"/>
      <c r="G4194" s="4"/>
      <c r="H4194" s="4"/>
      <c r="I4194" s="10" t="str">
        <f>HYPERLINK("http://twitter.com/download/android","Twitter for Android")</f>
        <v>Twitter for Android</v>
      </c>
      <c r="J4194" s="2">
        <v>1642</v>
      </c>
      <c r="K4194" s="2">
        <v>1561</v>
      </c>
      <c r="L4194" s="2">
        <v>2</v>
      </c>
      <c r="M4194" s="2"/>
      <c r="N4194" s="8">
        <v>42755.918067129634</v>
      </c>
      <c r="O4194" s="4"/>
      <c r="P4194" s="3" t="s">
        <v>2849</v>
      </c>
      <c r="Q4194" s="4"/>
      <c r="R4194" s="4"/>
      <c r="S4194" s="9" t="str">
        <f>HYPERLINK("https://pbs.twimg.com/profile_images/1012236967470387200/jobs7P8L.jpg","View")</f>
        <v>View</v>
      </c>
    </row>
    <row r="4195" spans="1:19" ht="30">
      <c r="A4195" s="8">
        <v>43341.436203703706</v>
      </c>
      <c r="B4195" s="11" t="str">
        <f>HYPERLINK("https://twitter.com/SarmashghnewsC","@SarmashghnewsC")</f>
        <v>@SarmashghnewsC</v>
      </c>
      <c r="C4195" s="11" t="s">
        <v>5761</v>
      </c>
      <c r="D4195" s="5" t="s">
        <v>5760</v>
      </c>
      <c r="E4195" s="9" t="str">
        <f>HYPERLINK("https://twitter.com/SarmashghnewsC/status/1034681587605090304","1034681587605090304")</f>
        <v>1034681587605090304</v>
      </c>
      <c r="F4195" s="4"/>
      <c r="G4195" s="4"/>
      <c r="H4195" s="4"/>
      <c r="I4195" s="10" t="str">
        <f>HYPERLINK("http://twitter.com/download/android","Twitter for Android")</f>
        <v>Twitter for Android</v>
      </c>
      <c r="J4195" s="2">
        <v>519</v>
      </c>
      <c r="K4195" s="2">
        <v>98</v>
      </c>
      <c r="L4195" s="2">
        <v>9</v>
      </c>
      <c r="M4195" s="2"/>
      <c r="N4195" s="8">
        <v>43254.445173611108</v>
      </c>
      <c r="O4195" s="4" t="s">
        <v>34</v>
      </c>
      <c r="P4195" s="3" t="s">
        <v>5759</v>
      </c>
      <c r="Q4195" s="4"/>
      <c r="R4195" s="4"/>
      <c r="S4195" s="9" t="str">
        <f>HYPERLINK("https://pbs.twimg.com/profile_images/1003160757314482178/iWzZHh0l.jpg","View")</f>
        <v>View</v>
      </c>
    </row>
    <row r="4196" spans="1:19" ht="30">
      <c r="A4196" s="8">
        <v>43341.43545138889</v>
      </c>
      <c r="B4196" s="11" t="str">
        <f>HYPERLINK("https://twitter.com/PouyaAlikhani","@PouyaAlikhani")</f>
        <v>@PouyaAlikhani</v>
      </c>
      <c r="C4196" s="6" t="s">
        <v>5758</v>
      </c>
      <c r="D4196" s="5" t="s">
        <v>5757</v>
      </c>
      <c r="E4196" s="9" t="str">
        <f>HYPERLINK("https://twitter.com/PouyaAlikhani/status/1034681316132806656","1034681316132806656")</f>
        <v>1034681316132806656</v>
      </c>
      <c r="F4196" s="10" t="s">
        <v>5756</v>
      </c>
      <c r="G4196" s="4"/>
      <c r="H4196" s="4"/>
      <c r="I4196" s="10" t="str">
        <f>HYPERLINK("http://twitter.com","Twitter Web Client")</f>
        <v>Twitter Web Client</v>
      </c>
      <c r="J4196" s="2">
        <v>156</v>
      </c>
      <c r="K4196" s="2">
        <v>504</v>
      </c>
      <c r="L4196" s="2">
        <v>2</v>
      </c>
      <c r="M4196" s="2"/>
      <c r="N4196" s="8">
        <v>40698.610659722224</v>
      </c>
      <c r="O4196" s="4"/>
      <c r="P4196" s="3" t="s">
        <v>5755</v>
      </c>
      <c r="Q4196" s="10" t="s">
        <v>5754</v>
      </c>
      <c r="R4196" s="4"/>
      <c r="S4196" s="9" t="str">
        <f>HYPERLINK("https://pbs.twimg.com/profile_images/1015970680322646016/iAQuiIIJ.jpg","View")</f>
        <v>View</v>
      </c>
    </row>
    <row r="4197" spans="1:19" ht="40">
      <c r="A4197" s="8">
        <v>43341.434432870374</v>
      </c>
      <c r="B4197" s="11" t="str">
        <f>HYPERLINK("https://twitter.com/mysamcivil1","@mysamcivil1")</f>
        <v>@mysamcivil1</v>
      </c>
      <c r="C4197" s="6" t="s">
        <v>4469</v>
      </c>
      <c r="D4197" s="5" t="s">
        <v>5753</v>
      </c>
      <c r="E4197" s="9" t="str">
        <f>HYPERLINK("https://twitter.com/mysamcivil1/status/1034680944672694272","1034680944672694272")</f>
        <v>1034680944672694272</v>
      </c>
      <c r="F4197" s="4"/>
      <c r="G4197" s="4"/>
      <c r="H4197" s="4"/>
      <c r="I4197" s="10" t="str">
        <f>HYPERLINK("http://twitter.com/download/android","Twitter for Android")</f>
        <v>Twitter for Android</v>
      </c>
      <c r="J4197" s="2">
        <v>140</v>
      </c>
      <c r="K4197" s="2">
        <v>477</v>
      </c>
      <c r="L4197" s="2">
        <v>0</v>
      </c>
      <c r="M4197" s="2"/>
      <c r="N4197" s="8">
        <v>43093.518252314811</v>
      </c>
      <c r="O4197" s="4" t="s">
        <v>4467</v>
      </c>
      <c r="P4197" s="3" t="s">
        <v>4466</v>
      </c>
      <c r="Q4197" s="4"/>
      <c r="R4197" s="4"/>
      <c r="S4197" s="9" t="str">
        <f>HYPERLINK("https://pbs.twimg.com/profile_images/1015610637647515648/5pXHXCdF.jpg","View")</f>
        <v>View</v>
      </c>
    </row>
    <row r="4198" spans="1:19" ht="20">
      <c r="A4198" s="8">
        <v>43341.434259259258</v>
      </c>
      <c r="B4198" s="11" t="str">
        <f>HYPERLINK("https://twitter.com/aaron11016","@aaron11016")</f>
        <v>@aaron11016</v>
      </c>
      <c r="C4198" s="6" t="s">
        <v>5752</v>
      </c>
      <c r="D4198" s="5" t="s">
        <v>5751</v>
      </c>
      <c r="E4198" s="9" t="str">
        <f>HYPERLINK("https://twitter.com/aaron11016/status/1034680882291003397","1034680882291003397")</f>
        <v>1034680882291003397</v>
      </c>
      <c r="F4198" s="4"/>
      <c r="G4198" s="10" t="s">
        <v>5750</v>
      </c>
      <c r="H4198" s="4"/>
      <c r="I4198" s="10" t="str">
        <f>HYPERLINK("http://twitter.com/download/android","Twitter for Android")</f>
        <v>Twitter for Android</v>
      </c>
      <c r="J4198" s="2">
        <v>71</v>
      </c>
      <c r="K4198" s="2">
        <v>164</v>
      </c>
      <c r="L4198" s="2">
        <v>0</v>
      </c>
      <c r="M4198" s="2"/>
      <c r="N4198" s="8">
        <v>43265.467453703706</v>
      </c>
      <c r="O4198" s="4"/>
      <c r="P4198" s="3"/>
      <c r="Q4198" s="4"/>
      <c r="R4198" s="4"/>
      <c r="S4198" s="9" t="str">
        <f>HYPERLINK("https://pbs.twimg.com/profile_images/1008300353937399808/JtEunwZT.jpg","View")</f>
        <v>View</v>
      </c>
    </row>
    <row r="4199" spans="1:19" ht="40">
      <c r="A4199" s="8">
        <v>43341.433657407411</v>
      </c>
      <c r="B4199" s="11" t="str">
        <f>HYPERLINK("https://twitter.com/YoSrA_Bakhakh","@YoSrA_Bakhakh")</f>
        <v>@YoSrA_Bakhakh</v>
      </c>
      <c r="C4199" s="6" t="s">
        <v>5749</v>
      </c>
      <c r="D4199" s="5" t="s">
        <v>5748</v>
      </c>
      <c r="E4199" s="9" t="str">
        <f>HYPERLINK("https://twitter.com/YoSrA_Bakhakh/status/1034680665781010432","1034680665781010432")</f>
        <v>1034680665781010432</v>
      </c>
      <c r="F4199" s="4"/>
      <c r="G4199" s="10" t="s">
        <v>5747</v>
      </c>
      <c r="H4199" s="4"/>
      <c r="I4199" s="10" t="str">
        <f>HYPERLINK("http://twitter.com/download/android","Twitter for Android")</f>
        <v>Twitter for Android</v>
      </c>
      <c r="J4199" s="2">
        <v>5043</v>
      </c>
      <c r="K4199" s="2">
        <v>1145</v>
      </c>
      <c r="L4199" s="2">
        <v>73</v>
      </c>
      <c r="M4199" s="2"/>
      <c r="N4199" s="8">
        <v>40763.191064814819</v>
      </c>
      <c r="O4199" s="4" t="s">
        <v>5746</v>
      </c>
      <c r="P4199" s="3" t="s">
        <v>5745</v>
      </c>
      <c r="Q4199" s="10" t="s">
        <v>5744</v>
      </c>
      <c r="R4199" s="4"/>
      <c r="S4199" s="9" t="str">
        <f>HYPERLINK("https://pbs.twimg.com/profile_images/913474591724589057/EPfkdIaO.jpg","View")</f>
        <v>View</v>
      </c>
    </row>
    <row r="4200" spans="1:19" ht="30">
      <c r="A4200" s="8">
        <v>43341.433599537035</v>
      </c>
      <c r="B4200" s="11" t="str">
        <f>HYPERLINK("https://twitter.com/sarbazemahdi","@sarbazemahdi")</f>
        <v>@sarbazemahdi</v>
      </c>
      <c r="C4200" s="6" t="s">
        <v>5743</v>
      </c>
      <c r="D4200" s="5" t="s">
        <v>5742</v>
      </c>
      <c r="E4200" s="9" t="str">
        <f>HYPERLINK("https://twitter.com/sarbazemahdi/status/1034680645283405824","1034680645283405824")</f>
        <v>1034680645283405824</v>
      </c>
      <c r="F4200" s="4"/>
      <c r="G4200" s="4"/>
      <c r="H4200" s="4"/>
      <c r="I4200" s="10" t="str">
        <f>HYPERLINK("http://twitter.com/download/android","Twitter for Android")</f>
        <v>Twitter for Android</v>
      </c>
      <c r="J4200" s="2">
        <v>5577</v>
      </c>
      <c r="K4200" s="2">
        <v>3985</v>
      </c>
      <c r="L4200" s="2">
        <v>16</v>
      </c>
      <c r="M4200" s="2"/>
      <c r="N4200" s="8">
        <v>42739.89543981482</v>
      </c>
      <c r="O4200" s="4" t="s">
        <v>324</v>
      </c>
      <c r="P4200" s="3" t="s">
        <v>5741</v>
      </c>
      <c r="Q4200" s="4"/>
      <c r="R4200" s="4"/>
      <c r="S4200" s="9" t="str">
        <f>HYPERLINK("https://pbs.twimg.com/profile_images/956268067406991361/o9kwXMvJ.jpg","View")</f>
        <v>View</v>
      </c>
    </row>
    <row r="4201" spans="1:19" ht="20">
      <c r="A4201" s="8">
        <v>43341.432303240741</v>
      </c>
      <c r="B4201" s="11" t="str">
        <f>HYPERLINK("https://twitter.com/Translucidna","@Translucidna")</f>
        <v>@Translucidna</v>
      </c>
      <c r="C4201" s="6" t="s">
        <v>5740</v>
      </c>
      <c r="D4201" s="5" t="s">
        <v>5739</v>
      </c>
      <c r="E4201" s="9" t="str">
        <f>HYPERLINK("https://twitter.com/Translucidna/status/1034680174275715072","1034680174275715072")</f>
        <v>1034680174275715072</v>
      </c>
      <c r="F4201" s="4"/>
      <c r="G4201" s="4"/>
      <c r="H4201" s="4"/>
      <c r="I4201" s="10" t="str">
        <f>HYPERLINK("http://twitter.com/download/android","Twitter for Android")</f>
        <v>Twitter for Android</v>
      </c>
      <c r="J4201" s="2">
        <v>6234</v>
      </c>
      <c r="K4201" s="2">
        <v>1233</v>
      </c>
      <c r="L4201" s="2">
        <v>24</v>
      </c>
      <c r="M4201" s="2"/>
      <c r="N4201" s="8">
        <v>42727.850324074076</v>
      </c>
      <c r="O4201" s="4" t="s">
        <v>5738</v>
      </c>
      <c r="P4201" s="3" t="s">
        <v>5737</v>
      </c>
      <c r="Q4201" s="4"/>
      <c r="R4201" s="4"/>
      <c r="S4201" s="9" t="str">
        <f>HYPERLINK("https://pbs.twimg.com/profile_images/1021766246428225537/XEupS6jR.jpg","View")</f>
        <v>View</v>
      </c>
    </row>
    <row r="4202" spans="1:19" ht="40">
      <c r="A4202" s="8">
        <v>43341.431712962964</v>
      </c>
      <c r="B4202" s="11" t="str">
        <f>HYPERLINK("https://twitter.com/Mohsengh025","@Mohsengh025")</f>
        <v>@Mohsengh025</v>
      </c>
      <c r="C4202" s="6" t="s">
        <v>5736</v>
      </c>
      <c r="D4202" s="5" t="s">
        <v>5735</v>
      </c>
      <c r="E4202" s="9" t="str">
        <f>HYPERLINK("https://twitter.com/Mohsengh025/status/1034679957732122624","1034679957732122624")</f>
        <v>1034679957732122624</v>
      </c>
      <c r="F4202" s="4"/>
      <c r="G4202" s="4"/>
      <c r="H4202" s="4"/>
      <c r="I4202" s="10" t="str">
        <f>HYPERLINK("http://twitter.com/download/android","Twitter for Android")</f>
        <v>Twitter for Android</v>
      </c>
      <c r="J4202" s="2">
        <v>124</v>
      </c>
      <c r="K4202" s="2">
        <v>175</v>
      </c>
      <c r="L4202" s="2">
        <v>0</v>
      </c>
      <c r="M4202" s="2"/>
      <c r="N4202" s="8">
        <v>43230.744374999995</v>
      </c>
      <c r="O4202" s="4" t="s">
        <v>34</v>
      </c>
      <c r="P4202" s="3" t="s">
        <v>5734</v>
      </c>
      <c r="Q4202" s="10" t="s">
        <v>5733</v>
      </c>
      <c r="R4202" s="4"/>
      <c r="S4202" s="9" t="str">
        <f>HYPERLINK("https://pbs.twimg.com/profile_images/994569857369804800/1mlrWLLA.jpg","View")</f>
        <v>View</v>
      </c>
    </row>
    <row r="4203" spans="1:19" ht="40">
      <c r="A4203" s="8">
        <v>43341.43168981481</v>
      </c>
      <c r="B4203" s="11" t="str">
        <f>HYPERLINK("https://twitter.com/458_reza","@458_reza")</f>
        <v>@458_reza</v>
      </c>
      <c r="C4203" s="6" t="s">
        <v>1221</v>
      </c>
      <c r="D4203" s="5" t="s">
        <v>5732</v>
      </c>
      <c r="E4203" s="9" t="str">
        <f>HYPERLINK("https://twitter.com/458_reza/status/1034679953336483840","1034679953336483840")</f>
        <v>1034679953336483840</v>
      </c>
      <c r="F4203" s="4"/>
      <c r="G4203" s="4"/>
      <c r="H4203" s="4"/>
      <c r="I4203" s="10" t="str">
        <f>HYPERLINK("http://twitter.com/download/iphone","Twitter for iPhone")</f>
        <v>Twitter for iPhone</v>
      </c>
      <c r="J4203" s="2">
        <v>119</v>
      </c>
      <c r="K4203" s="2">
        <v>179</v>
      </c>
      <c r="L4203" s="2">
        <v>0</v>
      </c>
      <c r="M4203" s="2"/>
      <c r="N4203" s="8">
        <v>41812.539317129631</v>
      </c>
      <c r="O4203" s="4" t="s">
        <v>1219</v>
      </c>
      <c r="P4203" s="3" t="s">
        <v>1218</v>
      </c>
      <c r="Q4203" s="4"/>
      <c r="R4203" s="4"/>
      <c r="S4203" s="9" t="str">
        <f>HYPERLINK("https://pbs.twimg.com/profile_images/940287487728947201/gzGWxfmy.jpg","View")</f>
        <v>View</v>
      </c>
    </row>
    <row r="4204" spans="1:19" ht="30">
      <c r="A4204" s="8">
        <v>43341.431620370371</v>
      </c>
      <c r="B4204" s="11" t="str">
        <f>HYPERLINK("https://twitter.com/radiozamaneh","@radiozamaneh")</f>
        <v>@radiozamaneh</v>
      </c>
      <c r="C4204" s="6" t="s">
        <v>5731</v>
      </c>
      <c r="D4204" s="5" t="s">
        <v>5730</v>
      </c>
      <c r="E4204" s="9" t="str">
        <f>HYPERLINK("https://twitter.com/radiozamaneh/status/1034679927214358529","1034679927214358529")</f>
        <v>1034679927214358529</v>
      </c>
      <c r="F4204" s="10" t="s">
        <v>5729</v>
      </c>
      <c r="G4204" s="10" t="s">
        <v>5728</v>
      </c>
      <c r="H4204" s="4"/>
      <c r="I4204" s="10" t="str">
        <f>HYPERLINK("https://www.radiozamaneh.com/","RZAutoPosting")</f>
        <v>RZAutoPosting</v>
      </c>
      <c r="J4204" s="2">
        <v>110198</v>
      </c>
      <c r="K4204" s="2">
        <v>838</v>
      </c>
      <c r="L4204" s="2">
        <v>382</v>
      </c>
      <c r="M4204" s="2" t="s">
        <v>80</v>
      </c>
      <c r="N4204" s="8">
        <v>39573.255729166667</v>
      </c>
      <c r="O4204" s="4" t="s">
        <v>5727</v>
      </c>
      <c r="P4204" s="3" t="s">
        <v>5726</v>
      </c>
      <c r="Q4204" s="10" t="s">
        <v>5725</v>
      </c>
      <c r="R4204" s="4"/>
      <c r="S4204" s="9" t="str">
        <f>HYPERLINK("https://pbs.twimg.com/profile_images/990906227256328192/IYPsq9ai.jpg","View")</f>
        <v>View</v>
      </c>
    </row>
    <row r="4205" spans="1:19" ht="40">
      <c r="A4205" s="8">
        <v>43341.43105324074</v>
      </c>
      <c r="B4205" s="11" t="str">
        <f>HYPERLINK("https://twitter.com/MahdiSorouri","@MahdiSorouri")</f>
        <v>@MahdiSorouri</v>
      </c>
      <c r="C4205" s="6" t="s">
        <v>5724</v>
      </c>
      <c r="D4205" s="5" t="s">
        <v>5723</v>
      </c>
      <c r="E4205" s="9" t="str">
        <f>HYPERLINK("https://twitter.com/MahdiSorouri/status/1034679718803648513","1034679718803648513")</f>
        <v>1034679718803648513</v>
      </c>
      <c r="F4205" s="4"/>
      <c r="G4205" s="10" t="s">
        <v>5722</v>
      </c>
      <c r="H4205" s="4"/>
      <c r="I4205" s="10" t="str">
        <f>HYPERLINK("http://twitter.com/download/android","Twitter for Android")</f>
        <v>Twitter for Android</v>
      </c>
      <c r="J4205" s="2">
        <v>214</v>
      </c>
      <c r="K4205" s="2">
        <v>348</v>
      </c>
      <c r="L4205" s="2">
        <v>1</v>
      </c>
      <c r="M4205" s="2"/>
      <c r="N4205" s="8">
        <v>42754.68241898148</v>
      </c>
      <c r="O4205" s="4" t="s">
        <v>5721</v>
      </c>
      <c r="P4205" s="3" t="s">
        <v>5720</v>
      </c>
      <c r="Q4205" s="10" t="s">
        <v>5719</v>
      </c>
      <c r="R4205" s="4"/>
      <c r="S4205" s="9" t="str">
        <f>HYPERLINK("https://pbs.twimg.com/profile_images/1025296256485261312/jsl3zbfn.jpg","View")</f>
        <v>View</v>
      </c>
    </row>
    <row r="4206" spans="1:19" ht="20">
      <c r="A4206" s="8">
        <v>43341.430810185186</v>
      </c>
      <c r="B4206" s="11" t="str">
        <f>HYPERLINK("https://twitter.com/khoshkhabar2","@khoshkhabar2")</f>
        <v>@khoshkhabar2</v>
      </c>
      <c r="C4206" s="6" t="s">
        <v>5661</v>
      </c>
      <c r="D4206" s="5" t="s">
        <v>5718</v>
      </c>
      <c r="E4206" s="9" t="str">
        <f>HYPERLINK("https://twitter.com/khoshkhabar2/status/1034679633709592581","1034679633709592581")</f>
        <v>1034679633709592581</v>
      </c>
      <c r="F4206" s="4"/>
      <c r="G4206" s="10" t="s">
        <v>5717</v>
      </c>
      <c r="H4206" s="4"/>
      <c r="I4206" s="10" t="str">
        <f>HYPERLINK("http://twitter.com","Twitter Web Client")</f>
        <v>Twitter Web Client</v>
      </c>
      <c r="J4206" s="2">
        <v>73</v>
      </c>
      <c r="K4206" s="2">
        <v>378</v>
      </c>
      <c r="L4206" s="2">
        <v>0</v>
      </c>
      <c r="M4206" s="2"/>
      <c r="N4206" s="8">
        <v>43269.475844907407</v>
      </c>
      <c r="O4206" s="4"/>
      <c r="P4206" s="3" t="s">
        <v>5658</v>
      </c>
      <c r="Q4206" s="4"/>
      <c r="R4206" s="4"/>
      <c r="S4206" s="9" t="str">
        <f>HYPERLINK("https://pbs.twimg.com/profile_images/1008644282989850624/_EBQ8P2p.jpg","View")</f>
        <v>View</v>
      </c>
    </row>
    <row r="4207" spans="1:19" ht="80">
      <c r="A4207" s="8">
        <v>43341.430462962962</v>
      </c>
      <c r="B4207" s="11" t="str">
        <f>HYPERLINK("https://twitter.com/baharinbanoo","@baharinbanoo")</f>
        <v>@baharinbanoo</v>
      </c>
      <c r="C4207" s="6" t="s">
        <v>5716</v>
      </c>
      <c r="D4207" s="5" t="s">
        <v>5715</v>
      </c>
      <c r="E4207" s="9" t="str">
        <f>HYPERLINK("https://twitter.com/baharinbanoo/status/1034679506139668483","1034679506139668483")</f>
        <v>1034679506139668483</v>
      </c>
      <c r="F4207" s="4" t="s">
        <v>5714</v>
      </c>
      <c r="G4207" s="10" t="s">
        <v>5607</v>
      </c>
      <c r="H4207" s="4"/>
      <c r="I4207" s="10" t="str">
        <f>HYPERLINK("http://twitter.com","Twitter Web Client")</f>
        <v>Twitter Web Client</v>
      </c>
      <c r="J4207" s="2">
        <v>115</v>
      </c>
      <c r="K4207" s="2">
        <v>51</v>
      </c>
      <c r="L4207" s="2">
        <v>0</v>
      </c>
      <c r="M4207" s="2"/>
      <c r="N4207" s="8">
        <v>42971.354583333334</v>
      </c>
      <c r="O4207" s="4" t="s">
        <v>17</v>
      </c>
      <c r="P4207" s="3" t="s">
        <v>5713</v>
      </c>
      <c r="Q4207" s="4"/>
      <c r="R4207" s="4"/>
      <c r="S4207" s="9" t="str">
        <f>HYPERLINK("https://pbs.twimg.com/profile_images/900993615442345984/Q-1h5Hae.jpg","View")</f>
        <v>View</v>
      </c>
    </row>
    <row r="4208" spans="1:19" ht="20">
      <c r="A4208" s="8">
        <v>43341.429733796293</v>
      </c>
      <c r="B4208" s="11" t="str">
        <f>HYPERLINK("https://twitter.com/mahdisahibzaman","@mahdisahibzaman")</f>
        <v>@mahdisahibzaman</v>
      </c>
      <c r="C4208" s="6" t="s">
        <v>5712</v>
      </c>
      <c r="D4208" s="5" t="s">
        <v>5711</v>
      </c>
      <c r="E4208" s="9" t="str">
        <f>HYPERLINK("https://twitter.com/mahdisahibzaman/status/1034679241663827970","1034679241663827970")</f>
        <v>1034679241663827970</v>
      </c>
      <c r="F4208" s="4"/>
      <c r="G4208" s="10" t="s">
        <v>5710</v>
      </c>
      <c r="H4208" s="4"/>
      <c r="I4208" s="10" t="str">
        <f>HYPERLINK("http://twitter.com/download/android","Twitter for Android")</f>
        <v>Twitter for Android</v>
      </c>
      <c r="J4208" s="2">
        <v>24</v>
      </c>
      <c r="K4208" s="2">
        <v>36</v>
      </c>
      <c r="L4208" s="2">
        <v>0</v>
      </c>
      <c r="M4208" s="2"/>
      <c r="N4208" s="8">
        <v>43336.379733796297</v>
      </c>
      <c r="O4208" s="4" t="s">
        <v>5709</v>
      </c>
      <c r="P4208" s="3" t="s">
        <v>5708</v>
      </c>
      <c r="Q4208" s="4"/>
      <c r="R4208" s="4"/>
      <c r="S4208" s="9" t="str">
        <f>HYPERLINK("https://pbs.twimg.com/profile_images/1032937710951051264/0TpX1DOW.jpg","View")</f>
        <v>View</v>
      </c>
    </row>
    <row r="4209" spans="1:19" ht="20">
      <c r="A4209" s="8">
        <v>43341.429189814815</v>
      </c>
      <c r="B4209" s="11" t="str">
        <f>HYPERLINK("https://twitter.com/drmaghsoodi2","@drmaghsoodi2")</f>
        <v>@drmaghsoodi2</v>
      </c>
      <c r="C4209" s="6" t="s">
        <v>5707</v>
      </c>
      <c r="D4209" s="5" t="s">
        <v>5706</v>
      </c>
      <c r="E4209" s="9" t="str">
        <f>HYPERLINK("https://twitter.com/drmaghsoodi2/status/1034679044913156097","1034679044913156097")</f>
        <v>1034679044913156097</v>
      </c>
      <c r="F4209" s="4"/>
      <c r="G4209" s="4"/>
      <c r="H4209" s="4"/>
      <c r="I4209" s="10" t="str">
        <f>HYPERLINK("http://twitter.com/download/android","Twitter for Android")</f>
        <v>Twitter for Android</v>
      </c>
      <c r="J4209" s="2">
        <v>307</v>
      </c>
      <c r="K4209" s="2">
        <v>113</v>
      </c>
      <c r="L4209" s="2">
        <v>1</v>
      </c>
      <c r="M4209" s="2"/>
      <c r="N4209" s="8">
        <v>43120.440185185187</v>
      </c>
      <c r="O4209" s="4"/>
      <c r="P4209" s="3" t="s">
        <v>5705</v>
      </c>
      <c r="Q4209" s="4"/>
      <c r="R4209" s="4"/>
      <c r="S4209" s="9" t="str">
        <f>HYPERLINK("https://pbs.twimg.com/profile_images/962908629690146817/JF8xg-Aa.jpg","View")</f>
        <v>View</v>
      </c>
    </row>
    <row r="4210" spans="1:19" ht="20">
      <c r="A4210" s="8">
        <v>43341.428900462968</v>
      </c>
      <c r="B4210" s="11" t="str">
        <f>HYPERLINK("https://twitter.com/m_sajedi","@m_sajedi")</f>
        <v>@m_sajedi</v>
      </c>
      <c r="C4210" s="6" t="s">
        <v>3538</v>
      </c>
      <c r="D4210" s="5" t="s">
        <v>5704</v>
      </c>
      <c r="E4210" s="9" t="str">
        <f>HYPERLINK("https://twitter.com/m_sajedi/status/1034678938562383872","1034678938562383872")</f>
        <v>1034678938562383872</v>
      </c>
      <c r="F4210" s="4"/>
      <c r="G4210" s="4"/>
      <c r="H4210" s="4"/>
      <c r="I4210" s="10" t="str">
        <f>HYPERLINK("http://twitter.com/download/android","Twitter for Android")</f>
        <v>Twitter for Android</v>
      </c>
      <c r="J4210" s="2">
        <v>2930</v>
      </c>
      <c r="K4210" s="2">
        <v>522</v>
      </c>
      <c r="L4210" s="2">
        <v>13</v>
      </c>
      <c r="M4210" s="2"/>
      <c r="N4210" s="8">
        <v>42778.858993055561</v>
      </c>
      <c r="O4210" s="4" t="s">
        <v>17</v>
      </c>
      <c r="P4210" s="3" t="s">
        <v>3536</v>
      </c>
      <c r="Q4210" s="4"/>
      <c r="R4210" s="4"/>
      <c r="S4210" s="9" t="str">
        <f>HYPERLINK("https://pbs.twimg.com/profile_images/984132156275544064/LYf6HIxA.jpg","View")</f>
        <v>View</v>
      </c>
    </row>
    <row r="4211" spans="1:19" ht="30">
      <c r="A4211" s="8">
        <v>43341.427025462966</v>
      </c>
      <c r="B4211" s="11" t="str">
        <f>HYPERLINK("https://twitter.com/khoshkhabar2","@khoshkhabar2")</f>
        <v>@khoshkhabar2</v>
      </c>
      <c r="C4211" s="6" t="s">
        <v>5661</v>
      </c>
      <c r="D4211" s="5" t="s">
        <v>5703</v>
      </c>
      <c r="E4211" s="9" t="str">
        <f>HYPERLINK("https://twitter.com/khoshkhabar2/status/1034678259865346049","1034678259865346049")</f>
        <v>1034678259865346049</v>
      </c>
      <c r="F4211" s="4"/>
      <c r="G4211" s="10" t="s">
        <v>5702</v>
      </c>
      <c r="H4211" s="4"/>
      <c r="I4211" s="10" t="str">
        <f>HYPERLINK("http://twitter.com","Twitter Web Client")</f>
        <v>Twitter Web Client</v>
      </c>
      <c r="J4211" s="2">
        <v>72</v>
      </c>
      <c r="K4211" s="2">
        <v>372</v>
      </c>
      <c r="L4211" s="2">
        <v>0</v>
      </c>
      <c r="M4211" s="2"/>
      <c r="N4211" s="8">
        <v>43269.475844907407</v>
      </c>
      <c r="O4211" s="4"/>
      <c r="P4211" s="3" t="s">
        <v>5658</v>
      </c>
      <c r="Q4211" s="4"/>
      <c r="R4211" s="4"/>
      <c r="S4211" s="9" t="str">
        <f>HYPERLINK("https://pbs.twimg.com/profile_images/1008644282989850624/_EBQ8P2p.jpg","View")</f>
        <v>View</v>
      </c>
    </row>
    <row r="4212" spans="1:19" ht="40">
      <c r="A4212" s="8">
        <v>43341.426296296297</v>
      </c>
      <c r="B4212" s="11" t="str">
        <f>HYPERLINK("https://twitter.com/AA171410","@AA171410")</f>
        <v>@AA171410</v>
      </c>
      <c r="C4212" s="6" t="s">
        <v>3997</v>
      </c>
      <c r="D4212" s="5" t="s">
        <v>5701</v>
      </c>
      <c r="E4212" s="9" t="str">
        <f>HYPERLINK("https://twitter.com/AA171410/status/1034677998375645184","1034677998375645184")</f>
        <v>1034677998375645184</v>
      </c>
      <c r="F4212" s="4"/>
      <c r="G4212" s="10" t="s">
        <v>5700</v>
      </c>
      <c r="H4212" s="4"/>
      <c r="I4212" s="10" t="str">
        <f>HYPERLINK("http://twitter.com/download/android","Twitter for Android")</f>
        <v>Twitter for Android</v>
      </c>
      <c r="J4212" s="2">
        <v>1160</v>
      </c>
      <c r="K4212" s="2">
        <v>1546</v>
      </c>
      <c r="L4212" s="2">
        <v>3</v>
      </c>
      <c r="M4212" s="2"/>
      <c r="N4212" s="8">
        <v>41269.732812499999</v>
      </c>
      <c r="O4212" s="4" t="s">
        <v>3995</v>
      </c>
      <c r="P4212" s="3" t="s">
        <v>3994</v>
      </c>
      <c r="Q4212" s="4"/>
      <c r="R4212" s="4"/>
      <c r="S4212" s="9" t="str">
        <f>HYPERLINK("https://pbs.twimg.com/profile_images/1026004594852286465/jtIqzPIr.jpg","View")</f>
        <v>View</v>
      </c>
    </row>
    <row r="4213" spans="1:19" ht="20">
      <c r="A4213" s="8">
        <v>43341.425162037034</v>
      </c>
      <c r="B4213" s="11" t="str">
        <f>HYPERLINK("https://twitter.com/Babaei54","@Babaei54")</f>
        <v>@Babaei54</v>
      </c>
      <c r="C4213" s="6" t="s">
        <v>5699</v>
      </c>
      <c r="D4213" s="5" t="s">
        <v>5698</v>
      </c>
      <c r="E4213" s="9" t="str">
        <f>HYPERLINK("https://twitter.com/Babaei54/status/1034677587195387904","1034677587195387904")</f>
        <v>1034677587195387904</v>
      </c>
      <c r="F4213" s="4"/>
      <c r="G4213" s="4"/>
      <c r="H4213" s="4"/>
      <c r="I4213" s="10" t="str">
        <f>HYPERLINK("http://twitter.com/download/android","Twitter for Android")</f>
        <v>Twitter for Android</v>
      </c>
      <c r="J4213" s="2">
        <v>51</v>
      </c>
      <c r="K4213" s="2">
        <v>169</v>
      </c>
      <c r="L4213" s="2">
        <v>1</v>
      </c>
      <c r="M4213" s="2"/>
      <c r="N4213" s="8">
        <v>39936.380868055552</v>
      </c>
      <c r="O4213" s="4" t="s">
        <v>133</v>
      </c>
      <c r="P4213" s="3" t="s">
        <v>5697</v>
      </c>
      <c r="Q4213" s="10" t="s">
        <v>5696</v>
      </c>
      <c r="R4213" s="4"/>
      <c r="S4213" s="9" t="str">
        <f>HYPERLINK("https://pbs.twimg.com/profile_images/1017291943158665221/Wpwjnx-A.jpg","View")</f>
        <v>View</v>
      </c>
    </row>
    <row r="4214" spans="1:19" ht="30">
      <c r="A4214" s="8">
        <v>43341.424895833334</v>
      </c>
      <c r="B4214" s="11" t="str">
        <f>HYPERLINK("https://twitter.com/mtashackori","@mtashackori")</f>
        <v>@mtashackori</v>
      </c>
      <c r="C4214" s="6" t="s">
        <v>5695</v>
      </c>
      <c r="D4214" s="5" t="s">
        <v>5694</v>
      </c>
      <c r="E4214" s="9" t="str">
        <f>HYPERLINK("https://twitter.com/mtashackori/status/1034677489786925056","1034677489786925056")</f>
        <v>1034677489786925056</v>
      </c>
      <c r="F4214" s="10" t="s">
        <v>5693</v>
      </c>
      <c r="G4214" s="10" t="s">
        <v>5692</v>
      </c>
      <c r="H4214" s="4"/>
      <c r="I4214" s="10" t="str">
        <f>HYPERLINK("http://twitter.com","Twitter Web Client")</f>
        <v>Twitter Web Client</v>
      </c>
      <c r="J4214" s="2">
        <v>333</v>
      </c>
      <c r="K4214" s="2">
        <v>381</v>
      </c>
      <c r="L4214" s="2">
        <v>3</v>
      </c>
      <c r="M4214" s="2"/>
      <c r="N4214" s="8">
        <v>39986.540231481486</v>
      </c>
      <c r="O4214" s="4" t="s">
        <v>104</v>
      </c>
      <c r="P4214" s="3" t="s">
        <v>5691</v>
      </c>
      <c r="Q4214" s="10" t="s">
        <v>5690</v>
      </c>
      <c r="R4214" s="4"/>
      <c r="S4214" s="9" t="str">
        <f>HYPERLINK("https://pbs.twimg.com/profile_images/749121078270697474/d0Mvj3aR.jpg","View")</f>
        <v>View</v>
      </c>
    </row>
    <row r="4215" spans="1:19" ht="30">
      <c r="A4215" s="8">
        <v>43341.424895833334</v>
      </c>
      <c r="B4215" s="11" t="str">
        <f>HYPERLINK("https://twitter.com/tp4_ir","@tp4_ir")</f>
        <v>@tp4_ir</v>
      </c>
      <c r="C4215" s="6" t="s">
        <v>5689</v>
      </c>
      <c r="D4215" s="5" t="s">
        <v>5688</v>
      </c>
      <c r="E4215" s="9" t="str">
        <f>HYPERLINK("https://twitter.com/tp4_ir/status/1034677487639453696","1034677487639453696")</f>
        <v>1034677487639453696</v>
      </c>
      <c r="F4215" s="4"/>
      <c r="G4215" s="10" t="s">
        <v>5687</v>
      </c>
      <c r="H4215" s="4"/>
      <c r="I4215" s="10" t="str">
        <f>HYPERLINK("http://twitter.com/download/android","Twitter for Android")</f>
        <v>Twitter for Android</v>
      </c>
      <c r="J4215" s="2">
        <v>160</v>
      </c>
      <c r="K4215" s="2">
        <v>1</v>
      </c>
      <c r="L4215" s="2">
        <v>5</v>
      </c>
      <c r="M4215" s="2"/>
      <c r="N4215" s="8">
        <v>43080.615277777775</v>
      </c>
      <c r="O4215" s="4"/>
      <c r="P4215" s="3" t="s">
        <v>5686</v>
      </c>
      <c r="Q4215" s="10" t="s">
        <v>5685</v>
      </c>
      <c r="R4215" s="4"/>
      <c r="S4215" s="9" t="str">
        <f>HYPERLINK("https://pbs.twimg.com/profile_images/972738749233860608/YUa1868T.jpg","View")</f>
        <v>View</v>
      </c>
    </row>
    <row r="4216" spans="1:19" ht="40">
      <c r="A4216" s="8">
        <v>43341.424375000002</v>
      </c>
      <c r="B4216" s="11" t="str">
        <f>HYPERLINK("https://twitter.com/Beeman93397010","@Beeman93397010")</f>
        <v>@Beeman93397010</v>
      </c>
      <c r="C4216" s="6" t="s">
        <v>1335</v>
      </c>
      <c r="D4216" s="5" t="s">
        <v>5684</v>
      </c>
      <c r="E4216" s="9" t="str">
        <f>HYPERLINK("https://twitter.com/Beeman93397010/status/1034677298946031616","1034677298946031616")</f>
        <v>1034677298946031616</v>
      </c>
      <c r="F4216" s="4"/>
      <c r="G4216" s="4"/>
      <c r="H4216" s="4"/>
      <c r="I4216" s="10" t="str">
        <f>HYPERLINK("http://twitter.com/download/android","Twitter for Android")</f>
        <v>Twitter for Android</v>
      </c>
      <c r="J4216" s="2">
        <v>126</v>
      </c>
      <c r="K4216" s="2">
        <v>55</v>
      </c>
      <c r="L4216" s="2">
        <v>0</v>
      </c>
      <c r="M4216" s="2"/>
      <c r="N4216" s="8">
        <v>43201.467928240745</v>
      </c>
      <c r="O4216" s="4" t="s">
        <v>1333</v>
      </c>
      <c r="P4216" s="3" t="s">
        <v>1332</v>
      </c>
      <c r="Q4216" s="4"/>
      <c r="R4216" s="4"/>
      <c r="S4216" s="9" t="str">
        <f>HYPERLINK("https://pbs.twimg.com/profile_images/984098314026192896/-naFt74A.jpg","View")</f>
        <v>View</v>
      </c>
    </row>
    <row r="4217" spans="1:19" ht="20">
      <c r="A4217" s="8">
        <v>43341.423912037033</v>
      </c>
      <c r="B4217" s="11" t="str">
        <f>HYPERLINK("https://twitter.com/aliarma17909300","@aliarma17909300")</f>
        <v>@aliarma17909300</v>
      </c>
      <c r="C4217" s="6" t="s">
        <v>5665</v>
      </c>
      <c r="D4217" s="5" t="s">
        <v>5683</v>
      </c>
      <c r="E4217" s="9" t="str">
        <f>HYPERLINK("https://twitter.com/aliarma17909300/status/1034677132524306432","1034677132524306432")</f>
        <v>1034677132524306432</v>
      </c>
      <c r="F4217" s="4"/>
      <c r="G4217" s="4"/>
      <c r="H4217" s="4"/>
      <c r="I4217" s="10" t="str">
        <f>HYPERLINK("http://twitter.com","Twitter Web Client")</f>
        <v>Twitter Web Client</v>
      </c>
      <c r="J4217" s="2">
        <v>2</v>
      </c>
      <c r="K4217" s="2">
        <v>39</v>
      </c>
      <c r="L4217" s="2">
        <v>0</v>
      </c>
      <c r="M4217" s="2"/>
      <c r="N4217" s="8">
        <v>43341.365543981483</v>
      </c>
      <c r="O4217" s="4" t="s">
        <v>5663</v>
      </c>
      <c r="P4217" s="3" t="s">
        <v>5662</v>
      </c>
      <c r="Q4217" s="4"/>
      <c r="R4217" s="4"/>
      <c r="S4217" s="9" t="str">
        <f>HYPERLINK("https://pbs.twimg.com/profile_images/1034672388422520832/Q1iNQuBh.jpg","View")</f>
        <v>View</v>
      </c>
    </row>
    <row r="4218" spans="1:19" ht="40">
      <c r="A4218" s="8">
        <v>43341.423564814817</v>
      </c>
      <c r="B4218" s="11" t="str">
        <f>HYPERLINK("https://twitter.com/hadpiri","@hadpiri")</f>
        <v>@hadpiri</v>
      </c>
      <c r="C4218" s="6" t="s">
        <v>5682</v>
      </c>
      <c r="D4218" s="5" t="s">
        <v>5681</v>
      </c>
      <c r="E4218" s="9" t="str">
        <f>HYPERLINK("https://twitter.com/hadpiri/status/1034677008196747264","1034677008196747264")</f>
        <v>1034677008196747264</v>
      </c>
      <c r="F4218" s="4"/>
      <c r="G4218" s="4"/>
      <c r="H4218" s="4"/>
      <c r="I4218" s="10" t="str">
        <f>HYPERLINK("http://twitter.com/download/android","Twitter for Android")</f>
        <v>Twitter for Android</v>
      </c>
      <c r="J4218" s="2">
        <v>320</v>
      </c>
      <c r="K4218" s="2">
        <v>238</v>
      </c>
      <c r="L4218" s="2">
        <v>0</v>
      </c>
      <c r="M4218" s="2"/>
      <c r="N4218" s="8">
        <v>41192.342233796298</v>
      </c>
      <c r="O4218" s="4" t="s">
        <v>34</v>
      </c>
      <c r="P4218" s="3" t="s">
        <v>5680</v>
      </c>
      <c r="Q4218" s="10" t="s">
        <v>5679</v>
      </c>
      <c r="R4218" s="4"/>
      <c r="S4218" s="9" t="str">
        <f>HYPERLINK("https://pbs.twimg.com/profile_images/960277127617794048/qVXJpaM5.jpg","View")</f>
        <v>View</v>
      </c>
    </row>
    <row r="4219" spans="1:19" ht="40">
      <c r="A4219" s="8">
        <v>43341.42355324074</v>
      </c>
      <c r="B4219" s="11" t="str">
        <f>HYPERLINK("https://twitter.com/IrRasad","@IrRasad")</f>
        <v>@IrRasad</v>
      </c>
      <c r="C4219" s="11" t="s">
        <v>5678</v>
      </c>
      <c r="D4219" s="5" t="s">
        <v>5677</v>
      </c>
      <c r="E4219" s="9" t="str">
        <f>HYPERLINK("https://twitter.com/IrRasad/status/1034677002823979009","1034677002823979009")</f>
        <v>1034677002823979009</v>
      </c>
      <c r="F4219" s="4"/>
      <c r="G4219" s="4"/>
      <c r="H4219" s="4"/>
      <c r="I4219" s="10" t="str">
        <f>HYPERLINK("http://twitter.com","Twitter Web Client")</f>
        <v>Twitter Web Client</v>
      </c>
      <c r="J4219" s="2">
        <v>89</v>
      </c>
      <c r="K4219" s="2">
        <v>203</v>
      </c>
      <c r="L4219" s="2">
        <v>1</v>
      </c>
      <c r="M4219" s="2"/>
      <c r="N4219" s="8">
        <v>43278.417361111111</v>
      </c>
      <c r="O4219" s="4"/>
      <c r="P4219" s="3"/>
      <c r="Q4219" s="4"/>
      <c r="R4219" s="4"/>
      <c r="S4219" s="9" t="str">
        <f>HYPERLINK("https://pbs.twimg.com/profile_images/1011851958137876480/b8otdE-W.jpg","View")</f>
        <v>View</v>
      </c>
    </row>
    <row r="4220" spans="1:19" ht="30">
      <c r="A4220" s="8">
        <v>43341.423055555555</v>
      </c>
      <c r="B4220" s="11" t="str">
        <f>HYPERLINK("https://twitter.com/NzrFatemeh","@NzrFatemeh")</f>
        <v>@NzrFatemeh</v>
      </c>
      <c r="C4220" s="6" t="s">
        <v>5676</v>
      </c>
      <c r="D4220" s="5" t="s">
        <v>5675</v>
      </c>
      <c r="E4220" s="9" t="str">
        <f>HYPERLINK("https://twitter.com/NzrFatemeh/status/1034676822838059009","1034676822838059009")</f>
        <v>1034676822838059009</v>
      </c>
      <c r="F4220" s="4"/>
      <c r="G4220" s="10" t="s">
        <v>5674</v>
      </c>
      <c r="H4220" s="4"/>
      <c r="I4220" s="10" t="str">
        <f>HYPERLINK("http://twitter.com/download/android","Twitter for Android")</f>
        <v>Twitter for Android</v>
      </c>
      <c r="J4220" s="2">
        <v>22</v>
      </c>
      <c r="K4220" s="2">
        <v>31</v>
      </c>
      <c r="L4220" s="2">
        <v>0</v>
      </c>
      <c r="M4220" s="2"/>
      <c r="N4220" s="8">
        <v>43323.590590277774</v>
      </c>
      <c r="O4220" s="4" t="s">
        <v>34</v>
      </c>
      <c r="P4220" s="3" t="s">
        <v>5673</v>
      </c>
      <c r="Q4220" s="4"/>
      <c r="R4220" s="4"/>
      <c r="S4220" s="9" t="str">
        <f>HYPERLINK("https://pbs.twimg.com/profile_images/1034528098421809152/lOp0GhVj.jpg","View")</f>
        <v>View</v>
      </c>
    </row>
    <row r="4221" spans="1:19" ht="20">
      <c r="A4221" s="8">
        <v>43341.422743055555</v>
      </c>
      <c r="B4221" s="11" t="str">
        <f>HYPERLINK("https://twitter.com/MirjavadBayat","@MirjavadBayat")</f>
        <v>@MirjavadBayat</v>
      </c>
      <c r="C4221" s="6" t="s">
        <v>5672</v>
      </c>
      <c r="D4221" s="5" t="s">
        <v>5671</v>
      </c>
      <c r="E4221" s="9" t="str">
        <f>HYPERLINK("https://twitter.com/MirjavadBayat/status/1034676710233591808","1034676710233591808")</f>
        <v>1034676710233591808</v>
      </c>
      <c r="F4221" s="4"/>
      <c r="G4221" s="4"/>
      <c r="H4221" s="4"/>
      <c r="I4221" s="10" t="str">
        <f>HYPERLINK("http://twitter.com/download/android","Twitter for Android")</f>
        <v>Twitter for Android</v>
      </c>
      <c r="J4221" s="2">
        <v>482</v>
      </c>
      <c r="K4221" s="2">
        <v>227</v>
      </c>
      <c r="L4221" s="2">
        <v>0</v>
      </c>
      <c r="M4221" s="2"/>
      <c r="N4221" s="8">
        <v>42730.842962962968</v>
      </c>
      <c r="O4221" s="4"/>
      <c r="P4221" s="3" t="s">
        <v>5670</v>
      </c>
      <c r="Q4221" s="4"/>
      <c r="R4221" s="4"/>
      <c r="S4221" s="9" t="str">
        <f>HYPERLINK("https://pbs.twimg.com/profile_images/948443579193679872/y61bZ9iY.jpg","View")</f>
        <v>View</v>
      </c>
    </row>
    <row r="4222" spans="1:19" ht="30">
      <c r="A4222" s="8">
        <v>43341.421851851846</v>
      </c>
      <c r="B4222" s="11" t="str">
        <f>HYPERLINK("https://twitter.com/sazandegii","@sazandegii")</f>
        <v>@sazandegii</v>
      </c>
      <c r="C4222" s="6" t="s">
        <v>4156</v>
      </c>
      <c r="D4222" s="5" t="s">
        <v>5669</v>
      </c>
      <c r="E4222" s="9" t="str">
        <f>HYPERLINK("https://twitter.com/sazandegii/status/1034676386168856577","1034676386168856577")</f>
        <v>1034676386168856577</v>
      </c>
      <c r="F4222" s="4"/>
      <c r="G4222" s="4"/>
      <c r="H4222" s="4"/>
      <c r="I4222" s="10" t="str">
        <f>HYPERLINK("http://twitter.com","Twitter Web Client")</f>
        <v>Twitter Web Client</v>
      </c>
      <c r="J4222" s="2">
        <v>762</v>
      </c>
      <c r="K4222" s="2">
        <v>74</v>
      </c>
      <c r="L4222" s="2">
        <v>14</v>
      </c>
      <c r="M4222" s="2"/>
      <c r="N4222" s="8">
        <v>43144.881296296298</v>
      </c>
      <c r="O4222" s="4" t="s">
        <v>104</v>
      </c>
      <c r="P4222" s="3" t="s">
        <v>4153</v>
      </c>
      <c r="Q4222" s="4"/>
      <c r="R4222" s="4"/>
      <c r="S4222" s="9" t="str">
        <f>HYPERLINK("https://pbs.twimg.com/profile_images/970996181366202368/iBGYCP3F.jpg","View")</f>
        <v>View</v>
      </c>
    </row>
    <row r="4223" spans="1:19" ht="30">
      <c r="A4223" s="8">
        <v>43341.421701388885</v>
      </c>
      <c r="B4223" s="11" t="str">
        <f>HYPERLINK("https://twitter.com/rozyareza","@rozyareza")</f>
        <v>@rozyareza</v>
      </c>
      <c r="C4223" s="6" t="s">
        <v>5668</v>
      </c>
      <c r="D4223" s="5" t="s">
        <v>5667</v>
      </c>
      <c r="E4223" s="9" t="str">
        <f>HYPERLINK("https://twitter.com/rozyareza/status/1034676330258780160","1034676330258780160")</f>
        <v>1034676330258780160</v>
      </c>
      <c r="F4223" s="4"/>
      <c r="G4223" s="4"/>
      <c r="H4223" s="4"/>
      <c r="I4223" s="10" t="str">
        <f>HYPERLINK("http://twitter.com/download/android","Twitter for Android")</f>
        <v>Twitter for Android</v>
      </c>
      <c r="J4223" s="2">
        <v>18</v>
      </c>
      <c r="K4223" s="2">
        <v>24</v>
      </c>
      <c r="L4223" s="2">
        <v>0</v>
      </c>
      <c r="M4223" s="2"/>
      <c r="N4223" s="8">
        <v>42215.976539351846</v>
      </c>
      <c r="O4223" s="4"/>
      <c r="P4223" s="3" t="s">
        <v>5666</v>
      </c>
      <c r="Q4223" s="4"/>
      <c r="R4223" s="4"/>
      <c r="S4223" s="9" t="str">
        <f>HYPERLINK("https://pbs.twimg.com/profile_images/1034048184589447169/mOQTq_aB.jpg","View")</f>
        <v>View</v>
      </c>
    </row>
    <row r="4224" spans="1:19" ht="20">
      <c r="A4224" s="8">
        <v>43341.421053240745</v>
      </c>
      <c r="B4224" s="11" t="str">
        <f>HYPERLINK("https://twitter.com/aliarma17909300","@aliarma17909300")</f>
        <v>@aliarma17909300</v>
      </c>
      <c r="C4224" s="6" t="s">
        <v>5665</v>
      </c>
      <c r="D4224" s="5" t="s">
        <v>5664</v>
      </c>
      <c r="E4224" s="9" t="str">
        <f>HYPERLINK("https://twitter.com/aliarma17909300/status/1034676097126780928","1034676097126780928")</f>
        <v>1034676097126780928</v>
      </c>
      <c r="F4224" s="4"/>
      <c r="G4224" s="4"/>
      <c r="H4224" s="4"/>
      <c r="I4224" s="10" t="str">
        <f>HYPERLINK("http://twitter.com","Twitter Web Client")</f>
        <v>Twitter Web Client</v>
      </c>
      <c r="J4224" s="2">
        <v>2</v>
      </c>
      <c r="K4224" s="2">
        <v>39</v>
      </c>
      <c r="L4224" s="2">
        <v>0</v>
      </c>
      <c r="M4224" s="2"/>
      <c r="N4224" s="8">
        <v>43341.365543981483</v>
      </c>
      <c r="O4224" s="4" t="s">
        <v>5663</v>
      </c>
      <c r="P4224" s="3" t="s">
        <v>5662</v>
      </c>
      <c r="Q4224" s="4"/>
      <c r="R4224" s="4"/>
      <c r="S4224" s="9" t="str">
        <f>HYPERLINK("https://pbs.twimg.com/profile_images/1034672388422520832/Q1iNQuBh.jpg","View")</f>
        <v>View</v>
      </c>
    </row>
    <row r="4225" spans="1:19" ht="20">
      <c r="A4225" s="8">
        <v>43341.42052083333</v>
      </c>
      <c r="B4225" s="11" t="str">
        <f>HYPERLINK("https://twitter.com/khoshkhabar2","@khoshkhabar2")</f>
        <v>@khoshkhabar2</v>
      </c>
      <c r="C4225" s="6" t="s">
        <v>5661</v>
      </c>
      <c r="D4225" s="5" t="s">
        <v>5660</v>
      </c>
      <c r="E4225" s="9" t="str">
        <f>HYPERLINK("https://twitter.com/khoshkhabar2/status/1034675901856968704","1034675901856968704")</f>
        <v>1034675901856968704</v>
      </c>
      <c r="F4225" s="4"/>
      <c r="G4225" s="10" t="s">
        <v>5659</v>
      </c>
      <c r="H4225" s="4"/>
      <c r="I4225" s="10" t="str">
        <f>HYPERLINK("http://twitter.com","Twitter Web Client")</f>
        <v>Twitter Web Client</v>
      </c>
      <c r="J4225" s="2">
        <v>72</v>
      </c>
      <c r="K4225" s="2">
        <v>372</v>
      </c>
      <c r="L4225" s="2">
        <v>0</v>
      </c>
      <c r="M4225" s="2"/>
      <c r="N4225" s="8">
        <v>43269.475844907407</v>
      </c>
      <c r="O4225" s="4"/>
      <c r="P4225" s="3" t="s">
        <v>5658</v>
      </c>
      <c r="Q4225" s="4"/>
      <c r="R4225" s="4"/>
      <c r="S4225" s="9" t="str">
        <f>HYPERLINK("https://pbs.twimg.com/profile_images/1008644282989850624/_EBQ8P2p.jpg","View")</f>
        <v>View</v>
      </c>
    </row>
    <row r="4226" spans="1:19" ht="20">
      <c r="A4226" s="8">
        <v>43341.419976851852</v>
      </c>
      <c r="B4226" s="11" t="str">
        <f>HYPERLINK("https://twitter.com/mhn6712","@mhn6712")</f>
        <v>@mhn6712</v>
      </c>
      <c r="C4226" s="6" t="s">
        <v>707</v>
      </c>
      <c r="D4226" s="5" t="s">
        <v>5657</v>
      </c>
      <c r="E4226" s="9" t="str">
        <f>HYPERLINK("https://twitter.com/mhn6712/status/1034675707065114624","1034675707065114624")</f>
        <v>1034675707065114624</v>
      </c>
      <c r="F4226" s="4"/>
      <c r="G4226" s="4"/>
      <c r="H4226" s="4"/>
      <c r="I4226" s="10" t="str">
        <f>HYPERLINK("http://twitter.com","Twitter Web Client")</f>
        <v>Twitter Web Client</v>
      </c>
      <c r="J4226" s="2">
        <v>599</v>
      </c>
      <c r="K4226" s="2">
        <v>274</v>
      </c>
      <c r="L4226" s="2">
        <v>7</v>
      </c>
      <c r="M4226" s="2"/>
      <c r="N4226" s="8">
        <v>41838.807662037041</v>
      </c>
      <c r="O4226" s="4" t="s">
        <v>34</v>
      </c>
      <c r="P4226" s="3" t="s">
        <v>704</v>
      </c>
      <c r="Q4226" s="4"/>
      <c r="R4226" s="4"/>
      <c r="S4226" s="9" t="str">
        <f>HYPERLINK("https://pbs.twimg.com/profile_images/915118799728324608/NELhRWCR.jpg","View")</f>
        <v>View</v>
      </c>
    </row>
    <row r="4227" spans="1:19" ht="40">
      <c r="A4227" s="8">
        <v>43341.418391203704</v>
      </c>
      <c r="B4227" s="11" t="str">
        <f>HYPERLINK("https://twitter.com/b_h_n_a_m","@b_h_n_a_m")</f>
        <v>@b_h_n_a_m</v>
      </c>
      <c r="C4227" s="6" t="s">
        <v>5656</v>
      </c>
      <c r="D4227" s="5" t="s">
        <v>5655</v>
      </c>
      <c r="E4227" s="9" t="str">
        <f>HYPERLINK("https://twitter.com/b_h_n_a_m/status/1034675134240415745","1034675134240415745")</f>
        <v>1034675134240415745</v>
      </c>
      <c r="F4227" s="4"/>
      <c r="G4227" s="4"/>
      <c r="H4227" s="4"/>
      <c r="I4227" s="10" t="str">
        <f>HYPERLINK("http://twitter.com","Twitter Web Client")</f>
        <v>Twitter Web Client</v>
      </c>
      <c r="J4227" s="2">
        <v>215</v>
      </c>
      <c r="K4227" s="2">
        <v>195</v>
      </c>
      <c r="L4227" s="2">
        <v>2</v>
      </c>
      <c r="M4227" s="2"/>
      <c r="N4227" s="8">
        <v>41587.483819444446</v>
      </c>
      <c r="O4227" s="4"/>
      <c r="P4227" s="3" t="s">
        <v>5654</v>
      </c>
      <c r="Q4227" s="4"/>
      <c r="R4227" s="4"/>
      <c r="S4227" s="9" t="str">
        <f>HYPERLINK("https://pbs.twimg.com/profile_images/908914798531874816/9ccBsvsB.jpg","View")</f>
        <v>View</v>
      </c>
    </row>
    <row r="4228" spans="1:19" ht="40">
      <c r="A4228" s="8">
        <v>43341.417696759258</v>
      </c>
      <c r="B4228" s="11" t="str">
        <f>HYPERLINK("https://twitter.com/AdbMohsen","@AdbMohsen")</f>
        <v>@AdbMohsen</v>
      </c>
      <c r="C4228" s="6" t="s">
        <v>2134</v>
      </c>
      <c r="D4228" s="5" t="s">
        <v>5653</v>
      </c>
      <c r="E4228" s="9" t="str">
        <f>HYPERLINK("https://twitter.com/AdbMohsen/status/1034674878698278912","1034674878698278912")</f>
        <v>1034674878698278912</v>
      </c>
      <c r="F4228" s="4"/>
      <c r="G4228" s="10" t="s">
        <v>5652</v>
      </c>
      <c r="H4228" s="4"/>
      <c r="I4228" s="10" t="str">
        <f>HYPERLINK("http://twitter.com/download/iphone","Twitter for iPhone")</f>
        <v>Twitter for iPhone</v>
      </c>
      <c r="J4228" s="2">
        <v>20</v>
      </c>
      <c r="K4228" s="2">
        <v>113</v>
      </c>
      <c r="L4228" s="2">
        <v>0</v>
      </c>
      <c r="M4228" s="2"/>
      <c r="N4228" s="8">
        <v>43254.962118055555</v>
      </c>
      <c r="O4228" s="4" t="s">
        <v>34</v>
      </c>
      <c r="P4228" s="3"/>
      <c r="Q4228" s="4"/>
      <c r="R4228" s="4"/>
      <c r="S4228" s="9" t="str">
        <f>HYPERLINK("https://pbs.twimg.com/profile_images/1003345547795689473/-xbZ5qh2.jpg","View")</f>
        <v>View</v>
      </c>
    </row>
    <row r="4229" spans="1:19" ht="30">
      <c r="A4229" s="8">
        <v>43341.417395833334</v>
      </c>
      <c r="B4229" s="11" t="str">
        <f>HYPERLINK("https://twitter.com/moazen_2","@moazen_2")</f>
        <v>@moazen_2</v>
      </c>
      <c r="C4229" s="6" t="s">
        <v>5651</v>
      </c>
      <c r="D4229" s="5" t="s">
        <v>5650</v>
      </c>
      <c r="E4229" s="9" t="str">
        <f>HYPERLINK("https://twitter.com/moazen_2/status/1034674773471768583","1034674773471768583")</f>
        <v>1034674773471768583</v>
      </c>
      <c r="F4229" s="4"/>
      <c r="G4229" s="4"/>
      <c r="H4229" s="4"/>
      <c r="I4229" s="10" t="str">
        <f>HYPERLINK("http://twitter.com/download/android","Twitter for Android")</f>
        <v>Twitter for Android</v>
      </c>
      <c r="J4229" s="2">
        <v>344</v>
      </c>
      <c r="K4229" s="2">
        <v>681</v>
      </c>
      <c r="L4229" s="2">
        <v>0</v>
      </c>
      <c r="M4229" s="2"/>
      <c r="N4229" s="8">
        <v>43317.84920138889</v>
      </c>
      <c r="O4229" s="4" t="s">
        <v>5649</v>
      </c>
      <c r="P4229" s="3" t="s">
        <v>5648</v>
      </c>
      <c r="Q4229" s="4"/>
      <c r="R4229" s="4"/>
      <c r="S4229" s="9" t="str">
        <f>HYPERLINK("https://pbs.twimg.com/profile_images/1034156089670021120/v7NPwQSx.jpg","View")</f>
        <v>View</v>
      </c>
    </row>
    <row r="4230" spans="1:19" ht="20">
      <c r="A4230" s="8">
        <v>43341.417048611111</v>
      </c>
      <c r="B4230" s="11" t="str">
        <f>HYPERLINK("https://twitter.com/cyberman1133","@cyberman1133")</f>
        <v>@cyberman1133</v>
      </c>
      <c r="C4230" s="6" t="s">
        <v>5647</v>
      </c>
      <c r="D4230" s="5" t="s">
        <v>5646</v>
      </c>
      <c r="E4230" s="9" t="str">
        <f>HYPERLINK("https://twitter.com/cyberman1133/status/1034674646707314688","1034674646707314688")</f>
        <v>1034674646707314688</v>
      </c>
      <c r="F4230" s="4"/>
      <c r="G4230" s="4"/>
      <c r="H4230" s="4"/>
      <c r="I4230" s="10" t="str">
        <f>HYPERLINK("http://twitter.com/download/android","Twitter for Android")</f>
        <v>Twitter for Android</v>
      </c>
      <c r="J4230" s="2">
        <v>182</v>
      </c>
      <c r="K4230" s="2">
        <v>503</v>
      </c>
      <c r="L4230" s="2">
        <v>2</v>
      </c>
      <c r="M4230" s="2"/>
      <c r="N4230" s="8">
        <v>42620.849351851852</v>
      </c>
      <c r="O4230" s="4" t="s">
        <v>17</v>
      </c>
      <c r="P4230" s="3" t="s">
        <v>5645</v>
      </c>
      <c r="Q4230" s="4"/>
      <c r="R4230" s="4"/>
      <c r="S4230" s="9" t="str">
        <f>HYPERLINK("https://pbs.twimg.com/profile_images/952089886881996801/75PFga0m.jpg","View")</f>
        <v>View</v>
      </c>
    </row>
    <row r="4231" spans="1:19" ht="50">
      <c r="A4231" s="8">
        <v>43341.416921296295</v>
      </c>
      <c r="B4231" s="11" t="str">
        <f>HYPERLINK("https://twitter.com/Palestine_fa","@Palestine_fa")</f>
        <v>@Palestine_fa</v>
      </c>
      <c r="C4231" s="6" t="s">
        <v>5644</v>
      </c>
      <c r="D4231" s="5" t="s">
        <v>5643</v>
      </c>
      <c r="E4231" s="9" t="str">
        <f>HYPERLINK("https://twitter.com/Palestine_fa/status/1034674597512323072","1034674597512323072")</f>
        <v>1034674597512323072</v>
      </c>
      <c r="F4231" s="4"/>
      <c r="G4231" s="10" t="s">
        <v>5642</v>
      </c>
      <c r="H4231" s="4"/>
      <c r="I4231" s="10" t="str">
        <f>HYPERLINK("http://twitter.com/download/android","Twitter for Android")</f>
        <v>Twitter for Android</v>
      </c>
      <c r="J4231" s="2">
        <v>43</v>
      </c>
      <c r="K4231" s="2">
        <v>42</v>
      </c>
      <c r="L4231" s="2">
        <v>0</v>
      </c>
      <c r="M4231" s="2"/>
      <c r="N4231" s="8">
        <v>43267.892962962964</v>
      </c>
      <c r="O4231" s="4" t="s">
        <v>5641</v>
      </c>
      <c r="P4231" s="3" t="s">
        <v>5640</v>
      </c>
      <c r="Q4231" s="4"/>
      <c r="R4231" s="4"/>
      <c r="S4231" s="9" t="str">
        <f>HYPERLINK("https://pbs.twimg.com/profile_images/1008032874380095488/YsDJ_DvN.jpg","View")</f>
        <v>View</v>
      </c>
    </row>
    <row r="4232" spans="1:19" ht="20">
      <c r="A4232" s="8">
        <v>43341.416851851856</v>
      </c>
      <c r="B4232" s="11" t="str">
        <f>HYPERLINK("https://twitter.com/kristianemampur","@kristianemampur")</f>
        <v>@kristianemampur</v>
      </c>
      <c r="C4232" s="6" t="s">
        <v>5459</v>
      </c>
      <c r="D4232" s="5" t="s">
        <v>5639</v>
      </c>
      <c r="E4232" s="9" t="str">
        <f>HYPERLINK("https://twitter.com/kristianemampur/status/1034674576184279041","1034674576184279041")</f>
        <v>1034674576184279041</v>
      </c>
      <c r="F4232" s="4"/>
      <c r="G4232" s="4"/>
      <c r="H4232" s="4"/>
      <c r="I4232" s="10" t="str">
        <f>HYPERLINK("http://twitter.com/download/iphone","Twitter for iPhone")</f>
        <v>Twitter for iPhone</v>
      </c>
      <c r="J4232" s="2">
        <v>4130</v>
      </c>
      <c r="K4232" s="2">
        <v>3571</v>
      </c>
      <c r="L4232" s="2">
        <v>1</v>
      </c>
      <c r="M4232" s="2"/>
      <c r="N4232" s="8">
        <v>43122.781817129631</v>
      </c>
      <c r="O4232" s="4" t="s">
        <v>5457</v>
      </c>
      <c r="P4232" s="3" t="s">
        <v>5456</v>
      </c>
      <c r="Q4232" s="4"/>
      <c r="R4232" s="4"/>
      <c r="S4232" s="9" t="str">
        <f>HYPERLINK("https://pbs.twimg.com/profile_images/1012894560085737474/3o1qo3c3.jpg","View")</f>
        <v>View</v>
      </c>
    </row>
    <row r="4233" spans="1:19" ht="40">
      <c r="A4233" s="8">
        <v>43341.413715277777</v>
      </c>
      <c r="B4233" s="11" t="str">
        <f>HYPERLINK("https://twitter.com/aliolfatpour","@aliolfatpour")</f>
        <v>@aliolfatpour</v>
      </c>
      <c r="C4233" s="6" t="s">
        <v>5551</v>
      </c>
      <c r="D4233" s="5" t="s">
        <v>5638</v>
      </c>
      <c r="E4233" s="9" t="str">
        <f>HYPERLINK("https://twitter.com/aliolfatpour/status/1034673438689054720","1034673438689054720")</f>
        <v>1034673438689054720</v>
      </c>
      <c r="F4233" s="4"/>
      <c r="G4233" s="10" t="s">
        <v>5637</v>
      </c>
      <c r="H4233" s="4"/>
      <c r="I4233" s="10" t="str">
        <f>HYPERLINK("http://twitter.com/download/android","Twitter for Android")</f>
        <v>Twitter for Android</v>
      </c>
      <c r="J4233" s="2">
        <v>6931</v>
      </c>
      <c r="K4233" s="2">
        <v>4690</v>
      </c>
      <c r="L4233" s="2">
        <v>32</v>
      </c>
      <c r="M4233" s="2"/>
      <c r="N4233" s="8">
        <v>42855.069374999999</v>
      </c>
      <c r="O4233" s="4" t="s">
        <v>682</v>
      </c>
      <c r="P4233" s="3" t="s">
        <v>5548</v>
      </c>
      <c r="Q4233" s="4"/>
      <c r="R4233" s="4"/>
      <c r="S4233" s="9" t="str">
        <f>HYPERLINK("https://pbs.twimg.com/profile_images/952534340507983872/d6CEIZpC.jpg","View")</f>
        <v>View</v>
      </c>
    </row>
    <row r="4234" spans="1:19" ht="40">
      <c r="A4234" s="8">
        <v>43341.413599537038</v>
      </c>
      <c r="B4234" s="11" t="str">
        <f>HYPERLINK("https://twitter.com/ali_khezrian","@ali_khezrian")</f>
        <v>@ali_khezrian</v>
      </c>
      <c r="C4234" s="6" t="s">
        <v>5636</v>
      </c>
      <c r="D4234" s="5" t="s">
        <v>5635</v>
      </c>
      <c r="E4234" s="9" t="str">
        <f>HYPERLINK("https://twitter.com/ali_khezrian/status/1034673394300735488","1034673394300735488")</f>
        <v>1034673394300735488</v>
      </c>
      <c r="F4234" s="4"/>
      <c r="G4234" s="10" t="s">
        <v>5634</v>
      </c>
      <c r="H4234" s="4"/>
      <c r="I4234" s="10" t="str">
        <f>HYPERLINK("http://twitter.com/download/iphone","Twitter for iPhone")</f>
        <v>Twitter for iPhone</v>
      </c>
      <c r="J4234" s="2">
        <v>1397</v>
      </c>
      <c r="K4234" s="2">
        <v>347</v>
      </c>
      <c r="L4234" s="2">
        <v>11</v>
      </c>
      <c r="M4234" s="2"/>
      <c r="N4234" s="8">
        <v>43275.821851851855</v>
      </c>
      <c r="O4234" s="4"/>
      <c r="P4234" s="3" t="s">
        <v>5633</v>
      </c>
      <c r="Q4234" s="4"/>
      <c r="R4234" s="4"/>
      <c r="S4234" s="9" t="str">
        <f>HYPERLINK("https://pbs.twimg.com/profile_images/1010911465522565120/FGR8OwGQ.jpg","View")</f>
        <v>View</v>
      </c>
    </row>
    <row r="4235" spans="1:19" ht="20">
      <c r="A4235" s="8">
        <v>43341.412939814814</v>
      </c>
      <c r="B4235" s="11" t="str">
        <f>HYPERLINK("https://twitter.com/zarirhojati","@zarirhojati")</f>
        <v>@zarirhojati</v>
      </c>
      <c r="C4235" s="6" t="s">
        <v>5632</v>
      </c>
      <c r="D4235" s="5" t="s">
        <v>5631</v>
      </c>
      <c r="E4235" s="9" t="str">
        <f>HYPERLINK("https://twitter.com/zarirhojati/status/1034673155871268865","1034673155871268865")</f>
        <v>1034673155871268865</v>
      </c>
      <c r="F4235" s="4"/>
      <c r="G4235" s="4"/>
      <c r="H4235" s="4"/>
      <c r="I4235" s="10" t="str">
        <f>HYPERLINK("http://twitter.com/download/android","Twitter for Android")</f>
        <v>Twitter for Android</v>
      </c>
      <c r="J4235" s="2">
        <v>25</v>
      </c>
      <c r="K4235" s="2">
        <v>38</v>
      </c>
      <c r="L4235" s="2">
        <v>0</v>
      </c>
      <c r="M4235" s="2"/>
      <c r="N4235" s="8">
        <v>43338.495879629627</v>
      </c>
      <c r="O4235" s="4" t="s">
        <v>17</v>
      </c>
      <c r="P4235" s="3" t="s">
        <v>5630</v>
      </c>
      <c r="Q4235" s="4"/>
      <c r="R4235" s="4"/>
      <c r="S4235" s="9" t="str">
        <f>HYPERLINK("https://pbs.twimg.com/profile_images/1033621358373228544/Tki8a2Ju.jpg","View")</f>
        <v>View</v>
      </c>
    </row>
    <row r="4236" spans="1:19" ht="40">
      <c r="A4236" s="8">
        <v>43341.412592592591</v>
      </c>
      <c r="B4236" s="11" t="str">
        <f>HYPERLINK("https://twitter.com/ehsanm92","@ehsanm92")</f>
        <v>@ehsanm92</v>
      </c>
      <c r="C4236" s="6" t="s">
        <v>5629</v>
      </c>
      <c r="D4236" s="5" t="s">
        <v>5628</v>
      </c>
      <c r="E4236" s="9" t="str">
        <f>HYPERLINK("https://twitter.com/ehsanm92/status/1034673031820529664","1034673031820529664")</f>
        <v>1034673031820529664</v>
      </c>
      <c r="F4236" s="4"/>
      <c r="G4236" s="4"/>
      <c r="H4236" s="4"/>
      <c r="I4236" s="10" t="str">
        <f>HYPERLINK("http://twitter.com/download/android","Twitter for Android")</f>
        <v>Twitter for Android</v>
      </c>
      <c r="J4236" s="2">
        <v>1230</v>
      </c>
      <c r="K4236" s="2">
        <v>221</v>
      </c>
      <c r="L4236" s="2">
        <v>3</v>
      </c>
      <c r="M4236" s="2"/>
      <c r="N4236" s="8">
        <v>41499.004537037035</v>
      </c>
      <c r="O4236" s="4"/>
      <c r="P4236" s="3" t="s">
        <v>5627</v>
      </c>
      <c r="Q4236" s="4"/>
      <c r="R4236" s="4"/>
      <c r="S4236" s="9" t="str">
        <f>HYPERLINK("https://pbs.twimg.com/profile_images/1011000974566191106/9m1Ucqa6.jpg","View")</f>
        <v>View</v>
      </c>
    </row>
    <row r="4237" spans="1:19" ht="20">
      <c r="A4237" s="8">
        <v>43341.410983796297</v>
      </c>
      <c r="B4237" s="11" t="str">
        <f>HYPERLINK("https://twitter.com/rezasedaghattt","@rezasedaghattt")</f>
        <v>@rezasedaghattt</v>
      </c>
      <c r="C4237" s="6" t="s">
        <v>4082</v>
      </c>
      <c r="D4237" s="5" t="s">
        <v>5626</v>
      </c>
      <c r="E4237" s="9" t="str">
        <f>HYPERLINK("https://twitter.com/rezasedaghattt/status/1034672446245416965","1034672446245416965")</f>
        <v>1034672446245416965</v>
      </c>
      <c r="F4237" s="4"/>
      <c r="G4237" s="4"/>
      <c r="H4237" s="4"/>
      <c r="I4237" s="10" t="str">
        <f>HYPERLINK("http://twitter.com/download/android","Twitter for Android")</f>
        <v>Twitter for Android</v>
      </c>
      <c r="J4237" s="2">
        <v>5276</v>
      </c>
      <c r="K4237" s="2">
        <v>5369</v>
      </c>
      <c r="L4237" s="2">
        <v>7</v>
      </c>
      <c r="M4237" s="2"/>
      <c r="N4237" s="8">
        <v>42760.839872685188</v>
      </c>
      <c r="O4237" s="4" t="s">
        <v>4080</v>
      </c>
      <c r="P4237" s="3" t="s">
        <v>4079</v>
      </c>
      <c r="Q4237" s="4"/>
      <c r="R4237" s="4"/>
      <c r="S4237" s="9" t="str">
        <f>HYPERLINK("https://pbs.twimg.com/profile_images/1024155447622811653/9VEvRfFL.jpg","View")</f>
        <v>View</v>
      </c>
    </row>
    <row r="4238" spans="1:19" ht="30">
      <c r="A4238" s="8">
        <v>43341.410127314812</v>
      </c>
      <c r="B4238" s="11" t="str">
        <f>HYPERLINK("https://twitter.com/jamejamCPI","@jamejamCPI")</f>
        <v>@jamejamCPI</v>
      </c>
      <c r="C4238" s="6" t="s">
        <v>5625</v>
      </c>
      <c r="D4238" s="5" t="s">
        <v>5624</v>
      </c>
      <c r="E4238" s="9" t="str">
        <f>HYPERLINK("https://twitter.com/jamejamCPI/status/1034672138467270656","1034672138467270656")</f>
        <v>1034672138467270656</v>
      </c>
      <c r="F4238" s="10" t="s">
        <v>5623</v>
      </c>
      <c r="G4238" s="4"/>
      <c r="H4238" s="4"/>
      <c r="I4238" s="10" t="str">
        <f>HYPERLINK("http://twitter.com","Twitter Web Client")</f>
        <v>Twitter Web Client</v>
      </c>
      <c r="J4238" s="2">
        <v>26507</v>
      </c>
      <c r="K4238" s="2">
        <v>1417</v>
      </c>
      <c r="L4238" s="2">
        <v>139</v>
      </c>
      <c r="M4238" s="2"/>
      <c r="N4238" s="8">
        <v>41548.76021990741</v>
      </c>
      <c r="O4238" s="4" t="s">
        <v>5622</v>
      </c>
      <c r="P4238" s="3" t="s">
        <v>5621</v>
      </c>
      <c r="Q4238" s="10" t="s">
        <v>5620</v>
      </c>
      <c r="R4238" s="4"/>
      <c r="S4238" s="9" t="str">
        <f>HYPERLINK("https://pbs.twimg.com/profile_images/1016553348819046405/PBNorYe4.jpg","View")</f>
        <v>View</v>
      </c>
    </row>
    <row r="4239" spans="1:19" ht="80">
      <c r="A4239" s="8">
        <v>43341.409178240741</v>
      </c>
      <c r="B4239" s="11" t="str">
        <f>HYPERLINK("https://twitter.com/BehanSoroush","@BehanSoroush")</f>
        <v>@BehanSoroush</v>
      </c>
      <c r="C4239" s="6" t="s">
        <v>4813</v>
      </c>
      <c r="D4239" s="5" t="s">
        <v>5619</v>
      </c>
      <c r="E4239" s="9" t="str">
        <f>HYPERLINK("https://twitter.com/BehanSoroush/status/1034671792659554304","1034671792659554304")</f>
        <v>1034671792659554304</v>
      </c>
      <c r="F4239" s="10" t="s">
        <v>5618</v>
      </c>
      <c r="G4239" s="10" t="s">
        <v>5617</v>
      </c>
      <c r="H4239" s="4"/>
      <c r="I4239" s="10" t="str">
        <f>HYPERLINK("http://twitter.com","Twitter Web Client")</f>
        <v>Twitter Web Client</v>
      </c>
      <c r="J4239" s="2">
        <v>1210</v>
      </c>
      <c r="K4239" s="2">
        <v>975</v>
      </c>
      <c r="L4239" s="2">
        <v>1</v>
      </c>
      <c r="M4239" s="2"/>
      <c r="N4239" s="8">
        <v>43230.491979166662</v>
      </c>
      <c r="O4239" s="4" t="s">
        <v>4811</v>
      </c>
      <c r="P4239" s="3" t="s">
        <v>4810</v>
      </c>
      <c r="Q4239" s="4"/>
      <c r="R4239" s="4"/>
      <c r="S4239" s="9" t="str">
        <f>HYPERLINK("https://pbs.twimg.com/profile_images/994659530914041856/y3-u0dOR.jpg","View")</f>
        <v>View</v>
      </c>
    </row>
    <row r="4240" spans="1:19" ht="70">
      <c r="A4240" s="8">
        <v>43341.406851851847</v>
      </c>
      <c r="B4240" s="11" t="str">
        <f>HYPERLINK("https://twitter.com/Sed_khorsandian","@Sed_khorsandian")</f>
        <v>@Sed_khorsandian</v>
      </c>
      <c r="C4240" s="6" t="s">
        <v>5616</v>
      </c>
      <c r="D4240" s="5" t="s">
        <v>5615</v>
      </c>
      <c r="E4240" s="9" t="str">
        <f>HYPERLINK("https://twitter.com/Sed_khorsandian/status/1034670951462518784","1034670951462518784")</f>
        <v>1034670951462518784</v>
      </c>
      <c r="F4240" s="10" t="s">
        <v>5614</v>
      </c>
      <c r="G4240" s="4"/>
      <c r="H4240" s="4"/>
      <c r="I4240" s="10" t="str">
        <f>HYPERLINK("http://twitter.com/download/android","Twitter for Android")</f>
        <v>Twitter for Android</v>
      </c>
      <c r="J4240" s="2">
        <v>1452</v>
      </c>
      <c r="K4240" s="2">
        <v>1822</v>
      </c>
      <c r="L4240" s="2">
        <v>4</v>
      </c>
      <c r="M4240" s="2"/>
      <c r="N4240" s="8">
        <v>42894.050740740742</v>
      </c>
      <c r="O4240" s="4" t="s">
        <v>5613</v>
      </c>
      <c r="P4240" s="3" t="s">
        <v>5612</v>
      </c>
      <c r="Q4240" s="4"/>
      <c r="R4240" s="4"/>
      <c r="S4240" s="9" t="str">
        <f>HYPERLINK("https://pbs.twimg.com/profile_images/1034323967308427264/x89Tubea.jpg","View")</f>
        <v>View</v>
      </c>
    </row>
    <row r="4241" spans="1:19" ht="30">
      <c r="A4241" s="8">
        <v>43341.406712962962</v>
      </c>
      <c r="B4241" s="11" t="str">
        <f>HYPERLINK("https://twitter.com/ojan_akbari","@ojan_akbari")</f>
        <v>@ojan_akbari</v>
      </c>
      <c r="C4241" s="6" t="s">
        <v>5611</v>
      </c>
      <c r="D4241" s="5" t="s">
        <v>5610</v>
      </c>
      <c r="E4241" s="9" t="str">
        <f>HYPERLINK("https://twitter.com/ojan_akbari/status/1034670900791074816","1034670900791074816")</f>
        <v>1034670900791074816</v>
      </c>
      <c r="F4241" s="4"/>
      <c r="G4241" s="4"/>
      <c r="H4241" s="4"/>
      <c r="I4241" s="10" t="str">
        <f>HYPERLINK("http://twitter.com/download/android","Twitter for Android")</f>
        <v>Twitter for Android</v>
      </c>
      <c r="J4241" s="2">
        <v>74</v>
      </c>
      <c r="K4241" s="2">
        <v>225</v>
      </c>
      <c r="L4241" s="2">
        <v>0</v>
      </c>
      <c r="M4241" s="2"/>
      <c r="N4241" s="8">
        <v>43189.757523148146</v>
      </c>
      <c r="O4241" s="4"/>
      <c r="P4241" s="3"/>
      <c r="Q4241" s="4"/>
      <c r="R4241" s="4"/>
      <c r="S4241" s="2" t="s">
        <v>155</v>
      </c>
    </row>
    <row r="4242" spans="1:19" ht="40">
      <c r="A4242" s="8">
        <v>43341.406087962961</v>
      </c>
      <c r="B4242" s="11" t="str">
        <f>HYPERLINK("https://twitter.com/Tasnimnews_Fa","@Tasnimnews_Fa")</f>
        <v>@Tasnimnews_Fa</v>
      </c>
      <c r="C4242" s="6" t="s">
        <v>603</v>
      </c>
      <c r="D4242" s="5" t="s">
        <v>5609</v>
      </c>
      <c r="E4242" s="9" t="str">
        <f>HYPERLINK("https://twitter.com/Tasnimnews_Fa/status/1034670673929613312","1034670673929613312")</f>
        <v>1034670673929613312</v>
      </c>
      <c r="F4242" s="10" t="s">
        <v>5608</v>
      </c>
      <c r="G4242" s="10" t="s">
        <v>5607</v>
      </c>
      <c r="H4242" s="4"/>
      <c r="I4242" s="10" t="str">
        <f>HYPERLINK("http://twitter.com","Twitter Web Client")</f>
        <v>Twitter Web Client</v>
      </c>
      <c r="J4242" s="2">
        <v>109392</v>
      </c>
      <c r="K4242" s="2">
        <v>20</v>
      </c>
      <c r="L4242" s="2">
        <v>375</v>
      </c>
      <c r="M4242" s="2" t="s">
        <v>80</v>
      </c>
      <c r="N4242" s="8">
        <v>41868.671585648146</v>
      </c>
      <c r="O4242" s="4" t="s">
        <v>133</v>
      </c>
      <c r="P4242" s="3" t="s">
        <v>599</v>
      </c>
      <c r="Q4242" s="10" t="s">
        <v>598</v>
      </c>
      <c r="R4242" s="4"/>
      <c r="S4242" s="9" t="str">
        <f>HYPERLINK("https://pbs.twimg.com/profile_images/942003149430239232/hvLw_1_E.jpg","View")</f>
        <v>View</v>
      </c>
    </row>
    <row r="4243" spans="1:19" ht="30">
      <c r="A4243" s="8">
        <v>43341.404479166667</v>
      </c>
      <c r="B4243" s="11" t="str">
        <f>HYPERLINK("https://twitter.com/Md31413757","@Md31413757")</f>
        <v>@Md31413757</v>
      </c>
      <c r="C4243" s="6" t="s">
        <v>5606</v>
      </c>
      <c r="D4243" s="5" t="s">
        <v>5605</v>
      </c>
      <c r="E4243" s="9" t="str">
        <f>HYPERLINK("https://twitter.com/Md31413757/status/1034670088866209792","1034670088866209792")</f>
        <v>1034670088866209792</v>
      </c>
      <c r="F4243" s="10" t="s">
        <v>5604</v>
      </c>
      <c r="G4243" s="10" t="s">
        <v>5603</v>
      </c>
      <c r="H4243" s="4"/>
      <c r="I4243" s="10" t="str">
        <f>HYPERLINK("http://twitter.com/download/android","Twitter for Android")</f>
        <v>Twitter for Android</v>
      </c>
      <c r="J4243" s="2">
        <v>45</v>
      </c>
      <c r="K4243" s="2">
        <v>98</v>
      </c>
      <c r="L4243" s="2">
        <v>0</v>
      </c>
      <c r="M4243" s="2"/>
      <c r="N4243" s="8">
        <v>43325.015787037039</v>
      </c>
      <c r="O4243" s="4"/>
      <c r="P4243" s="3" t="s">
        <v>5602</v>
      </c>
      <c r="Q4243" s="4"/>
      <c r="R4243" s="4"/>
      <c r="S4243" s="9" t="str">
        <f>HYPERLINK("https://pbs.twimg.com/profile_images/1031536991144488961/ZYdLoIao.jpg","View")</f>
        <v>View</v>
      </c>
    </row>
    <row r="4244" spans="1:19" ht="30">
      <c r="A4244" s="8">
        <v>43341.402731481481</v>
      </c>
      <c r="B4244" s="11" t="str">
        <f>HYPERLINK("https://twitter.com/mohsenjannesar2","@mohsenjannesar2")</f>
        <v>@mohsenjannesar2</v>
      </c>
      <c r="C4244" s="6" t="s">
        <v>2946</v>
      </c>
      <c r="D4244" s="5" t="s">
        <v>5601</v>
      </c>
      <c r="E4244" s="9" t="str">
        <f>HYPERLINK("https://twitter.com/mohsenjannesar2/status/1034669458571309056","1034669458571309056")</f>
        <v>1034669458571309056</v>
      </c>
      <c r="F4244" s="4"/>
      <c r="G4244" s="4"/>
      <c r="H4244" s="4"/>
      <c r="I4244" s="10" t="str">
        <f>HYPERLINK("http://twitter.com/download/android","Twitter for Android")</f>
        <v>Twitter for Android</v>
      </c>
      <c r="J4244" s="2">
        <v>44</v>
      </c>
      <c r="K4244" s="2">
        <v>83</v>
      </c>
      <c r="L4244" s="2">
        <v>0</v>
      </c>
      <c r="M4244" s="2"/>
      <c r="N4244" s="8">
        <v>43313.46130787037</v>
      </c>
      <c r="O4244" s="4"/>
      <c r="P4244" s="3" t="s">
        <v>2944</v>
      </c>
      <c r="Q4244" s="10" t="s">
        <v>2943</v>
      </c>
      <c r="R4244" s="4"/>
      <c r="S4244" s="9" t="str">
        <f>HYPERLINK("https://pbs.twimg.com/profile_images/1032262269483327491/k5jE2zD5.jpg","View")</f>
        <v>View</v>
      </c>
    </row>
    <row r="4245" spans="1:19" ht="40">
      <c r="A4245" s="8">
        <v>43341.401805555557</v>
      </c>
      <c r="B4245" s="11" t="str">
        <f>HYPERLINK("https://twitter.com/mojtabatk1","@mojtabatk1")</f>
        <v>@mojtabatk1</v>
      </c>
      <c r="C4245" s="6" t="s">
        <v>5600</v>
      </c>
      <c r="D4245" s="5" t="s">
        <v>5599</v>
      </c>
      <c r="E4245" s="9" t="str">
        <f>HYPERLINK("https://twitter.com/mojtabatk1/status/1034669120132923392","1034669120132923392")</f>
        <v>1034669120132923392</v>
      </c>
      <c r="F4245" s="4"/>
      <c r="G4245" s="4"/>
      <c r="H4245" s="4"/>
      <c r="I4245" s="10" t="str">
        <f>HYPERLINK("http://twitter.com/download/android","Twitter for Android")</f>
        <v>Twitter for Android</v>
      </c>
      <c r="J4245" s="2">
        <v>5</v>
      </c>
      <c r="K4245" s="2">
        <v>11</v>
      </c>
      <c r="L4245" s="2">
        <v>0</v>
      </c>
      <c r="M4245" s="2"/>
      <c r="N4245" s="8">
        <v>43309.518217592587</v>
      </c>
      <c r="O4245" s="4"/>
      <c r="P4245" s="3"/>
      <c r="Q4245" s="4"/>
      <c r="R4245" s="4"/>
      <c r="S4245" s="9" t="str">
        <f>HYPERLINK("https://pbs.twimg.com/profile_images/1023115652511481856/luuCxfuv.jpg","View")</f>
        <v>View</v>
      </c>
    </row>
    <row r="4246" spans="1:19" ht="40">
      <c r="A4246" s="8">
        <v>43341.400972222225</v>
      </c>
      <c r="B4246" s="11" t="str">
        <f>HYPERLINK("https://twitter.com/Tasnimnews_Fa","@Tasnimnews_Fa")</f>
        <v>@Tasnimnews_Fa</v>
      </c>
      <c r="C4246" s="6" t="s">
        <v>603</v>
      </c>
      <c r="D4246" s="5" t="s">
        <v>5598</v>
      </c>
      <c r="E4246" s="9" t="str">
        <f>HYPERLINK("https://twitter.com/Tasnimnews_Fa/status/1034668821800529921","1034668821800529921")</f>
        <v>1034668821800529921</v>
      </c>
      <c r="F4246" s="10" t="s">
        <v>5597</v>
      </c>
      <c r="G4246" s="10" t="s">
        <v>5596</v>
      </c>
      <c r="H4246" s="4"/>
      <c r="I4246" s="10" t="str">
        <f>HYPERLINK("http://twitter.com","Twitter Web Client")</f>
        <v>Twitter Web Client</v>
      </c>
      <c r="J4246" s="2">
        <v>109392</v>
      </c>
      <c r="K4246" s="2">
        <v>20</v>
      </c>
      <c r="L4246" s="2">
        <v>375</v>
      </c>
      <c r="M4246" s="2" t="s">
        <v>80</v>
      </c>
      <c r="N4246" s="8">
        <v>41868.671585648146</v>
      </c>
      <c r="O4246" s="4" t="s">
        <v>133</v>
      </c>
      <c r="P4246" s="3" t="s">
        <v>599</v>
      </c>
      <c r="Q4246" s="10" t="s">
        <v>598</v>
      </c>
      <c r="R4246" s="4"/>
      <c r="S4246" s="9" t="str">
        <f>HYPERLINK("https://pbs.twimg.com/profile_images/942003149430239232/hvLw_1_E.jpg","View")</f>
        <v>View</v>
      </c>
    </row>
    <row r="4247" spans="1:19" ht="30">
      <c r="A4247" s="8">
        <v>43341.399479166663</v>
      </c>
      <c r="B4247" s="11" t="str">
        <f>HYPERLINK("https://twitter.com/ali_peyravi","@ali_peyravi")</f>
        <v>@ali_peyravi</v>
      </c>
      <c r="C4247" s="6" t="s">
        <v>5563</v>
      </c>
      <c r="D4247" s="5" t="s">
        <v>5595</v>
      </c>
      <c r="E4247" s="9" t="str">
        <f>HYPERLINK("https://twitter.com/ali_peyravi/status/1034668279741202433","1034668279741202433")</f>
        <v>1034668279741202433</v>
      </c>
      <c r="F4247" s="4"/>
      <c r="G4247" s="4"/>
      <c r="H4247" s="4"/>
      <c r="I4247" s="10" t="str">
        <f>HYPERLINK("http://twitter.com/download/android","Twitter for Android")</f>
        <v>Twitter for Android</v>
      </c>
      <c r="J4247" s="2">
        <v>164</v>
      </c>
      <c r="K4247" s="2">
        <v>618</v>
      </c>
      <c r="L4247" s="2">
        <v>0</v>
      </c>
      <c r="M4247" s="2"/>
      <c r="N4247" s="8">
        <v>41219.36583333333</v>
      </c>
      <c r="O4247" s="4" t="s">
        <v>34</v>
      </c>
      <c r="P4247" s="3" t="s">
        <v>5561</v>
      </c>
      <c r="Q4247" s="10" t="s">
        <v>5560</v>
      </c>
      <c r="R4247" s="4"/>
      <c r="S4247" s="9" t="str">
        <f>HYPERLINK("https://pbs.twimg.com/profile_images/953167519052857344/jqHZd26g.jpg","View")</f>
        <v>View</v>
      </c>
    </row>
    <row r="4248" spans="1:19" ht="30">
      <c r="A4248" s="8">
        <v>43341.397951388892</v>
      </c>
      <c r="B4248" s="11" t="str">
        <f>HYPERLINK("https://twitter.com/yjcagency","@yjcagency")</f>
        <v>@yjcagency</v>
      </c>
      <c r="C4248" s="6" t="s">
        <v>3511</v>
      </c>
      <c r="D4248" s="5" t="s">
        <v>5594</v>
      </c>
      <c r="E4248" s="9" t="str">
        <f>HYPERLINK("https://twitter.com/yjcagency/status/1034667725577183237","1034667725577183237")</f>
        <v>1034667725577183237</v>
      </c>
      <c r="F4248" s="10" t="s">
        <v>5593</v>
      </c>
      <c r="G4248" s="10" t="s">
        <v>5592</v>
      </c>
      <c r="H4248" s="4"/>
      <c r="I4248" s="10" t="str">
        <f>HYPERLINK("http://twitter.com/download/android","Twitter for Android")</f>
        <v>Twitter for Android</v>
      </c>
      <c r="J4248" s="2">
        <v>10728</v>
      </c>
      <c r="K4248" s="2">
        <v>3</v>
      </c>
      <c r="L4248" s="2">
        <v>55</v>
      </c>
      <c r="M4248" s="2"/>
      <c r="N4248" s="8">
        <v>42691.645821759259</v>
      </c>
      <c r="O4248" s="4" t="s">
        <v>3508</v>
      </c>
      <c r="P4248" s="3" t="s">
        <v>3507</v>
      </c>
      <c r="Q4248" s="10" t="s">
        <v>3506</v>
      </c>
      <c r="R4248" s="4"/>
      <c r="S4248" s="9" t="str">
        <f>HYPERLINK("https://pbs.twimg.com/profile_images/1016530264250568704/lVYN9g8h.jpg","View")</f>
        <v>View</v>
      </c>
    </row>
    <row r="4249" spans="1:19" ht="40">
      <c r="A4249" s="8">
        <v>43341.397534722222</v>
      </c>
      <c r="B4249" s="11" t="str">
        <f>HYPERLINK("https://twitter.com/sazandegii","@sazandegii")</f>
        <v>@sazandegii</v>
      </c>
      <c r="C4249" s="6" t="s">
        <v>4156</v>
      </c>
      <c r="D4249" s="5" t="s">
        <v>5591</v>
      </c>
      <c r="E4249" s="9" t="str">
        <f>HYPERLINK("https://twitter.com/sazandegii/status/1034667572887793665","1034667572887793665")</f>
        <v>1034667572887793665</v>
      </c>
      <c r="F4249" s="4"/>
      <c r="G4249" s="4"/>
      <c r="H4249" s="4"/>
      <c r="I4249" s="10" t="str">
        <f>HYPERLINK("http://twitter.com","Twitter Web Client")</f>
        <v>Twitter Web Client</v>
      </c>
      <c r="J4249" s="2">
        <v>762</v>
      </c>
      <c r="K4249" s="2">
        <v>74</v>
      </c>
      <c r="L4249" s="2">
        <v>14</v>
      </c>
      <c r="M4249" s="2"/>
      <c r="N4249" s="8">
        <v>43144.881296296298</v>
      </c>
      <c r="O4249" s="4" t="s">
        <v>104</v>
      </c>
      <c r="P4249" s="3" t="s">
        <v>4153</v>
      </c>
      <c r="Q4249" s="4"/>
      <c r="R4249" s="4"/>
      <c r="S4249" s="9" t="str">
        <f>HYPERLINK("https://pbs.twimg.com/profile_images/970996181366202368/iBGYCP3F.jpg","View")</f>
        <v>View</v>
      </c>
    </row>
    <row r="4250" spans="1:19" ht="40">
      <c r="A4250" s="8">
        <v>43341.396469907406</v>
      </c>
      <c r="B4250" s="11" t="str">
        <f>HYPERLINK("https://twitter.com/mohamad_mirzaee","@mohamad_mirzaee")</f>
        <v>@mohamad_mirzaee</v>
      </c>
      <c r="C4250" s="6" t="s">
        <v>1767</v>
      </c>
      <c r="D4250" s="5" t="s">
        <v>5590</v>
      </c>
      <c r="E4250" s="9" t="str">
        <f>HYPERLINK("https://twitter.com/mohamad_mirzaee/status/1034667187963920384","1034667187963920384")</f>
        <v>1034667187963920384</v>
      </c>
      <c r="F4250" s="4"/>
      <c r="G4250" s="4"/>
      <c r="H4250" s="4"/>
      <c r="I4250" s="10" t="str">
        <f>HYPERLINK("http://twitter.com","Twitter Web Client")</f>
        <v>Twitter Web Client</v>
      </c>
      <c r="J4250" s="2">
        <v>2074</v>
      </c>
      <c r="K4250" s="2">
        <v>949</v>
      </c>
      <c r="L4250" s="2">
        <v>14</v>
      </c>
      <c r="M4250" s="2"/>
      <c r="N4250" s="8">
        <v>41759.529826388891</v>
      </c>
      <c r="O4250" s="4" t="s">
        <v>1765</v>
      </c>
      <c r="P4250" s="3" t="s">
        <v>1764</v>
      </c>
      <c r="Q4250" s="4"/>
      <c r="R4250" s="4"/>
      <c r="S4250" s="9" t="str">
        <f>HYPERLINK("https://pbs.twimg.com/profile_images/923885970738548736/dNupMYO3.jpg","View")</f>
        <v>View</v>
      </c>
    </row>
    <row r="4251" spans="1:19" ht="40">
      <c r="A4251" s="8">
        <v>43341.396400462967</v>
      </c>
      <c r="B4251" s="11" t="str">
        <f>HYPERLINK("https://twitter.com/sobhanmm","@sobhanmm")</f>
        <v>@sobhanmm</v>
      </c>
      <c r="C4251" s="6" t="s">
        <v>5589</v>
      </c>
      <c r="D4251" s="5" t="s">
        <v>5588</v>
      </c>
      <c r="E4251" s="9" t="str">
        <f>HYPERLINK("https://twitter.com/sobhanmm/status/1034667163183972352","1034667163183972352")</f>
        <v>1034667163183972352</v>
      </c>
      <c r="F4251" s="4"/>
      <c r="G4251" s="10" t="s">
        <v>5587</v>
      </c>
      <c r="H4251" s="4"/>
      <c r="I4251" s="10" t="str">
        <f>HYPERLINK("http://twitter.com/download/iphone","Twitter for iPhone")</f>
        <v>Twitter for iPhone</v>
      </c>
      <c r="J4251" s="2">
        <v>117</v>
      </c>
      <c r="K4251" s="2">
        <v>134</v>
      </c>
      <c r="L4251" s="2">
        <v>0</v>
      </c>
      <c r="M4251" s="2"/>
      <c r="N4251" s="8">
        <v>41008.285682870366</v>
      </c>
      <c r="O4251" s="4" t="s">
        <v>133</v>
      </c>
      <c r="P4251" s="3" t="s">
        <v>5586</v>
      </c>
      <c r="Q4251" s="4"/>
      <c r="R4251" s="4"/>
      <c r="S4251" s="9" t="str">
        <f>HYPERLINK("https://pbs.twimg.com/profile_images/901321224323837952/dMzpjDvz.jpg","View")</f>
        <v>View</v>
      </c>
    </row>
    <row r="4252" spans="1:19" ht="30">
      <c r="A4252" s="8">
        <v>43341.39570601852</v>
      </c>
      <c r="B4252" s="11" t="str">
        <f>HYPERLINK("https://twitter.com/spiderm08230427","@spiderm08230427")</f>
        <v>@spiderm08230427</v>
      </c>
      <c r="C4252" s="6" t="s">
        <v>5585</v>
      </c>
      <c r="D4252" s="5" t="s">
        <v>5584</v>
      </c>
      <c r="E4252" s="9" t="str">
        <f>HYPERLINK("https://twitter.com/spiderm08230427/status/1034666910049349632","1034666910049349632")</f>
        <v>1034666910049349632</v>
      </c>
      <c r="F4252" s="4"/>
      <c r="G4252" s="4"/>
      <c r="H4252" s="4"/>
      <c r="I4252" s="10" t="str">
        <f>HYPERLINK("http://twitter.com/download/android","Twitter for Android")</f>
        <v>Twitter for Android</v>
      </c>
      <c r="J4252" s="2">
        <v>323</v>
      </c>
      <c r="K4252" s="2">
        <v>485</v>
      </c>
      <c r="L4252" s="2">
        <v>0</v>
      </c>
      <c r="M4252" s="2"/>
      <c r="N4252" s="8">
        <v>43265.471180555556</v>
      </c>
      <c r="O4252" s="4" t="s">
        <v>5435</v>
      </c>
      <c r="P4252" s="3" t="s">
        <v>5583</v>
      </c>
      <c r="Q4252" s="4"/>
      <c r="R4252" s="4"/>
      <c r="S4252" s="9" t="str">
        <f>HYPERLINK("https://pbs.twimg.com/profile_images/1028233865478000641/MmALpE0V.jpg","View")</f>
        <v>View</v>
      </c>
    </row>
    <row r="4253" spans="1:19" ht="30">
      <c r="A4253" s="8">
        <v>43341.395543981482</v>
      </c>
      <c r="B4253" s="11" t="str">
        <f>HYPERLINK("https://twitter.com/Hrezay","@Hrezay")</f>
        <v>@Hrezay</v>
      </c>
      <c r="C4253" s="6" t="s">
        <v>2987</v>
      </c>
      <c r="D4253" s="5" t="s">
        <v>5582</v>
      </c>
      <c r="E4253" s="9" t="str">
        <f>HYPERLINK("https://twitter.com/Hrezay/status/1034666854630010880","1034666854630010880")</f>
        <v>1034666854630010880</v>
      </c>
      <c r="F4253" s="4"/>
      <c r="G4253" s="4"/>
      <c r="H4253" s="4"/>
      <c r="I4253" s="10" t="str">
        <f>HYPERLINK("https://mobile.twitter.com","Twitter Lite")</f>
        <v>Twitter Lite</v>
      </c>
      <c r="J4253" s="2">
        <v>889</v>
      </c>
      <c r="K4253" s="2">
        <v>315</v>
      </c>
      <c r="L4253" s="2">
        <v>11</v>
      </c>
      <c r="M4253" s="2"/>
      <c r="N4253" s="8">
        <v>40654.821932870371</v>
      </c>
      <c r="O4253" s="4" t="s">
        <v>5581</v>
      </c>
      <c r="P4253" s="3" t="s">
        <v>5580</v>
      </c>
      <c r="Q4253" s="4"/>
      <c r="R4253" s="4"/>
      <c r="S4253" s="9" t="str">
        <f>HYPERLINK("https://pbs.twimg.com/profile_images/1032878522099015680/Z-pSjHcc.jpg","View")</f>
        <v>View</v>
      </c>
    </row>
    <row r="4254" spans="1:19" ht="30">
      <c r="A4254" s="8">
        <v>43341.394606481481</v>
      </c>
      <c r="B4254" s="11" t="str">
        <f>HYPERLINK("https://twitter.com/emit_somayeh","@emit_somayeh")</f>
        <v>@emit_somayeh</v>
      </c>
      <c r="C4254" s="6" t="s">
        <v>5555</v>
      </c>
      <c r="D4254" s="5" t="s">
        <v>5579</v>
      </c>
      <c r="E4254" s="9" t="str">
        <f>HYPERLINK("https://twitter.com/emit_somayeh/status/1034666512571875328","1034666512571875328")</f>
        <v>1034666512571875328</v>
      </c>
      <c r="F4254" s="4" t="s">
        <v>5578</v>
      </c>
      <c r="G4254" s="4"/>
      <c r="H4254" s="4"/>
      <c r="I4254" s="10" t="str">
        <f>HYPERLINK("http://twitter.com/download/android","Twitter for Android")</f>
        <v>Twitter for Android</v>
      </c>
      <c r="J4254" s="2">
        <v>1297</v>
      </c>
      <c r="K4254" s="2">
        <v>1053</v>
      </c>
      <c r="L4254" s="2">
        <v>3</v>
      </c>
      <c r="M4254" s="2"/>
      <c r="N4254" s="8">
        <v>43106.074999999997</v>
      </c>
      <c r="O4254" s="4" t="s">
        <v>34</v>
      </c>
      <c r="P4254" s="3" t="s">
        <v>5552</v>
      </c>
      <c r="Q4254" s="4"/>
      <c r="R4254" s="4"/>
      <c r="S4254" s="9" t="str">
        <f>HYPERLINK("https://pbs.twimg.com/profile_images/949408670504321024/nBX2ZJnE.jpg","View")</f>
        <v>View</v>
      </c>
    </row>
    <row r="4255" spans="1:19" ht="20">
      <c r="A4255" s="8">
        <v>43341.393425925926</v>
      </c>
      <c r="B4255" s="11" t="str">
        <f>HYPERLINK("https://twitter.com/NezamiAtene","@NezamiAtene")</f>
        <v>@NezamiAtene</v>
      </c>
      <c r="C4255" s="6" t="s">
        <v>5577</v>
      </c>
      <c r="D4255" s="5" t="s">
        <v>5576</v>
      </c>
      <c r="E4255" s="9" t="str">
        <f>HYPERLINK("https://twitter.com/NezamiAtene/status/1034666085973417984","1034666085973417984")</f>
        <v>1034666085973417984</v>
      </c>
      <c r="F4255" s="4"/>
      <c r="G4255" s="4"/>
      <c r="H4255" s="4"/>
      <c r="I4255" s="10" t="str">
        <f>HYPERLINK("http://twitter.com","Twitter Web Client")</f>
        <v>Twitter Web Client</v>
      </c>
      <c r="J4255" s="2">
        <v>0</v>
      </c>
      <c r="K4255" s="2">
        <v>0</v>
      </c>
      <c r="L4255" s="2">
        <v>0</v>
      </c>
      <c r="M4255" s="2"/>
      <c r="N4255" s="8">
        <v>43341.340798611112</v>
      </c>
      <c r="O4255" s="4" t="s">
        <v>34</v>
      </c>
      <c r="P4255" s="3" t="s">
        <v>5575</v>
      </c>
      <c r="Q4255" s="4"/>
      <c r="R4255" s="4"/>
      <c r="S4255" s="9" t="str">
        <f>HYPERLINK("https://pbs.twimg.com/profile_images/1034650182829395969/_Td0LvrZ.jpg","View")</f>
        <v>View</v>
      </c>
    </row>
    <row r="4256" spans="1:19" ht="30">
      <c r="A4256" s="8">
        <v>43341.391805555555</v>
      </c>
      <c r="B4256" s="11" t="str">
        <f>HYPERLINK("https://twitter.com/alitasnim2020","@alitasnim2020")</f>
        <v>@alitasnim2020</v>
      </c>
      <c r="C4256" s="6" t="s">
        <v>5574</v>
      </c>
      <c r="D4256" s="5" t="s">
        <v>5573</v>
      </c>
      <c r="E4256" s="9" t="str">
        <f>HYPERLINK("https://twitter.com/alitasnim2020/status/1034665498011754496","1034665498011754496")</f>
        <v>1034665498011754496</v>
      </c>
      <c r="F4256" s="4"/>
      <c r="G4256" s="10" t="s">
        <v>5572</v>
      </c>
      <c r="H4256" s="4"/>
      <c r="I4256" s="10" t="str">
        <f>HYPERLINK("http://twitter.com/download/android","Twitter for Android")</f>
        <v>Twitter for Android</v>
      </c>
      <c r="J4256" s="2">
        <v>3777</v>
      </c>
      <c r="K4256" s="2">
        <v>4999</v>
      </c>
      <c r="L4256" s="2">
        <v>7</v>
      </c>
      <c r="M4256" s="2"/>
      <c r="N4256" s="8">
        <v>42886.889664351853</v>
      </c>
      <c r="O4256" s="4" t="s">
        <v>190</v>
      </c>
      <c r="P4256" s="3" t="s">
        <v>5571</v>
      </c>
      <c r="Q4256" s="4"/>
      <c r="R4256" s="4"/>
      <c r="S4256" s="9" t="str">
        <f>HYPERLINK("https://pbs.twimg.com/profile_images/1002076822878617600/NyFvzD7J.jpg","View")</f>
        <v>View</v>
      </c>
    </row>
    <row r="4257" spans="1:19" ht="20">
      <c r="A4257" s="8">
        <v>43341.3909375</v>
      </c>
      <c r="B4257" s="11" t="str">
        <f>HYPERLINK("https://twitter.com/WJDsfhQmGikbS3K","@WJDsfhQmGikbS3K")</f>
        <v>@WJDsfhQmGikbS3K</v>
      </c>
      <c r="C4257" s="6" t="s">
        <v>5570</v>
      </c>
      <c r="D4257" s="5" t="s">
        <v>5569</v>
      </c>
      <c r="E4257" s="9" t="str">
        <f>HYPERLINK("https://twitter.com/WJDsfhQmGikbS3K/status/1034665183698984960","1034665183698984960")</f>
        <v>1034665183698984960</v>
      </c>
      <c r="F4257" s="4"/>
      <c r="G4257" s="4"/>
      <c r="H4257" s="4"/>
      <c r="I4257" s="10" t="str">
        <f>HYPERLINK("http://twitter.com/download/iphone","Twitter for iPhone")</f>
        <v>Twitter for iPhone</v>
      </c>
      <c r="J4257" s="2">
        <v>3</v>
      </c>
      <c r="K4257" s="2">
        <v>80</v>
      </c>
      <c r="L4257" s="2">
        <v>0</v>
      </c>
      <c r="M4257" s="2"/>
      <c r="N4257" s="8">
        <v>43303.990370370375</v>
      </c>
      <c r="O4257" s="4" t="s">
        <v>34</v>
      </c>
      <c r="P4257" s="3" t="s">
        <v>5568</v>
      </c>
      <c r="Q4257" s="4"/>
      <c r="R4257" s="4"/>
      <c r="S4257" s="9" t="str">
        <f>HYPERLINK("https://pbs.twimg.com/profile_images/1021312398223904768/YsqWni_w.jpg","View")</f>
        <v>View</v>
      </c>
    </row>
    <row r="4258" spans="1:19" ht="20">
      <c r="A4258" s="8">
        <v>43341.389456018514</v>
      </c>
      <c r="B4258" s="11" t="str">
        <f>HYPERLINK("https://twitter.com/Mahdi25783774","@Mahdi25783774")</f>
        <v>@Mahdi25783774</v>
      </c>
      <c r="C4258" s="6" t="s">
        <v>5469</v>
      </c>
      <c r="D4258" s="5" t="s">
        <v>5567</v>
      </c>
      <c r="E4258" s="9" t="str">
        <f>HYPERLINK("https://twitter.com/Mahdi25783774/status/1034664646358249473","1034664646358249473")</f>
        <v>1034664646358249473</v>
      </c>
      <c r="F4258" s="4"/>
      <c r="G4258" s="10" t="s">
        <v>5566</v>
      </c>
      <c r="H4258" s="4"/>
      <c r="I4258" s="10" t="str">
        <f>HYPERLINK("http://twitter.com/download/android","Twitter for Android")</f>
        <v>Twitter for Android</v>
      </c>
      <c r="J4258" s="2">
        <v>611</v>
      </c>
      <c r="K4258" s="2">
        <v>814</v>
      </c>
      <c r="L4258" s="2">
        <v>1</v>
      </c>
      <c r="M4258" s="2"/>
      <c r="N4258" s="8">
        <v>43233.519814814819</v>
      </c>
      <c r="O4258" s="4" t="s">
        <v>133</v>
      </c>
      <c r="P4258" s="3" t="s">
        <v>5466</v>
      </c>
      <c r="Q4258" s="4"/>
      <c r="R4258" s="4"/>
      <c r="S4258" s="9" t="str">
        <f>HYPERLINK("https://pbs.twimg.com/profile_images/1033642102679318528/4lBWskrd.jpg","View")</f>
        <v>View</v>
      </c>
    </row>
    <row r="4259" spans="1:19" ht="20">
      <c r="A4259" s="8">
        <v>43341.387962962966</v>
      </c>
      <c r="B4259" s="11" t="str">
        <f>HYPERLINK("https://twitter.com/alikalaie","@alikalaie")</f>
        <v>@alikalaie</v>
      </c>
      <c r="C4259" s="6" t="s">
        <v>2883</v>
      </c>
      <c r="D4259" s="5" t="s">
        <v>5565</v>
      </c>
      <c r="E4259" s="9" t="str">
        <f>HYPERLINK("https://twitter.com/alikalaie/status/1034664106048061440","1034664106048061440")</f>
        <v>1034664106048061440</v>
      </c>
      <c r="F4259" s="4"/>
      <c r="G4259" s="4"/>
      <c r="H4259" s="4"/>
      <c r="I4259" s="10" t="str">
        <f>HYPERLINK("http://twitter.com/download/iphone","Twitter for iPhone")</f>
        <v>Twitter for iPhone</v>
      </c>
      <c r="J4259" s="2">
        <v>30</v>
      </c>
      <c r="K4259" s="2">
        <v>136</v>
      </c>
      <c r="L4259" s="2">
        <v>0</v>
      </c>
      <c r="M4259" s="2"/>
      <c r="N4259" s="8">
        <v>41655.696087962962</v>
      </c>
      <c r="O4259" s="4" t="s">
        <v>34</v>
      </c>
      <c r="P4259" s="3" t="s">
        <v>5564</v>
      </c>
      <c r="Q4259" s="4"/>
      <c r="R4259" s="4"/>
      <c r="S4259" s="9" t="str">
        <f>HYPERLINK("https://pbs.twimg.com/profile_images/990439968777613313/F0g1fewL.jpg","View")</f>
        <v>View</v>
      </c>
    </row>
    <row r="4260" spans="1:19" ht="30">
      <c r="A4260" s="8">
        <v>43341.387418981481</v>
      </c>
      <c r="B4260" s="11" t="str">
        <f>HYPERLINK("https://twitter.com/ali_peyravi","@ali_peyravi")</f>
        <v>@ali_peyravi</v>
      </c>
      <c r="C4260" s="6" t="s">
        <v>5563</v>
      </c>
      <c r="D4260" s="5" t="s">
        <v>5562</v>
      </c>
      <c r="E4260" s="9" t="str">
        <f>HYPERLINK("https://twitter.com/ali_peyravi/status/1034663908110467072","1034663908110467072")</f>
        <v>1034663908110467072</v>
      </c>
      <c r="F4260" s="4"/>
      <c r="G4260" s="4"/>
      <c r="H4260" s="4"/>
      <c r="I4260" s="10" t="str">
        <f>HYPERLINK("http://twitter.com/download/android","Twitter for Android")</f>
        <v>Twitter for Android</v>
      </c>
      <c r="J4260" s="2">
        <v>164</v>
      </c>
      <c r="K4260" s="2">
        <v>612</v>
      </c>
      <c r="L4260" s="2">
        <v>0</v>
      </c>
      <c r="M4260" s="2"/>
      <c r="N4260" s="8">
        <v>41219.36583333333</v>
      </c>
      <c r="O4260" s="4" t="s">
        <v>34</v>
      </c>
      <c r="P4260" s="3" t="s">
        <v>5561</v>
      </c>
      <c r="Q4260" s="10" t="s">
        <v>5560</v>
      </c>
      <c r="R4260" s="4"/>
      <c r="S4260" s="9" t="str">
        <f>HYPERLINK("https://pbs.twimg.com/profile_images/953167519052857344/jqHZd26g.jpg","View")</f>
        <v>View</v>
      </c>
    </row>
    <row r="4261" spans="1:19" ht="30">
      <c r="A4261" s="8">
        <v>43341.384513888886</v>
      </c>
      <c r="B4261" s="11" t="str">
        <f>HYPERLINK("https://twitter.com/Mohajerbitab","@Mohajerbitab")</f>
        <v>@Mohajerbitab</v>
      </c>
      <c r="C4261" s="6" t="s">
        <v>5559</v>
      </c>
      <c r="D4261" s="5" t="s">
        <v>5558</v>
      </c>
      <c r="E4261" s="9" t="str">
        <f>HYPERLINK("https://twitter.com/Mohajerbitab/status/1034662856808120323","1034662856808120323")</f>
        <v>1034662856808120323</v>
      </c>
      <c r="F4261" s="4"/>
      <c r="G4261" s="4"/>
      <c r="H4261" s="4"/>
      <c r="I4261" s="10" t="str">
        <f>HYPERLINK("http://twitter.com","Twitter Web Client")</f>
        <v>Twitter Web Client</v>
      </c>
      <c r="J4261" s="2">
        <v>117</v>
      </c>
      <c r="K4261" s="2">
        <v>153</v>
      </c>
      <c r="L4261" s="2">
        <v>1</v>
      </c>
      <c r="M4261" s="2"/>
      <c r="N4261" s="8">
        <v>43121.590682870374</v>
      </c>
      <c r="O4261" s="4" t="s">
        <v>17</v>
      </c>
      <c r="P4261" s="3" t="s">
        <v>5557</v>
      </c>
      <c r="Q4261" s="4"/>
      <c r="R4261" s="4"/>
      <c r="S4261" s="9" t="str">
        <f>HYPERLINK("https://pbs.twimg.com/profile_images/955038416697200645/y-gtAR_w.jpg","View")</f>
        <v>View</v>
      </c>
    </row>
    <row r="4262" spans="1:19" ht="40">
      <c r="A4262" s="8">
        <v>43341.384212962963</v>
      </c>
      <c r="B4262" s="11" t="str">
        <f>HYPERLINK("https://twitter.com/Mj_ebrahimi65","@Mj_ebrahimi65")</f>
        <v>@Mj_ebrahimi65</v>
      </c>
      <c r="C4262" s="6" t="s">
        <v>514</v>
      </c>
      <c r="D4262" s="5" t="s">
        <v>5556</v>
      </c>
      <c r="E4262" s="9" t="str">
        <f>HYPERLINK("https://twitter.com/Mj_ebrahimi65/status/1034662744316887040","1034662744316887040")</f>
        <v>1034662744316887040</v>
      </c>
      <c r="F4262" s="4"/>
      <c r="G4262" s="4"/>
      <c r="H4262" s="4"/>
      <c r="I4262" s="10" t="str">
        <f>HYPERLINK("http://twitter.com/download/android","Twitter for Android")</f>
        <v>Twitter for Android</v>
      </c>
      <c r="J4262" s="2">
        <v>90</v>
      </c>
      <c r="K4262" s="2">
        <v>210</v>
      </c>
      <c r="L4262" s="2">
        <v>0</v>
      </c>
      <c r="M4262" s="2"/>
      <c r="N4262" s="8">
        <v>42893.80195601852</v>
      </c>
      <c r="O4262" s="4" t="s">
        <v>34</v>
      </c>
      <c r="P4262" s="3" t="s">
        <v>512</v>
      </c>
      <c r="Q4262" s="4"/>
      <c r="R4262" s="4"/>
      <c r="S4262" s="9" t="str">
        <f>HYPERLINK("https://pbs.twimg.com/profile_images/999715873706381312/w4RxcYxu.jpg","View")</f>
        <v>View</v>
      </c>
    </row>
    <row r="4263" spans="1:19" ht="30">
      <c r="A4263" s="8">
        <v>43341.383773148147</v>
      </c>
      <c r="B4263" s="11" t="str">
        <f>HYPERLINK("https://twitter.com/emit_somayeh","@emit_somayeh")</f>
        <v>@emit_somayeh</v>
      </c>
      <c r="C4263" s="6" t="s">
        <v>5555</v>
      </c>
      <c r="D4263" s="5" t="s">
        <v>5554</v>
      </c>
      <c r="E4263" s="9" t="str">
        <f>HYPERLINK("https://twitter.com/emit_somayeh/status/1034662586439151616","1034662586439151616")</f>
        <v>1034662586439151616</v>
      </c>
      <c r="F4263" s="4"/>
      <c r="G4263" s="10" t="s">
        <v>5553</v>
      </c>
      <c r="H4263" s="4"/>
      <c r="I4263" s="10" t="str">
        <f>HYPERLINK("http://twitter.com/download/android","Twitter for Android")</f>
        <v>Twitter for Android</v>
      </c>
      <c r="J4263" s="2">
        <v>1296</v>
      </c>
      <c r="K4263" s="2">
        <v>1053</v>
      </c>
      <c r="L4263" s="2">
        <v>3</v>
      </c>
      <c r="M4263" s="2"/>
      <c r="N4263" s="8">
        <v>43106.074999999997</v>
      </c>
      <c r="O4263" s="4" t="s">
        <v>34</v>
      </c>
      <c r="P4263" s="3" t="s">
        <v>5552</v>
      </c>
      <c r="Q4263" s="4"/>
      <c r="R4263" s="4"/>
      <c r="S4263" s="9" t="str">
        <f>HYPERLINK("https://pbs.twimg.com/profile_images/949408670504321024/nBX2ZJnE.jpg","View")</f>
        <v>View</v>
      </c>
    </row>
    <row r="4264" spans="1:19" ht="40">
      <c r="A4264" s="8">
        <v>43341.381631944445</v>
      </c>
      <c r="B4264" s="11" t="str">
        <f>HYPERLINK("https://twitter.com/aliolfatpour","@aliolfatpour")</f>
        <v>@aliolfatpour</v>
      </c>
      <c r="C4264" s="6" t="s">
        <v>5551</v>
      </c>
      <c r="D4264" s="5" t="s">
        <v>5550</v>
      </c>
      <c r="E4264" s="9" t="str">
        <f>HYPERLINK("https://twitter.com/aliolfatpour/status/1034661809725300741","1034661809725300741")</f>
        <v>1034661809725300741</v>
      </c>
      <c r="F4264" s="4"/>
      <c r="G4264" s="10" t="s">
        <v>5549</v>
      </c>
      <c r="H4264" s="4"/>
      <c r="I4264" s="10" t="str">
        <f>HYPERLINK("http://twitter.com/download/android","Twitter for Android")</f>
        <v>Twitter for Android</v>
      </c>
      <c r="J4264" s="2">
        <v>6930</v>
      </c>
      <c r="K4264" s="2">
        <v>4690</v>
      </c>
      <c r="L4264" s="2">
        <v>32</v>
      </c>
      <c r="M4264" s="2"/>
      <c r="N4264" s="8">
        <v>42855.069374999999</v>
      </c>
      <c r="O4264" s="4" t="s">
        <v>682</v>
      </c>
      <c r="P4264" s="3" t="s">
        <v>5548</v>
      </c>
      <c r="Q4264" s="4"/>
      <c r="R4264" s="4"/>
      <c r="S4264" s="9" t="str">
        <f>HYPERLINK("https://pbs.twimg.com/profile_images/952534340507983872/d6CEIZpC.jpg","View")</f>
        <v>View</v>
      </c>
    </row>
    <row r="4265" spans="1:19" ht="40">
      <c r="A4265" s="8">
        <v>43341.380173611113</v>
      </c>
      <c r="B4265" s="11" t="str">
        <f>HYPERLINK("https://twitter.com/hojat_mortaji","@hojat_mortaji")</f>
        <v>@hojat_mortaji</v>
      </c>
      <c r="C4265" s="6" t="s">
        <v>5547</v>
      </c>
      <c r="D4265" s="5" t="s">
        <v>5546</v>
      </c>
      <c r="E4265" s="9" t="str">
        <f>HYPERLINK("https://twitter.com/hojat_mortaji/status/1034661281398177793","1034661281398177793")</f>
        <v>1034661281398177793</v>
      </c>
      <c r="F4265" s="4"/>
      <c r="G4265" s="10" t="s">
        <v>5545</v>
      </c>
      <c r="H4265" s="4"/>
      <c r="I4265" s="10" t="str">
        <f>HYPERLINK("https://mobile.twitter.com","Twitter Lite")</f>
        <v>Twitter Lite</v>
      </c>
      <c r="J4265" s="2">
        <v>490</v>
      </c>
      <c r="K4265" s="2">
        <v>1431</v>
      </c>
      <c r="L4265" s="2">
        <v>9</v>
      </c>
      <c r="M4265" s="2"/>
      <c r="N4265" s="8">
        <v>42995.431273148148</v>
      </c>
      <c r="O4265" s="4"/>
      <c r="P4265" s="3" t="s">
        <v>5544</v>
      </c>
      <c r="Q4265" s="4"/>
      <c r="R4265" s="4"/>
      <c r="S4265" s="9" t="str">
        <f>HYPERLINK("https://pbs.twimg.com/profile_images/909726781187424257/quSmnJsQ.jpg","View")</f>
        <v>View</v>
      </c>
    </row>
    <row r="4266" spans="1:19" ht="40">
      <c r="A4266" s="8">
        <v>43341.377858796295</v>
      </c>
      <c r="B4266" s="11" t="str">
        <f>HYPERLINK("https://twitter.com/masrouralireza","@masrouralireza")</f>
        <v>@masrouralireza</v>
      </c>
      <c r="C4266" s="6" t="s">
        <v>5543</v>
      </c>
      <c r="D4266" s="5" t="s">
        <v>5542</v>
      </c>
      <c r="E4266" s="9" t="str">
        <f>HYPERLINK("https://twitter.com/masrouralireza/status/1034660445637013504","1034660445637013504")</f>
        <v>1034660445637013504</v>
      </c>
      <c r="F4266" s="10" t="s">
        <v>5541</v>
      </c>
      <c r="G4266" s="4"/>
      <c r="H4266" s="4"/>
      <c r="I4266" s="10" t="str">
        <f>HYPERLINK("http://twitter.com/download/iphone","Twitter for iPhone")</f>
        <v>Twitter for iPhone</v>
      </c>
      <c r="J4266" s="2">
        <v>1092</v>
      </c>
      <c r="K4266" s="2">
        <v>1076</v>
      </c>
      <c r="L4266" s="2">
        <v>8</v>
      </c>
      <c r="M4266" s="2"/>
      <c r="N4266" s="8">
        <v>43103.558159722219</v>
      </c>
      <c r="O4266" s="4" t="s">
        <v>34</v>
      </c>
      <c r="P4266" s="3" t="s">
        <v>5540</v>
      </c>
      <c r="Q4266" s="10" t="s">
        <v>5539</v>
      </c>
      <c r="R4266" s="4"/>
      <c r="S4266" s="9" t="str">
        <f>HYPERLINK("https://pbs.twimg.com/profile_images/1033637084827996160/QS56Eei7.jpg","View")</f>
        <v>View</v>
      </c>
    </row>
    <row r="4267" spans="1:19" ht="12.5">
      <c r="A4267" s="8">
        <v>43341.377511574072</v>
      </c>
      <c r="B4267" s="11" t="str">
        <f>HYPERLINK("https://twitter.com/hm_omran","@hm_omran")</f>
        <v>@hm_omran</v>
      </c>
      <c r="C4267" s="6" t="s">
        <v>5538</v>
      </c>
      <c r="D4267" s="5" t="s">
        <v>5537</v>
      </c>
      <c r="E4267" s="9" t="str">
        <f>HYPERLINK("https://twitter.com/hm_omran/status/1034660318411145222","1034660318411145222")</f>
        <v>1034660318411145222</v>
      </c>
      <c r="F4267" s="4"/>
      <c r="G4267" s="4"/>
      <c r="H4267" s="4"/>
      <c r="I4267" s="10" t="str">
        <f>HYPERLINK("http://twitter.com/download/iphone","Twitter for iPhone")</f>
        <v>Twitter for iPhone</v>
      </c>
      <c r="J4267" s="2">
        <v>56</v>
      </c>
      <c r="K4267" s="2">
        <v>52</v>
      </c>
      <c r="L4267" s="2">
        <v>0</v>
      </c>
      <c r="M4267" s="2"/>
      <c r="N4267" s="8">
        <v>42900.901134259257</v>
      </c>
      <c r="O4267" s="4" t="s">
        <v>34</v>
      </c>
      <c r="P4267" s="3" t="s">
        <v>5536</v>
      </c>
      <c r="Q4267" s="4"/>
      <c r="R4267" s="4"/>
      <c r="S4267" s="9" t="str">
        <f>HYPERLINK("https://pbs.twimg.com/profile_images/875039651282776064/ZTt-qBMD.jpg","View")</f>
        <v>View</v>
      </c>
    </row>
    <row r="4268" spans="1:19" ht="20">
      <c r="A4268" s="8">
        <v>43341.37572916667</v>
      </c>
      <c r="B4268" s="11" t="str">
        <f>HYPERLINK("https://twitter.com/Trendfa","@Trendfa")</f>
        <v>@Trendfa</v>
      </c>
      <c r="C4268" s="6" t="s">
        <v>1847</v>
      </c>
      <c r="D4268" s="5" t="s">
        <v>5535</v>
      </c>
      <c r="E4268" s="9" t="str">
        <f>HYPERLINK("https://twitter.com/Trendfa/status/1034659671779360769","1034659671779360769")</f>
        <v>1034659671779360769</v>
      </c>
      <c r="F4268" s="4"/>
      <c r="G4268" s="4"/>
      <c r="H4268" s="4"/>
      <c r="I4268" s="10" t="str">
        <f>HYPERLINK("http://trendfa.mostafar.com","TrendFa")</f>
        <v>TrendFa</v>
      </c>
      <c r="J4268" s="2">
        <v>1255</v>
      </c>
      <c r="K4268" s="2">
        <v>637</v>
      </c>
      <c r="L4268" s="2">
        <v>9</v>
      </c>
      <c r="M4268" s="2"/>
      <c r="N4268" s="8">
        <v>42854.236793981487</v>
      </c>
      <c r="O4268" s="4" t="s">
        <v>1770</v>
      </c>
      <c r="P4268" s="3" t="s">
        <v>1845</v>
      </c>
      <c r="Q4268" s="4"/>
      <c r="R4268" s="4"/>
      <c r="S4268" s="9" t="str">
        <f>HYPERLINK("https://pbs.twimg.com/profile_images/861706286957682689/0zDr9duE.jpg","View")</f>
        <v>View</v>
      </c>
    </row>
    <row r="4269" spans="1:19" ht="40">
      <c r="A4269" s="8">
        <v>43341.374456018515</v>
      </c>
      <c r="B4269" s="11" t="str">
        <f>HYPERLINK("https://twitter.com/hermit_rex","@hermit_rex")</f>
        <v>@hermit_rex</v>
      </c>
      <c r="C4269" s="6" t="s">
        <v>5534</v>
      </c>
      <c r="D4269" s="5" t="s">
        <v>5533</v>
      </c>
      <c r="E4269" s="9" t="str">
        <f>HYPERLINK("https://twitter.com/hermit_rex/status/1034659211324612608","1034659211324612608")</f>
        <v>1034659211324612608</v>
      </c>
      <c r="F4269" s="4"/>
      <c r="G4269" s="10" t="s">
        <v>5532</v>
      </c>
      <c r="H4269" s="4"/>
      <c r="I4269" s="10" t="str">
        <f>HYPERLINK("http://twitter.com/download/android","Twitter for Android")</f>
        <v>Twitter for Android</v>
      </c>
      <c r="J4269" s="2">
        <v>72</v>
      </c>
      <c r="K4269" s="2">
        <v>60</v>
      </c>
      <c r="L4269" s="2">
        <v>0</v>
      </c>
      <c r="M4269" s="2"/>
      <c r="N4269" s="8">
        <v>43295.946493055555</v>
      </c>
      <c r="O4269" s="4" t="s">
        <v>5531</v>
      </c>
      <c r="P4269" s="3" t="s">
        <v>5530</v>
      </c>
      <c r="Q4269" s="4"/>
      <c r="R4269" s="4"/>
      <c r="S4269" s="9" t="str">
        <f>HYPERLINK("https://pbs.twimg.com/profile_images/1019859622872670208/1MPPQCbF.jpg","View")</f>
        <v>View</v>
      </c>
    </row>
    <row r="4270" spans="1:19" ht="20">
      <c r="A4270" s="8">
        <v>43341.374143518522</v>
      </c>
      <c r="B4270" s="11" t="str">
        <f>HYPERLINK("https://twitter.com/_Amin_Sdt","@_Amin_Sdt")</f>
        <v>@_Amin_Sdt</v>
      </c>
      <c r="C4270" s="6" t="s">
        <v>5529</v>
      </c>
      <c r="D4270" s="5" t="s">
        <v>5528</v>
      </c>
      <c r="E4270" s="9" t="str">
        <f>HYPERLINK("https://twitter.com/_Amin_Sdt/status/1034659095784173573","1034659095784173573")</f>
        <v>1034659095784173573</v>
      </c>
      <c r="F4270" s="4"/>
      <c r="G4270" s="4"/>
      <c r="H4270" s="4"/>
      <c r="I4270" s="10" t="str">
        <f>HYPERLINK("http://twitter.com/download/android","Twitter for Android")</f>
        <v>Twitter for Android</v>
      </c>
      <c r="J4270" s="2">
        <v>10</v>
      </c>
      <c r="K4270" s="2">
        <v>36</v>
      </c>
      <c r="L4270" s="2">
        <v>0</v>
      </c>
      <c r="M4270" s="2"/>
      <c r="N4270" s="8">
        <v>42853.999421296292</v>
      </c>
      <c r="O4270" s="4" t="s">
        <v>34</v>
      </c>
      <c r="P4270" s="3"/>
      <c r="Q4270" s="4"/>
      <c r="R4270" s="4"/>
      <c r="S4270" s="9" t="str">
        <f>HYPERLINK("https://pbs.twimg.com/profile_images/898266077456736260/_ngij4bB.jpg","View")</f>
        <v>View</v>
      </c>
    </row>
    <row r="4271" spans="1:19" ht="20">
      <c r="A4271" s="8">
        <v>43341.373842592591</v>
      </c>
      <c r="B4271" s="11" t="str">
        <f>HYPERLINK("https://twitter.com/karimi309","@karimi309")</f>
        <v>@karimi309</v>
      </c>
      <c r="C4271" s="6" t="s">
        <v>5527</v>
      </c>
      <c r="D4271" s="5" t="s">
        <v>5526</v>
      </c>
      <c r="E4271" s="9" t="str">
        <f>HYPERLINK("https://twitter.com/karimi309/status/1034658987223003136","1034658987223003136")</f>
        <v>1034658987223003136</v>
      </c>
      <c r="F4271" s="4"/>
      <c r="G4271" s="4"/>
      <c r="H4271" s="4"/>
      <c r="I4271" s="10" t="str">
        <f>HYPERLINK("http://twitter.com/download/android","Twitter for Android")</f>
        <v>Twitter for Android</v>
      </c>
      <c r="J4271" s="2">
        <v>1014</v>
      </c>
      <c r="K4271" s="2">
        <v>885</v>
      </c>
      <c r="L4271" s="2">
        <v>1</v>
      </c>
      <c r="M4271" s="2"/>
      <c r="N4271" s="8">
        <v>43111.408750000002</v>
      </c>
      <c r="O4271" s="4" t="s">
        <v>17</v>
      </c>
      <c r="P4271" s="3" t="s">
        <v>5525</v>
      </c>
      <c r="Q4271" s="4"/>
      <c r="R4271" s="4"/>
      <c r="S4271" s="9" t="str">
        <f>HYPERLINK("https://pbs.twimg.com/profile_images/985076498821500928/aLGZdbvJ.jpg","View")</f>
        <v>View</v>
      </c>
    </row>
    <row r="4272" spans="1:19" ht="40">
      <c r="A4272" s="8">
        <v>43341.373020833329</v>
      </c>
      <c r="B4272" s="11" t="str">
        <f>HYPERLINK("https://twitter.com/ir_Dopamine","@ir_Dopamine")</f>
        <v>@ir_Dopamine</v>
      </c>
      <c r="C4272" s="6" t="s">
        <v>5524</v>
      </c>
      <c r="D4272" s="5" t="s">
        <v>5523</v>
      </c>
      <c r="E4272" s="9" t="str">
        <f>HYPERLINK("https://twitter.com/ir_Dopamine/status/1034658689255395328","1034658689255395328")</f>
        <v>1034658689255395328</v>
      </c>
      <c r="F4272" s="4"/>
      <c r="G4272" s="4"/>
      <c r="H4272" s="4"/>
      <c r="I4272" s="10" t="str">
        <f>HYPERLINK("http://twitter.com","Twitter Web Client")</f>
        <v>Twitter Web Client</v>
      </c>
      <c r="J4272" s="2">
        <v>15</v>
      </c>
      <c r="K4272" s="2">
        <v>97</v>
      </c>
      <c r="L4272" s="2">
        <v>0</v>
      </c>
      <c r="M4272" s="2"/>
      <c r="N4272" s="8">
        <v>42906.573379629626</v>
      </c>
      <c r="O4272" s="4" t="s">
        <v>34</v>
      </c>
      <c r="P4272" s="3"/>
      <c r="Q4272" s="4"/>
      <c r="R4272" s="4"/>
      <c r="S4272" s="9" t="str">
        <f>HYPERLINK("https://pbs.twimg.com/profile_images/890561407619563520/ZsAZ_vd8.jpg","View")</f>
        <v>View</v>
      </c>
    </row>
    <row r="4273" spans="1:19" ht="12.5">
      <c r="A4273" s="8">
        <v>43341.372442129628</v>
      </c>
      <c r="B4273" s="11" t="str">
        <f>HYPERLINK("https://twitter.com/Hasanjuventin0","@Hasanjuventin0")</f>
        <v>@Hasanjuventin0</v>
      </c>
      <c r="C4273" s="6" t="s">
        <v>5522</v>
      </c>
      <c r="D4273" s="5" t="s">
        <v>5521</v>
      </c>
      <c r="E4273" s="9" t="str">
        <f>HYPERLINK("https://twitter.com/Hasanjuventin0/status/1034658482136350720","1034658482136350720")</f>
        <v>1034658482136350720</v>
      </c>
      <c r="F4273" s="4"/>
      <c r="G4273" s="10" t="s">
        <v>5520</v>
      </c>
      <c r="H4273" s="4"/>
      <c r="I4273" s="10" t="str">
        <f>HYPERLINK("http://twitter.com","Twitter Web Client")</f>
        <v>Twitter Web Client</v>
      </c>
      <c r="J4273" s="2">
        <v>906</v>
      </c>
      <c r="K4273" s="2">
        <v>343</v>
      </c>
      <c r="L4273" s="2">
        <v>7</v>
      </c>
      <c r="M4273" s="2"/>
      <c r="N4273" s="8">
        <v>40548.643587962964</v>
      </c>
      <c r="O4273" s="4" t="s">
        <v>5519</v>
      </c>
      <c r="P4273" s="3" t="s">
        <v>5518</v>
      </c>
      <c r="Q4273" s="10" t="s">
        <v>5517</v>
      </c>
      <c r="R4273" s="4"/>
      <c r="S4273" s="9" t="str">
        <f>HYPERLINK("https://pbs.twimg.com/profile_images/1031613510378237953/lLuhi0CJ.jpg","View")</f>
        <v>View</v>
      </c>
    </row>
    <row r="4274" spans="1:19" ht="30">
      <c r="A4274" s="8">
        <v>43341.369803240741</v>
      </c>
      <c r="B4274" s="11" t="str">
        <f>HYPERLINK("https://twitter.com/mmoeeni","@mmoeeni")</f>
        <v>@mmoeeni</v>
      </c>
      <c r="C4274" s="6" t="s">
        <v>5516</v>
      </c>
      <c r="D4274" s="5" t="s">
        <v>5515</v>
      </c>
      <c r="E4274" s="9" t="str">
        <f>HYPERLINK("https://twitter.com/mmoeeni/status/1034657523444281344","1034657523444281344")</f>
        <v>1034657523444281344</v>
      </c>
      <c r="F4274" s="10" t="s">
        <v>5514</v>
      </c>
      <c r="G4274" s="4"/>
      <c r="H4274" s="4"/>
      <c r="I4274" s="10" t="str">
        <f>HYPERLINK("http://twitter.com","Twitter Web Client")</f>
        <v>Twitter Web Client</v>
      </c>
      <c r="J4274" s="2">
        <v>6362</v>
      </c>
      <c r="K4274" s="2">
        <v>400</v>
      </c>
      <c r="L4274" s="2">
        <v>79</v>
      </c>
      <c r="M4274" s="2"/>
      <c r="N4274" s="8">
        <v>40166.718182870369</v>
      </c>
      <c r="O4274" s="4" t="s">
        <v>5513</v>
      </c>
      <c r="P4274" s="3" t="s">
        <v>5512</v>
      </c>
      <c r="Q4274" s="10" t="s">
        <v>5511</v>
      </c>
      <c r="R4274" s="4"/>
      <c r="S4274" s="9" t="str">
        <f>HYPERLINK("https://pbs.twimg.com/profile_images/943019308430475264/nyznB58g.jpg","View")</f>
        <v>View</v>
      </c>
    </row>
    <row r="4275" spans="1:19" ht="40">
      <c r="A4275" s="8">
        <v>43341.369421296295</v>
      </c>
      <c r="B4275" s="11" t="str">
        <f>HYPERLINK("https://twitter.com/yaghma_fashkham","@yaghma_fashkham")</f>
        <v>@yaghma_fashkham</v>
      </c>
      <c r="C4275" s="6" t="s">
        <v>1981</v>
      </c>
      <c r="D4275" s="5" t="s">
        <v>5510</v>
      </c>
      <c r="E4275" s="9" t="str">
        <f>HYPERLINK("https://twitter.com/yaghma_fashkham/status/1034657384696885249","1034657384696885249")</f>
        <v>1034657384696885249</v>
      </c>
      <c r="F4275" s="4"/>
      <c r="G4275" s="4"/>
      <c r="H4275" s="4"/>
      <c r="I4275" s="10" t="str">
        <f>HYPERLINK("http://twitter.com/download/android","Twitter for Android")</f>
        <v>Twitter for Android</v>
      </c>
      <c r="J4275" s="2">
        <v>2801</v>
      </c>
      <c r="K4275" s="2">
        <v>193</v>
      </c>
      <c r="L4275" s="2">
        <v>19</v>
      </c>
      <c r="M4275" s="2"/>
      <c r="N4275" s="8">
        <v>43179.734803240739</v>
      </c>
      <c r="O4275" s="4" t="s">
        <v>34</v>
      </c>
      <c r="P4275" s="3" t="s">
        <v>1979</v>
      </c>
      <c r="Q4275" s="4"/>
      <c r="R4275" s="4"/>
      <c r="S4275" s="9" t="str">
        <f>HYPERLINK("https://pbs.twimg.com/profile_images/976099342233817088/REHFW4Jv.jpg","View")</f>
        <v>View</v>
      </c>
    </row>
    <row r="4276" spans="1:19" ht="30">
      <c r="A4276" s="8">
        <v>43341.36918981481</v>
      </c>
      <c r="B4276" s="11" t="str">
        <f>HYPERLINK("https://twitter.com/amirsezar4","@amirsezar4")</f>
        <v>@amirsezar4</v>
      </c>
      <c r="C4276" s="6" t="s">
        <v>5509</v>
      </c>
      <c r="D4276" s="5" t="s">
        <v>5508</v>
      </c>
      <c r="E4276" s="9" t="str">
        <f>HYPERLINK("https://twitter.com/amirsezar4/status/1034657303872593920","1034657303872593920")</f>
        <v>1034657303872593920</v>
      </c>
      <c r="F4276" s="4"/>
      <c r="G4276" s="4"/>
      <c r="H4276" s="4"/>
      <c r="I4276" s="10" t="str">
        <f>HYPERLINK("http://twitter.com/download/iphone","Twitter for iPhone")</f>
        <v>Twitter for iPhone</v>
      </c>
      <c r="J4276" s="2">
        <v>1</v>
      </c>
      <c r="K4276" s="2">
        <v>41</v>
      </c>
      <c r="L4276" s="2">
        <v>0</v>
      </c>
      <c r="M4276" s="2"/>
      <c r="N4276" s="8">
        <v>42844.851689814815</v>
      </c>
      <c r="O4276" s="4" t="s">
        <v>5507</v>
      </c>
      <c r="P4276" s="3" t="s">
        <v>1415</v>
      </c>
      <c r="Q4276" s="4"/>
      <c r="R4276" s="4"/>
      <c r="S4276" s="9" t="str">
        <f>HYPERLINK("https://pbs.twimg.com/profile_images/861929083697057792/PQpwzCdU.jpg","View")</f>
        <v>View</v>
      </c>
    </row>
    <row r="4277" spans="1:19" ht="40">
      <c r="A4277" s="8">
        <v>43341.364178240736</v>
      </c>
      <c r="B4277" s="11" t="str">
        <f>HYPERLINK("https://twitter.com/OMIDISM","@OMIDISM")</f>
        <v>@OMIDISM</v>
      </c>
      <c r="C4277" s="6" t="s">
        <v>5506</v>
      </c>
      <c r="D4277" s="5" t="s">
        <v>5505</v>
      </c>
      <c r="E4277" s="9" t="str">
        <f>HYPERLINK("https://twitter.com/OMIDISM/status/1034655483955752960","1034655483955752960")</f>
        <v>1034655483955752960</v>
      </c>
      <c r="F4277" s="4"/>
      <c r="G4277" s="4"/>
      <c r="H4277" s="4"/>
      <c r="I4277" s="10" t="str">
        <f>HYPERLINK("http://twitter.com/download/iphone","Twitter for iPhone")</f>
        <v>Twitter for iPhone</v>
      </c>
      <c r="J4277" s="2">
        <v>83</v>
      </c>
      <c r="K4277" s="2">
        <v>216</v>
      </c>
      <c r="L4277" s="2">
        <v>0</v>
      </c>
      <c r="M4277" s="2"/>
      <c r="N4277" s="8">
        <v>40847.851574074077</v>
      </c>
      <c r="O4277" s="4" t="s">
        <v>104</v>
      </c>
      <c r="P4277" s="3" t="s">
        <v>5504</v>
      </c>
      <c r="Q4277" s="4"/>
      <c r="R4277" s="4"/>
      <c r="S4277" s="9" t="str">
        <f>HYPERLINK("https://pbs.twimg.com/profile_images/619872931426889729/0es-an5j.jpg","View")</f>
        <v>View</v>
      </c>
    </row>
    <row r="4278" spans="1:19" ht="40">
      <c r="A4278" s="8">
        <v>43341.362650462965</v>
      </c>
      <c r="B4278" s="11" t="str">
        <f>HYPERLINK("https://twitter.com/roquentinan","@roquentinan")</f>
        <v>@roquentinan</v>
      </c>
      <c r="C4278" s="6" t="s">
        <v>5503</v>
      </c>
      <c r="D4278" s="5" t="s">
        <v>5502</v>
      </c>
      <c r="E4278" s="9" t="str">
        <f>HYPERLINK("https://twitter.com/roquentinan/status/1034654930643152897","1034654930643152897")</f>
        <v>1034654930643152897</v>
      </c>
      <c r="F4278" s="4"/>
      <c r="G4278" s="4"/>
      <c r="H4278" s="4"/>
      <c r="I4278" s="10" t="str">
        <f>HYPERLINK("http://twitter.com/download/iphone","Twitter for iPhone")</f>
        <v>Twitter for iPhone</v>
      </c>
      <c r="J4278" s="2">
        <v>10</v>
      </c>
      <c r="K4278" s="2">
        <v>94</v>
      </c>
      <c r="L4278" s="2">
        <v>0</v>
      </c>
      <c r="M4278" s="2"/>
      <c r="N4278" s="8">
        <v>43333.473993055552</v>
      </c>
      <c r="O4278" s="4"/>
      <c r="P4278" s="3" t="s">
        <v>5501</v>
      </c>
      <c r="Q4278" s="4"/>
      <c r="R4278" s="4"/>
      <c r="S4278" s="9" t="str">
        <f>HYPERLINK("https://pbs.twimg.com/profile_images/1034656258123546624/cS1c2t4n.jpg","View")</f>
        <v>View</v>
      </c>
    </row>
    <row r="4279" spans="1:19" ht="20">
      <c r="A4279" s="8">
        <v>43341.362407407403</v>
      </c>
      <c r="B4279" s="11" t="str">
        <f>HYPERLINK("https://twitter.com/ibenair","@ibenair")</f>
        <v>@ibenair</v>
      </c>
      <c r="C4279" s="11" t="s">
        <v>570</v>
      </c>
      <c r="D4279" s="5" t="s">
        <v>5500</v>
      </c>
      <c r="E4279" s="9" t="str">
        <f>HYPERLINK("https://twitter.com/ibenair/status/1034654843795853314","1034654843795853314")</f>
        <v>1034654843795853314</v>
      </c>
      <c r="F4279" s="10" t="s">
        <v>5499</v>
      </c>
      <c r="G4279" s="4"/>
      <c r="H4279" s="4"/>
      <c r="I4279" s="10" t="str">
        <f>HYPERLINK("http://twitter.com/download/iphone","Twitter for iPhone")</f>
        <v>Twitter for iPhone</v>
      </c>
      <c r="J4279" s="2">
        <v>47</v>
      </c>
      <c r="K4279" s="2">
        <v>7</v>
      </c>
      <c r="L4279" s="2">
        <v>1</v>
      </c>
      <c r="M4279" s="2"/>
      <c r="N4279" s="8">
        <v>43206.519918981481</v>
      </c>
      <c r="O4279" s="4" t="s">
        <v>17</v>
      </c>
      <c r="P4279" s="3" t="s">
        <v>567</v>
      </c>
      <c r="Q4279" s="10" t="s">
        <v>566</v>
      </c>
      <c r="R4279" s="4"/>
      <c r="S4279" s="9" t="str">
        <f>HYPERLINK("https://pbs.twimg.com/profile_images/985793204661506048/Esq8e1Qs.jpg","View")</f>
        <v>View</v>
      </c>
    </row>
    <row r="4280" spans="1:19" ht="20">
      <c r="A4280" s="8">
        <v>43341.359594907408</v>
      </c>
      <c r="B4280" s="11" t="str">
        <f>HYPERLINK("https://twitter.com/Frdyzn","@Frdyzn")</f>
        <v>@Frdyzn</v>
      </c>
      <c r="C4280" s="6" t="s">
        <v>3187</v>
      </c>
      <c r="D4280" s="5" t="s">
        <v>5498</v>
      </c>
      <c r="E4280" s="9" t="str">
        <f>HYPERLINK("https://twitter.com/Frdyzn/status/1034653824139571200","1034653824139571200")</f>
        <v>1034653824139571200</v>
      </c>
      <c r="F4280" s="4"/>
      <c r="G4280" s="10" t="s">
        <v>5497</v>
      </c>
      <c r="H4280" s="4"/>
      <c r="I4280" s="10" t="str">
        <f>HYPERLINK("http://twitter.com/download/android","Twitter for Android")</f>
        <v>Twitter for Android</v>
      </c>
      <c r="J4280" s="2">
        <v>81</v>
      </c>
      <c r="K4280" s="2">
        <v>241</v>
      </c>
      <c r="L4280" s="2">
        <v>0</v>
      </c>
      <c r="M4280" s="2"/>
      <c r="N4280" s="8">
        <v>43197.50105324074</v>
      </c>
      <c r="O4280" s="4" t="s">
        <v>3490</v>
      </c>
      <c r="P4280" s="3" t="s">
        <v>5496</v>
      </c>
      <c r="Q4280" s="4"/>
      <c r="R4280" s="4"/>
      <c r="S4280" s="9" t="str">
        <f>HYPERLINK("https://pbs.twimg.com/profile_images/1029582517597233152/BrHNNM3Y.jpg","View")</f>
        <v>View</v>
      </c>
    </row>
    <row r="4281" spans="1:19" ht="30">
      <c r="A4281" s="8">
        <v>43341.359293981484</v>
      </c>
      <c r="B4281" s="11" t="str">
        <f>HYPERLINK("https://twitter.com/sayyedmahdii","@sayyedmahdii")</f>
        <v>@sayyedmahdii</v>
      </c>
      <c r="C4281" s="6" t="s">
        <v>5495</v>
      </c>
      <c r="D4281" s="5" t="s">
        <v>5494</v>
      </c>
      <c r="E4281" s="9" t="str">
        <f>HYPERLINK("https://twitter.com/sayyedmahdii/status/1034653714659901440","1034653714659901440")</f>
        <v>1034653714659901440</v>
      </c>
      <c r="F4281" s="4"/>
      <c r="G4281" s="4"/>
      <c r="H4281" s="4"/>
      <c r="I4281" s="10" t="str">
        <f>HYPERLINK("http://twitter.com/download/android","Twitter for Android")</f>
        <v>Twitter for Android</v>
      </c>
      <c r="J4281" s="2">
        <v>146</v>
      </c>
      <c r="K4281" s="2">
        <v>59</v>
      </c>
      <c r="L4281" s="2">
        <v>0</v>
      </c>
      <c r="M4281" s="2"/>
      <c r="N4281" s="8">
        <v>42958.436678240745</v>
      </c>
      <c r="O4281" s="4" t="s">
        <v>5493</v>
      </c>
      <c r="P4281" s="3" t="s">
        <v>5492</v>
      </c>
      <c r="Q4281" s="4"/>
      <c r="R4281" s="4"/>
      <c r="S4281" s="9" t="str">
        <f>HYPERLINK("https://pbs.twimg.com/profile_images/1018754209657876480/MLOr4Lla.jpg","View")</f>
        <v>View</v>
      </c>
    </row>
    <row r="4282" spans="1:19" ht="20">
      <c r="A4282" s="8">
        <v>43341.359178240746</v>
      </c>
      <c r="B4282" s="11" t="str">
        <f>HYPERLINK("https://twitter.com/MKarbasibaf","@MKarbasibaf")</f>
        <v>@MKarbasibaf</v>
      </c>
      <c r="C4282" s="6" t="s">
        <v>2092</v>
      </c>
      <c r="D4282" s="5" t="s">
        <v>5491</v>
      </c>
      <c r="E4282" s="9" t="str">
        <f>HYPERLINK("https://twitter.com/MKarbasibaf/status/1034653673077583873","1034653673077583873")</f>
        <v>1034653673077583873</v>
      </c>
      <c r="F4282" s="4"/>
      <c r="G4282" s="10" t="s">
        <v>5490</v>
      </c>
      <c r="H4282" s="4"/>
      <c r="I4282" s="10" t="str">
        <f>HYPERLINK("http://twitter.com","Twitter Web Client")</f>
        <v>Twitter Web Client</v>
      </c>
      <c r="J4282" s="2">
        <v>109</v>
      </c>
      <c r="K4282" s="2">
        <v>260</v>
      </c>
      <c r="L4282" s="2">
        <v>0</v>
      </c>
      <c r="M4282" s="2"/>
      <c r="N4282" s="8">
        <v>43222.638368055559</v>
      </c>
      <c r="O4282" s="4"/>
      <c r="P4282" s="3"/>
      <c r="Q4282" s="4"/>
      <c r="R4282" s="4"/>
      <c r="S4282" s="9" t="str">
        <f>HYPERLINK("https://pbs.twimg.com/profile_images/1003254201663680512/kGRl1NyX.jpg","View")</f>
        <v>View</v>
      </c>
    </row>
    <row r="4283" spans="1:19" ht="30">
      <c r="A4283" s="8">
        <v>43341.358715277776</v>
      </c>
      <c r="B4283" s="11" t="str">
        <f>HYPERLINK("https://twitter.com/8hafez","@8hafez")</f>
        <v>@8hafez</v>
      </c>
      <c r="C4283" s="6" t="s">
        <v>5489</v>
      </c>
      <c r="D4283" s="5" t="s">
        <v>5488</v>
      </c>
      <c r="E4283" s="9" t="str">
        <f>HYPERLINK("https://twitter.com/8hafez/status/1034653504365883392","1034653504365883392")</f>
        <v>1034653504365883392</v>
      </c>
      <c r="F4283" s="4"/>
      <c r="G4283" s="4"/>
      <c r="H4283" s="4"/>
      <c r="I4283" s="10" t="str">
        <f>HYPERLINK("http://twitter.com/download/iphone","Twitter for iPhone")</f>
        <v>Twitter for iPhone</v>
      </c>
      <c r="J4283" s="2">
        <v>52</v>
      </c>
      <c r="K4283" s="2">
        <v>135</v>
      </c>
      <c r="L4283" s="2">
        <v>0</v>
      </c>
      <c r="M4283" s="2"/>
      <c r="N4283" s="8">
        <v>40804.345902777779</v>
      </c>
      <c r="O4283" s="4" t="s">
        <v>5487</v>
      </c>
      <c r="P4283" s="3" t="s">
        <v>5486</v>
      </c>
      <c r="Q4283" s="4"/>
      <c r="R4283" s="4"/>
      <c r="S4283" s="9" t="str">
        <f>HYPERLINK("https://pbs.twimg.com/profile_images/710393028972830720/mK6FoylE.jpg","View")</f>
        <v>View</v>
      </c>
    </row>
    <row r="4284" spans="1:19" ht="30">
      <c r="A4284" s="8">
        <v>43341.358194444445</v>
      </c>
      <c r="B4284" s="11" t="str">
        <f>HYPERLINK("https://twitter.com/_Amirarsalan_","@_Amirarsalan_")</f>
        <v>@_Amirarsalan_</v>
      </c>
      <c r="C4284" s="6" t="s">
        <v>5485</v>
      </c>
      <c r="D4284" s="5" t="s">
        <v>5484</v>
      </c>
      <c r="E4284" s="9" t="str">
        <f>HYPERLINK("https://twitter.com/_Amirarsalan_/status/1034653316960022528","1034653316960022528")</f>
        <v>1034653316960022528</v>
      </c>
      <c r="F4284" s="4"/>
      <c r="G4284" s="4"/>
      <c r="H4284" s="4"/>
      <c r="I4284" s="10" t="str">
        <f>HYPERLINK("http://twitter.com/download/android","Twitter for Android")</f>
        <v>Twitter for Android</v>
      </c>
      <c r="J4284" s="2">
        <v>321</v>
      </c>
      <c r="K4284" s="2">
        <v>95</v>
      </c>
      <c r="L4284" s="2">
        <v>0</v>
      </c>
      <c r="M4284" s="2"/>
      <c r="N4284" s="8">
        <v>43173.637569444443</v>
      </c>
      <c r="O4284" s="4" t="s">
        <v>5483</v>
      </c>
      <c r="P4284" s="3" t="s">
        <v>5482</v>
      </c>
      <c r="Q4284" s="4"/>
      <c r="R4284" s="4"/>
      <c r="S4284" s="9" t="str">
        <f>HYPERLINK("https://pbs.twimg.com/profile_images/973893248136642561/hWHwLBrJ.jpg","View")</f>
        <v>View</v>
      </c>
    </row>
    <row r="4285" spans="1:19" ht="30">
      <c r="A4285" s="8">
        <v>43341.357870370368</v>
      </c>
      <c r="B4285" s="11" t="str">
        <f>HYPERLINK("https://twitter.com/Shahrok49919799","@Shahrok49919799")</f>
        <v>@Shahrok49919799</v>
      </c>
      <c r="C4285" s="6" t="s">
        <v>5481</v>
      </c>
      <c r="D4285" s="5" t="s">
        <v>5480</v>
      </c>
      <c r="E4285" s="9" t="str">
        <f>HYPERLINK("https://twitter.com/Shahrok49919799/status/1034653202010988545","1034653202010988545")</f>
        <v>1034653202010988545</v>
      </c>
      <c r="F4285" s="4"/>
      <c r="G4285" s="4"/>
      <c r="H4285" s="4"/>
      <c r="I4285" s="10" t="str">
        <f>HYPERLINK("http://twitter.com/download/iphone","Twitter for iPhone")</f>
        <v>Twitter for iPhone</v>
      </c>
      <c r="J4285" s="2">
        <v>470</v>
      </c>
      <c r="K4285" s="2">
        <v>802</v>
      </c>
      <c r="L4285" s="2">
        <v>0</v>
      </c>
      <c r="M4285" s="2"/>
      <c r="N4285" s="8">
        <v>42744.015150462961</v>
      </c>
      <c r="O4285" s="4" t="s">
        <v>34</v>
      </c>
      <c r="P4285" s="3" t="s">
        <v>5479</v>
      </c>
      <c r="Q4285" s="4"/>
      <c r="R4285" s="4"/>
      <c r="S4285" s="9" t="str">
        <f>HYPERLINK("https://pbs.twimg.com/profile_images/1025310957428527104/oJ_ChjOj.jpg","View")</f>
        <v>View</v>
      </c>
    </row>
    <row r="4286" spans="1:19" ht="40">
      <c r="A4286" s="8">
        <v>43341.353668981479</v>
      </c>
      <c r="B4286" s="11" t="str">
        <f>HYPERLINK("https://twitter.com/Saba62643498","@Saba62643498")</f>
        <v>@Saba62643498</v>
      </c>
      <c r="C4286" s="6" t="s">
        <v>5478</v>
      </c>
      <c r="D4286" s="5" t="s">
        <v>5477</v>
      </c>
      <c r="E4286" s="9" t="str">
        <f>HYPERLINK("https://twitter.com/Saba62643498/status/1034651675796140033","1034651675796140033")</f>
        <v>1034651675796140033</v>
      </c>
      <c r="F4286" s="4"/>
      <c r="G4286" s="4"/>
      <c r="H4286" s="4"/>
      <c r="I4286" s="10" t="str">
        <f>HYPERLINK("http://twitter.com/download/android","Twitter for Android")</f>
        <v>Twitter for Android</v>
      </c>
      <c r="J4286" s="2">
        <v>1156</v>
      </c>
      <c r="K4286" s="2">
        <v>1507</v>
      </c>
      <c r="L4286" s="2">
        <v>2</v>
      </c>
      <c r="M4286" s="2"/>
      <c r="N4286" s="8">
        <v>43269.814143518517</v>
      </c>
      <c r="O4286" s="4" t="s">
        <v>17</v>
      </c>
      <c r="P4286" s="3" t="s">
        <v>5476</v>
      </c>
      <c r="Q4286" s="4"/>
      <c r="R4286" s="4"/>
      <c r="S4286" s="9" t="str">
        <f>HYPERLINK("https://pbs.twimg.com/profile_images/1008737879315681281/ah0UfoDI.jpg","View")</f>
        <v>View</v>
      </c>
    </row>
    <row r="4287" spans="1:19" ht="30">
      <c r="A4287" s="8">
        <v>43341.35319444444</v>
      </c>
      <c r="B4287" s="11" t="str">
        <f>HYPERLINK("https://twitter.com/rezatorabnezhad","@rezatorabnezhad")</f>
        <v>@rezatorabnezhad</v>
      </c>
      <c r="C4287" s="6" t="s">
        <v>2075</v>
      </c>
      <c r="D4287" s="5" t="s">
        <v>5475</v>
      </c>
      <c r="E4287" s="9" t="str">
        <f>HYPERLINK("https://twitter.com/rezatorabnezhad/status/1034651505981304834","1034651505981304834")</f>
        <v>1034651505981304834</v>
      </c>
      <c r="F4287" s="4"/>
      <c r="G4287" s="4"/>
      <c r="H4287" s="4"/>
      <c r="I4287" s="10" t="str">
        <f>HYPERLINK("http://twitter.com/download/android","Twitter for Android")</f>
        <v>Twitter for Android</v>
      </c>
      <c r="J4287" s="2">
        <v>144</v>
      </c>
      <c r="K4287" s="2">
        <v>636</v>
      </c>
      <c r="L4287" s="2">
        <v>0</v>
      </c>
      <c r="M4287" s="2"/>
      <c r="N4287" s="8">
        <v>43023.944467592592</v>
      </c>
      <c r="O4287" s="4" t="s">
        <v>133</v>
      </c>
      <c r="P4287" s="3" t="s">
        <v>2073</v>
      </c>
      <c r="Q4287" s="4"/>
      <c r="R4287" s="4"/>
      <c r="S4287" s="9" t="str">
        <f>HYPERLINK("https://pbs.twimg.com/profile_images/995654148887597057/3KzjJxOJ.jpg","View")</f>
        <v>View</v>
      </c>
    </row>
    <row r="4288" spans="1:19" ht="20">
      <c r="A4288" s="8">
        <v>43341.352905092594</v>
      </c>
      <c r="B4288" s="11" t="str">
        <f>HYPERLINK("https://twitter.com/yaa_zahra_213","@yaa_zahra_213")</f>
        <v>@yaa_zahra_213</v>
      </c>
      <c r="C4288" s="6" t="s">
        <v>4121</v>
      </c>
      <c r="D4288" s="5" t="s">
        <v>5474</v>
      </c>
      <c r="E4288" s="9" t="str">
        <f>HYPERLINK("https://twitter.com/yaa_zahra_213/status/1034651402725994497","1034651402725994497")</f>
        <v>1034651402725994497</v>
      </c>
      <c r="F4288" s="4"/>
      <c r="G4288" s="4"/>
      <c r="H4288" s="4"/>
      <c r="I4288" s="10" t="str">
        <f>HYPERLINK("http://twitter.com/download/android","Twitter for Android")</f>
        <v>Twitter for Android</v>
      </c>
      <c r="J4288" s="2">
        <v>104</v>
      </c>
      <c r="K4288" s="2">
        <v>166</v>
      </c>
      <c r="L4288" s="2">
        <v>0</v>
      </c>
      <c r="M4288" s="2"/>
      <c r="N4288" s="8">
        <v>43328.360590277778</v>
      </c>
      <c r="O4288" s="4" t="s">
        <v>4119</v>
      </c>
      <c r="P4288" s="3" t="s">
        <v>4118</v>
      </c>
      <c r="Q4288" s="4"/>
      <c r="R4288" s="4"/>
      <c r="S4288" s="9" t="str">
        <f>HYPERLINK("https://pbs.twimg.com/profile_images/1029947065110077440/1kmwYA2k.jpg","View")</f>
        <v>View</v>
      </c>
    </row>
    <row r="4289" spans="1:19" ht="40">
      <c r="A4289" s="8">
        <v>43341.350787037038</v>
      </c>
      <c r="B4289" s="11" t="str">
        <f>HYPERLINK("https://twitter.com/pooriya_fazel68","@pooriya_fazel68")</f>
        <v>@pooriya_fazel68</v>
      </c>
      <c r="C4289" s="6" t="s">
        <v>1125</v>
      </c>
      <c r="D4289" s="5" t="s">
        <v>5473</v>
      </c>
      <c r="E4289" s="9" t="str">
        <f>HYPERLINK("https://twitter.com/pooriya_fazel68/status/1034650634237042688","1034650634237042688")</f>
        <v>1034650634237042688</v>
      </c>
      <c r="F4289" s="4"/>
      <c r="G4289" s="4"/>
      <c r="H4289" s="4"/>
      <c r="I4289" s="10" t="str">
        <f>HYPERLINK("http://twitter.com/download/android","Twitter for Android")</f>
        <v>Twitter for Android</v>
      </c>
      <c r="J4289" s="2">
        <v>257</v>
      </c>
      <c r="K4289" s="2">
        <v>303</v>
      </c>
      <c r="L4289" s="2">
        <v>0</v>
      </c>
      <c r="M4289" s="2"/>
      <c r="N4289" s="8">
        <v>41809.918877314813</v>
      </c>
      <c r="O4289" s="4"/>
      <c r="P4289" s="3" t="s">
        <v>1123</v>
      </c>
      <c r="Q4289" s="4"/>
      <c r="R4289" s="4"/>
      <c r="S4289" s="9" t="str">
        <f>HYPERLINK("https://pbs.twimg.com/profile_images/1034134829367996422/-Pcn-2zq.jpg","View")</f>
        <v>View</v>
      </c>
    </row>
    <row r="4290" spans="1:19" ht="40">
      <c r="A4290" s="8">
        <v>43341.348009259258</v>
      </c>
      <c r="B4290" s="11" t="str">
        <f>HYPERLINK("https://twitter.com/ASHKAN_MARTIN","@ASHKAN_MARTIN")</f>
        <v>@ASHKAN_MARTIN</v>
      </c>
      <c r="C4290" s="6" t="s">
        <v>5472</v>
      </c>
      <c r="D4290" s="5" t="s">
        <v>5471</v>
      </c>
      <c r="E4290" s="9" t="str">
        <f>HYPERLINK("https://twitter.com/ASHKAN_MARTIN/status/1034649627675508736","1034649627675508736")</f>
        <v>1034649627675508736</v>
      </c>
      <c r="F4290" s="4"/>
      <c r="G4290" s="4"/>
      <c r="H4290" s="4"/>
      <c r="I4290" s="10" t="str">
        <f>HYPERLINK("http://twitter.com/download/iphone","Twitter for iPhone")</f>
        <v>Twitter for iPhone</v>
      </c>
      <c r="J4290" s="2">
        <v>581</v>
      </c>
      <c r="K4290" s="2">
        <v>489</v>
      </c>
      <c r="L4290" s="2">
        <v>15</v>
      </c>
      <c r="M4290" s="2"/>
      <c r="N4290" s="8">
        <v>40750.409375000003</v>
      </c>
      <c r="O4290" s="4" t="s">
        <v>34</v>
      </c>
      <c r="P4290" s="3" t="s">
        <v>5470</v>
      </c>
      <c r="Q4290" s="4"/>
      <c r="R4290" s="4"/>
      <c r="S4290" s="9" t="str">
        <f>HYPERLINK("https://pbs.twimg.com/profile_images/990503872740372481/_GZO2Hya.jpg","View")</f>
        <v>View</v>
      </c>
    </row>
    <row r="4291" spans="1:19" ht="20">
      <c r="A4291" s="8">
        <v>43341.347627314812</v>
      </c>
      <c r="B4291" s="11" t="str">
        <f>HYPERLINK("https://twitter.com/Mahdi25783774","@Mahdi25783774")</f>
        <v>@Mahdi25783774</v>
      </c>
      <c r="C4291" s="6" t="s">
        <v>5469</v>
      </c>
      <c r="D4291" s="5" t="s">
        <v>5468</v>
      </c>
      <c r="E4291" s="9" t="str">
        <f>HYPERLINK("https://twitter.com/Mahdi25783774/status/1034649487380230146","1034649487380230146")</f>
        <v>1034649487380230146</v>
      </c>
      <c r="F4291" s="4"/>
      <c r="G4291" s="10" t="s">
        <v>5467</v>
      </c>
      <c r="H4291" s="4"/>
      <c r="I4291" s="10" t="str">
        <f>HYPERLINK("http://twitter.com/download/android","Twitter for Android")</f>
        <v>Twitter for Android</v>
      </c>
      <c r="J4291" s="2">
        <v>611</v>
      </c>
      <c r="K4291" s="2">
        <v>814</v>
      </c>
      <c r="L4291" s="2">
        <v>1</v>
      </c>
      <c r="M4291" s="2"/>
      <c r="N4291" s="8">
        <v>43233.519814814819</v>
      </c>
      <c r="O4291" s="4" t="s">
        <v>133</v>
      </c>
      <c r="P4291" s="3" t="s">
        <v>5466</v>
      </c>
      <c r="Q4291" s="4"/>
      <c r="R4291" s="4"/>
      <c r="S4291" s="9" t="str">
        <f>HYPERLINK("https://pbs.twimg.com/profile_images/1033642102679318528/4lBWskrd.jpg","View")</f>
        <v>View</v>
      </c>
    </row>
    <row r="4292" spans="1:19" ht="40">
      <c r="A4292" s="8">
        <v>43341.346620370372</v>
      </c>
      <c r="B4292" s="11" t="str">
        <f>HYPERLINK("https://twitter.com/majid_hesaraki","@majid_hesaraki")</f>
        <v>@majid_hesaraki</v>
      </c>
      <c r="C4292" s="6" t="s">
        <v>5465</v>
      </c>
      <c r="D4292" s="5" t="s">
        <v>5464</v>
      </c>
      <c r="E4292" s="9" t="str">
        <f>HYPERLINK("https://twitter.com/majid_hesaraki/status/1034649121842454528","1034649121842454528")</f>
        <v>1034649121842454528</v>
      </c>
      <c r="F4292" s="4"/>
      <c r="G4292" s="4"/>
      <c r="H4292" s="4"/>
      <c r="I4292" s="10" t="str">
        <f>HYPERLINK("http://twitter.com","Twitter Web Client")</f>
        <v>Twitter Web Client</v>
      </c>
      <c r="J4292" s="2">
        <v>163</v>
      </c>
      <c r="K4292" s="2">
        <v>196</v>
      </c>
      <c r="L4292" s="2">
        <v>0</v>
      </c>
      <c r="M4292" s="2"/>
      <c r="N4292" s="8">
        <v>42866.568333333329</v>
      </c>
      <c r="O4292" s="4" t="s">
        <v>17</v>
      </c>
      <c r="P4292" s="3" t="s">
        <v>5463</v>
      </c>
      <c r="Q4292" s="4"/>
      <c r="R4292" s="4"/>
      <c r="S4292" s="9" t="str">
        <f>HYPERLINK("https://pbs.twimg.com/profile_images/1013741877634453505/9S7jmW6f.jpg","View")</f>
        <v>View</v>
      </c>
    </row>
    <row r="4293" spans="1:19" ht="60">
      <c r="A4293" s="8">
        <v>43341.345335648148</v>
      </c>
      <c r="B4293" s="11" t="str">
        <f>HYPERLINK("https://twitter.com/Omidmansor1","@Omidmansor1")</f>
        <v>@Omidmansor1</v>
      </c>
      <c r="C4293" s="6" t="s">
        <v>2816</v>
      </c>
      <c r="D4293" s="5" t="s">
        <v>5462</v>
      </c>
      <c r="E4293" s="9" t="str">
        <f>HYPERLINK("https://twitter.com/Omidmansor1/status/1034648657092595712","1034648657092595712")</f>
        <v>1034648657092595712</v>
      </c>
      <c r="F4293" s="4" t="s">
        <v>5461</v>
      </c>
      <c r="G4293" s="10" t="s">
        <v>5460</v>
      </c>
      <c r="H4293" s="4"/>
      <c r="I4293" s="10" t="str">
        <f>HYPERLINK("https://mobile.twitter.com","Twitter Lite")</f>
        <v>Twitter Lite</v>
      </c>
      <c r="J4293" s="2">
        <v>31</v>
      </c>
      <c r="K4293" s="2">
        <v>63</v>
      </c>
      <c r="L4293" s="2">
        <v>0</v>
      </c>
      <c r="M4293" s="2"/>
      <c r="N4293" s="8">
        <v>43048.681377314817</v>
      </c>
      <c r="O4293" s="4"/>
      <c r="P4293" s="3" t="s">
        <v>2813</v>
      </c>
      <c r="Q4293" s="4"/>
      <c r="R4293" s="4"/>
      <c r="S4293" s="9" t="str">
        <f>HYPERLINK("https://pbs.twimg.com/profile_images/1033199679150981121/sBhUvbEi.jpg","View")</f>
        <v>View</v>
      </c>
    </row>
    <row r="4294" spans="1:19" ht="20">
      <c r="A4294" s="8">
        <v>43341.338553240741</v>
      </c>
      <c r="B4294" s="11" t="str">
        <f>HYPERLINK("https://twitter.com/kristianemampur","@kristianemampur")</f>
        <v>@kristianemampur</v>
      </c>
      <c r="C4294" s="6" t="s">
        <v>5459</v>
      </c>
      <c r="D4294" s="5" t="s">
        <v>5458</v>
      </c>
      <c r="E4294" s="9" t="str">
        <f>HYPERLINK("https://twitter.com/kristianemampur/status/1034646199054344192","1034646199054344192")</f>
        <v>1034646199054344192</v>
      </c>
      <c r="F4294" s="4"/>
      <c r="G4294" s="4"/>
      <c r="H4294" s="4"/>
      <c r="I4294" s="10" t="str">
        <f>HYPERLINK("http://twitter.com/download/iphone","Twitter for iPhone")</f>
        <v>Twitter for iPhone</v>
      </c>
      <c r="J4294" s="2">
        <v>4125</v>
      </c>
      <c r="K4294" s="2">
        <v>3570</v>
      </c>
      <c r="L4294" s="2">
        <v>1</v>
      </c>
      <c r="M4294" s="2"/>
      <c r="N4294" s="8">
        <v>43122.781817129631</v>
      </c>
      <c r="O4294" s="4" t="s">
        <v>5457</v>
      </c>
      <c r="P4294" s="3" t="s">
        <v>5456</v>
      </c>
      <c r="Q4294" s="4"/>
      <c r="R4294" s="4"/>
      <c r="S4294" s="9" t="str">
        <f>HYPERLINK("https://pbs.twimg.com/profile_images/1012894560085737474/3o1qo3c3.jpg","View")</f>
        <v>View</v>
      </c>
    </row>
    <row r="4295" spans="1:19" ht="20">
      <c r="A4295" s="8">
        <v>43341.337766203702</v>
      </c>
      <c r="B4295" s="11" t="str">
        <f>HYPERLINK("https://twitter.com/ShiraziMehdi","@ShiraziMehdi")</f>
        <v>@ShiraziMehdi</v>
      </c>
      <c r="C4295" s="6" t="s">
        <v>606</v>
      </c>
      <c r="D4295" s="5" t="s">
        <v>5455</v>
      </c>
      <c r="E4295" s="9" t="str">
        <f>HYPERLINK("https://twitter.com/ShiraziMehdi/status/1034645916471513089","1034645916471513089")</f>
        <v>1034645916471513089</v>
      </c>
      <c r="F4295" s="4"/>
      <c r="G4295" s="4"/>
      <c r="H4295" s="4"/>
      <c r="I4295" s="10" t="str">
        <f>HYPERLINK("http://twitter.com/download/iphone","Twitter for iPhone")</f>
        <v>Twitter for iPhone</v>
      </c>
      <c r="J4295" s="2">
        <v>194</v>
      </c>
      <c r="K4295" s="2">
        <v>327</v>
      </c>
      <c r="L4295" s="2">
        <v>2</v>
      </c>
      <c r="M4295" s="2"/>
      <c r="N4295" s="8">
        <v>41215.456284722226</v>
      </c>
      <c r="O4295" s="4"/>
      <c r="P4295" s="3" t="s">
        <v>604</v>
      </c>
      <c r="Q4295" s="4"/>
      <c r="R4295" s="4"/>
      <c r="S4295" s="9" t="str">
        <f>HYPERLINK("https://pbs.twimg.com/profile_images/862498166784045056/Iuo9rVDf.jpg","View")</f>
        <v>View</v>
      </c>
    </row>
    <row r="4296" spans="1:19" ht="40">
      <c r="A4296" s="8">
        <v>43341.33729166667</v>
      </c>
      <c r="B4296" s="11" t="str">
        <f>HYPERLINK("https://twitter.com/RealSaeedGoud","@RealSaeedGoud")</f>
        <v>@RealSaeedGoud</v>
      </c>
      <c r="C4296" s="6" t="s">
        <v>5454</v>
      </c>
      <c r="D4296" s="5" t="s">
        <v>5453</v>
      </c>
      <c r="E4296" s="9" t="str">
        <f>HYPERLINK("https://twitter.com/RealSaeedGoud/status/1034645742097457152","1034645742097457152")</f>
        <v>1034645742097457152</v>
      </c>
      <c r="F4296" s="4"/>
      <c r="G4296" s="4"/>
      <c r="H4296" s="4"/>
      <c r="I4296" s="10" t="str">
        <f>HYPERLINK("http://twitter.com/download/iphone","Twitter for iPhone")</f>
        <v>Twitter for iPhone</v>
      </c>
      <c r="J4296" s="2">
        <v>352</v>
      </c>
      <c r="K4296" s="2">
        <v>1623</v>
      </c>
      <c r="L4296" s="2">
        <v>5</v>
      </c>
      <c r="M4296" s="2"/>
      <c r="N4296" s="8">
        <v>40990.68545138889</v>
      </c>
      <c r="O4296" s="4" t="s">
        <v>894</v>
      </c>
      <c r="P4296" s="3" t="s">
        <v>5452</v>
      </c>
      <c r="Q4296" s="4"/>
      <c r="R4296" s="4"/>
      <c r="S4296" s="9" t="str">
        <f>HYPERLINK("https://pbs.twimg.com/profile_images/1002969393100460034/CBR5KXVQ.jpg","View")</f>
        <v>View</v>
      </c>
    </row>
    <row r="4297" spans="1:19" ht="40">
      <c r="A4297" s="8">
        <v>43341.334502314814</v>
      </c>
      <c r="B4297" s="11" t="str">
        <f>HYPERLINK("https://twitter.com/Hadi_167","@Hadi_167")</f>
        <v>@Hadi_167</v>
      </c>
      <c r="C4297" s="6" t="s">
        <v>3980</v>
      </c>
      <c r="D4297" s="5" t="s">
        <v>5451</v>
      </c>
      <c r="E4297" s="9" t="str">
        <f>HYPERLINK("https://twitter.com/Hadi_167/status/1034644733375770625","1034644733375770625")</f>
        <v>1034644733375770625</v>
      </c>
      <c r="F4297" s="4"/>
      <c r="G4297" s="10" t="s">
        <v>5450</v>
      </c>
      <c r="H4297" s="4"/>
      <c r="I4297" s="10" t="str">
        <f>HYPERLINK("http://twitter.com/download/android","Twitter for Android")</f>
        <v>Twitter for Android</v>
      </c>
      <c r="J4297" s="2">
        <v>48</v>
      </c>
      <c r="K4297" s="2">
        <v>46</v>
      </c>
      <c r="L4297" s="2">
        <v>0</v>
      </c>
      <c r="M4297" s="2"/>
      <c r="N4297" s="8">
        <v>43320.320034722223</v>
      </c>
      <c r="O4297" s="4" t="s">
        <v>324</v>
      </c>
      <c r="P4297" s="3" t="s">
        <v>3977</v>
      </c>
      <c r="Q4297" s="4"/>
      <c r="R4297" s="4"/>
      <c r="S4297" s="9" t="str">
        <f>HYPERLINK("https://pbs.twimg.com/profile_images/1027031814018400256/Uea5hPM7.jpg","View")</f>
        <v>View</v>
      </c>
    </row>
    <row r="4298" spans="1:19" ht="30">
      <c r="A4298" s="8">
        <v>43341.333472222221</v>
      </c>
      <c r="B4298" s="11" t="str">
        <f>HYPERLINK("https://twitter.com/alietion","@alietion")</f>
        <v>@alietion</v>
      </c>
      <c r="C4298" s="6" t="s">
        <v>5449</v>
      </c>
      <c r="D4298" s="5" t="s">
        <v>5448</v>
      </c>
      <c r="E4298" s="9" t="str">
        <f>HYPERLINK("https://twitter.com/alietion/status/1034644356760838144","1034644356760838144")</f>
        <v>1034644356760838144</v>
      </c>
      <c r="F4298" s="4"/>
      <c r="G4298" s="4"/>
      <c r="H4298" s="4"/>
      <c r="I4298" s="10" t="str">
        <f>HYPERLINK("http://twitter.com/download/android","Twitter for Android")</f>
        <v>Twitter for Android</v>
      </c>
      <c r="J4298" s="2">
        <v>6</v>
      </c>
      <c r="K4298" s="2">
        <v>16</v>
      </c>
      <c r="L4298" s="2">
        <v>1</v>
      </c>
      <c r="M4298" s="2"/>
      <c r="N4298" s="8">
        <v>43014.713819444441</v>
      </c>
      <c r="O4298" s="4"/>
      <c r="P4298" s="3"/>
      <c r="Q4298" s="4"/>
      <c r="R4298" s="4"/>
      <c r="S4298" s="9" t="str">
        <f>HYPERLINK("https://pbs.twimg.com/profile_images/1014122574622621696/P2m0nqcJ.jpg","View")</f>
        <v>View</v>
      </c>
    </row>
    <row r="4299" spans="1:19" ht="40">
      <c r="A4299" s="8">
        <v>43341.330474537041</v>
      </c>
      <c r="B4299" s="11" t="str">
        <f>HYPERLINK("https://twitter.com/Soheilfa1","@Soheilfa1")</f>
        <v>@Soheilfa1</v>
      </c>
      <c r="C4299" s="11" t="s">
        <v>5447</v>
      </c>
      <c r="D4299" s="5" t="s">
        <v>5446</v>
      </c>
      <c r="E4299" s="9" t="str">
        <f>HYPERLINK("https://twitter.com/Soheilfa1/status/1034643273938292737","1034643273938292737")</f>
        <v>1034643273938292737</v>
      </c>
      <c r="F4299" s="4"/>
      <c r="G4299" s="4"/>
      <c r="H4299" s="4"/>
      <c r="I4299" s="10" t="str">
        <f>HYPERLINK("http://twitter.com/download/iphone","Twitter for iPhone")</f>
        <v>Twitter for iPhone</v>
      </c>
      <c r="J4299" s="2">
        <v>50</v>
      </c>
      <c r="K4299" s="2">
        <v>65</v>
      </c>
      <c r="L4299" s="2">
        <v>0</v>
      </c>
      <c r="M4299" s="2"/>
      <c r="N4299" s="8">
        <v>43327.368263888886</v>
      </c>
      <c r="O4299" s="4" t="s">
        <v>34</v>
      </c>
      <c r="P4299" s="3" t="s">
        <v>5445</v>
      </c>
      <c r="Q4299" s="4"/>
      <c r="R4299" s="4"/>
      <c r="S4299" s="9" t="str">
        <f>HYPERLINK("https://pbs.twimg.com/profile_images/1030046678278189056/jS8QKsqn.jpg","View")</f>
        <v>View</v>
      </c>
    </row>
    <row r="4300" spans="1:19" ht="20">
      <c r="A4300" s="8">
        <v>43341.328819444447</v>
      </c>
      <c r="B4300" s="11" t="str">
        <f>HYPERLINK("https://twitter.com/paartizaan","@paartizaan")</f>
        <v>@paartizaan</v>
      </c>
      <c r="C4300" s="6" t="s">
        <v>5444</v>
      </c>
      <c r="D4300" s="5" t="s">
        <v>5443</v>
      </c>
      <c r="E4300" s="9" t="str">
        <f>HYPERLINK("https://twitter.com/paartizaan/status/1034642670872928257","1034642670872928257")</f>
        <v>1034642670872928257</v>
      </c>
      <c r="F4300" s="4"/>
      <c r="G4300" s="4"/>
      <c r="H4300" s="4"/>
      <c r="I4300" s="10" t="str">
        <f>HYPERLINK("http://twitter.com/download/android","Twitter for Android")</f>
        <v>Twitter for Android</v>
      </c>
      <c r="J4300" s="2">
        <v>10</v>
      </c>
      <c r="K4300" s="2">
        <v>36</v>
      </c>
      <c r="L4300" s="2">
        <v>0</v>
      </c>
      <c r="M4300" s="2"/>
      <c r="N4300" s="8">
        <v>43223.308310185181</v>
      </c>
      <c r="O4300" s="4"/>
      <c r="P4300" s="3" t="s">
        <v>5442</v>
      </c>
      <c r="Q4300" s="4"/>
      <c r="R4300" s="4"/>
      <c r="S4300" s="9" t="str">
        <f>HYPERLINK("https://pbs.twimg.com/profile_images/1029823718636380167/PBDmxfSI.jpg","View")</f>
        <v>View</v>
      </c>
    </row>
    <row r="4301" spans="1:19" ht="40">
      <c r="A4301" s="8">
        <v>43341.328078703707</v>
      </c>
      <c r="B4301" s="11" t="str">
        <f>HYPERLINK("https://twitter.com/lenblvnkm","@lenblvnkm")</f>
        <v>@lenblvnkm</v>
      </c>
      <c r="C4301" s="6" t="s">
        <v>5441</v>
      </c>
      <c r="D4301" s="5" t="s">
        <v>5440</v>
      </c>
      <c r="E4301" s="9" t="str">
        <f>HYPERLINK("https://twitter.com/lenblvnkm/status/1034642402647179264","1034642402647179264")</f>
        <v>1034642402647179264</v>
      </c>
      <c r="F4301" s="4"/>
      <c r="G4301" s="4"/>
      <c r="H4301" s="4"/>
      <c r="I4301" s="10" t="str">
        <f>HYPERLINK("http://twitter.com/download/android","Twitter for Android")</f>
        <v>Twitter for Android</v>
      </c>
      <c r="J4301" s="2">
        <v>97</v>
      </c>
      <c r="K4301" s="2">
        <v>178</v>
      </c>
      <c r="L4301" s="2">
        <v>2</v>
      </c>
      <c r="M4301" s="2"/>
      <c r="N4301" s="8">
        <v>41592.859097222223</v>
      </c>
      <c r="O4301" s="4" t="s">
        <v>5439</v>
      </c>
      <c r="P4301" s="3" t="s">
        <v>5438</v>
      </c>
      <c r="Q4301" s="4"/>
      <c r="R4301" s="4"/>
      <c r="S4301" s="9" t="str">
        <f>HYPERLINK("https://pbs.twimg.com/profile_images/1033186135458099200/neuhKi59.jpg","View")</f>
        <v>View</v>
      </c>
    </row>
    <row r="4302" spans="1:19" ht="20">
      <c r="A4302" s="8">
        <v>43341.327800925923</v>
      </c>
      <c r="B4302" s="11" t="str">
        <f>HYPERLINK("https://twitter.com/rsalari","@rsalari")</f>
        <v>@rsalari</v>
      </c>
      <c r="C4302" s="6" t="s">
        <v>5437</v>
      </c>
      <c r="D4302" s="5" t="s">
        <v>5436</v>
      </c>
      <c r="E4302" s="9" t="str">
        <f>HYPERLINK("https://twitter.com/rsalari/status/1034642302776561664","1034642302776561664")</f>
        <v>1034642302776561664</v>
      </c>
      <c r="F4302" s="4"/>
      <c r="G4302" s="4"/>
      <c r="H4302" s="4"/>
      <c r="I4302" s="10" t="str">
        <f>HYPERLINK("http://twitter.com/download/android","Twitter for Android")</f>
        <v>Twitter for Android</v>
      </c>
      <c r="J4302" s="2">
        <v>459</v>
      </c>
      <c r="K4302" s="2">
        <v>209</v>
      </c>
      <c r="L4302" s="2">
        <v>0</v>
      </c>
      <c r="M4302" s="2"/>
      <c r="N4302" s="8">
        <v>39211.609351851854</v>
      </c>
      <c r="O4302" s="4" t="s">
        <v>5435</v>
      </c>
      <c r="P4302" s="3" t="s">
        <v>5434</v>
      </c>
      <c r="Q4302" s="4"/>
      <c r="R4302" s="4"/>
      <c r="S4302" s="9" t="str">
        <f>HYPERLINK("https://pbs.twimg.com/profile_images/1001551365632544768/hoHQSg0L.jpg","View")</f>
        <v>View</v>
      </c>
    </row>
    <row r="4303" spans="1:19" ht="20">
      <c r="A4303" s="8">
        <v>43341.324490740742</v>
      </c>
      <c r="B4303" s="11" t="str">
        <f>HYPERLINK("https://twitter.com/BoloukiA","@BoloukiA")</f>
        <v>@BoloukiA</v>
      </c>
      <c r="C4303" s="6" t="s">
        <v>5433</v>
      </c>
      <c r="D4303" s="5" t="s">
        <v>5432</v>
      </c>
      <c r="E4303" s="9" t="str">
        <f>HYPERLINK("https://twitter.com/BoloukiA/status/1034641102396121088","1034641102396121088")</f>
        <v>1034641102396121088</v>
      </c>
      <c r="F4303" s="4"/>
      <c r="G4303" s="4"/>
      <c r="H4303" s="4"/>
      <c r="I4303" s="10" t="str">
        <f>HYPERLINK("http://twitter.com/download/android","Twitter for Android")</f>
        <v>Twitter for Android</v>
      </c>
      <c r="J4303" s="2">
        <v>30</v>
      </c>
      <c r="K4303" s="2">
        <v>24</v>
      </c>
      <c r="L4303" s="2">
        <v>0</v>
      </c>
      <c r="M4303" s="2"/>
      <c r="N4303" s="8">
        <v>43326.328634259262</v>
      </c>
      <c r="O4303" s="4" t="s">
        <v>34</v>
      </c>
      <c r="P4303" s="3" t="s">
        <v>5431</v>
      </c>
      <c r="Q4303" s="4"/>
      <c r="R4303" s="4"/>
      <c r="S4303" s="9" t="str">
        <f>HYPERLINK("https://pbs.twimg.com/profile_images/1033594113701146625/OST0Ys8t.jpg","View")</f>
        <v>View</v>
      </c>
    </row>
    <row r="4304" spans="1:19" ht="20">
      <c r="A4304" s="8">
        <v>43341.323923611111</v>
      </c>
      <c r="B4304" s="11" t="str">
        <f>HYPERLINK("https://twitter.com/h033e1n1","@h033e1n1")</f>
        <v>@h033e1n1</v>
      </c>
      <c r="C4304" s="6" t="s">
        <v>5430</v>
      </c>
      <c r="D4304" s="5" t="s">
        <v>5429</v>
      </c>
      <c r="E4304" s="9" t="str">
        <f>HYPERLINK("https://twitter.com/h033e1n1/status/1034640896204189696","1034640896204189696")</f>
        <v>1034640896204189696</v>
      </c>
      <c r="F4304" s="4"/>
      <c r="G4304" s="4"/>
      <c r="H4304" s="4"/>
      <c r="I4304" s="10" t="str">
        <f>HYPERLINK("http://twitter.com/download/android","Twitter for Android")</f>
        <v>Twitter for Android</v>
      </c>
      <c r="J4304" s="2">
        <v>303</v>
      </c>
      <c r="K4304" s="2">
        <v>304</v>
      </c>
      <c r="L4304" s="2">
        <v>0</v>
      </c>
      <c r="M4304" s="2"/>
      <c r="N4304" s="8">
        <v>43204.717499999999</v>
      </c>
      <c r="O4304" s="4" t="s">
        <v>5428</v>
      </c>
      <c r="P4304" s="3" t="s">
        <v>5427</v>
      </c>
      <c r="Q4304" s="4"/>
      <c r="R4304" s="4"/>
      <c r="S4304" s="9" t="str">
        <f>HYPERLINK("https://pbs.twimg.com/profile_images/1015425732493930497/QMoZvd2J.jpg","View")</f>
        <v>View</v>
      </c>
    </row>
    <row r="4305" spans="1:19" ht="30">
      <c r="A4305" s="8">
        <v>43341.323715277773</v>
      </c>
      <c r="B4305" s="11" t="str">
        <f>HYPERLINK("https://twitter.com/Alitaheripak","@Alitaheripak")</f>
        <v>@Alitaheripak</v>
      </c>
      <c r="C4305" s="6" t="s">
        <v>5390</v>
      </c>
      <c r="D4305" s="5" t="s">
        <v>5426</v>
      </c>
      <c r="E4305" s="9" t="str">
        <f>HYPERLINK("https://twitter.com/Alitaheripak/status/1034640823978262529","1034640823978262529")</f>
        <v>1034640823978262529</v>
      </c>
      <c r="F4305" s="4"/>
      <c r="G4305" s="4"/>
      <c r="H4305" s="4"/>
      <c r="I4305" s="10" t="str">
        <f>HYPERLINK("https://mobile.twitter.com","Twitter Lite")</f>
        <v>Twitter Lite</v>
      </c>
      <c r="J4305" s="2">
        <v>1671</v>
      </c>
      <c r="K4305" s="2">
        <v>1649</v>
      </c>
      <c r="L4305" s="2">
        <v>2</v>
      </c>
      <c r="M4305" s="2"/>
      <c r="N4305" s="8">
        <v>43085.646944444445</v>
      </c>
      <c r="O4305" s="4" t="s">
        <v>5388</v>
      </c>
      <c r="P4305" s="3"/>
      <c r="Q4305" s="4"/>
      <c r="R4305" s="4"/>
      <c r="S4305" s="9" t="str">
        <f>HYPERLINK("https://pbs.twimg.com/profile_images/942673249711935488/s3W6LBul.jpg","View")</f>
        <v>View</v>
      </c>
    </row>
    <row r="4306" spans="1:19" ht="20">
      <c r="A4306" s="8">
        <v>43341.320196759261</v>
      </c>
      <c r="B4306" s="11" t="str">
        <f>HYPERLINK("https://twitter.com/ariadoustt","@ariadoustt")</f>
        <v>@ariadoustt</v>
      </c>
      <c r="C4306" s="6" t="s">
        <v>5425</v>
      </c>
      <c r="D4306" s="5" t="s">
        <v>5424</v>
      </c>
      <c r="E4306" s="9" t="str">
        <f>HYPERLINK("https://twitter.com/ariadoustt/status/1034639548247154689","1034639548247154689")</f>
        <v>1034639548247154689</v>
      </c>
      <c r="F4306" s="4"/>
      <c r="G4306" s="4"/>
      <c r="H4306" s="4"/>
      <c r="I4306" s="10" t="str">
        <f>HYPERLINK("http://twitter.com/download/android","Twitter for Android")</f>
        <v>Twitter for Android</v>
      </c>
      <c r="J4306" s="2">
        <v>1128</v>
      </c>
      <c r="K4306" s="2">
        <v>3584</v>
      </c>
      <c r="L4306" s="2">
        <v>2</v>
      </c>
      <c r="M4306" s="2"/>
      <c r="N4306" s="8">
        <v>42035.277499999997</v>
      </c>
      <c r="O4306" s="4" t="s">
        <v>17</v>
      </c>
      <c r="P4306" s="3" t="s">
        <v>5423</v>
      </c>
      <c r="Q4306" s="10" t="s">
        <v>5422</v>
      </c>
      <c r="R4306" s="4"/>
      <c r="S4306" s="9" t="str">
        <f>HYPERLINK("https://pbs.twimg.com/profile_images/992544236141727750/N44FDjn8.jpg","View")</f>
        <v>View</v>
      </c>
    </row>
    <row r="4307" spans="1:19" ht="20">
      <c r="A4307" s="8">
        <v>43341.319247685184</v>
      </c>
      <c r="B4307" s="11" t="str">
        <f>HYPERLINK("https://twitter.com/mhmd_ebrahim_","@mhmd_ebrahim_")</f>
        <v>@mhmd_ebrahim_</v>
      </c>
      <c r="C4307" s="6" t="s">
        <v>5421</v>
      </c>
      <c r="D4307" s="5" t="s">
        <v>5420</v>
      </c>
      <c r="E4307" s="9" t="str">
        <f>HYPERLINK("https://twitter.com/mhmd_ebrahim_/status/1034639202384789504","1034639202384789504")</f>
        <v>1034639202384789504</v>
      </c>
      <c r="F4307" s="4"/>
      <c r="G4307" s="10" t="s">
        <v>5419</v>
      </c>
      <c r="H4307" s="4"/>
      <c r="I4307" s="10" t="str">
        <f>HYPERLINK("http://twitter.com/download/android","Twitter for Android")</f>
        <v>Twitter for Android</v>
      </c>
      <c r="J4307" s="2">
        <v>410</v>
      </c>
      <c r="K4307" s="2">
        <v>493</v>
      </c>
      <c r="L4307" s="2">
        <v>0</v>
      </c>
      <c r="M4307" s="2"/>
      <c r="N4307" s="8">
        <v>43194.364363425921</v>
      </c>
      <c r="O4307" s="4"/>
      <c r="P4307" s="3" t="s">
        <v>5418</v>
      </c>
      <c r="Q4307" s="4"/>
      <c r="R4307" s="4"/>
      <c r="S4307" s="9" t="str">
        <f>HYPERLINK("https://pbs.twimg.com/profile_images/1006569615370092544/nWwIMxC0.jpg","View")</f>
        <v>View</v>
      </c>
    </row>
    <row r="4308" spans="1:19" ht="12.5">
      <c r="A4308" s="8">
        <v>43341.31449074074</v>
      </c>
      <c r="B4308" s="11" t="str">
        <f>HYPERLINK("https://twitter.com/Mohammadpk95","@Mohammadpk95")</f>
        <v>@Mohammadpk95</v>
      </c>
      <c r="C4308" s="6" t="s">
        <v>3278</v>
      </c>
      <c r="D4308" s="5" t="s">
        <v>5417</v>
      </c>
      <c r="E4308" s="9" t="str">
        <f>HYPERLINK("https://twitter.com/Mohammadpk95/status/1034637481352810496","1034637481352810496")</f>
        <v>1034637481352810496</v>
      </c>
      <c r="F4308" s="4"/>
      <c r="G4308" s="10" t="s">
        <v>5416</v>
      </c>
      <c r="H4308" s="4"/>
      <c r="I4308" s="10" t="str">
        <f>HYPERLINK("http://twitter.com/download/iphone","Twitter for iPhone")</f>
        <v>Twitter for iPhone</v>
      </c>
      <c r="J4308" s="2">
        <v>3</v>
      </c>
      <c r="K4308" s="2">
        <v>1</v>
      </c>
      <c r="L4308" s="2">
        <v>0</v>
      </c>
      <c r="M4308" s="2"/>
      <c r="N4308" s="8">
        <v>42799.852002314816</v>
      </c>
      <c r="O4308" s="4" t="s">
        <v>34</v>
      </c>
      <c r="P4308" s="3"/>
      <c r="Q4308" s="4"/>
      <c r="R4308" s="4"/>
      <c r="S4308" s="9" t="str">
        <f>HYPERLINK("https://pbs.twimg.com/profile_images/1034493590456741888/Nhqod3RA.jpg","View")</f>
        <v>View</v>
      </c>
    </row>
    <row r="4309" spans="1:19" ht="20">
      <c r="A4309" s="8">
        <v>43341.311192129629</v>
      </c>
      <c r="B4309" s="11" t="str">
        <f>HYPERLINK("https://twitter.com/zohoor_313","@zohoor_313")</f>
        <v>@zohoor_313</v>
      </c>
      <c r="C4309" s="6" t="s">
        <v>5415</v>
      </c>
      <c r="D4309" s="5" t="s">
        <v>5414</v>
      </c>
      <c r="E4309" s="9" t="str">
        <f>HYPERLINK("https://twitter.com/zohoor_313/status/1034636283736293376","1034636283736293376")</f>
        <v>1034636283736293376</v>
      </c>
      <c r="F4309" s="4"/>
      <c r="G4309" s="4"/>
      <c r="H4309" s="4"/>
      <c r="I4309" s="10" t="str">
        <f>HYPERLINK("http://twitter.com/download/android","Twitter for Android")</f>
        <v>Twitter for Android</v>
      </c>
      <c r="J4309" s="2">
        <v>34</v>
      </c>
      <c r="K4309" s="2">
        <v>28</v>
      </c>
      <c r="L4309" s="2">
        <v>0</v>
      </c>
      <c r="M4309" s="2"/>
      <c r="N4309" s="8">
        <v>43256.916481481487</v>
      </c>
      <c r="O4309" s="4" t="s">
        <v>17</v>
      </c>
      <c r="P4309" s="3" t="s">
        <v>5413</v>
      </c>
      <c r="Q4309" s="4"/>
      <c r="R4309" s="4"/>
      <c r="S4309" s="9" t="str">
        <f>HYPERLINK("https://pbs.twimg.com/profile_images/1019325815631306752/E1mREQG1.jpg","View")</f>
        <v>View</v>
      </c>
    </row>
    <row r="4310" spans="1:19" ht="30">
      <c r="A4310" s="8">
        <v>43341.309803240743</v>
      </c>
      <c r="B4310" s="11" t="str">
        <f>HYPERLINK("https://twitter.com/Atireza","@Atireza")</f>
        <v>@Atireza</v>
      </c>
      <c r="C4310" s="6" t="s">
        <v>5412</v>
      </c>
      <c r="D4310" s="5" t="s">
        <v>5411</v>
      </c>
      <c r="E4310" s="9" t="str">
        <f>HYPERLINK("https://twitter.com/Atireza/status/1034635782827503617","1034635782827503617")</f>
        <v>1034635782827503617</v>
      </c>
      <c r="F4310" s="4"/>
      <c r="G4310" s="4"/>
      <c r="H4310" s="4"/>
      <c r="I4310" s="10" t="str">
        <f>HYPERLINK("http://twitter.com/download/android","Twitter for Android")</f>
        <v>Twitter for Android</v>
      </c>
      <c r="J4310" s="2">
        <v>541</v>
      </c>
      <c r="K4310" s="2">
        <v>179</v>
      </c>
      <c r="L4310" s="2">
        <v>3</v>
      </c>
      <c r="M4310" s="2"/>
      <c r="N4310" s="8">
        <v>39861.656307870369</v>
      </c>
      <c r="O4310" s="4" t="s">
        <v>5410</v>
      </c>
      <c r="P4310" s="3" t="s">
        <v>5409</v>
      </c>
      <c r="Q4310" s="10" t="s">
        <v>5408</v>
      </c>
      <c r="R4310" s="4"/>
      <c r="S4310" s="9" t="str">
        <f>HYPERLINK("https://pbs.twimg.com/profile_images/855889319910834177/CVl-Tlds.jpg","View")</f>
        <v>View</v>
      </c>
    </row>
    <row r="4311" spans="1:19" ht="20">
      <c r="A4311" s="8">
        <v>43341.308819444443</v>
      </c>
      <c r="B4311" s="11" t="str">
        <f>HYPERLINK("https://twitter.com/Martikeht","@Martikeht")</f>
        <v>@Martikeht</v>
      </c>
      <c r="C4311" s="6" t="s">
        <v>5407</v>
      </c>
      <c r="D4311" s="5" t="s">
        <v>5406</v>
      </c>
      <c r="E4311" s="9" t="str">
        <f>HYPERLINK("https://twitter.com/Martikeht/status/1034635423321128960","1034635423321128960")</f>
        <v>1034635423321128960</v>
      </c>
      <c r="F4311" s="4"/>
      <c r="G4311" s="4"/>
      <c r="H4311" s="4"/>
      <c r="I4311" s="10" t="str">
        <f>HYPERLINK("http://twitter.com/download/android","Twitter for Android")</f>
        <v>Twitter for Android</v>
      </c>
      <c r="J4311" s="2">
        <v>741</v>
      </c>
      <c r="K4311" s="2">
        <v>155</v>
      </c>
      <c r="L4311" s="2">
        <v>5</v>
      </c>
      <c r="M4311" s="2"/>
      <c r="N4311" s="8">
        <v>42968.652800925927</v>
      </c>
      <c r="O4311" s="4"/>
      <c r="P4311" s="3" t="s">
        <v>5405</v>
      </c>
      <c r="Q4311" s="4"/>
      <c r="R4311" s="4"/>
      <c r="S4311" s="9" t="str">
        <f>HYPERLINK("https://pbs.twimg.com/profile_images/969927910223220738/hwG_91Bb.jpg","View")</f>
        <v>View</v>
      </c>
    </row>
    <row r="4312" spans="1:19" ht="20">
      <c r="A4312" s="8">
        <v>43341.307002314818</v>
      </c>
      <c r="B4312" s="11" t="str">
        <f>HYPERLINK("https://twitter.com/H_najjarzadeh","@H_najjarzadeh")</f>
        <v>@H_najjarzadeh</v>
      </c>
      <c r="C4312" s="6" t="s">
        <v>5404</v>
      </c>
      <c r="D4312" s="5" t="s">
        <v>5403</v>
      </c>
      <c r="E4312" s="9" t="str">
        <f>HYPERLINK("https://twitter.com/H_najjarzadeh/status/1034634767730450434","1034634767730450434")</f>
        <v>1034634767730450434</v>
      </c>
      <c r="F4312" s="4"/>
      <c r="G4312" s="4"/>
      <c r="H4312" s="4"/>
      <c r="I4312" s="10" t="str">
        <f>HYPERLINK("http://twitter.com/download/android","Twitter for Android")</f>
        <v>Twitter for Android</v>
      </c>
      <c r="J4312" s="2">
        <v>17</v>
      </c>
      <c r="K4312" s="2">
        <v>31</v>
      </c>
      <c r="L4312" s="2">
        <v>0</v>
      </c>
      <c r="M4312" s="2"/>
      <c r="N4312" s="8">
        <v>42951.036979166667</v>
      </c>
      <c r="O4312" s="4" t="s">
        <v>34</v>
      </c>
      <c r="P4312" s="3" t="s">
        <v>5402</v>
      </c>
      <c r="Q4312" s="4"/>
      <c r="R4312" s="4"/>
      <c r="S4312" s="9" t="str">
        <f>HYPERLINK("https://pbs.twimg.com/profile_images/893207987103318016/fPAxE1QA.jpg","View")</f>
        <v>View</v>
      </c>
    </row>
    <row r="4313" spans="1:19" ht="20">
      <c r="A4313" s="8">
        <v>43341.306666666671</v>
      </c>
      <c r="B4313" s="11" t="str">
        <f>HYPERLINK("https://twitter.com/Mostafa87374824","@Mostafa87374824")</f>
        <v>@Mostafa87374824</v>
      </c>
      <c r="C4313" s="6" t="s">
        <v>5401</v>
      </c>
      <c r="D4313" s="5" t="s">
        <v>5400</v>
      </c>
      <c r="E4313" s="9" t="str">
        <f>HYPERLINK("https://twitter.com/Mostafa87374824/status/1034634644552118272","1034634644552118272")</f>
        <v>1034634644552118272</v>
      </c>
      <c r="F4313" s="4"/>
      <c r="G4313" s="10" t="s">
        <v>5399</v>
      </c>
      <c r="H4313" s="4"/>
      <c r="I4313" s="10" t="str">
        <f>HYPERLINK("http://twitter.com/download/iphone","Twitter for iPhone")</f>
        <v>Twitter for iPhone</v>
      </c>
      <c r="J4313" s="2">
        <v>200</v>
      </c>
      <c r="K4313" s="2">
        <v>241</v>
      </c>
      <c r="L4313" s="2">
        <v>0</v>
      </c>
      <c r="M4313" s="2"/>
      <c r="N4313" s="8">
        <v>42973.065324074079</v>
      </c>
      <c r="O4313" s="4" t="s">
        <v>5398</v>
      </c>
      <c r="P4313" s="3" t="s">
        <v>5397</v>
      </c>
      <c r="Q4313" s="4"/>
      <c r="R4313" s="4"/>
      <c r="S4313" s="9" t="str">
        <f>HYPERLINK("https://pbs.twimg.com/profile_images/1033940921124089856/y5NOKTry.jpg","View")</f>
        <v>View</v>
      </c>
    </row>
    <row r="4314" spans="1:19" ht="20">
      <c r="A4314" s="8">
        <v>43341.305706018524</v>
      </c>
      <c r="B4314" s="11" t="str">
        <f>HYPERLINK("https://twitter.com/EhsanMzdi","@EhsanMzdi")</f>
        <v>@EhsanMzdi</v>
      </c>
      <c r="C4314" s="6" t="s">
        <v>4498</v>
      </c>
      <c r="D4314" s="5" t="s">
        <v>5396</v>
      </c>
      <c r="E4314" s="9" t="str">
        <f>HYPERLINK("https://twitter.com/EhsanMzdi/status/1034634296903036928","1034634296903036928")</f>
        <v>1034634296903036928</v>
      </c>
      <c r="F4314" s="4"/>
      <c r="G4314" s="4"/>
      <c r="H4314" s="4"/>
      <c r="I4314" s="10" t="str">
        <f>HYPERLINK("http://twitter.com/download/android","Twitter for Android")</f>
        <v>Twitter for Android</v>
      </c>
      <c r="J4314" s="2">
        <v>2</v>
      </c>
      <c r="K4314" s="2">
        <v>27</v>
      </c>
      <c r="L4314" s="2">
        <v>0</v>
      </c>
      <c r="M4314" s="2"/>
      <c r="N4314" s="8">
        <v>43323.430821759262</v>
      </c>
      <c r="O4314" s="4" t="s">
        <v>25</v>
      </c>
      <c r="P4314" s="3" t="s">
        <v>5395</v>
      </c>
      <c r="Q4314" s="4"/>
      <c r="R4314" s="4"/>
      <c r="S4314" s="9" t="str">
        <f>HYPERLINK("https://pbs.twimg.com/profile_images/1033941152507064322/rnbeRUU4.jpg","View")</f>
        <v>View</v>
      </c>
    </row>
    <row r="4315" spans="1:19" ht="20">
      <c r="A4315" s="8">
        <v>43341.304942129631</v>
      </c>
      <c r="B4315" s="11" t="str">
        <f>HYPERLINK("https://twitter.com/hossein1440","@hossein1440")</f>
        <v>@hossein1440</v>
      </c>
      <c r="C4315" s="6" t="s">
        <v>206</v>
      </c>
      <c r="D4315" s="5" t="s">
        <v>5394</v>
      </c>
      <c r="E4315" s="9" t="str">
        <f>HYPERLINK("https://twitter.com/hossein1440/status/1034634018728407041","1034634018728407041")</f>
        <v>1034634018728407041</v>
      </c>
      <c r="F4315" s="4"/>
      <c r="G4315" s="4"/>
      <c r="H4315" s="4"/>
      <c r="I4315" s="10" t="str">
        <f>HYPERLINK("http://twitter.com/download/android","Twitter for Android")</f>
        <v>Twitter for Android</v>
      </c>
      <c r="J4315" s="2">
        <v>245</v>
      </c>
      <c r="K4315" s="2">
        <v>395</v>
      </c>
      <c r="L4315" s="2">
        <v>0</v>
      </c>
      <c r="M4315" s="2"/>
      <c r="N4315" s="8">
        <v>43259.933495370366</v>
      </c>
      <c r="O4315" s="4" t="s">
        <v>17</v>
      </c>
      <c r="P4315" s="3" t="s">
        <v>204</v>
      </c>
      <c r="Q4315" s="4"/>
      <c r="R4315" s="4"/>
      <c r="S4315" s="9" t="str">
        <f>HYPERLINK("https://pbs.twimg.com/profile_images/1023239182867681281/A18ja227.jpg","View")</f>
        <v>View</v>
      </c>
    </row>
    <row r="4316" spans="1:19" ht="20">
      <c r="A4316" s="8">
        <v>43341.29923611111</v>
      </c>
      <c r="B4316" s="11" t="str">
        <f>HYPERLINK("https://twitter.com/ermia_jb","@ermia_jb")</f>
        <v>@ermia_jb</v>
      </c>
      <c r="C4316" s="6" t="s">
        <v>5393</v>
      </c>
      <c r="D4316" s="5" t="s">
        <v>5392</v>
      </c>
      <c r="E4316" s="9" t="str">
        <f>HYPERLINK("https://twitter.com/ermia_jb/status/1034631952350015488","1034631952350015488")</f>
        <v>1034631952350015488</v>
      </c>
      <c r="F4316" s="4"/>
      <c r="G4316" s="4"/>
      <c r="H4316" s="4"/>
      <c r="I4316" s="10" t="str">
        <f>HYPERLINK("http://twitter.com/download/android","Twitter for Android")</f>
        <v>Twitter for Android</v>
      </c>
      <c r="J4316" s="2">
        <v>46</v>
      </c>
      <c r="K4316" s="2">
        <v>70</v>
      </c>
      <c r="L4316" s="2">
        <v>0</v>
      </c>
      <c r="M4316" s="2"/>
      <c r="N4316" s="8">
        <v>43324.573437500003</v>
      </c>
      <c r="O4316" s="4" t="s">
        <v>34</v>
      </c>
      <c r="P4316" s="3" t="s">
        <v>5391</v>
      </c>
      <c r="Q4316" s="4"/>
      <c r="R4316" s="4"/>
      <c r="S4316" s="9" t="str">
        <f>HYPERLINK("https://pbs.twimg.com/profile_images/1031250917834809344/xRJck9G0.jpg","View")</f>
        <v>View</v>
      </c>
    </row>
    <row r="4317" spans="1:19" ht="80">
      <c r="A4317" s="8">
        <v>43341.297708333332</v>
      </c>
      <c r="B4317" s="11" t="str">
        <f>HYPERLINK("https://twitter.com/Alitaheripak","@Alitaheripak")</f>
        <v>@Alitaheripak</v>
      </c>
      <c r="C4317" s="6" t="s">
        <v>5390</v>
      </c>
      <c r="D4317" s="5" t="s">
        <v>5389</v>
      </c>
      <c r="E4317" s="9" t="str">
        <f>HYPERLINK("https://twitter.com/Alitaheripak/status/1034631396894101504","1034631396894101504")</f>
        <v>1034631396894101504</v>
      </c>
      <c r="F4317" s="10" t="s">
        <v>612</v>
      </c>
      <c r="G4317" s="4"/>
      <c r="H4317" s="4"/>
      <c r="I4317" s="10" t="str">
        <f>HYPERLINK("https://mobile.twitter.com","Twitter Lite")</f>
        <v>Twitter Lite</v>
      </c>
      <c r="J4317" s="2">
        <v>1672</v>
      </c>
      <c r="K4317" s="2">
        <v>1644</v>
      </c>
      <c r="L4317" s="2">
        <v>2</v>
      </c>
      <c r="M4317" s="2"/>
      <c r="N4317" s="8">
        <v>43085.646944444445</v>
      </c>
      <c r="O4317" s="4" t="s">
        <v>5388</v>
      </c>
      <c r="P4317" s="3"/>
      <c r="Q4317" s="4"/>
      <c r="R4317" s="4"/>
      <c r="S4317" s="9" t="str">
        <f>HYPERLINK("https://pbs.twimg.com/profile_images/942673249711935488/s3W6LBul.jpg","View")</f>
        <v>View</v>
      </c>
    </row>
    <row r="4318" spans="1:19" ht="30">
      <c r="A4318" s="8">
        <v>43341.297615740739</v>
      </c>
      <c r="B4318" s="11" t="str">
        <f>HYPERLINK("https://twitter.com/ghalou_Salama","@ghalou_Salama")</f>
        <v>@ghalou_Salama</v>
      </c>
      <c r="C4318" s="6" t="s">
        <v>5387</v>
      </c>
      <c r="D4318" s="5" t="s">
        <v>5386</v>
      </c>
      <c r="E4318" s="9" t="str">
        <f>HYPERLINK("https://twitter.com/ghalou_Salama/status/1034631365881470976","1034631365881470976")</f>
        <v>1034631365881470976</v>
      </c>
      <c r="F4318" s="4"/>
      <c r="G4318" s="4"/>
      <c r="H4318" s="4"/>
      <c r="I4318" s="10" t="str">
        <f>HYPERLINK("http://twitter.com/download/android","Twitter for Android")</f>
        <v>Twitter for Android</v>
      </c>
      <c r="J4318" s="2">
        <v>38</v>
      </c>
      <c r="K4318" s="2">
        <v>35</v>
      </c>
      <c r="L4318" s="2">
        <v>0</v>
      </c>
      <c r="M4318" s="2"/>
      <c r="N4318" s="8">
        <v>42743.988576388889</v>
      </c>
      <c r="O4318" s="4"/>
      <c r="P4318" s="3" t="s">
        <v>5385</v>
      </c>
      <c r="Q4318" s="4"/>
      <c r="R4318" s="4"/>
      <c r="S4318" s="9" t="str">
        <f>HYPERLINK("https://pbs.twimg.com/profile_images/818191164067065856/MG5j14tY.jpg","View")</f>
        <v>View</v>
      </c>
    </row>
    <row r="4319" spans="1:19" ht="20">
      <c r="A4319" s="8">
        <v>43341.294467592597</v>
      </c>
      <c r="B4319" s="11" t="str">
        <f>HYPERLINK("https://twitter.com/m_r_f_najafi","@m_r_f_najafi")</f>
        <v>@m_r_f_najafi</v>
      </c>
      <c r="C4319" s="6" t="s">
        <v>4383</v>
      </c>
      <c r="D4319" s="5" t="s">
        <v>5384</v>
      </c>
      <c r="E4319" s="9" t="str">
        <f>HYPERLINK("https://twitter.com/m_r_f_najafi/status/1034630222333857792","1034630222333857792")</f>
        <v>1034630222333857792</v>
      </c>
      <c r="F4319" s="4"/>
      <c r="G4319" s="4"/>
      <c r="H4319" s="4"/>
      <c r="I4319" s="10" t="str">
        <f>HYPERLINK("http://twitter.com/download/android","Twitter for Android")</f>
        <v>Twitter for Android</v>
      </c>
      <c r="J4319" s="2">
        <v>212</v>
      </c>
      <c r="K4319" s="2">
        <v>33</v>
      </c>
      <c r="L4319" s="2">
        <v>3</v>
      </c>
      <c r="M4319" s="2"/>
      <c r="N4319" s="8">
        <v>43032.872303240743</v>
      </c>
      <c r="O4319" s="4"/>
      <c r="P4319" s="3"/>
      <c r="Q4319" s="4"/>
      <c r="R4319" s="4"/>
      <c r="S4319" s="9" t="str">
        <f>HYPERLINK("https://pbs.twimg.com/profile_images/932731081786142720/P3d8Wbit.jpg","View")</f>
        <v>View</v>
      </c>
    </row>
    <row r="4320" spans="1:19" ht="20">
      <c r="A4320" s="8">
        <v>43341.291990740741</v>
      </c>
      <c r="B4320" s="11" t="str">
        <f>HYPERLINK("https://twitter.com/mohammadBTK","@mohammadBTK")</f>
        <v>@mohammadBTK</v>
      </c>
      <c r="C4320" s="6" t="s">
        <v>945</v>
      </c>
      <c r="D4320" s="5" t="s">
        <v>5383</v>
      </c>
      <c r="E4320" s="9" t="str">
        <f>HYPERLINK("https://twitter.com/mohammadBTK/status/1034629324954132481","1034629324954132481")</f>
        <v>1034629324954132481</v>
      </c>
      <c r="F4320" s="4"/>
      <c r="G4320" s="4"/>
      <c r="H4320" s="4"/>
      <c r="I4320" s="10" t="str">
        <f>HYPERLINK("http://twitter.com/download/android","Twitter for Android")</f>
        <v>Twitter for Android</v>
      </c>
      <c r="J4320" s="2">
        <v>10</v>
      </c>
      <c r="K4320" s="2">
        <v>9</v>
      </c>
      <c r="L4320" s="2">
        <v>2</v>
      </c>
      <c r="M4320" s="2"/>
      <c r="N4320" s="8">
        <v>41559.78266203704</v>
      </c>
      <c r="O4320" s="4"/>
      <c r="P4320" s="3"/>
      <c r="Q4320" s="4"/>
      <c r="R4320" s="4"/>
      <c r="S4320" s="9" t="str">
        <f>HYPERLINK("https://pbs.twimg.com/profile_images/822868796948049920/EaPWRdjB.jpg","View")</f>
        <v>View</v>
      </c>
    </row>
    <row r="4321" spans="1:19" ht="20">
      <c r="A4321" s="8">
        <v>43341.290995370371</v>
      </c>
      <c r="B4321" s="11" t="str">
        <f>HYPERLINK("https://twitter.com/sh_233_kh","@sh_233_kh")</f>
        <v>@sh_233_kh</v>
      </c>
      <c r="C4321" s="6" t="s">
        <v>5382</v>
      </c>
      <c r="D4321" s="5" t="s">
        <v>5381</v>
      </c>
      <c r="E4321" s="9" t="str">
        <f>HYPERLINK("https://twitter.com/sh_233_kh/status/1034628963933593600","1034628963933593600")</f>
        <v>1034628963933593600</v>
      </c>
      <c r="F4321" s="4"/>
      <c r="G4321" s="10" t="s">
        <v>5380</v>
      </c>
      <c r="H4321" s="4"/>
      <c r="I4321" s="10" t="str">
        <f>HYPERLINK("http://twitter.com/download/android","Twitter for Android")</f>
        <v>Twitter for Android</v>
      </c>
      <c r="J4321" s="2">
        <v>21</v>
      </c>
      <c r="K4321" s="2">
        <v>55</v>
      </c>
      <c r="L4321" s="2">
        <v>0</v>
      </c>
      <c r="M4321" s="2"/>
      <c r="N4321" s="8">
        <v>43332.919421296298</v>
      </c>
      <c r="O4321" s="4"/>
      <c r="P4321" s="3" t="s">
        <v>5379</v>
      </c>
      <c r="Q4321" s="4"/>
      <c r="R4321" s="4"/>
      <c r="S4321" s="9" t="str">
        <f>HYPERLINK("https://pbs.twimg.com/profile_images/1031606907847540736/ShccoNgW.jpg","View")</f>
        <v>View</v>
      </c>
    </row>
    <row r="4322" spans="1:19" ht="30">
      <c r="A4322" s="8">
        <v>43341.287361111114</v>
      </c>
      <c r="B4322" s="11" t="str">
        <f>HYPERLINK("https://twitter.com/HSelahvarzi","@HSelahvarzi")</f>
        <v>@HSelahvarzi</v>
      </c>
      <c r="C4322" s="6" t="s">
        <v>5378</v>
      </c>
      <c r="D4322" s="5" t="s">
        <v>5377</v>
      </c>
      <c r="E4322" s="9" t="str">
        <f>HYPERLINK("https://twitter.com/HSelahvarzi/status/1034627650466316288","1034627650466316288")</f>
        <v>1034627650466316288</v>
      </c>
      <c r="F4322" s="4"/>
      <c r="G4322" s="4"/>
      <c r="H4322" s="4"/>
      <c r="I4322" s="10" t="str">
        <f>HYPERLINK("http://twitter.com/download/iphone","Twitter for iPhone")</f>
        <v>Twitter for iPhone</v>
      </c>
      <c r="J4322" s="2">
        <v>1522</v>
      </c>
      <c r="K4322" s="2">
        <v>310</v>
      </c>
      <c r="L4322" s="2">
        <v>9</v>
      </c>
      <c r="M4322" s="2"/>
      <c r="N4322" s="8">
        <v>41211.954907407409</v>
      </c>
      <c r="O4322" s="4" t="s">
        <v>324</v>
      </c>
      <c r="P4322" s="3"/>
      <c r="Q4322" s="10" t="s">
        <v>5376</v>
      </c>
      <c r="R4322" s="4"/>
      <c r="S4322" s="9" t="str">
        <f>HYPERLINK("https://pbs.twimg.com/profile_images/988790805425946624/o-T22DmR.jpg","View")</f>
        <v>View</v>
      </c>
    </row>
    <row r="4323" spans="1:19" ht="12.5">
      <c r="A4323" s="8">
        <v>43341.286574074074</v>
      </c>
      <c r="B4323" s="11" t="str">
        <f>HYPERLINK("https://twitter.com/abbdahghan","@abbdahghan")</f>
        <v>@abbdahghan</v>
      </c>
      <c r="C4323" s="6" t="s">
        <v>5375</v>
      </c>
      <c r="D4323" s="5" t="s">
        <v>5374</v>
      </c>
      <c r="E4323" s="9" t="str">
        <f>HYPERLINK("https://twitter.com/abbdahghan/status/1034627361696833537","1034627361696833537")</f>
        <v>1034627361696833537</v>
      </c>
      <c r="F4323" s="4"/>
      <c r="G4323" s="10" t="s">
        <v>5373</v>
      </c>
      <c r="H4323" s="4"/>
      <c r="I4323" s="10" t="str">
        <f>HYPERLINK("http://twitter.com/download/android","Twitter for Android")</f>
        <v>Twitter for Android</v>
      </c>
      <c r="J4323" s="2">
        <v>1213</v>
      </c>
      <c r="K4323" s="2">
        <v>1156</v>
      </c>
      <c r="L4323" s="2">
        <v>1</v>
      </c>
      <c r="M4323" s="2"/>
      <c r="N4323" s="8">
        <v>43082.940659722226</v>
      </c>
      <c r="O4323" s="4" t="s">
        <v>524</v>
      </c>
      <c r="P4323" s="3" t="s">
        <v>5372</v>
      </c>
      <c r="Q4323" s="4"/>
      <c r="R4323" s="4"/>
      <c r="S4323" s="9" t="str">
        <f>HYPERLINK("https://pbs.twimg.com/profile_images/941024904006307840/BqsUL6n2.jpg","View")</f>
        <v>View</v>
      </c>
    </row>
    <row r="4324" spans="1:19" ht="12.5">
      <c r="A4324" s="8">
        <v>43341.286504629628</v>
      </c>
      <c r="B4324" s="11" t="str">
        <f>HYPERLINK("https://twitter.com/ghoghnoos20","@ghoghnoos20")</f>
        <v>@ghoghnoos20</v>
      </c>
      <c r="C4324" s="6" t="s">
        <v>4691</v>
      </c>
      <c r="D4324" s="5" t="s">
        <v>5371</v>
      </c>
      <c r="E4324" s="9" t="str">
        <f>HYPERLINK("https://twitter.com/ghoghnoos20/status/1034627337319579649","1034627337319579649")</f>
        <v>1034627337319579649</v>
      </c>
      <c r="F4324" s="4"/>
      <c r="G4324" s="10" t="s">
        <v>5370</v>
      </c>
      <c r="H4324" s="4"/>
      <c r="I4324" s="10" t="str">
        <f>HYPERLINK("http://twitter.com/download/android","Twitter for Android")</f>
        <v>Twitter for Android</v>
      </c>
      <c r="J4324" s="2">
        <v>3492</v>
      </c>
      <c r="K4324" s="2">
        <v>4101</v>
      </c>
      <c r="L4324" s="2">
        <v>6</v>
      </c>
      <c r="M4324" s="2"/>
      <c r="N4324" s="8">
        <v>42787.976851851854</v>
      </c>
      <c r="O4324" s="4" t="s">
        <v>5369</v>
      </c>
      <c r="P4324" s="3" t="s">
        <v>5368</v>
      </c>
      <c r="Q4324" s="4"/>
      <c r="R4324" s="4"/>
      <c r="S4324" s="9" t="str">
        <f>HYPERLINK("https://pbs.twimg.com/profile_images/966638259760713728/89SW9L_Z.jpg","View")</f>
        <v>View</v>
      </c>
    </row>
    <row r="4325" spans="1:19" ht="12.5">
      <c r="A4325" s="8">
        <v>43341.284618055557</v>
      </c>
      <c r="B4325" s="11" t="str">
        <f>HYPERLINK("https://twitter.com/muhammadparsi73","@muhammadparsi73")</f>
        <v>@muhammadparsi73</v>
      </c>
      <c r="C4325" s="6" t="s">
        <v>5367</v>
      </c>
      <c r="D4325" s="5" t="s">
        <v>5366</v>
      </c>
      <c r="E4325" s="9" t="str">
        <f>HYPERLINK("https://twitter.com/muhammadparsi73/status/1034626654444904450","1034626654444904450")</f>
        <v>1034626654444904450</v>
      </c>
      <c r="F4325" s="4"/>
      <c r="G4325" s="4"/>
      <c r="H4325" s="4"/>
      <c r="I4325" s="10" t="str">
        <f>HYPERLINK("http://twitter.com/download/android","Twitter for Android")</f>
        <v>Twitter for Android</v>
      </c>
      <c r="J4325" s="2">
        <v>93</v>
      </c>
      <c r="K4325" s="2">
        <v>421</v>
      </c>
      <c r="L4325" s="2">
        <v>0</v>
      </c>
      <c r="M4325" s="2"/>
      <c r="N4325" s="8">
        <v>41333.453877314816</v>
      </c>
      <c r="O4325" s="4"/>
      <c r="P4325" s="3" t="s">
        <v>5365</v>
      </c>
      <c r="Q4325" s="4"/>
      <c r="R4325" s="4"/>
      <c r="S4325" s="9" t="str">
        <f>HYPERLINK("https://pbs.twimg.com/profile_images/1017718100530204672/biVdoiyv.jpg","View")</f>
        <v>View</v>
      </c>
    </row>
    <row r="4326" spans="1:19" ht="20">
      <c r="A4326" s="8">
        <v>43341.280914351853</v>
      </c>
      <c r="B4326" s="11" t="str">
        <f>HYPERLINK("https://twitter.com/gh_advar","@gh_advar")</f>
        <v>@gh_advar</v>
      </c>
      <c r="C4326" s="6" t="s">
        <v>5360</v>
      </c>
      <c r="D4326" s="5" t="s">
        <v>5364</v>
      </c>
      <c r="E4326" s="9" t="str">
        <f>HYPERLINK("https://twitter.com/gh_advar/status/1034625312297037825","1034625312297037825")</f>
        <v>1034625312297037825</v>
      </c>
      <c r="F4326" s="4"/>
      <c r="G4326" s="4"/>
      <c r="H4326" s="4"/>
      <c r="I4326" s="10" t="str">
        <f>HYPERLINK("https://mobile.twitter.com","Twitter Lite")</f>
        <v>Twitter Lite</v>
      </c>
      <c r="J4326" s="2">
        <v>4</v>
      </c>
      <c r="K4326" s="2">
        <v>34</v>
      </c>
      <c r="L4326" s="2">
        <v>0</v>
      </c>
      <c r="M4326" s="2"/>
      <c r="N4326" s="8">
        <v>43319.36005787037</v>
      </c>
      <c r="O4326" s="4"/>
      <c r="P4326" s="3"/>
      <c r="Q4326" s="4"/>
      <c r="R4326" s="4"/>
      <c r="S4326" s="2" t="s">
        <v>155</v>
      </c>
    </row>
    <row r="4327" spans="1:19" ht="20">
      <c r="A4327" s="8">
        <v>43341.28056712963</v>
      </c>
      <c r="B4327" s="11" t="str">
        <f>HYPERLINK("https://twitter.com/sinaalavi69","@sinaalavi69")</f>
        <v>@sinaalavi69</v>
      </c>
      <c r="C4327" s="6" t="s">
        <v>5363</v>
      </c>
      <c r="D4327" s="5" t="s">
        <v>5362</v>
      </c>
      <c r="E4327" s="9" t="str">
        <f>HYPERLINK("https://twitter.com/sinaalavi69/status/1034625188057567233","1034625188057567233")</f>
        <v>1034625188057567233</v>
      </c>
      <c r="F4327" s="4"/>
      <c r="G4327" s="4"/>
      <c r="H4327" s="4"/>
      <c r="I4327" s="10" t="str">
        <f>HYPERLINK("http://twitter.com/download/android","Twitter for Android")</f>
        <v>Twitter for Android</v>
      </c>
      <c r="J4327" s="2">
        <v>168</v>
      </c>
      <c r="K4327" s="2">
        <v>296</v>
      </c>
      <c r="L4327" s="2">
        <v>0</v>
      </c>
      <c r="M4327" s="2"/>
      <c r="N4327" s="8">
        <v>43252.683229166665</v>
      </c>
      <c r="O4327" s="4"/>
      <c r="P4327" s="3" t="s">
        <v>5361</v>
      </c>
      <c r="Q4327" s="4"/>
      <c r="R4327" s="4"/>
      <c r="S4327" s="9" t="str">
        <f>HYPERLINK("https://pbs.twimg.com/profile_images/1034624641321582593/ItiNDNjO.jpg","View")</f>
        <v>View</v>
      </c>
    </row>
    <row r="4328" spans="1:19" ht="20">
      <c r="A4328" s="8">
        <v>43341.279837962968</v>
      </c>
      <c r="B4328" s="11" t="str">
        <f>HYPERLINK("https://twitter.com/gh_advar","@gh_advar")</f>
        <v>@gh_advar</v>
      </c>
      <c r="C4328" s="6" t="s">
        <v>5360</v>
      </c>
      <c r="D4328" s="5" t="s">
        <v>5359</v>
      </c>
      <c r="E4328" s="9" t="str">
        <f>HYPERLINK("https://twitter.com/gh_advar/status/1034624921819856896","1034624921819856896")</f>
        <v>1034624921819856896</v>
      </c>
      <c r="F4328" s="4"/>
      <c r="G4328" s="4"/>
      <c r="H4328" s="4"/>
      <c r="I4328" s="10" t="str">
        <f>HYPERLINK("https://mobile.twitter.com","Twitter Lite")</f>
        <v>Twitter Lite</v>
      </c>
      <c r="J4328" s="2">
        <v>4</v>
      </c>
      <c r="K4328" s="2">
        <v>34</v>
      </c>
      <c r="L4328" s="2">
        <v>0</v>
      </c>
      <c r="M4328" s="2"/>
      <c r="N4328" s="8">
        <v>43319.36005787037</v>
      </c>
      <c r="O4328" s="4"/>
      <c r="P4328" s="3"/>
      <c r="Q4328" s="4"/>
      <c r="R4328" s="4"/>
      <c r="S4328" s="2" t="s">
        <v>155</v>
      </c>
    </row>
    <row r="4329" spans="1:19" ht="40">
      <c r="A4329" s="8">
        <v>43341.272766203707</v>
      </c>
      <c r="B4329" s="11" t="str">
        <f>HYPERLINK("https://twitter.com/hamedrezaei123","@hamedrezaei123")</f>
        <v>@hamedrezaei123</v>
      </c>
      <c r="C4329" s="6" t="s">
        <v>5358</v>
      </c>
      <c r="D4329" s="5" t="s">
        <v>5357</v>
      </c>
      <c r="E4329" s="9" t="str">
        <f>HYPERLINK("https://twitter.com/hamedrezaei123/status/1034622359376777216","1034622359376777216")</f>
        <v>1034622359376777216</v>
      </c>
      <c r="F4329" s="4"/>
      <c r="G4329" s="4"/>
      <c r="H4329" s="4"/>
      <c r="I4329" s="10" t="str">
        <f>HYPERLINK("http://twitter.com","Twitter Web Client")</f>
        <v>Twitter Web Client</v>
      </c>
      <c r="J4329" s="2">
        <v>1421</v>
      </c>
      <c r="K4329" s="2">
        <v>1092</v>
      </c>
      <c r="L4329" s="2">
        <v>9</v>
      </c>
      <c r="M4329" s="2"/>
      <c r="N4329" s="8">
        <v>43052.889745370368</v>
      </c>
      <c r="O4329" s="4"/>
      <c r="P4329" s="3" t="s">
        <v>5356</v>
      </c>
      <c r="Q4329" s="4"/>
      <c r="R4329" s="4"/>
      <c r="S4329" s="9" t="str">
        <f>HYPERLINK("https://pbs.twimg.com/profile_images/938034517201358853/YTDDHwyn.jpg","View")</f>
        <v>View</v>
      </c>
    </row>
    <row r="4330" spans="1:19" ht="40">
      <c r="A4330" s="8">
        <v>43341.272118055553</v>
      </c>
      <c r="B4330" s="11" t="str">
        <f>HYPERLINK("https://twitter.com/ProfVonghazwing","@ProfVonghazwing")</f>
        <v>@ProfVonghazwing</v>
      </c>
      <c r="C4330" s="6" t="s">
        <v>5355</v>
      </c>
      <c r="D4330" s="5" t="s">
        <v>5354</v>
      </c>
      <c r="E4330" s="9" t="str">
        <f>HYPERLINK("https://twitter.com/ProfVonghazwing/status/1034622124344963072","1034622124344963072")</f>
        <v>1034622124344963072</v>
      </c>
      <c r="F4330" s="4"/>
      <c r="G4330" s="4"/>
      <c r="H4330" s="4"/>
      <c r="I4330" s="10" t="str">
        <f>HYPERLINK("https://mobile.twitter.com","Twitter Lite")</f>
        <v>Twitter Lite</v>
      </c>
      <c r="J4330" s="2">
        <v>453</v>
      </c>
      <c r="K4330" s="2">
        <v>127</v>
      </c>
      <c r="L4330" s="2">
        <v>4</v>
      </c>
      <c r="M4330" s="2"/>
      <c r="N4330" s="8">
        <v>42838.409236111111</v>
      </c>
      <c r="O4330" s="4"/>
      <c r="P4330" s="3" t="s">
        <v>5353</v>
      </c>
      <c r="Q4330" s="4"/>
      <c r="R4330" s="4"/>
      <c r="S4330" s="9" t="str">
        <f>HYPERLINK("https://pbs.twimg.com/profile_images/956961896434778112/gOV3awyp.jpg","View")</f>
        <v>View</v>
      </c>
    </row>
    <row r="4331" spans="1:19" ht="30">
      <c r="A4331" s="8">
        <v>43341.269548611112</v>
      </c>
      <c r="B4331" s="11" t="str">
        <f>HYPERLINK("https://twitter.com/iran053","@iran053")</f>
        <v>@iran053</v>
      </c>
      <c r="C4331" s="6" t="s">
        <v>5352</v>
      </c>
      <c r="D4331" s="5" t="s">
        <v>5351</v>
      </c>
      <c r="E4331" s="9" t="str">
        <f>HYPERLINK("https://twitter.com/iran053/status/1034621191569518594","1034621191569518594")</f>
        <v>1034621191569518594</v>
      </c>
      <c r="F4331" s="4"/>
      <c r="G4331" s="4"/>
      <c r="H4331" s="4"/>
      <c r="I4331" s="10" t="str">
        <f>HYPERLINK("http://twitter.com/download/android","Twitter for Android")</f>
        <v>Twitter for Android</v>
      </c>
      <c r="J4331" s="2">
        <v>202</v>
      </c>
      <c r="K4331" s="2">
        <v>827</v>
      </c>
      <c r="L4331" s="2">
        <v>1</v>
      </c>
      <c r="M4331" s="2"/>
      <c r="N4331" s="8">
        <v>41529.40457175926</v>
      </c>
      <c r="O4331" s="4"/>
      <c r="P4331" s="3" t="s">
        <v>5350</v>
      </c>
      <c r="Q4331" s="4"/>
      <c r="R4331" s="4"/>
      <c r="S4331" s="9" t="str">
        <f>HYPERLINK("https://pbs.twimg.com/profile_images/920015540948754432/gI5G82bM.jpg","View")</f>
        <v>View</v>
      </c>
    </row>
    <row r="4332" spans="1:19" ht="30">
      <c r="A4332" s="8">
        <v>43341.259282407409</v>
      </c>
      <c r="B4332" s="11" t="str">
        <f>HYPERLINK("https://twitter.com/poorya_kadivar","@poorya_kadivar")</f>
        <v>@poorya_kadivar</v>
      </c>
      <c r="C4332" s="6" t="s">
        <v>5349</v>
      </c>
      <c r="D4332" s="5" t="s">
        <v>5348</v>
      </c>
      <c r="E4332" s="9" t="str">
        <f>HYPERLINK("https://twitter.com/poorya_kadivar/status/1034617473914552320","1034617473914552320")</f>
        <v>1034617473914552320</v>
      </c>
      <c r="F4332" s="4"/>
      <c r="G4332" s="10" t="s">
        <v>5347</v>
      </c>
      <c r="H4332" s="4"/>
      <c r="I4332" s="10" t="str">
        <f>HYPERLINK("http://twitter.com","Twitter Web Client")</f>
        <v>Twitter Web Client</v>
      </c>
      <c r="J4332" s="2">
        <v>303</v>
      </c>
      <c r="K4332" s="2">
        <v>356</v>
      </c>
      <c r="L4332" s="2">
        <v>1</v>
      </c>
      <c r="M4332" s="2"/>
      <c r="N4332" s="8">
        <v>42732.897511574076</v>
      </c>
      <c r="O4332" s="4" t="s">
        <v>5346</v>
      </c>
      <c r="P4332" s="3" t="s">
        <v>5345</v>
      </c>
      <c r="Q4332" s="10" t="s">
        <v>5344</v>
      </c>
      <c r="R4332" s="4"/>
      <c r="S4332" s="9" t="str">
        <f>HYPERLINK("https://pbs.twimg.com/profile_images/937627968674951168/7xAfu0kr.jpg","View")</f>
        <v>View</v>
      </c>
    </row>
    <row r="4333" spans="1:19" ht="20">
      <c r="A4333" s="8">
        <v>43341.253657407404</v>
      </c>
      <c r="B4333" s="11" t="str">
        <f>HYPERLINK("https://twitter.com/Razi_Saeidfar","@Razi_Saeidfar")</f>
        <v>@Razi_Saeidfar</v>
      </c>
      <c r="C4333" s="6" t="s">
        <v>5343</v>
      </c>
      <c r="D4333" s="5" t="s">
        <v>5342</v>
      </c>
      <c r="E4333" s="9" t="str">
        <f>HYPERLINK("https://twitter.com/Razi_Saeidfar/status/1034615435348660224","1034615435348660224")</f>
        <v>1034615435348660224</v>
      </c>
      <c r="F4333" s="4"/>
      <c r="G4333" s="4"/>
      <c r="H4333" s="4"/>
      <c r="I4333" s="10" t="str">
        <f>HYPERLINK("http://twitter.com/download/android","Twitter for Android")</f>
        <v>Twitter for Android</v>
      </c>
      <c r="J4333" s="2">
        <v>474</v>
      </c>
      <c r="K4333" s="2">
        <v>408</v>
      </c>
      <c r="L4333" s="2">
        <v>2</v>
      </c>
      <c r="M4333" s="2"/>
      <c r="N4333" s="8">
        <v>43145.856608796297</v>
      </c>
      <c r="O4333" s="4"/>
      <c r="P4333" s="3" t="s">
        <v>5341</v>
      </c>
      <c r="Q4333" s="4"/>
      <c r="R4333" s="4"/>
      <c r="S4333" s="9" t="str">
        <f>HYPERLINK("https://pbs.twimg.com/profile_images/997395837385719809/7wnOU_e8.jpg","View")</f>
        <v>View</v>
      </c>
    </row>
    <row r="4334" spans="1:19" ht="20">
      <c r="A4334" s="8">
        <v>43341.247349537036</v>
      </c>
      <c r="B4334" s="11" t="str">
        <f>HYPERLINK("https://twitter.com/SabaRasane","@SabaRasane")</f>
        <v>@SabaRasane</v>
      </c>
      <c r="C4334" s="6" t="s">
        <v>2497</v>
      </c>
      <c r="D4334" s="5" t="s">
        <v>5340</v>
      </c>
      <c r="E4334" s="9" t="str">
        <f>HYPERLINK("https://twitter.com/SabaRasane/status/1034613149717151745","1034613149717151745")</f>
        <v>1034613149717151745</v>
      </c>
      <c r="F4334" s="4"/>
      <c r="G4334" s="10" t="s">
        <v>5339</v>
      </c>
      <c r="H4334" s="4"/>
      <c r="I4334" s="10" t="str">
        <f>HYPERLINK("https://sabamedia.info","sabamediabot")</f>
        <v>sabamediabot</v>
      </c>
      <c r="J4334" s="2">
        <v>821</v>
      </c>
      <c r="K4334" s="2">
        <v>356</v>
      </c>
      <c r="L4334" s="2">
        <v>2</v>
      </c>
      <c r="M4334" s="2"/>
      <c r="N4334" s="8">
        <v>43079.744155092594</v>
      </c>
      <c r="O4334" s="4" t="s">
        <v>34</v>
      </c>
      <c r="P4334" s="3" t="s">
        <v>2494</v>
      </c>
      <c r="Q4334" s="10" t="s">
        <v>2493</v>
      </c>
      <c r="R4334" s="4"/>
      <c r="S4334" s="9" t="str">
        <f>HYPERLINK("https://pbs.twimg.com/profile_images/961293475831599104/gCXPDkFe.jpg","View")</f>
        <v>View</v>
      </c>
    </row>
    <row r="4335" spans="1:19" ht="12.5">
      <c r="A4335" s="8">
        <v>43341.24596064815</v>
      </c>
      <c r="B4335" s="11" t="str">
        <f>HYPERLINK("https://twitter.com/mrteacher_ir","@mrteacher_ir")</f>
        <v>@mrteacher_ir</v>
      </c>
      <c r="C4335" s="6" t="s">
        <v>5338</v>
      </c>
      <c r="D4335" s="5" t="s">
        <v>5337</v>
      </c>
      <c r="E4335" s="9" t="str">
        <f>HYPERLINK("https://twitter.com/mrteacher_ir/status/1034612643678629888","1034612643678629888")</f>
        <v>1034612643678629888</v>
      </c>
      <c r="F4335" s="4"/>
      <c r="G4335" s="4"/>
      <c r="H4335" s="4"/>
      <c r="I4335" s="10" t="str">
        <f>HYPERLINK("http://twitter.com/download/android","Twitter for Android")</f>
        <v>Twitter for Android</v>
      </c>
      <c r="J4335" s="2">
        <v>471</v>
      </c>
      <c r="K4335" s="2">
        <v>2233</v>
      </c>
      <c r="L4335" s="2">
        <v>0</v>
      </c>
      <c r="M4335" s="2"/>
      <c r="N4335" s="8">
        <v>43326.407037037032</v>
      </c>
      <c r="O4335" s="4"/>
      <c r="P4335" s="3" t="s">
        <v>5336</v>
      </c>
      <c r="Q4335" s="4"/>
      <c r="R4335" s="4"/>
      <c r="S4335" s="9" t="str">
        <f>HYPERLINK("https://pbs.twimg.com/profile_images/1034217392489025536/E-W2bmWH.jpg","View")</f>
        <v>View</v>
      </c>
    </row>
    <row r="4336" spans="1:19" ht="40">
      <c r="A4336" s="8">
        <v>43341.242210648154</v>
      </c>
      <c r="B4336" s="11" t="str">
        <f>HYPERLINK("https://twitter.com/AjorPare","@AjorPare")</f>
        <v>@AjorPare</v>
      </c>
      <c r="C4336" s="6" t="s">
        <v>5335</v>
      </c>
      <c r="D4336" s="5" t="s">
        <v>5334</v>
      </c>
      <c r="E4336" s="9" t="str">
        <f>HYPERLINK("https://twitter.com/AjorPare/status/1034611284933660672","1034611284933660672")</f>
        <v>1034611284933660672</v>
      </c>
      <c r="F4336" s="4"/>
      <c r="G4336" s="4"/>
      <c r="H4336" s="4"/>
      <c r="I4336" s="10" t="str">
        <f>HYPERLINK("http://twitter.com","Twitter Web Client")</f>
        <v>Twitter Web Client</v>
      </c>
      <c r="J4336" s="2">
        <v>408</v>
      </c>
      <c r="K4336" s="2">
        <v>775</v>
      </c>
      <c r="L4336" s="2">
        <v>0</v>
      </c>
      <c r="M4336" s="2"/>
      <c r="N4336" s="8">
        <v>43099.472928240742</v>
      </c>
      <c r="O4336" s="4" t="s">
        <v>5333</v>
      </c>
      <c r="P4336" s="3" t="s">
        <v>5332</v>
      </c>
      <c r="Q4336" s="4"/>
      <c r="R4336" s="4"/>
      <c r="S4336" s="9" t="str">
        <f>HYPERLINK("https://pbs.twimg.com/profile_images/967623200841461761/7-uFdviA.jpg","View")</f>
        <v>View</v>
      </c>
    </row>
    <row r="4337" spans="1:19" ht="40">
      <c r="A4337" s="8">
        <v>43341.236631944441</v>
      </c>
      <c r="B4337" s="11" t="str">
        <f>HYPERLINK("https://twitter.com/r_h_1983","@r_h_1983")</f>
        <v>@r_h_1983</v>
      </c>
      <c r="C4337" s="6" t="s">
        <v>5331</v>
      </c>
      <c r="D4337" s="5" t="s">
        <v>5330</v>
      </c>
      <c r="E4337" s="9" t="str">
        <f>HYPERLINK("https://twitter.com/r_h_1983/status/1034609266194370560","1034609266194370560")</f>
        <v>1034609266194370560</v>
      </c>
      <c r="F4337" s="4"/>
      <c r="G4337" s="4"/>
      <c r="H4337" s="4"/>
      <c r="I4337" s="10" t="str">
        <f>HYPERLINK("http://twitter.com/download/iphone","Twitter for iPhone")</f>
        <v>Twitter for iPhone</v>
      </c>
      <c r="J4337" s="2">
        <v>137</v>
      </c>
      <c r="K4337" s="2">
        <v>769</v>
      </c>
      <c r="L4337" s="2">
        <v>0</v>
      </c>
      <c r="M4337" s="2"/>
      <c r="N4337" s="8">
        <v>42715.023136574076</v>
      </c>
      <c r="O4337" s="4" t="s">
        <v>34</v>
      </c>
      <c r="P4337" s="3"/>
      <c r="Q4337" s="4"/>
      <c r="R4337" s="4"/>
      <c r="S4337" s="9" t="str">
        <f>HYPERLINK("https://pbs.twimg.com/profile_images/899040610417610754/RJZIwPCE.jpg","View")</f>
        <v>View</v>
      </c>
    </row>
    <row r="4338" spans="1:19" ht="40">
      <c r="A4338" s="8">
        <v>43341.234409722223</v>
      </c>
      <c r="B4338" s="11" t="str">
        <f>HYPERLINK("https://twitter.com/Amoo_Sibilou","@Amoo_Sibilou")</f>
        <v>@Amoo_Sibilou</v>
      </c>
      <c r="C4338" s="6" t="s">
        <v>1463</v>
      </c>
      <c r="D4338" s="5" t="s">
        <v>5329</v>
      </c>
      <c r="E4338" s="9" t="str">
        <f>HYPERLINK("https://twitter.com/Amoo_Sibilou/status/1034608459981803520","1034608459981803520")</f>
        <v>1034608459981803520</v>
      </c>
      <c r="F4338" s="4"/>
      <c r="G4338" s="4"/>
      <c r="H4338" s="4"/>
      <c r="I4338" s="10" t="str">
        <f>HYPERLINK("http://twitter.com/download/iphone","Twitter for iPhone")</f>
        <v>Twitter for iPhone</v>
      </c>
      <c r="J4338" s="2">
        <v>462</v>
      </c>
      <c r="K4338" s="2">
        <v>314</v>
      </c>
      <c r="L4338" s="2">
        <v>0</v>
      </c>
      <c r="M4338" s="2"/>
      <c r="N4338" s="8">
        <v>43101.114201388889</v>
      </c>
      <c r="O4338" s="4" t="s">
        <v>4543</v>
      </c>
      <c r="P4338" s="3" t="s">
        <v>4542</v>
      </c>
      <c r="Q4338" s="4"/>
      <c r="R4338" s="4"/>
      <c r="S4338" s="9" t="str">
        <f>HYPERLINK("https://pbs.twimg.com/profile_images/1030554319446106112/lrtsaY6a.jpg","View")</f>
        <v>View</v>
      </c>
    </row>
    <row r="4339" spans="1:19" ht="20">
      <c r="A4339" s="8">
        <v>43341.229999999996</v>
      </c>
      <c r="B4339" s="11" t="str">
        <f>HYPERLINK("https://twitter.com/Reza_Shaban78","@Reza_Shaban78")</f>
        <v>@Reza_Shaban78</v>
      </c>
      <c r="C4339" s="6" t="s">
        <v>5323</v>
      </c>
      <c r="D4339" s="5" t="s">
        <v>5328</v>
      </c>
      <c r="E4339" s="9" t="str">
        <f>HYPERLINK("https://twitter.com/Reza_Shaban78/status/1034606860727472129","1034606860727472129")</f>
        <v>1034606860727472129</v>
      </c>
      <c r="F4339" s="4"/>
      <c r="G4339" s="10" t="s">
        <v>5327</v>
      </c>
      <c r="H4339" s="4"/>
      <c r="I4339" s="10" t="str">
        <f>HYPERLINK("http://twitter.com/download/android","Twitter for Android")</f>
        <v>Twitter for Android</v>
      </c>
      <c r="J4339" s="2">
        <v>4142</v>
      </c>
      <c r="K4339" s="2">
        <v>4978</v>
      </c>
      <c r="L4339" s="2">
        <v>5</v>
      </c>
      <c r="M4339" s="2"/>
      <c r="N4339" s="8">
        <v>43288.706331018519</v>
      </c>
      <c r="O4339" s="4" t="s">
        <v>17</v>
      </c>
      <c r="P4339" s="3" t="s">
        <v>5321</v>
      </c>
      <c r="Q4339" s="4"/>
      <c r="R4339" s="4"/>
      <c r="S4339" s="9" t="str">
        <f>HYPERLINK("https://pbs.twimg.com/profile_images/1032620670121857025/iXGvV_V9.jpg","View")</f>
        <v>View</v>
      </c>
    </row>
    <row r="4340" spans="1:19" ht="40">
      <c r="A4340" s="8">
        <v>43341.222939814819</v>
      </c>
      <c r="B4340" s="11" t="str">
        <f>HYPERLINK("https://twitter.com/metty1358","@metty1358")</f>
        <v>@metty1358</v>
      </c>
      <c r="C4340" s="6" t="s">
        <v>5326</v>
      </c>
      <c r="D4340" s="5" t="s">
        <v>5325</v>
      </c>
      <c r="E4340" s="9" t="str">
        <f>HYPERLINK("https://twitter.com/metty1358/status/1034604304701841410","1034604304701841410")</f>
        <v>1034604304701841410</v>
      </c>
      <c r="F4340" s="4"/>
      <c r="G4340" s="4"/>
      <c r="H4340" s="4"/>
      <c r="I4340" s="10" t="str">
        <f>HYPERLINK("http://twitter.com/#!/download/ipad","Twitter for iPad")</f>
        <v>Twitter for iPad</v>
      </c>
      <c r="J4340" s="2">
        <v>1071</v>
      </c>
      <c r="K4340" s="2">
        <v>845</v>
      </c>
      <c r="L4340" s="2">
        <v>0</v>
      </c>
      <c r="M4340" s="2"/>
      <c r="N4340" s="8">
        <v>42199.713784722218</v>
      </c>
      <c r="O4340" s="4"/>
      <c r="P4340" s="3" t="s">
        <v>5324</v>
      </c>
      <c r="Q4340" s="4"/>
      <c r="R4340" s="4"/>
      <c r="S4340" s="9" t="str">
        <f>HYPERLINK("https://pbs.twimg.com/profile_images/936233989903396865/YjlPzz0T.jpg","View")</f>
        <v>View</v>
      </c>
    </row>
    <row r="4341" spans="1:19" ht="30">
      <c r="A4341" s="8">
        <v>43341.222002314811</v>
      </c>
      <c r="B4341" s="11" t="str">
        <f>HYPERLINK("https://twitter.com/Reza_Shaban78","@Reza_Shaban78")</f>
        <v>@Reza_Shaban78</v>
      </c>
      <c r="C4341" s="6" t="s">
        <v>5323</v>
      </c>
      <c r="D4341" s="5" t="s">
        <v>5322</v>
      </c>
      <c r="E4341" s="9" t="str">
        <f>HYPERLINK("https://twitter.com/Reza_Shaban78/status/1034603961565831168","1034603961565831168")</f>
        <v>1034603961565831168</v>
      </c>
      <c r="F4341" s="4"/>
      <c r="G4341" s="4"/>
      <c r="H4341" s="4"/>
      <c r="I4341" s="10" t="str">
        <f>HYPERLINK("http://twitter.com/download/android","Twitter for Android")</f>
        <v>Twitter for Android</v>
      </c>
      <c r="J4341" s="2">
        <v>4142</v>
      </c>
      <c r="K4341" s="2">
        <v>4978</v>
      </c>
      <c r="L4341" s="2">
        <v>5</v>
      </c>
      <c r="M4341" s="2"/>
      <c r="N4341" s="8">
        <v>43288.706331018519</v>
      </c>
      <c r="O4341" s="4" t="s">
        <v>17</v>
      </c>
      <c r="P4341" s="3" t="s">
        <v>5321</v>
      </c>
      <c r="Q4341" s="4"/>
      <c r="R4341" s="4"/>
      <c r="S4341" s="9" t="str">
        <f>HYPERLINK("https://pbs.twimg.com/profile_images/1032620670121857025/iXGvV_V9.jpg","View")</f>
        <v>View</v>
      </c>
    </row>
    <row r="4342" spans="1:19" ht="20">
      <c r="A4342" s="8">
        <v>43341.212696759263</v>
      </c>
      <c r="B4342" s="11" t="str">
        <f>HYPERLINK("https://twitter.com/ramkalsharif","@ramkalsharif")</f>
        <v>@ramkalsharif</v>
      </c>
      <c r="C4342" s="6" t="s">
        <v>5320</v>
      </c>
      <c r="D4342" s="5" t="s">
        <v>5319</v>
      </c>
      <c r="E4342" s="9" t="str">
        <f>HYPERLINK("https://twitter.com/ramkalsharif/status/1034600589169254400","1034600589169254400")</f>
        <v>1034600589169254400</v>
      </c>
      <c r="F4342" s="10" t="s">
        <v>5318</v>
      </c>
      <c r="G4342" s="10" t="s">
        <v>5317</v>
      </c>
      <c r="H4342" s="4"/>
      <c r="I4342" s="10" t="str">
        <f>HYPERLINK("http://twitter.com/download/android","Twitter for Android")</f>
        <v>Twitter for Android</v>
      </c>
      <c r="J4342" s="2">
        <v>227</v>
      </c>
      <c r="K4342" s="2">
        <v>451</v>
      </c>
      <c r="L4342" s="2">
        <v>1</v>
      </c>
      <c r="M4342" s="2"/>
      <c r="N4342" s="8">
        <v>43279.26017361111</v>
      </c>
      <c r="O4342" s="4"/>
      <c r="P4342" s="3" t="s">
        <v>5316</v>
      </c>
      <c r="Q4342" s="4"/>
      <c r="R4342" s="4"/>
      <c r="S4342" s="9" t="str">
        <f>HYPERLINK("https://pbs.twimg.com/profile_images/1012162878500212736/YzOJxGCq.jpg","View")</f>
        <v>View</v>
      </c>
    </row>
    <row r="4343" spans="1:19" ht="30">
      <c r="A4343" s="8">
        <v>43341.212268518517</v>
      </c>
      <c r="B4343" s="11" t="str">
        <f>HYPERLINK("https://twitter.com/munzzz","@munzzz")</f>
        <v>@munzzz</v>
      </c>
      <c r="C4343" s="6" t="s">
        <v>5315</v>
      </c>
      <c r="D4343" s="5" t="s">
        <v>5314</v>
      </c>
      <c r="E4343" s="9" t="str">
        <f>HYPERLINK("https://twitter.com/munzzz/status/1034600436366422016","1034600436366422016")</f>
        <v>1034600436366422016</v>
      </c>
      <c r="F4343" s="4"/>
      <c r="G4343" s="4"/>
      <c r="H4343" s="4"/>
      <c r="I4343" s="10" t="str">
        <f>HYPERLINK("http://twitter.com/download/iphone","Twitter for iPhone")</f>
        <v>Twitter for iPhone</v>
      </c>
      <c r="J4343" s="2">
        <v>245</v>
      </c>
      <c r="K4343" s="2">
        <v>565</v>
      </c>
      <c r="L4343" s="2">
        <v>4</v>
      </c>
      <c r="M4343" s="2"/>
      <c r="N4343" s="8">
        <v>39870.780682870369</v>
      </c>
      <c r="O4343" s="4" t="s">
        <v>34</v>
      </c>
      <c r="P4343" s="3" t="s">
        <v>5313</v>
      </c>
      <c r="Q4343" s="10" t="s">
        <v>5312</v>
      </c>
      <c r="R4343" s="4"/>
      <c r="S4343" s="9" t="str">
        <f>HYPERLINK("https://pbs.twimg.com/profile_images/983462834465067009/BeNtsp5n.jpg","View")</f>
        <v>View</v>
      </c>
    </row>
    <row r="4344" spans="1:19" ht="50">
      <c r="A4344" s="8">
        <v>43341.20716435185</v>
      </c>
      <c r="B4344" s="11" t="str">
        <f>HYPERLINK("https://twitter.com/Foofoo74979195","@Foofoo74979195")</f>
        <v>@Foofoo74979195</v>
      </c>
      <c r="C4344" s="6" t="s">
        <v>5311</v>
      </c>
      <c r="D4344" s="5" t="s">
        <v>5310</v>
      </c>
      <c r="E4344" s="9" t="str">
        <f>HYPERLINK("https://twitter.com/Foofoo74979195/status/1034598586967904256","1034598586967904256")</f>
        <v>1034598586967904256</v>
      </c>
      <c r="F4344" s="4"/>
      <c r="G4344" s="4"/>
      <c r="H4344" s="4"/>
      <c r="I4344" s="10" t="str">
        <f>HYPERLINK("http://twitter.com/download/iphone","Twitter for iPhone")</f>
        <v>Twitter for iPhone</v>
      </c>
      <c r="J4344" s="2">
        <v>144</v>
      </c>
      <c r="K4344" s="2">
        <v>354</v>
      </c>
      <c r="L4344" s="2">
        <v>0</v>
      </c>
      <c r="M4344" s="2"/>
      <c r="N4344" s="8">
        <v>43117.201238425929</v>
      </c>
      <c r="O4344" s="4"/>
      <c r="P4344" s="3"/>
      <c r="Q4344" s="4"/>
      <c r="R4344" s="4"/>
      <c r="S4344" s="9" t="str">
        <f>HYPERLINK("https://pbs.twimg.com/profile_images/1008561813133365248/cqi0SY0Z.jpg","View")</f>
        <v>View</v>
      </c>
    </row>
    <row r="4345" spans="1:19" ht="40">
      <c r="A4345" s="8">
        <v>43341.201562499999</v>
      </c>
      <c r="B4345" s="11" t="str">
        <f>HYPERLINK("https://twitter.com/talk_tuck","@talk_tuck")</f>
        <v>@talk_tuck</v>
      </c>
      <c r="C4345" s="6" t="s">
        <v>5309</v>
      </c>
      <c r="D4345" s="5" t="s">
        <v>5308</v>
      </c>
      <c r="E4345" s="9" t="str">
        <f>HYPERLINK("https://twitter.com/talk_tuck/status/1034596555469152256","1034596555469152256")</f>
        <v>1034596555469152256</v>
      </c>
      <c r="F4345" s="4"/>
      <c r="G4345" s="4"/>
      <c r="H4345" s="4"/>
      <c r="I4345" s="10" t="str">
        <f>HYPERLINK("http://twitter.com/download/android","Twitter for Android")</f>
        <v>Twitter for Android</v>
      </c>
      <c r="J4345" s="2">
        <v>1</v>
      </c>
      <c r="K4345" s="2">
        <v>5</v>
      </c>
      <c r="L4345" s="2">
        <v>0</v>
      </c>
      <c r="M4345" s="2"/>
      <c r="N4345" s="8">
        <v>42853.844722222224</v>
      </c>
      <c r="O4345" s="4"/>
      <c r="P4345" s="3"/>
      <c r="Q4345" s="4"/>
      <c r="R4345" s="4"/>
      <c r="S4345" s="9" t="str">
        <f>HYPERLINK("https://pbs.twimg.com/profile_images/869489721633677312/t7qMGBLi.jpg","View")</f>
        <v>View</v>
      </c>
    </row>
    <row r="4346" spans="1:19" ht="40">
      <c r="A4346" s="8">
        <v>43341.196458333332</v>
      </c>
      <c r="B4346" s="11" t="str">
        <f>HYPERLINK("https://twitter.com/avare3333","@avare3333")</f>
        <v>@avare3333</v>
      </c>
      <c r="C4346" s="6" t="s">
        <v>4775</v>
      </c>
      <c r="D4346" s="5" t="s">
        <v>5307</v>
      </c>
      <c r="E4346" s="9" t="str">
        <f>HYPERLINK("https://twitter.com/avare3333/status/1034594707597402112","1034594707597402112")</f>
        <v>1034594707597402112</v>
      </c>
      <c r="F4346" s="4"/>
      <c r="G4346" s="4"/>
      <c r="H4346" s="4"/>
      <c r="I4346" s="10" t="str">
        <f>HYPERLINK("http://twitter.com/download/android","Twitter for Android")</f>
        <v>Twitter for Android</v>
      </c>
      <c r="J4346" s="2">
        <v>34</v>
      </c>
      <c r="K4346" s="2">
        <v>47</v>
      </c>
      <c r="L4346" s="2">
        <v>0</v>
      </c>
      <c r="M4346" s="2"/>
      <c r="N4346" s="8">
        <v>42766.981724537036</v>
      </c>
      <c r="O4346" s="4" t="s">
        <v>4773</v>
      </c>
      <c r="P4346" s="3" t="s">
        <v>4772</v>
      </c>
      <c r="Q4346" s="4"/>
      <c r="R4346" s="4"/>
      <c r="S4346" s="9" t="str">
        <f>HYPERLINK("https://pbs.twimg.com/profile_images/862537510118977536/762Un5dv.jpg","View")</f>
        <v>View</v>
      </c>
    </row>
    <row r="4347" spans="1:19" ht="30">
      <c r="A4347" s="8">
        <v>43341.189953703702</v>
      </c>
      <c r="B4347" s="11" t="str">
        <f>HYPERLINK("https://twitter.com/ansaria10313","@ansaria10313")</f>
        <v>@ansaria10313</v>
      </c>
      <c r="C4347" s="6" t="s">
        <v>5306</v>
      </c>
      <c r="D4347" s="5" t="s">
        <v>5206</v>
      </c>
      <c r="E4347" s="9" t="str">
        <f>HYPERLINK("https://twitter.com/ansaria10313/status/1034592347827384325","1034592347827384325")</f>
        <v>1034592347827384325</v>
      </c>
      <c r="F4347" s="10" t="s">
        <v>5305</v>
      </c>
      <c r="G4347" s="4"/>
      <c r="H4347" s="4"/>
      <c r="I4347" s="10" t="str">
        <f>HYPERLINK("http://instagram.com","Instagram")</f>
        <v>Instagram</v>
      </c>
      <c r="J4347" s="2">
        <v>211</v>
      </c>
      <c r="K4347" s="2">
        <v>242</v>
      </c>
      <c r="L4347" s="2">
        <v>1</v>
      </c>
      <c r="M4347" s="2"/>
      <c r="N4347" s="8">
        <v>42012.283587962964</v>
      </c>
      <c r="O4347" s="10" t="s">
        <v>5304</v>
      </c>
      <c r="P4347" s="3" t="s">
        <v>5303</v>
      </c>
      <c r="Q4347" s="10" t="s">
        <v>5302</v>
      </c>
      <c r="R4347" s="4"/>
      <c r="S4347" s="9" t="str">
        <f>HYPERLINK("https://pbs.twimg.com/profile_images/994296973841743873/VOhHnoe6.jpg","View")</f>
        <v>View</v>
      </c>
    </row>
    <row r="4348" spans="1:19" ht="20">
      <c r="A4348" s="8">
        <v>43341.185092592597</v>
      </c>
      <c r="B4348" s="11" t="str">
        <f>HYPERLINK("https://twitter.com/MotlaghMostafa","@MotlaghMostafa")</f>
        <v>@MotlaghMostafa</v>
      </c>
      <c r="C4348" s="6" t="s">
        <v>5301</v>
      </c>
      <c r="D4348" s="5" t="s">
        <v>5300</v>
      </c>
      <c r="E4348" s="9" t="str">
        <f>HYPERLINK("https://twitter.com/MotlaghMostafa/status/1034590586412523520","1034590586412523520")</f>
        <v>1034590586412523520</v>
      </c>
      <c r="F4348" s="4"/>
      <c r="G4348" s="4"/>
      <c r="H4348" s="4"/>
      <c r="I4348" s="10" t="str">
        <f>HYPERLINK("http://twitter.com/download/android","Twitter for Android")</f>
        <v>Twitter for Android</v>
      </c>
      <c r="J4348" s="2">
        <v>7</v>
      </c>
      <c r="K4348" s="2">
        <v>26</v>
      </c>
      <c r="L4348" s="2">
        <v>0</v>
      </c>
      <c r="M4348" s="2"/>
      <c r="N4348" s="8">
        <v>42392.494699074072</v>
      </c>
      <c r="O4348" s="4"/>
      <c r="P4348" s="3"/>
      <c r="Q4348" s="4"/>
      <c r="R4348" s="4"/>
      <c r="S4348" s="9" t="str">
        <f>HYPERLINK("https://pbs.twimg.com/profile_images/690812114190090240/aNY6Sqpu.jpg","View")</f>
        <v>View</v>
      </c>
    </row>
    <row r="4349" spans="1:19" ht="40">
      <c r="A4349" s="8">
        <v>43341.179733796293</v>
      </c>
      <c r="B4349" s="11" t="str">
        <f>HYPERLINK("https://twitter.com/amirhosein_88","@amirhosein_88")</f>
        <v>@amirhosein_88</v>
      </c>
      <c r="C4349" s="6" t="s">
        <v>5299</v>
      </c>
      <c r="D4349" s="5" t="s">
        <v>5298</v>
      </c>
      <c r="E4349" s="9" t="str">
        <f>HYPERLINK("https://twitter.com/amirhosein_88/status/1034588645443952641","1034588645443952641")</f>
        <v>1034588645443952641</v>
      </c>
      <c r="F4349" s="10" t="s">
        <v>5297</v>
      </c>
      <c r="G4349" s="10" t="s">
        <v>5296</v>
      </c>
      <c r="H4349" s="4"/>
      <c r="I4349" s="10" t="str">
        <f>HYPERLINK("http://twitter.com/download/android","Twitter for Android")</f>
        <v>Twitter for Android</v>
      </c>
      <c r="J4349" s="2">
        <v>549</v>
      </c>
      <c r="K4349" s="2">
        <v>197</v>
      </c>
      <c r="L4349" s="2">
        <v>3</v>
      </c>
      <c r="M4349" s="2"/>
      <c r="N4349" s="8">
        <v>43002.016469907408</v>
      </c>
      <c r="O4349" s="4" t="s">
        <v>5295</v>
      </c>
      <c r="P4349" s="3" t="s">
        <v>5294</v>
      </c>
      <c r="Q4349" s="4"/>
      <c r="R4349" s="4"/>
      <c r="S4349" s="9" t="str">
        <f>HYPERLINK("https://pbs.twimg.com/profile_images/1001301920261210113/2o19Q9CF.jpg","View")</f>
        <v>View</v>
      </c>
    </row>
    <row r="4350" spans="1:19" ht="12.5">
      <c r="A4350" s="8">
        <v>43341.174201388887</v>
      </c>
      <c r="B4350" s="11" t="str">
        <f>HYPERLINK("https://twitter.com/ShokohParsi","@ShokohParsi")</f>
        <v>@ShokohParsi</v>
      </c>
      <c r="C4350" s="6" t="s">
        <v>5293</v>
      </c>
      <c r="D4350" s="5" t="s">
        <v>5292</v>
      </c>
      <c r="E4350" s="9" t="str">
        <f>HYPERLINK("https://twitter.com/ShokohParsi/status/1034586638872195078","1034586638872195078")</f>
        <v>1034586638872195078</v>
      </c>
      <c r="F4350" s="4"/>
      <c r="G4350" s="4"/>
      <c r="H4350" s="4"/>
      <c r="I4350" s="10" t="str">
        <f>HYPERLINK("http://twitter.com/download/android","Twitter for Android")</f>
        <v>Twitter for Android</v>
      </c>
      <c r="J4350" s="2">
        <v>446</v>
      </c>
      <c r="K4350" s="2">
        <v>376</v>
      </c>
      <c r="L4350" s="2">
        <v>1</v>
      </c>
      <c r="M4350" s="2"/>
      <c r="N4350" s="8">
        <v>41057.959131944444</v>
      </c>
      <c r="O4350" s="4"/>
      <c r="P4350" s="3" t="s">
        <v>5291</v>
      </c>
      <c r="Q4350" s="4"/>
      <c r="R4350" s="4"/>
      <c r="S4350" s="9" t="str">
        <f>HYPERLINK("https://pbs.twimg.com/profile_images/509164427321438208/gI8Ivj6H.jpeg","View")</f>
        <v>View</v>
      </c>
    </row>
    <row r="4351" spans="1:19" ht="20">
      <c r="A4351" s="8">
        <v>43341.173703703702</v>
      </c>
      <c r="B4351" s="11" t="str">
        <f>HYPERLINK("https://twitter.com/dnl_96_","@dnl_96_")</f>
        <v>@dnl_96_</v>
      </c>
      <c r="C4351" s="6" t="s">
        <v>5290</v>
      </c>
      <c r="D4351" s="5" t="s">
        <v>5289</v>
      </c>
      <c r="E4351" s="9" t="str">
        <f>HYPERLINK("https://twitter.com/dnl_96_/status/1034586462258425856","1034586462258425856")</f>
        <v>1034586462258425856</v>
      </c>
      <c r="F4351" s="4"/>
      <c r="G4351" s="4"/>
      <c r="H4351" s="4"/>
      <c r="I4351" s="10" t="str">
        <f>HYPERLINK("http://twitter.com/download/android","Twitter for Android")</f>
        <v>Twitter for Android</v>
      </c>
      <c r="J4351" s="2">
        <v>1977</v>
      </c>
      <c r="K4351" s="2">
        <v>907</v>
      </c>
      <c r="L4351" s="2">
        <v>4</v>
      </c>
      <c r="M4351" s="2"/>
      <c r="N4351" s="8">
        <v>42641.833599537036</v>
      </c>
      <c r="O4351" s="4" t="s">
        <v>34</v>
      </c>
      <c r="P4351" s="3" t="s">
        <v>5288</v>
      </c>
      <c r="Q4351" s="10" t="s">
        <v>5287</v>
      </c>
      <c r="R4351" s="4"/>
      <c r="S4351" s="9" t="str">
        <f>HYPERLINK("https://pbs.twimg.com/profile_images/1033473193825193984/3FYqHdCt.jpg","View")</f>
        <v>View</v>
      </c>
    </row>
    <row r="4352" spans="1:19" ht="40">
      <c r="A4352" s="8">
        <v>43341.173090277778</v>
      </c>
      <c r="B4352" s="11" t="str">
        <f>HYPERLINK("https://twitter.com/mamo_jahangir","@mamo_jahangir")</f>
        <v>@mamo_jahangir</v>
      </c>
      <c r="C4352" s="6" t="s">
        <v>5286</v>
      </c>
      <c r="D4352" s="5" t="s">
        <v>5285</v>
      </c>
      <c r="E4352" s="9" t="str">
        <f>HYPERLINK("https://twitter.com/mamo_jahangir/status/1034586236911017985","1034586236911017985")</f>
        <v>1034586236911017985</v>
      </c>
      <c r="F4352" s="4"/>
      <c r="G4352" s="10" t="s">
        <v>5284</v>
      </c>
      <c r="H4352" s="4"/>
      <c r="I4352" s="10" t="str">
        <f>HYPERLINK("http://twitter.com/download/iphone","Twitter for iPhone")</f>
        <v>Twitter for iPhone</v>
      </c>
      <c r="J4352" s="2">
        <v>159</v>
      </c>
      <c r="K4352" s="2">
        <v>156</v>
      </c>
      <c r="L4352" s="2">
        <v>0</v>
      </c>
      <c r="M4352" s="2"/>
      <c r="N4352" s="8">
        <v>43103.124016203699</v>
      </c>
      <c r="O4352" s="4" t="s">
        <v>5283</v>
      </c>
      <c r="P4352" s="3" t="s">
        <v>5282</v>
      </c>
      <c r="Q4352" s="4"/>
      <c r="R4352" s="4"/>
      <c r="S4352" s="9" t="str">
        <f>HYPERLINK("https://pbs.twimg.com/profile_images/1033138140209459200/Ru9duutD.jpg","View")</f>
        <v>View</v>
      </c>
    </row>
    <row r="4353" spans="1:19" ht="12.5">
      <c r="A4353" s="8">
        <v>43341.17052083333</v>
      </c>
      <c r="B4353" s="11" t="str">
        <f>HYPERLINK("https://twitter.com/HosseinAbolhas2","@HosseinAbolhas2")</f>
        <v>@HosseinAbolhas2</v>
      </c>
      <c r="C4353" s="6" t="s">
        <v>5277</v>
      </c>
      <c r="D4353" s="5" t="s">
        <v>5281</v>
      </c>
      <c r="E4353" s="9" t="str">
        <f>HYPERLINK("https://twitter.com/HosseinAbolhas2/status/1034585306668957696","1034585306668957696")</f>
        <v>1034585306668957696</v>
      </c>
      <c r="F4353" s="4"/>
      <c r="G4353" s="4"/>
      <c r="H4353" s="4"/>
      <c r="I4353" s="10" t="str">
        <f>HYPERLINK("http://twitter.com/download/iphone","Twitter for iPhone")</f>
        <v>Twitter for iPhone</v>
      </c>
      <c r="J4353" s="2">
        <v>1</v>
      </c>
      <c r="K4353" s="2">
        <v>8</v>
      </c>
      <c r="L4353" s="2">
        <v>0</v>
      </c>
      <c r="M4353" s="2"/>
      <c r="N4353" s="8">
        <v>43255.862500000003</v>
      </c>
      <c r="O4353" s="4" t="s">
        <v>5275</v>
      </c>
      <c r="P4353" s="3"/>
      <c r="Q4353" s="4"/>
      <c r="R4353" s="4"/>
      <c r="S4353" s="9" t="str">
        <f>HYPERLINK("https://pbs.twimg.com/profile_images/1008713455505956864/FjnrbPsB.jpg","View")</f>
        <v>View</v>
      </c>
    </row>
    <row r="4354" spans="1:19" ht="70">
      <c r="A4354" s="8">
        <v>43341.169849537036</v>
      </c>
      <c r="B4354" s="11" t="str">
        <f>HYPERLINK("https://twitter.com/aghanoors","@aghanoors")</f>
        <v>@aghanoors</v>
      </c>
      <c r="C4354" s="6" t="s">
        <v>5280</v>
      </c>
      <c r="D4354" s="5" t="s">
        <v>5279</v>
      </c>
      <c r="E4354" s="9" t="str">
        <f>HYPERLINK("https://twitter.com/aghanoors/status/1034585064812756994","1034585064812756994")</f>
        <v>1034585064812756994</v>
      </c>
      <c r="F4354" s="10" t="s">
        <v>2098</v>
      </c>
      <c r="G4354" s="4"/>
      <c r="H4354" s="4"/>
      <c r="I4354" s="10" t="str">
        <f>HYPERLINK("http://twitter.com/download/android","Twitter for Android")</f>
        <v>Twitter for Android</v>
      </c>
      <c r="J4354" s="2">
        <v>82</v>
      </c>
      <c r="K4354" s="2">
        <v>174</v>
      </c>
      <c r="L4354" s="2">
        <v>0</v>
      </c>
      <c r="M4354" s="2"/>
      <c r="N4354" s="8">
        <v>39991.08321759259</v>
      </c>
      <c r="O4354" s="4" t="s">
        <v>133</v>
      </c>
      <c r="P4354" s="3" t="s">
        <v>5278</v>
      </c>
      <c r="Q4354" s="4"/>
      <c r="R4354" s="4"/>
      <c r="S4354" s="9" t="str">
        <f>HYPERLINK("https://pbs.twimg.com/profile_images/874452586060849153/FGeJQqb1.jpg","View")</f>
        <v>View</v>
      </c>
    </row>
    <row r="4355" spans="1:19" ht="20">
      <c r="A4355" s="8">
        <v>43341.168715277774</v>
      </c>
      <c r="B4355" s="11" t="str">
        <f>HYPERLINK("https://twitter.com/HosseinAbolhas2","@HosseinAbolhas2")</f>
        <v>@HosseinAbolhas2</v>
      </c>
      <c r="C4355" s="6" t="s">
        <v>5277</v>
      </c>
      <c r="D4355" s="5" t="s">
        <v>5276</v>
      </c>
      <c r="E4355" s="9" t="str">
        <f>HYPERLINK("https://twitter.com/HosseinAbolhas2/status/1034584653867442177","1034584653867442177")</f>
        <v>1034584653867442177</v>
      </c>
      <c r="F4355" s="4"/>
      <c r="G4355" s="4"/>
      <c r="H4355" s="4"/>
      <c r="I4355" s="10" t="str">
        <f>HYPERLINK("http://twitter.com/download/iphone","Twitter for iPhone")</f>
        <v>Twitter for iPhone</v>
      </c>
      <c r="J4355" s="2">
        <v>1</v>
      </c>
      <c r="K4355" s="2">
        <v>8</v>
      </c>
      <c r="L4355" s="2">
        <v>0</v>
      </c>
      <c r="M4355" s="2"/>
      <c r="N4355" s="8">
        <v>43255.862500000003</v>
      </c>
      <c r="O4355" s="4" t="s">
        <v>5275</v>
      </c>
      <c r="P4355" s="3"/>
      <c r="Q4355" s="4"/>
      <c r="R4355" s="4"/>
      <c r="S4355" s="9" t="str">
        <f>HYPERLINK("https://pbs.twimg.com/profile_images/1008713455505956864/FjnrbPsB.jpg","View")</f>
        <v>View</v>
      </c>
    </row>
    <row r="4356" spans="1:19" ht="40">
      <c r="A4356" s="8">
        <v>43341.167604166665</v>
      </c>
      <c r="B4356" s="11" t="str">
        <f>HYPERLINK("https://twitter.com/mehdi_shirkhan","@mehdi_shirkhan")</f>
        <v>@mehdi_shirkhan</v>
      </c>
      <c r="C4356" s="6" t="s">
        <v>5274</v>
      </c>
      <c r="D4356" s="5" t="s">
        <v>5273</v>
      </c>
      <c r="E4356" s="9" t="str">
        <f>HYPERLINK("https://twitter.com/mehdi_shirkhan/status/1034584249565937666","1034584249565937666")</f>
        <v>1034584249565937666</v>
      </c>
      <c r="F4356" s="4"/>
      <c r="G4356" s="10" t="s">
        <v>5272</v>
      </c>
      <c r="H4356" s="4"/>
      <c r="I4356" s="10" t="str">
        <f>HYPERLINK("http://twitter.com/download/iphone","Twitter for iPhone")</f>
        <v>Twitter for iPhone</v>
      </c>
      <c r="J4356" s="2">
        <v>104</v>
      </c>
      <c r="K4356" s="2">
        <v>161</v>
      </c>
      <c r="L4356" s="2">
        <v>0</v>
      </c>
      <c r="M4356" s="2"/>
      <c r="N4356" s="8">
        <v>42988.432384259257</v>
      </c>
      <c r="O4356" s="4"/>
      <c r="P4356" s="3" t="s">
        <v>5271</v>
      </c>
      <c r="Q4356" s="4"/>
      <c r="R4356" s="4"/>
      <c r="S4356" s="9" t="str">
        <f>HYPERLINK("https://pbs.twimg.com/profile_images/950063218545831942/tM9xmSHu.jpg","View")</f>
        <v>View</v>
      </c>
    </row>
    <row r="4357" spans="1:19" ht="12.5">
      <c r="A4357" s="8">
        <v>43341.16706018518</v>
      </c>
      <c r="B4357" s="11" t="str">
        <f>HYPERLINK("https://twitter.com/Trendfa","@Trendfa")</f>
        <v>@Trendfa</v>
      </c>
      <c r="C4357" s="6" t="s">
        <v>1847</v>
      </c>
      <c r="D4357" s="5" t="s">
        <v>5270</v>
      </c>
      <c r="E4357" s="9" t="str">
        <f>HYPERLINK("https://twitter.com/Trendfa/status/1034584054887198720","1034584054887198720")</f>
        <v>1034584054887198720</v>
      </c>
      <c r="F4357" s="4"/>
      <c r="G4357" s="4"/>
      <c r="H4357" s="4"/>
      <c r="I4357" s="10" t="str">
        <f>HYPERLINK("http://trendfa.mostafar.com","TrendFa")</f>
        <v>TrendFa</v>
      </c>
      <c r="J4357" s="2">
        <v>1255</v>
      </c>
      <c r="K4357" s="2">
        <v>637</v>
      </c>
      <c r="L4357" s="2">
        <v>9</v>
      </c>
      <c r="M4357" s="2"/>
      <c r="N4357" s="8">
        <v>42854.236793981487</v>
      </c>
      <c r="O4357" s="4" t="s">
        <v>1770</v>
      </c>
      <c r="P4357" s="3" t="s">
        <v>1845</v>
      </c>
      <c r="Q4357" s="4"/>
      <c r="R4357" s="4"/>
      <c r="S4357" s="9" t="str">
        <f>HYPERLINK("https://pbs.twimg.com/profile_images/861706286957682689/0zDr9duE.jpg","View")</f>
        <v>View</v>
      </c>
    </row>
    <row r="4358" spans="1:19" ht="12.5">
      <c r="A4358" s="8">
        <v>43341.164907407408</v>
      </c>
      <c r="B4358" s="11" t="str">
        <f>HYPERLINK("https://twitter.com/__MrBear__","@__MrBear__")</f>
        <v>@__MrBear__</v>
      </c>
      <c r="C4358" s="6" t="s">
        <v>5269</v>
      </c>
      <c r="D4358" s="5" t="s">
        <v>5268</v>
      </c>
      <c r="E4358" s="9" t="str">
        <f>HYPERLINK("https://twitter.com/__MrBear__/status/1034583274293747712","1034583274293747712")</f>
        <v>1034583274293747712</v>
      </c>
      <c r="F4358" s="4"/>
      <c r="G4358" s="4"/>
      <c r="H4358" s="4"/>
      <c r="I4358" s="10" t="str">
        <f>HYPERLINK("http://twitter.com/download/iphone","Twitter for iPhone")</f>
        <v>Twitter for iPhone</v>
      </c>
      <c r="J4358" s="2">
        <v>2769</v>
      </c>
      <c r="K4358" s="2">
        <v>2763</v>
      </c>
      <c r="L4358" s="2">
        <v>26</v>
      </c>
      <c r="M4358" s="2"/>
      <c r="N4358" s="8">
        <v>42280.827453703707</v>
      </c>
      <c r="O4358" s="4"/>
      <c r="P4358" s="3"/>
      <c r="Q4358" s="4"/>
      <c r="R4358" s="4"/>
      <c r="S4358" s="9" t="str">
        <f>HYPERLINK("https://pbs.twimg.com/profile_images/898203889224298496/mUOLsDuu.jpg","View")</f>
        <v>View</v>
      </c>
    </row>
    <row r="4359" spans="1:19" ht="40">
      <c r="A4359" s="8">
        <v>43341.163530092592</v>
      </c>
      <c r="B4359" s="11" t="str">
        <f>HYPERLINK("https://twitter.com/AliSoltanyy","@AliSoltanyy")</f>
        <v>@AliSoltanyy</v>
      </c>
      <c r="C4359" s="6" t="s">
        <v>1870</v>
      </c>
      <c r="D4359" s="5" t="s">
        <v>5267</v>
      </c>
      <c r="E4359" s="9" t="str">
        <f>HYPERLINK("https://twitter.com/AliSoltanyy/status/1034582773464530944","1034582773464530944")</f>
        <v>1034582773464530944</v>
      </c>
      <c r="F4359" s="4"/>
      <c r="G4359" s="4"/>
      <c r="H4359" s="4"/>
      <c r="I4359" s="10" t="str">
        <f>HYPERLINK("http://twitter.com/download/android","Twitter for Android")</f>
        <v>Twitter for Android</v>
      </c>
      <c r="J4359" s="2">
        <v>116</v>
      </c>
      <c r="K4359" s="2">
        <v>128</v>
      </c>
      <c r="L4359" s="2">
        <v>0</v>
      </c>
      <c r="M4359" s="2"/>
      <c r="N4359" s="8">
        <v>42779.751817129625</v>
      </c>
      <c r="O4359" s="4"/>
      <c r="P4359" s="3" t="s">
        <v>1868</v>
      </c>
      <c r="Q4359" s="4"/>
      <c r="R4359" s="4"/>
      <c r="S4359" s="9" t="str">
        <f>HYPERLINK("https://pbs.twimg.com/profile_images/838857742605508609/RD9uywdl.jpg","View")</f>
        <v>View</v>
      </c>
    </row>
    <row r="4360" spans="1:19" ht="30">
      <c r="A4360" s="8">
        <v>43341.163472222222</v>
      </c>
      <c r="B4360" s="11" t="str">
        <f>HYPERLINK("https://twitter.com/hajspil","@hajspil")</f>
        <v>@hajspil</v>
      </c>
      <c r="C4360" s="6" t="s">
        <v>5266</v>
      </c>
      <c r="D4360" s="5" t="s">
        <v>5265</v>
      </c>
      <c r="E4360" s="9" t="str">
        <f>HYPERLINK("https://twitter.com/hajspil/status/1034582751150858240","1034582751150858240")</f>
        <v>1034582751150858240</v>
      </c>
      <c r="F4360" s="4"/>
      <c r="G4360" s="10" t="s">
        <v>5264</v>
      </c>
      <c r="H4360" s="4"/>
      <c r="I4360" s="10" t="str">
        <f>HYPERLINK("http://twitter.com/download/android","Twitter for Android")</f>
        <v>Twitter for Android</v>
      </c>
      <c r="J4360" s="2">
        <v>1217</v>
      </c>
      <c r="K4360" s="2">
        <v>814</v>
      </c>
      <c r="L4360" s="2">
        <v>2</v>
      </c>
      <c r="M4360" s="2"/>
      <c r="N4360" s="8">
        <v>42880.547835648147</v>
      </c>
      <c r="O4360" s="4"/>
      <c r="P4360" s="3" t="s">
        <v>5263</v>
      </c>
      <c r="Q4360" s="4"/>
      <c r="R4360" s="4"/>
      <c r="S4360" s="9" t="str">
        <f>HYPERLINK("https://pbs.twimg.com/profile_images/1000822681841922048/ioURhYH-.jpg","View")</f>
        <v>View</v>
      </c>
    </row>
    <row r="4361" spans="1:19" ht="40">
      <c r="A4361" s="8">
        <v>43341.159675925926</v>
      </c>
      <c r="B4361" s="11" t="str">
        <f>HYPERLINK("https://twitter.com/diazepamm10","@diazepamm10")</f>
        <v>@diazepamm10</v>
      </c>
      <c r="C4361" s="6" t="s">
        <v>5262</v>
      </c>
      <c r="D4361" s="5" t="s">
        <v>5261</v>
      </c>
      <c r="E4361" s="9" t="str">
        <f>HYPERLINK("https://twitter.com/diazepamm10/status/1034581375423262720","1034581375423262720")</f>
        <v>1034581375423262720</v>
      </c>
      <c r="F4361" s="10" t="s">
        <v>5260</v>
      </c>
      <c r="G4361" s="4"/>
      <c r="H4361" s="4"/>
      <c r="I4361" s="10" t="str">
        <f>HYPERLINK("http://twitter.com/download/android","Twitter for Android")</f>
        <v>Twitter for Android</v>
      </c>
      <c r="J4361" s="2">
        <v>401</v>
      </c>
      <c r="K4361" s="2">
        <v>357</v>
      </c>
      <c r="L4361" s="2">
        <v>4</v>
      </c>
      <c r="M4361" s="2"/>
      <c r="N4361" s="8">
        <v>42385.296666666662</v>
      </c>
      <c r="O4361" s="4"/>
      <c r="P4361" s="3" t="s">
        <v>5259</v>
      </c>
      <c r="Q4361" s="4"/>
      <c r="R4361" s="4"/>
      <c r="S4361" s="9" t="str">
        <f>HYPERLINK("https://pbs.twimg.com/profile_images/1031110539018227714/N9i_Xyay.jpg","View")</f>
        <v>View</v>
      </c>
    </row>
    <row r="4362" spans="1:19" ht="20">
      <c r="A4362" s="8">
        <v>43341.158020833333</v>
      </c>
      <c r="B4362" s="11" t="str">
        <f>HYPERLINK("https://twitter.com/ahoo_khanoom93","@ahoo_khanoom93")</f>
        <v>@ahoo_khanoom93</v>
      </c>
      <c r="C4362" s="6" t="s">
        <v>5258</v>
      </c>
      <c r="D4362" s="5" t="s">
        <v>5257</v>
      </c>
      <c r="E4362" s="9" t="str">
        <f>HYPERLINK("https://twitter.com/ahoo_khanoom93/status/1034580775621091330","1034580775621091330")</f>
        <v>1034580775621091330</v>
      </c>
      <c r="F4362" s="4"/>
      <c r="G4362" s="10" t="s">
        <v>5256</v>
      </c>
      <c r="H4362" s="4"/>
      <c r="I4362" s="10" t="str">
        <f>HYPERLINK("http://twitter.com/download/android","Twitter for Android")</f>
        <v>Twitter for Android</v>
      </c>
      <c r="J4362" s="2">
        <v>1244</v>
      </c>
      <c r="K4362" s="2">
        <v>534</v>
      </c>
      <c r="L4362" s="2">
        <v>6</v>
      </c>
      <c r="M4362" s="2"/>
      <c r="N4362" s="8">
        <v>43101.800509259258</v>
      </c>
      <c r="O4362" s="4" t="s">
        <v>5255</v>
      </c>
      <c r="P4362" s="3" t="s">
        <v>5254</v>
      </c>
      <c r="Q4362" s="4"/>
      <c r="R4362" s="4"/>
      <c r="S4362" s="9" t="str">
        <f>HYPERLINK("https://pbs.twimg.com/profile_images/1033372162332282880/-IwW0WE7.jpg","View")</f>
        <v>View</v>
      </c>
    </row>
    <row r="4363" spans="1:19" ht="30">
      <c r="A4363" s="8">
        <v>43341.156111111108</v>
      </c>
      <c r="B4363" s="11" t="str">
        <f>HYPERLINK("https://twitter.com/SepasN","@SepasN")</f>
        <v>@SepasN</v>
      </c>
      <c r="C4363" s="6" t="s">
        <v>5253</v>
      </c>
      <c r="D4363" s="5" t="s">
        <v>5252</v>
      </c>
      <c r="E4363" s="9" t="str">
        <f>HYPERLINK("https://twitter.com/SepasN/status/1034580086748602374","1034580086748602374")</f>
        <v>1034580086748602374</v>
      </c>
      <c r="F4363" s="4"/>
      <c r="G4363" s="10" t="s">
        <v>5251</v>
      </c>
      <c r="H4363" s="4"/>
      <c r="I4363" s="10" t="str">
        <f>HYPERLINK("http://twitter.com","Twitter Web Client")</f>
        <v>Twitter Web Client</v>
      </c>
      <c r="J4363" s="2">
        <v>49</v>
      </c>
      <c r="K4363" s="2">
        <v>130</v>
      </c>
      <c r="L4363" s="2">
        <v>0</v>
      </c>
      <c r="M4363" s="2"/>
      <c r="N4363" s="8">
        <v>43307.747395833328</v>
      </c>
      <c r="O4363" s="4"/>
      <c r="P4363" s="3"/>
      <c r="Q4363" s="4"/>
      <c r="R4363" s="4"/>
      <c r="S4363" s="9" t="str">
        <f>HYPERLINK("https://pbs.twimg.com/profile_images/1022474568357896196/OgyqBSph.jpg","View")</f>
        <v>View</v>
      </c>
    </row>
    <row r="4364" spans="1:19" ht="20">
      <c r="A4364" s="8">
        <v>43341.154849537037</v>
      </c>
      <c r="B4364" s="11" t="str">
        <f>HYPERLINK("https://twitter.com/hahaa313","@hahaa313")</f>
        <v>@hahaa313</v>
      </c>
      <c r="C4364" s="6" t="s">
        <v>5250</v>
      </c>
      <c r="D4364" s="5" t="s">
        <v>5249</v>
      </c>
      <c r="E4364" s="9" t="str">
        <f>HYPERLINK("https://twitter.com/hahaa313/status/1034579629871452161","1034579629871452161")</f>
        <v>1034579629871452161</v>
      </c>
      <c r="F4364" s="4"/>
      <c r="G4364" s="10" t="s">
        <v>5248</v>
      </c>
      <c r="H4364" s="4"/>
      <c r="I4364" s="10" t="str">
        <f>HYPERLINK("http://twitter.com/download/android","Twitter for Android")</f>
        <v>Twitter for Android</v>
      </c>
      <c r="J4364" s="2">
        <v>60</v>
      </c>
      <c r="K4364" s="2">
        <v>60</v>
      </c>
      <c r="L4364" s="2">
        <v>0</v>
      </c>
      <c r="M4364" s="2"/>
      <c r="N4364" s="8">
        <v>43234.355023148149</v>
      </c>
      <c r="O4364" s="4" t="s">
        <v>5247</v>
      </c>
      <c r="P4364" s="3" t="s">
        <v>5246</v>
      </c>
      <c r="Q4364" s="4"/>
      <c r="R4364" s="4"/>
      <c r="S4364" s="9" t="str">
        <f>HYPERLINK("https://pbs.twimg.com/profile_images/995878881080041472/PPAL5q04.jpg","View")</f>
        <v>View</v>
      </c>
    </row>
    <row r="4365" spans="1:19" ht="40">
      <c r="A4365" s="8">
        <v>43341.152638888889</v>
      </c>
      <c r="B4365" s="11" t="str">
        <f>HYPERLINK("https://twitter.com/amojb3329","@amojb3329")</f>
        <v>@amojb3329</v>
      </c>
      <c r="C4365" s="6" t="s">
        <v>5245</v>
      </c>
      <c r="D4365" s="5" t="s">
        <v>5244</v>
      </c>
      <c r="E4365" s="9" t="str">
        <f>HYPERLINK("https://twitter.com/amojb3329/status/1034578825529765890","1034578825529765890")</f>
        <v>1034578825529765890</v>
      </c>
      <c r="F4365" s="4"/>
      <c r="G4365" s="4"/>
      <c r="H4365" s="4"/>
      <c r="I4365" s="10" t="str">
        <f>HYPERLINK("http://twitter.com/download/android","Twitter for Android")</f>
        <v>Twitter for Android</v>
      </c>
      <c r="J4365" s="2">
        <v>62</v>
      </c>
      <c r="K4365" s="2">
        <v>509</v>
      </c>
      <c r="L4365" s="2">
        <v>0</v>
      </c>
      <c r="M4365" s="2"/>
      <c r="N4365" s="8">
        <v>43219.015115740738</v>
      </c>
      <c r="O4365" s="4" t="s">
        <v>3090</v>
      </c>
      <c r="P4365" s="3" t="s">
        <v>5243</v>
      </c>
      <c r="Q4365" s="4"/>
      <c r="R4365" s="4"/>
      <c r="S4365" s="9" t="str">
        <f>HYPERLINK("https://pbs.twimg.com/profile_images/1033500511289438208/uYGiCwVk.jpg","View")</f>
        <v>View</v>
      </c>
    </row>
    <row r="4366" spans="1:19" ht="20">
      <c r="A4366" s="8">
        <v>43341.150081018517</v>
      </c>
      <c r="B4366" s="11" t="str">
        <f>HYPERLINK("https://twitter.com/parvaz_davani","@parvaz_davani")</f>
        <v>@parvaz_davani</v>
      </c>
      <c r="C4366" s="6" t="s">
        <v>5242</v>
      </c>
      <c r="D4366" s="5" t="s">
        <v>5241</v>
      </c>
      <c r="E4366" s="9" t="str">
        <f>HYPERLINK("https://twitter.com/parvaz_davani/status/1034577901197385728","1034577901197385728")</f>
        <v>1034577901197385728</v>
      </c>
      <c r="F4366" s="4"/>
      <c r="G4366" s="4"/>
      <c r="H4366" s="4"/>
      <c r="I4366" s="10" t="str">
        <f>HYPERLINK("http://twitter.com/download/android","Twitter for Android")</f>
        <v>Twitter for Android</v>
      </c>
      <c r="J4366" s="2">
        <v>157</v>
      </c>
      <c r="K4366" s="2">
        <v>57</v>
      </c>
      <c r="L4366" s="2">
        <v>0</v>
      </c>
      <c r="M4366" s="2"/>
      <c r="N4366" s="8">
        <v>42858.490717592591</v>
      </c>
      <c r="O4366" s="4" t="s">
        <v>34</v>
      </c>
      <c r="P4366" s="3" t="s">
        <v>5240</v>
      </c>
      <c r="Q4366" s="4"/>
      <c r="R4366" s="4"/>
      <c r="S4366" s="9" t="str">
        <f>HYPERLINK("https://pbs.twimg.com/profile_images/859850938152087553/_ImTQO7f.jpg","View")</f>
        <v>View</v>
      </c>
    </row>
    <row r="4367" spans="1:19" ht="30">
      <c r="A4367" s="8">
        <v>43341.148645833338</v>
      </c>
      <c r="B4367" s="11" t="str">
        <f>HYPERLINK("https://twitter.com/mohammad_zoola","@mohammad_zoola")</f>
        <v>@mohammad_zoola</v>
      </c>
      <c r="C4367" s="6" t="s">
        <v>5239</v>
      </c>
      <c r="D4367" s="5" t="s">
        <v>5238</v>
      </c>
      <c r="E4367" s="9" t="str">
        <f>HYPERLINK("https://twitter.com/mohammad_zoola/status/1034577378448760832","1034577378448760832")</f>
        <v>1034577378448760832</v>
      </c>
      <c r="F4367" s="4"/>
      <c r="G4367" s="4"/>
      <c r="H4367" s="4"/>
      <c r="I4367" s="10" t="str">
        <f>HYPERLINK("http://twitter.com/download/android","Twitter for Android")</f>
        <v>Twitter for Android</v>
      </c>
      <c r="J4367" s="2">
        <v>44</v>
      </c>
      <c r="K4367" s="2">
        <v>132</v>
      </c>
      <c r="L4367" s="2">
        <v>0</v>
      </c>
      <c r="M4367" s="2"/>
      <c r="N4367" s="8">
        <v>42661.630613425921</v>
      </c>
      <c r="O4367" s="4"/>
      <c r="P4367" s="3" t="s">
        <v>5237</v>
      </c>
      <c r="Q4367" s="4"/>
      <c r="R4367" s="4"/>
      <c r="S4367" s="9" t="str">
        <f>HYPERLINK("https://pbs.twimg.com/profile_images/937060570670485505/oh01OS3a.jpg","View")</f>
        <v>View</v>
      </c>
    </row>
    <row r="4368" spans="1:19" ht="50">
      <c r="A4368" s="8">
        <v>43341.140173611115</v>
      </c>
      <c r="B4368" s="11" t="str">
        <f>HYPERLINK("https://twitter.com/Nasrinrose1","@Nasrinrose1")</f>
        <v>@Nasrinrose1</v>
      </c>
      <c r="C4368" s="6" t="s">
        <v>5236</v>
      </c>
      <c r="D4368" s="5" t="s">
        <v>5235</v>
      </c>
      <c r="E4368" s="9" t="str">
        <f>HYPERLINK("https://twitter.com/Nasrinrose1/status/1034574308050432000","1034574308050432000")</f>
        <v>1034574308050432000</v>
      </c>
      <c r="F4368" s="10" t="s">
        <v>5234</v>
      </c>
      <c r="G4368" s="4"/>
      <c r="H4368" s="4"/>
      <c r="I4368" s="10" t="str">
        <f>HYPERLINK("http://twitter.com/download/android","Twitter for Android")</f>
        <v>Twitter for Android</v>
      </c>
      <c r="J4368" s="2">
        <v>2350</v>
      </c>
      <c r="K4368" s="2">
        <v>1326</v>
      </c>
      <c r="L4368" s="2">
        <v>32</v>
      </c>
      <c r="M4368" s="2"/>
      <c r="N4368" s="8">
        <v>41324.647048611107</v>
      </c>
      <c r="O4368" s="4"/>
      <c r="P4368" s="3" t="s">
        <v>5233</v>
      </c>
      <c r="Q4368" s="4"/>
      <c r="R4368" s="4"/>
      <c r="S4368" s="9" t="str">
        <f>HYPERLINK("https://pbs.twimg.com/profile_images/1016072252033560577/MFmt43OI.jpg","View")</f>
        <v>View</v>
      </c>
    </row>
    <row r="4369" spans="1:19" ht="30">
      <c r="A4369" s="8">
        <v>43341.139548611114</v>
      </c>
      <c r="B4369" s="11" t="str">
        <f>HYPERLINK("https://twitter.com/Mohsenmp1","@Mohsenmp1")</f>
        <v>@Mohsenmp1</v>
      </c>
      <c r="C4369" s="6" t="s">
        <v>5231</v>
      </c>
      <c r="D4369" s="5" t="s">
        <v>5232</v>
      </c>
      <c r="E4369" s="9" t="str">
        <f>HYPERLINK("https://twitter.com/Mohsenmp1/status/1034574082195447808","1034574082195447808")</f>
        <v>1034574082195447808</v>
      </c>
      <c r="F4369" s="4"/>
      <c r="G4369" s="4"/>
      <c r="H4369" s="4"/>
      <c r="I4369" s="10" t="str">
        <f>HYPERLINK("http://twitter.com/download/android","Twitter for Android")</f>
        <v>Twitter for Android</v>
      </c>
      <c r="J4369" s="2">
        <v>626</v>
      </c>
      <c r="K4369" s="2">
        <v>1115</v>
      </c>
      <c r="L4369" s="2">
        <v>0</v>
      </c>
      <c r="M4369" s="2"/>
      <c r="N4369" s="8">
        <v>42974.115613425922</v>
      </c>
      <c r="O4369" s="4" t="s">
        <v>5229</v>
      </c>
      <c r="P4369" s="3" t="s">
        <v>5228</v>
      </c>
      <c r="Q4369" s="4"/>
      <c r="R4369" s="4"/>
      <c r="S4369" s="9" t="str">
        <f>HYPERLINK("https://pbs.twimg.com/profile_images/1017013841190969344/ilmfhvY7.jpg","View")</f>
        <v>View</v>
      </c>
    </row>
    <row r="4370" spans="1:19" ht="30">
      <c r="A4370" s="8">
        <v>43341.136736111112</v>
      </c>
      <c r="B4370" s="11" t="str">
        <f>HYPERLINK("https://twitter.com/Mohsenmp1","@Mohsenmp1")</f>
        <v>@Mohsenmp1</v>
      </c>
      <c r="C4370" s="6" t="s">
        <v>5231</v>
      </c>
      <c r="D4370" s="5" t="s">
        <v>5230</v>
      </c>
      <c r="E4370" s="9" t="str">
        <f>HYPERLINK("https://twitter.com/Mohsenmp1/status/1034573062333640704","1034573062333640704")</f>
        <v>1034573062333640704</v>
      </c>
      <c r="F4370" s="4"/>
      <c r="G4370" s="4"/>
      <c r="H4370" s="4"/>
      <c r="I4370" s="10" t="str">
        <f>HYPERLINK("http://twitter.com/download/android","Twitter for Android")</f>
        <v>Twitter for Android</v>
      </c>
      <c r="J4370" s="2">
        <v>626</v>
      </c>
      <c r="K4370" s="2">
        <v>1115</v>
      </c>
      <c r="L4370" s="2">
        <v>0</v>
      </c>
      <c r="M4370" s="2"/>
      <c r="N4370" s="8">
        <v>42974.115613425922</v>
      </c>
      <c r="O4370" s="4" t="s">
        <v>5229</v>
      </c>
      <c r="P4370" s="3" t="s">
        <v>5228</v>
      </c>
      <c r="Q4370" s="4"/>
      <c r="R4370" s="4"/>
      <c r="S4370" s="9" t="str">
        <f>HYPERLINK("https://pbs.twimg.com/profile_images/1017013841190969344/ilmfhvY7.jpg","View")</f>
        <v>View</v>
      </c>
    </row>
    <row r="4371" spans="1:19" ht="30">
      <c r="A4371" s="8">
        <v>43341.13554398148</v>
      </c>
      <c r="B4371" s="11" t="str">
        <f>HYPERLINK("https://twitter.com/naderalizadeh3","@naderalizadeh3")</f>
        <v>@naderalizadeh3</v>
      </c>
      <c r="C4371" s="6" t="s">
        <v>5217</v>
      </c>
      <c r="D4371" s="5" t="s">
        <v>5227</v>
      </c>
      <c r="E4371" s="9" t="str">
        <f>HYPERLINK("https://twitter.com/naderalizadeh3/status/1034572630370738176","1034572630370738176")</f>
        <v>1034572630370738176</v>
      </c>
      <c r="F4371" s="4"/>
      <c r="G4371" s="4"/>
      <c r="H4371" s="4"/>
      <c r="I4371" s="10" t="str">
        <f>HYPERLINK("https://mobile.twitter.com","Twitter Lite")</f>
        <v>Twitter Lite</v>
      </c>
      <c r="J4371" s="2">
        <v>4321</v>
      </c>
      <c r="K4371" s="2">
        <v>4222</v>
      </c>
      <c r="L4371" s="2">
        <v>5</v>
      </c>
      <c r="M4371" s="2"/>
      <c r="N4371" s="8">
        <v>42972.01053240741</v>
      </c>
      <c r="O4371" s="4" t="s">
        <v>5215</v>
      </c>
      <c r="P4371" s="3" t="s">
        <v>5214</v>
      </c>
      <c r="Q4371" s="4"/>
      <c r="R4371" s="4"/>
      <c r="S4371" s="9" t="str">
        <f>HYPERLINK("https://pbs.twimg.com/profile_images/926064240397635584/8LmsrwAq.jpg","View")</f>
        <v>View</v>
      </c>
    </row>
    <row r="4372" spans="1:19" ht="20">
      <c r="A4372" s="8">
        <v>43341.135208333333</v>
      </c>
      <c r="B4372" s="11" t="str">
        <f>HYPERLINK("https://twitter.com/mh_nouranian1","@mh_nouranian1")</f>
        <v>@mh_nouranian1</v>
      </c>
      <c r="C4372" s="6" t="s">
        <v>5047</v>
      </c>
      <c r="D4372" s="5" t="s">
        <v>5226</v>
      </c>
      <c r="E4372" s="9" t="str">
        <f>HYPERLINK("https://twitter.com/mh_nouranian1/status/1034572511877451778","1034572511877451778")</f>
        <v>1034572511877451778</v>
      </c>
      <c r="F4372" s="4"/>
      <c r="G4372" s="10" t="s">
        <v>5225</v>
      </c>
      <c r="H4372" s="4"/>
      <c r="I4372" s="10" t="str">
        <f>HYPERLINK("http://twitter.com/download/android","Twitter for Android")</f>
        <v>Twitter for Android</v>
      </c>
      <c r="J4372" s="2">
        <v>109</v>
      </c>
      <c r="K4372" s="2">
        <v>130</v>
      </c>
      <c r="L4372" s="2">
        <v>0</v>
      </c>
      <c r="M4372" s="2"/>
      <c r="N4372" s="8">
        <v>43315.062604166669</v>
      </c>
      <c r="O4372" s="4" t="s">
        <v>34</v>
      </c>
      <c r="P4372" s="3" t="s">
        <v>5044</v>
      </c>
      <c r="Q4372" s="4"/>
      <c r="R4372" s="4"/>
      <c r="S4372" s="9" t="str">
        <f>HYPERLINK("https://pbs.twimg.com/profile_images/1034454344857538560/dQBuv9wy.jpg","View")</f>
        <v>View</v>
      </c>
    </row>
    <row r="4373" spans="1:19" ht="60">
      <c r="A4373" s="8">
        <v>43341.133090277777</v>
      </c>
      <c r="B4373" s="11" t="str">
        <f>HYPERLINK("https://twitter.com/Reza40355670","@Reza40355670")</f>
        <v>@Reza40355670</v>
      </c>
      <c r="C4373" s="6" t="s">
        <v>4697</v>
      </c>
      <c r="D4373" s="5" t="s">
        <v>5224</v>
      </c>
      <c r="E4373" s="9" t="str">
        <f>HYPERLINK("https://twitter.com/Reza40355670/status/1034571740758691840","1034571740758691840")</f>
        <v>1034571740758691840</v>
      </c>
      <c r="F4373" s="10" t="s">
        <v>3477</v>
      </c>
      <c r="G4373" s="4"/>
      <c r="H4373" s="4"/>
      <c r="I4373" s="10" t="str">
        <f>HYPERLINK("http://twitter.com/download/android","Twitter for Android")</f>
        <v>Twitter for Android</v>
      </c>
      <c r="J4373" s="2">
        <v>340</v>
      </c>
      <c r="K4373" s="2">
        <v>447</v>
      </c>
      <c r="L4373" s="2">
        <v>2</v>
      </c>
      <c r="M4373" s="2"/>
      <c r="N4373" s="8">
        <v>43136.51290509259</v>
      </c>
      <c r="O4373" s="4" t="s">
        <v>4695</v>
      </c>
      <c r="P4373" s="3" t="s">
        <v>4694</v>
      </c>
      <c r="Q4373" s="4"/>
      <c r="R4373" s="4"/>
      <c r="S4373" s="9" t="str">
        <f>HYPERLINK("https://pbs.twimg.com/profile_images/960731793593917440/SFU38251.jpg","View")</f>
        <v>View</v>
      </c>
    </row>
    <row r="4374" spans="1:19" ht="20">
      <c r="A4374" s="8">
        <v>43341.132256944446</v>
      </c>
      <c r="B4374" s="11" t="str">
        <f>HYPERLINK("https://twitter.com/mh_nouranian1","@mh_nouranian1")</f>
        <v>@mh_nouranian1</v>
      </c>
      <c r="C4374" s="6" t="s">
        <v>5047</v>
      </c>
      <c r="D4374" s="5" t="s">
        <v>5223</v>
      </c>
      <c r="E4374" s="9" t="str">
        <f>HYPERLINK("https://twitter.com/mh_nouranian1/status/1034571440450940928","1034571440450940928")</f>
        <v>1034571440450940928</v>
      </c>
      <c r="F4374" s="4"/>
      <c r="G4374" s="10" t="s">
        <v>5222</v>
      </c>
      <c r="H4374" s="4"/>
      <c r="I4374" s="10" t="str">
        <f>HYPERLINK("http://twitter.com/download/android","Twitter for Android")</f>
        <v>Twitter for Android</v>
      </c>
      <c r="J4374" s="2">
        <v>109</v>
      </c>
      <c r="K4374" s="2">
        <v>130</v>
      </c>
      <c r="L4374" s="2">
        <v>0</v>
      </c>
      <c r="M4374" s="2"/>
      <c r="N4374" s="8">
        <v>43315.062604166669</v>
      </c>
      <c r="O4374" s="4" t="s">
        <v>34</v>
      </c>
      <c r="P4374" s="3" t="s">
        <v>5044</v>
      </c>
      <c r="Q4374" s="4"/>
      <c r="R4374" s="4"/>
      <c r="S4374" s="9" t="str">
        <f>HYPERLINK("https://pbs.twimg.com/profile_images/1034454344857538560/dQBuv9wy.jpg","View")</f>
        <v>View</v>
      </c>
    </row>
    <row r="4375" spans="1:19" ht="20">
      <c r="A4375" s="8">
        <v>43341.130486111113</v>
      </c>
      <c r="B4375" s="11" t="str">
        <f>HYPERLINK("https://twitter.com/miss_anghlabi","@miss_anghlabi")</f>
        <v>@miss_anghlabi</v>
      </c>
      <c r="C4375" s="6" t="s">
        <v>5221</v>
      </c>
      <c r="D4375" s="5" t="s">
        <v>5220</v>
      </c>
      <c r="E4375" s="9" t="str">
        <f>HYPERLINK("https://twitter.com/miss_anghlabi/status/1034570797208285184","1034570797208285184")</f>
        <v>1034570797208285184</v>
      </c>
      <c r="F4375" s="10" t="s">
        <v>5219</v>
      </c>
      <c r="G4375" s="4"/>
      <c r="H4375" s="4"/>
      <c r="I4375" s="10" t="str">
        <f>HYPERLINK("http://twitter.com/download/android","Twitter for Android")</f>
        <v>Twitter for Android</v>
      </c>
      <c r="J4375" s="2">
        <v>924</v>
      </c>
      <c r="K4375" s="2">
        <v>1259</v>
      </c>
      <c r="L4375" s="2">
        <v>1</v>
      </c>
      <c r="M4375" s="2"/>
      <c r="N4375" s="8">
        <v>43076.865243055552</v>
      </c>
      <c r="O4375" s="4" t="s">
        <v>17</v>
      </c>
      <c r="P4375" s="3" t="s">
        <v>5218</v>
      </c>
      <c r="Q4375" s="4"/>
      <c r="R4375" s="4"/>
      <c r="S4375" s="9" t="str">
        <f>HYPERLINK("https://pbs.twimg.com/profile_images/938821969289494528/glcYRJxF.jpg","View")</f>
        <v>View</v>
      </c>
    </row>
    <row r="4376" spans="1:19" ht="30">
      <c r="A4376" s="8">
        <v>43341.129351851851</v>
      </c>
      <c r="B4376" s="11" t="str">
        <f>HYPERLINK("https://twitter.com/naderalizadeh3","@naderalizadeh3")</f>
        <v>@naderalizadeh3</v>
      </c>
      <c r="C4376" s="6" t="s">
        <v>5217</v>
      </c>
      <c r="D4376" s="5" t="s">
        <v>5216</v>
      </c>
      <c r="E4376" s="9" t="str">
        <f>HYPERLINK("https://twitter.com/naderalizadeh3/status/1034570388771143680","1034570388771143680")</f>
        <v>1034570388771143680</v>
      </c>
      <c r="F4376" s="4"/>
      <c r="G4376" s="4"/>
      <c r="H4376" s="4"/>
      <c r="I4376" s="10" t="str">
        <f>HYPERLINK("https://mobile.twitter.com","Twitter Lite")</f>
        <v>Twitter Lite</v>
      </c>
      <c r="J4376" s="2">
        <v>4321</v>
      </c>
      <c r="K4376" s="2">
        <v>4222</v>
      </c>
      <c r="L4376" s="2">
        <v>5</v>
      </c>
      <c r="M4376" s="2"/>
      <c r="N4376" s="8">
        <v>42972.01053240741</v>
      </c>
      <c r="O4376" s="4" t="s">
        <v>5215</v>
      </c>
      <c r="P4376" s="3" t="s">
        <v>5214</v>
      </c>
      <c r="Q4376" s="4"/>
      <c r="R4376" s="4"/>
      <c r="S4376" s="9" t="str">
        <f>HYPERLINK("https://pbs.twimg.com/profile_images/926064240397635584/8LmsrwAq.jpg","View")</f>
        <v>View</v>
      </c>
    </row>
    <row r="4377" spans="1:19" ht="40">
      <c r="A4377" s="8">
        <v>43341.129328703704</v>
      </c>
      <c r="B4377" s="11" t="str">
        <f>HYPERLINK("https://twitter.com/RafatiSiavash","@RafatiSiavash")</f>
        <v>@RafatiSiavash</v>
      </c>
      <c r="C4377" s="6" t="s">
        <v>3226</v>
      </c>
      <c r="D4377" s="5" t="s">
        <v>5213</v>
      </c>
      <c r="E4377" s="9" t="str">
        <f>HYPERLINK("https://twitter.com/RafatiSiavash/status/1034570377987543042","1034570377987543042")</f>
        <v>1034570377987543042</v>
      </c>
      <c r="F4377" s="10" t="s">
        <v>5212</v>
      </c>
      <c r="G4377" s="4"/>
      <c r="H4377" s="4"/>
      <c r="I4377" s="10" t="str">
        <f>HYPERLINK("http://twitter.com","Twitter Web Client")</f>
        <v>Twitter Web Client</v>
      </c>
      <c r="J4377" s="2">
        <v>288</v>
      </c>
      <c r="K4377" s="2">
        <v>231</v>
      </c>
      <c r="L4377" s="2">
        <v>87</v>
      </c>
      <c r="M4377" s="2"/>
      <c r="N4377" s="8">
        <v>41050.769884259258</v>
      </c>
      <c r="O4377" s="4"/>
      <c r="P4377" s="3" t="s">
        <v>3223</v>
      </c>
      <c r="Q4377" s="10" t="s">
        <v>3222</v>
      </c>
      <c r="R4377" s="4"/>
      <c r="S4377" s="9" t="str">
        <f>HYPERLINK("https://pbs.twimg.com/profile_images/821385868690751488/Qqe0I1Bk.jpg","View")</f>
        <v>View</v>
      </c>
    </row>
    <row r="4378" spans="1:19" ht="40">
      <c r="A4378" s="8">
        <v>43341.128680555557</v>
      </c>
      <c r="B4378" s="11" t="str">
        <f>HYPERLINK("https://twitter.com/__mr_akhmoo__","@__mr_akhmoo__")</f>
        <v>@__mr_akhmoo__</v>
      </c>
      <c r="C4378" s="6" t="s">
        <v>5211</v>
      </c>
      <c r="D4378" s="5" t="s">
        <v>5210</v>
      </c>
      <c r="E4378" s="9" t="str">
        <f>HYPERLINK("https://twitter.com/__mr_akhmoo__/status/1034570146046783488","1034570146046783488")</f>
        <v>1034570146046783488</v>
      </c>
      <c r="F4378" s="4"/>
      <c r="G4378" s="4"/>
      <c r="H4378" s="4"/>
      <c r="I4378" s="10" t="str">
        <f>HYPERLINK("http://twitter.com/download/android","Twitter for Android")</f>
        <v>Twitter for Android</v>
      </c>
      <c r="J4378" s="2">
        <v>246</v>
      </c>
      <c r="K4378" s="2">
        <v>422</v>
      </c>
      <c r="L4378" s="2">
        <v>0</v>
      </c>
      <c r="M4378" s="2"/>
      <c r="N4378" s="8">
        <v>43241.585902777777</v>
      </c>
      <c r="O4378" s="4"/>
      <c r="P4378" s="3"/>
      <c r="Q4378" s="4"/>
      <c r="R4378" s="4"/>
      <c r="S4378" s="9" t="str">
        <f>HYPERLINK("https://pbs.twimg.com/profile_images/1014381473481265152/joe1WAaB.jpg","View")</f>
        <v>View</v>
      </c>
    </row>
    <row r="4379" spans="1:19" ht="40">
      <c r="A4379" s="8">
        <v>43341.127743055556</v>
      </c>
      <c r="B4379" s="11" t="str">
        <f>HYPERLINK("https://twitter.com/MahmoudFalaki","@MahmoudFalaki")</f>
        <v>@MahmoudFalaki</v>
      </c>
      <c r="C4379" s="6" t="s">
        <v>5200</v>
      </c>
      <c r="D4379" s="5" t="s">
        <v>5209</v>
      </c>
      <c r="E4379" s="9" t="str">
        <f>HYPERLINK("https://twitter.com/MahmoudFalaki/status/1034569802898198529","1034569802898198529")</f>
        <v>1034569802898198529</v>
      </c>
      <c r="F4379" s="4"/>
      <c r="G4379" s="4"/>
      <c r="H4379" s="4"/>
      <c r="I4379" s="10" t="str">
        <f>HYPERLINK("http://twitter.com/download/android","Twitter for Android")</f>
        <v>Twitter for Android</v>
      </c>
      <c r="J4379" s="2">
        <v>19</v>
      </c>
      <c r="K4379" s="2">
        <v>70</v>
      </c>
      <c r="L4379" s="2">
        <v>0</v>
      </c>
      <c r="M4379" s="2"/>
      <c r="N4379" s="8">
        <v>43132.86072916667</v>
      </c>
      <c r="O4379" s="4" t="s">
        <v>34</v>
      </c>
      <c r="P4379" s="3" t="s">
        <v>5198</v>
      </c>
      <c r="Q4379" s="4"/>
      <c r="R4379" s="4"/>
      <c r="S4379" s="9" t="str">
        <f>HYPERLINK("https://pbs.twimg.com/profile_images/1032425154276614144/uB_Ylpgt.jpg","View")</f>
        <v>View</v>
      </c>
    </row>
    <row r="4380" spans="1:19" ht="20">
      <c r="A4380" s="8">
        <v>43341.125740740739</v>
      </c>
      <c r="B4380" s="11" t="str">
        <f>HYPERLINK("https://twitter.com/Trendfa","@Trendfa")</f>
        <v>@Trendfa</v>
      </c>
      <c r="C4380" s="6" t="s">
        <v>1847</v>
      </c>
      <c r="D4380" s="5" t="s">
        <v>5208</v>
      </c>
      <c r="E4380" s="9" t="str">
        <f>HYPERLINK("https://twitter.com/Trendfa/status/1034569079921602560","1034569079921602560")</f>
        <v>1034569079921602560</v>
      </c>
      <c r="F4380" s="4"/>
      <c r="G4380" s="4"/>
      <c r="H4380" s="4"/>
      <c r="I4380" s="10" t="str">
        <f>HYPERLINK("http://trendfa.mostafar.com","TrendFa")</f>
        <v>TrendFa</v>
      </c>
      <c r="J4380" s="2">
        <v>1255</v>
      </c>
      <c r="K4380" s="2">
        <v>637</v>
      </c>
      <c r="L4380" s="2">
        <v>9</v>
      </c>
      <c r="M4380" s="2"/>
      <c r="N4380" s="8">
        <v>42854.236793981487</v>
      </c>
      <c r="O4380" s="4" t="s">
        <v>1770</v>
      </c>
      <c r="P4380" s="3" t="s">
        <v>1845</v>
      </c>
      <c r="Q4380" s="4"/>
      <c r="R4380" s="4"/>
      <c r="S4380" s="9" t="str">
        <f>HYPERLINK("https://pbs.twimg.com/profile_images/861706286957682689/0zDr9duE.jpg","View")</f>
        <v>View</v>
      </c>
    </row>
    <row r="4381" spans="1:19" ht="30">
      <c r="A4381" s="8">
        <v>43341.125439814816</v>
      </c>
      <c r="B4381" s="11" t="str">
        <f>HYPERLINK("https://twitter.com/varesin_13","@varesin_13")</f>
        <v>@varesin_13</v>
      </c>
      <c r="C4381" s="6" t="s">
        <v>5207</v>
      </c>
      <c r="D4381" s="5" t="s">
        <v>5206</v>
      </c>
      <c r="E4381" s="9" t="str">
        <f>HYPERLINK("https://twitter.com/varesin_13/status/1034568971335479304","1034568971335479304")</f>
        <v>1034568971335479304</v>
      </c>
      <c r="F4381" s="10" t="s">
        <v>5205</v>
      </c>
      <c r="G4381" s="4"/>
      <c r="H4381" s="4"/>
      <c r="I4381" s="10" t="str">
        <f>HYPERLINK("http://instagram.com","Instagram")</f>
        <v>Instagram</v>
      </c>
      <c r="J4381" s="2">
        <v>247</v>
      </c>
      <c r="K4381" s="2">
        <v>158</v>
      </c>
      <c r="L4381" s="2">
        <v>0</v>
      </c>
      <c r="M4381" s="2"/>
      <c r="N4381" s="8">
        <v>42574.892222222217</v>
      </c>
      <c r="O4381" s="4" t="s">
        <v>17</v>
      </c>
      <c r="P4381" s="3" t="s">
        <v>5204</v>
      </c>
      <c r="Q4381" s="10" t="s">
        <v>5203</v>
      </c>
      <c r="R4381" s="4"/>
      <c r="S4381" s="9" t="str">
        <f>HYPERLINK("https://pbs.twimg.com/profile_images/1005985036418605057/xFNyn9gm.jpg","View")</f>
        <v>View</v>
      </c>
    </row>
    <row r="4382" spans="1:19" ht="40">
      <c r="A4382" s="8">
        <v>43341.124293981484</v>
      </c>
      <c r="B4382" s="11" t="str">
        <f>HYPERLINK("https://twitter.com/bazyareqbal","@bazyareqbal")</f>
        <v>@bazyareqbal</v>
      </c>
      <c r="C4382" s="6" t="s">
        <v>4880</v>
      </c>
      <c r="D4382" s="5" t="s">
        <v>5202</v>
      </c>
      <c r="E4382" s="9" t="str">
        <f>HYPERLINK("https://twitter.com/bazyareqbal/status/1034568555151413248","1034568555151413248")</f>
        <v>1034568555151413248</v>
      </c>
      <c r="F4382" s="4"/>
      <c r="G4382" s="10" t="s">
        <v>5201</v>
      </c>
      <c r="H4382" s="4"/>
      <c r="I4382" s="10" t="str">
        <f>HYPERLINK("http://twitter.com/download/android","Twitter for Android")</f>
        <v>Twitter for Android</v>
      </c>
      <c r="J4382" s="2">
        <v>208</v>
      </c>
      <c r="K4382" s="2">
        <v>101</v>
      </c>
      <c r="L4382" s="2">
        <v>0</v>
      </c>
      <c r="M4382" s="2"/>
      <c r="N4382" s="8">
        <v>42851.759120370371</v>
      </c>
      <c r="O4382" s="4" t="s">
        <v>104</v>
      </c>
      <c r="P4382" s="3" t="s">
        <v>4878</v>
      </c>
      <c r="Q4382" s="10" t="s">
        <v>4877</v>
      </c>
      <c r="R4382" s="4"/>
      <c r="S4382" s="9" t="str">
        <f>HYPERLINK("https://pbs.twimg.com/profile_images/1028030547262664706/gd-U_N5Z.jpg","View")</f>
        <v>View</v>
      </c>
    </row>
    <row r="4383" spans="1:19" ht="30">
      <c r="A4383" s="8">
        <v>43341.123622685191</v>
      </c>
      <c r="B4383" s="11" t="str">
        <f>HYPERLINK("https://twitter.com/MahmoudFalaki","@MahmoudFalaki")</f>
        <v>@MahmoudFalaki</v>
      </c>
      <c r="C4383" s="6" t="s">
        <v>5200</v>
      </c>
      <c r="D4383" s="5" t="s">
        <v>5199</v>
      </c>
      <c r="E4383" s="9" t="str">
        <f>HYPERLINK("https://twitter.com/MahmoudFalaki/status/1034568313370824706","1034568313370824706")</f>
        <v>1034568313370824706</v>
      </c>
      <c r="F4383" s="4"/>
      <c r="G4383" s="4"/>
      <c r="H4383" s="4"/>
      <c r="I4383" s="10" t="str">
        <f>HYPERLINK("http://twitter.com/download/android","Twitter for Android")</f>
        <v>Twitter for Android</v>
      </c>
      <c r="J4383" s="2">
        <v>19</v>
      </c>
      <c r="K4383" s="2">
        <v>70</v>
      </c>
      <c r="L4383" s="2">
        <v>0</v>
      </c>
      <c r="M4383" s="2"/>
      <c r="N4383" s="8">
        <v>43132.86072916667</v>
      </c>
      <c r="O4383" s="4" t="s">
        <v>34</v>
      </c>
      <c r="P4383" s="3" t="s">
        <v>5198</v>
      </c>
      <c r="Q4383" s="4"/>
      <c r="R4383" s="4"/>
      <c r="S4383" s="9" t="str">
        <f>HYPERLINK("https://pbs.twimg.com/profile_images/1032425154276614144/uB_Ylpgt.jpg","View")</f>
        <v>View</v>
      </c>
    </row>
    <row r="4384" spans="1:19" ht="40">
      <c r="A4384" s="8">
        <v>43341.122013888889</v>
      </c>
      <c r="B4384" s="11" t="str">
        <f>HYPERLINK("https://twitter.com/RafatiSiavash","@RafatiSiavash")</f>
        <v>@RafatiSiavash</v>
      </c>
      <c r="C4384" s="6" t="s">
        <v>3226</v>
      </c>
      <c r="D4384" s="5" t="s">
        <v>5197</v>
      </c>
      <c r="E4384" s="9" t="str">
        <f>HYPERLINK("https://twitter.com/RafatiSiavash/status/1034567727447465984","1034567727447465984")</f>
        <v>1034567727447465984</v>
      </c>
      <c r="F4384" s="10" t="s">
        <v>5196</v>
      </c>
      <c r="G4384" s="4"/>
      <c r="H4384" s="4"/>
      <c r="I4384" s="10" t="str">
        <f>HYPERLINK("http://twitter.com","Twitter Web Client")</f>
        <v>Twitter Web Client</v>
      </c>
      <c r="J4384" s="2">
        <v>288</v>
      </c>
      <c r="K4384" s="2">
        <v>231</v>
      </c>
      <c r="L4384" s="2">
        <v>87</v>
      </c>
      <c r="M4384" s="2"/>
      <c r="N4384" s="8">
        <v>41050.769884259258</v>
      </c>
      <c r="O4384" s="4"/>
      <c r="P4384" s="3" t="s">
        <v>3223</v>
      </c>
      <c r="Q4384" s="10" t="s">
        <v>3222</v>
      </c>
      <c r="R4384" s="4"/>
      <c r="S4384" s="9" t="str">
        <f>HYPERLINK("https://pbs.twimg.com/profile_images/821385868690751488/Qqe0I1Bk.jpg","View")</f>
        <v>View</v>
      </c>
    </row>
    <row r="4385" spans="1:19" ht="30">
      <c r="A4385" s="8">
        <v>43341.121122685188</v>
      </c>
      <c r="B4385" s="11" t="str">
        <f>HYPERLINK("https://twitter.com/ehsayn","@ehsayn")</f>
        <v>@ehsayn</v>
      </c>
      <c r="C4385" s="6" t="s">
        <v>5195</v>
      </c>
      <c r="D4385" s="5" t="s">
        <v>5194</v>
      </c>
      <c r="E4385" s="9" t="str">
        <f>HYPERLINK("https://twitter.com/ehsayn/status/1034567407539552257","1034567407539552257")</f>
        <v>1034567407539552257</v>
      </c>
      <c r="F4385" s="4"/>
      <c r="G4385" s="4"/>
      <c r="H4385" s="4"/>
      <c r="I4385" s="10" t="str">
        <f>HYPERLINK("http://twitter.com/download/android","Twitter for Android")</f>
        <v>Twitter for Android</v>
      </c>
      <c r="J4385" s="2">
        <v>1474</v>
      </c>
      <c r="K4385" s="2">
        <v>674</v>
      </c>
      <c r="L4385" s="2">
        <v>9</v>
      </c>
      <c r="M4385" s="2"/>
      <c r="N4385" s="8">
        <v>42104.503206018519</v>
      </c>
      <c r="O4385" s="4" t="s">
        <v>104</v>
      </c>
      <c r="P4385" s="3" t="s">
        <v>5193</v>
      </c>
      <c r="Q4385" s="4"/>
      <c r="R4385" s="4"/>
      <c r="S4385" s="9" t="str">
        <f>HYPERLINK("https://pbs.twimg.com/profile_images/1033997278359498754/Yy813AY3.jpg","View")</f>
        <v>View</v>
      </c>
    </row>
    <row r="4386" spans="1:19" ht="40">
      <c r="A4386" s="8">
        <v>43341.120324074072</v>
      </c>
      <c r="B4386" s="11" t="str">
        <f>HYPERLINK("https://twitter.com/Navidd_brs","@Navidd_brs")</f>
        <v>@Navidd_brs</v>
      </c>
      <c r="C4386" s="6" t="s">
        <v>5167</v>
      </c>
      <c r="D4386" s="5" t="s">
        <v>5192</v>
      </c>
      <c r="E4386" s="9" t="str">
        <f>HYPERLINK("https://twitter.com/Navidd_brs/status/1034567117226565634","1034567117226565634")</f>
        <v>1034567117226565634</v>
      </c>
      <c r="F4386" s="4"/>
      <c r="G4386" s="4"/>
      <c r="H4386" s="4"/>
      <c r="I4386" s="10" t="str">
        <f>HYPERLINK("https://mobile.twitter.com","Twitter Lite")</f>
        <v>Twitter Lite</v>
      </c>
      <c r="J4386" s="2">
        <v>1418</v>
      </c>
      <c r="K4386" s="2">
        <v>1297</v>
      </c>
      <c r="L4386" s="2">
        <v>1</v>
      </c>
      <c r="M4386" s="2"/>
      <c r="N4386" s="8">
        <v>43219.915150462963</v>
      </c>
      <c r="O4386" s="4" t="s">
        <v>5165</v>
      </c>
      <c r="P4386" s="3" t="s">
        <v>5164</v>
      </c>
      <c r="Q4386" s="4"/>
      <c r="R4386" s="4"/>
      <c r="S4386" s="9" t="str">
        <f>HYPERLINK("https://pbs.twimg.com/profile_images/990647953600761859/T5kbO5Dd.jpg","View")</f>
        <v>View</v>
      </c>
    </row>
    <row r="4387" spans="1:19" ht="12.5">
      <c r="A4387" s="8">
        <v>43341.120127314818</v>
      </c>
      <c r="B4387" s="11" t="str">
        <f>HYPERLINK("https://twitter.com/VARASHTUNES","@VARASHTUNES")</f>
        <v>@VARASHTUNES</v>
      </c>
      <c r="C4387" s="6" t="s">
        <v>5191</v>
      </c>
      <c r="D4387" s="5" t="s">
        <v>5190</v>
      </c>
      <c r="E4387" s="9" t="str">
        <f>HYPERLINK("https://twitter.com/VARASHTUNES/status/1034567043524247553","1034567043524247553")</f>
        <v>1034567043524247553</v>
      </c>
      <c r="F4387" s="4"/>
      <c r="G4387" s="4"/>
      <c r="H4387" s="4"/>
      <c r="I4387" s="10" t="str">
        <f>HYPERLINK("http://twitter.com/download/iphone","Twitter for iPhone")</f>
        <v>Twitter for iPhone</v>
      </c>
      <c r="J4387" s="2">
        <v>14</v>
      </c>
      <c r="K4387" s="2">
        <v>38</v>
      </c>
      <c r="L4387" s="2">
        <v>0</v>
      </c>
      <c r="M4387" s="2"/>
      <c r="N4387" s="8">
        <v>43322.659155092595</v>
      </c>
      <c r="O4387" s="4"/>
      <c r="P4387" s="3" t="s">
        <v>5189</v>
      </c>
      <c r="Q4387" s="10" t="s">
        <v>5188</v>
      </c>
      <c r="R4387" s="4"/>
      <c r="S4387" s="9" t="str">
        <f>HYPERLINK("https://pbs.twimg.com/profile_images/1027880871372697600/dfh2XjZ8.jpg","View")</f>
        <v>View</v>
      </c>
    </row>
    <row r="4388" spans="1:19" ht="40">
      <c r="A4388" s="8">
        <v>43341.11990740741</v>
      </c>
      <c r="B4388" s="11" t="str">
        <f>HYPERLINK("https://twitter.com/BarsaReza","@BarsaReza")</f>
        <v>@BarsaReza</v>
      </c>
      <c r="C4388" s="6" t="s">
        <v>5187</v>
      </c>
      <c r="D4388" s="5" t="s">
        <v>5186</v>
      </c>
      <c r="E4388" s="9" t="str">
        <f>HYPERLINK("https://twitter.com/BarsaReza/status/1034566967238090752","1034566967238090752")</f>
        <v>1034566967238090752</v>
      </c>
      <c r="F4388" s="4"/>
      <c r="G4388" s="4"/>
      <c r="H4388" s="4"/>
      <c r="I4388" s="10" t="str">
        <f>HYPERLINK("http://twitter.com/download/iphone","Twitter for iPhone")</f>
        <v>Twitter for iPhone</v>
      </c>
      <c r="J4388" s="2">
        <v>1669</v>
      </c>
      <c r="K4388" s="2">
        <v>1436</v>
      </c>
      <c r="L4388" s="2">
        <v>6</v>
      </c>
      <c r="M4388" s="2"/>
      <c r="N4388" s="8">
        <v>42929.095821759256</v>
      </c>
      <c r="O4388" s="4" t="s">
        <v>5185</v>
      </c>
      <c r="P4388" s="3" t="s">
        <v>5184</v>
      </c>
      <c r="Q4388" s="4"/>
      <c r="R4388" s="4"/>
      <c r="S4388" s="9" t="str">
        <f>HYPERLINK("https://pbs.twimg.com/profile_images/1024991695631339520/D5HPsKiC.jpg","View")</f>
        <v>View</v>
      </c>
    </row>
    <row r="4389" spans="1:19" ht="30">
      <c r="A4389" s="8">
        <v>43341.118599537032</v>
      </c>
      <c r="B4389" s="11" t="str">
        <f>HYPERLINK("https://twitter.com/Azadi_313kh","@Azadi_313kh")</f>
        <v>@Azadi_313kh</v>
      </c>
      <c r="C4389" s="6" t="s">
        <v>5183</v>
      </c>
      <c r="D4389" s="5" t="s">
        <v>5182</v>
      </c>
      <c r="E4389" s="9" t="str">
        <f>HYPERLINK("https://twitter.com/Azadi_313kh/status/1034566493223231491","1034566493223231491")</f>
        <v>1034566493223231491</v>
      </c>
      <c r="F4389" s="4"/>
      <c r="G4389" s="4"/>
      <c r="H4389" s="4"/>
      <c r="I4389" s="10" t="str">
        <f>HYPERLINK("http://twitter.com/download/iphone","Twitter for iPhone")</f>
        <v>Twitter for iPhone</v>
      </c>
      <c r="J4389" s="2">
        <v>4204</v>
      </c>
      <c r="K4389" s="2">
        <v>1960</v>
      </c>
      <c r="L4389" s="2">
        <v>20</v>
      </c>
      <c r="M4389" s="2"/>
      <c r="N4389" s="8">
        <v>42857.874224537038</v>
      </c>
      <c r="O4389" s="4"/>
      <c r="P4389" s="3" t="s">
        <v>5181</v>
      </c>
      <c r="Q4389" s="4"/>
      <c r="R4389" s="4"/>
      <c r="S4389" s="9" t="str">
        <f>HYPERLINK("https://pbs.twimg.com/profile_images/1034415659994820608/c45kXNee.jpg","View")</f>
        <v>View</v>
      </c>
    </row>
    <row r="4390" spans="1:19" ht="40">
      <c r="A4390" s="8">
        <v>43341.11717592593</v>
      </c>
      <c r="B4390" s="11" t="str">
        <f>HYPERLINK("https://twitter.com/Omiiitb","@Omiiitb")</f>
        <v>@Omiiitb</v>
      </c>
      <c r="C4390" s="6" t="s">
        <v>2994</v>
      </c>
      <c r="D4390" s="5" t="s">
        <v>5180</v>
      </c>
      <c r="E4390" s="9" t="str">
        <f>HYPERLINK("https://twitter.com/Omiiitb/status/1034565973888577537","1034565973888577537")</f>
        <v>1034565973888577537</v>
      </c>
      <c r="F4390" s="4"/>
      <c r="G4390" s="4"/>
      <c r="H4390" s="4"/>
      <c r="I4390" s="10" t="str">
        <f>HYPERLINK("http://twitter.com/download/android","Twitter for Android")</f>
        <v>Twitter for Android</v>
      </c>
      <c r="J4390" s="2">
        <v>70</v>
      </c>
      <c r="K4390" s="2">
        <v>209</v>
      </c>
      <c r="L4390" s="2">
        <v>0</v>
      </c>
      <c r="M4390" s="2"/>
      <c r="N4390" s="8">
        <v>41803.872534722221</v>
      </c>
      <c r="O4390" s="4" t="s">
        <v>34</v>
      </c>
      <c r="P4390" s="3" t="s">
        <v>2992</v>
      </c>
      <c r="Q4390" s="4"/>
      <c r="R4390" s="4"/>
      <c r="S4390" s="9" t="str">
        <f>HYPERLINK("https://pbs.twimg.com/profile_images/1022173964234158080/5ougSVYh.jpg","View")</f>
        <v>View</v>
      </c>
    </row>
    <row r="4391" spans="1:19" ht="40">
      <c r="A4391" s="8">
        <v>43341.116932870369</v>
      </c>
      <c r="B4391" s="11" t="str">
        <f>HYPERLINK("https://twitter.com/RafatiSiavash","@RafatiSiavash")</f>
        <v>@RafatiSiavash</v>
      </c>
      <c r="C4391" s="6" t="s">
        <v>3226</v>
      </c>
      <c r="D4391" s="5" t="s">
        <v>5179</v>
      </c>
      <c r="E4391" s="9" t="str">
        <f>HYPERLINK("https://twitter.com/RafatiSiavash/status/1034565887616016384","1034565887616016384")</f>
        <v>1034565887616016384</v>
      </c>
      <c r="F4391" s="10" t="s">
        <v>5178</v>
      </c>
      <c r="G4391" s="4"/>
      <c r="H4391" s="4"/>
      <c r="I4391" s="10" t="str">
        <f>HYPERLINK("http://twitter.com","Twitter Web Client")</f>
        <v>Twitter Web Client</v>
      </c>
      <c r="J4391" s="2">
        <v>288</v>
      </c>
      <c r="K4391" s="2">
        <v>231</v>
      </c>
      <c r="L4391" s="2">
        <v>87</v>
      </c>
      <c r="M4391" s="2"/>
      <c r="N4391" s="8">
        <v>41050.769884259258</v>
      </c>
      <c r="O4391" s="4"/>
      <c r="P4391" s="3" t="s">
        <v>3223</v>
      </c>
      <c r="Q4391" s="10" t="s">
        <v>3222</v>
      </c>
      <c r="R4391" s="4"/>
      <c r="S4391" s="9" t="str">
        <f>HYPERLINK("https://pbs.twimg.com/profile_images/821385868690751488/Qqe0I1Bk.jpg","View")</f>
        <v>View</v>
      </c>
    </row>
    <row r="4392" spans="1:19" ht="40">
      <c r="A4392" s="8">
        <v>43341.116655092592</v>
      </c>
      <c r="B4392" s="11" t="str">
        <f>HYPERLINK("https://twitter.com/TamhidiAidin","@TamhidiAidin")</f>
        <v>@TamhidiAidin</v>
      </c>
      <c r="C4392" s="6" t="s">
        <v>5177</v>
      </c>
      <c r="D4392" s="5" t="s">
        <v>5176</v>
      </c>
      <c r="E4392" s="9" t="str">
        <f>HYPERLINK("https://twitter.com/TamhidiAidin/status/1034565787397152768","1034565787397152768")</f>
        <v>1034565787397152768</v>
      </c>
      <c r="F4392" s="4"/>
      <c r="G4392" s="4"/>
      <c r="H4392" s="4"/>
      <c r="I4392" s="10" t="str">
        <f>HYPERLINK("http://twitter.com/download/iphone","Twitter for iPhone")</f>
        <v>Twitter for iPhone</v>
      </c>
      <c r="J4392" s="2">
        <v>55</v>
      </c>
      <c r="K4392" s="2">
        <v>44</v>
      </c>
      <c r="L4392" s="2">
        <v>0</v>
      </c>
      <c r="M4392" s="2"/>
      <c r="N4392" s="8">
        <v>43305.979537037041</v>
      </c>
      <c r="O4392" s="4"/>
      <c r="P4392" s="3" t="s">
        <v>5175</v>
      </c>
      <c r="Q4392" s="4"/>
      <c r="R4392" s="4"/>
      <c r="S4392" s="9" t="str">
        <f>HYPERLINK("https://pbs.twimg.com/profile_images/1021833210911580163/w8AEGBcL.jpg","View")</f>
        <v>View</v>
      </c>
    </row>
    <row r="4393" spans="1:19" ht="40">
      <c r="A4393" s="8">
        <v>43341.115983796291</v>
      </c>
      <c r="B4393" s="11" t="str">
        <f>HYPERLINK("https://twitter.com/AhmadiArad","@AhmadiArad")</f>
        <v>@AhmadiArad</v>
      </c>
      <c r="C4393" s="6" t="s">
        <v>5174</v>
      </c>
      <c r="D4393" s="5" t="s">
        <v>5173</v>
      </c>
      <c r="E4393" s="9" t="str">
        <f>HYPERLINK("https://twitter.com/AhmadiArad/status/1034565541330079751","1034565541330079751")</f>
        <v>1034565541330079751</v>
      </c>
      <c r="F4393" s="4"/>
      <c r="G4393" s="4"/>
      <c r="H4393" s="4"/>
      <c r="I4393" s="10" t="str">
        <f>HYPERLINK("http://twitter.com/download/android","Twitter for Android")</f>
        <v>Twitter for Android</v>
      </c>
      <c r="J4393" s="2">
        <v>129</v>
      </c>
      <c r="K4393" s="2">
        <v>88</v>
      </c>
      <c r="L4393" s="2">
        <v>0</v>
      </c>
      <c r="M4393" s="2"/>
      <c r="N4393" s="8">
        <v>42740.178310185191</v>
      </c>
      <c r="O4393" s="4" t="s">
        <v>34</v>
      </c>
      <c r="P4393" s="3" t="s">
        <v>5172</v>
      </c>
      <c r="Q4393" s="4"/>
      <c r="R4393" s="4"/>
      <c r="S4393" s="9" t="str">
        <f>HYPERLINK("https://pbs.twimg.com/profile_images/1012666205302337536/cqSVatpI.jpg","View")</f>
        <v>View</v>
      </c>
    </row>
    <row r="4394" spans="1:19" ht="30">
      <c r="A4394" s="8">
        <v>43341.115798611107</v>
      </c>
      <c r="B4394" s="11" t="str">
        <f>HYPERLINK("https://twitter.com/tanhaa021","@tanhaa021")</f>
        <v>@tanhaa021</v>
      </c>
      <c r="C4394" s="6" t="s">
        <v>5171</v>
      </c>
      <c r="D4394" s="5" t="s">
        <v>5170</v>
      </c>
      <c r="E4394" s="9" t="str">
        <f>HYPERLINK("https://twitter.com/tanhaa021/status/1034565476121300992","1034565476121300992")</f>
        <v>1034565476121300992</v>
      </c>
      <c r="F4394" s="4"/>
      <c r="G4394" s="4"/>
      <c r="H4394" s="4"/>
      <c r="I4394" s="10" t="str">
        <f>HYPERLINK("https://mobile.twitter.com","Twitter Lite")</f>
        <v>Twitter Lite</v>
      </c>
      <c r="J4394" s="2">
        <v>214</v>
      </c>
      <c r="K4394" s="2">
        <v>252</v>
      </c>
      <c r="L4394" s="2">
        <v>0</v>
      </c>
      <c r="M4394" s="2"/>
      <c r="N4394" s="8">
        <v>43299.862951388888</v>
      </c>
      <c r="O4394" s="4" t="s">
        <v>1143</v>
      </c>
      <c r="P4394" s="3" t="s">
        <v>5169</v>
      </c>
      <c r="Q4394" s="10" t="s">
        <v>5168</v>
      </c>
      <c r="R4394" s="4"/>
      <c r="S4394" s="9" t="str">
        <f>HYPERLINK("https://pbs.twimg.com/profile_images/1019620184598941696/OV1EbaOS.jpg","View")</f>
        <v>View</v>
      </c>
    </row>
    <row r="4395" spans="1:19" ht="20">
      <c r="A4395" s="8">
        <v>43341.115300925929</v>
      </c>
      <c r="B4395" s="11" t="str">
        <f>HYPERLINK("https://twitter.com/Navidd_brs","@Navidd_brs")</f>
        <v>@Navidd_brs</v>
      </c>
      <c r="C4395" s="6" t="s">
        <v>5167</v>
      </c>
      <c r="D4395" s="5" t="s">
        <v>5166</v>
      </c>
      <c r="E4395" s="9" t="str">
        <f>HYPERLINK("https://twitter.com/Navidd_brs/status/1034565296894500865","1034565296894500865")</f>
        <v>1034565296894500865</v>
      </c>
      <c r="F4395" s="4"/>
      <c r="G4395" s="4"/>
      <c r="H4395" s="4"/>
      <c r="I4395" s="10" t="str">
        <f>HYPERLINK("https://mobile.twitter.com","Twitter Lite")</f>
        <v>Twitter Lite</v>
      </c>
      <c r="J4395" s="2">
        <v>1418</v>
      </c>
      <c r="K4395" s="2">
        <v>1297</v>
      </c>
      <c r="L4395" s="2">
        <v>1</v>
      </c>
      <c r="M4395" s="2"/>
      <c r="N4395" s="8">
        <v>43219.915150462963</v>
      </c>
      <c r="O4395" s="4" t="s">
        <v>5165</v>
      </c>
      <c r="P4395" s="3" t="s">
        <v>5164</v>
      </c>
      <c r="Q4395" s="4"/>
      <c r="R4395" s="4"/>
      <c r="S4395" s="9" t="str">
        <f>HYPERLINK("https://pbs.twimg.com/profile_images/990647953600761859/T5kbO5Dd.jpg","View")</f>
        <v>View</v>
      </c>
    </row>
    <row r="4396" spans="1:19" ht="40">
      <c r="A4396" s="8">
        <v>43341.113750000004</v>
      </c>
      <c r="B4396" s="11" t="str">
        <f>HYPERLINK("https://twitter.com/Omiiitb","@Omiiitb")</f>
        <v>@Omiiitb</v>
      </c>
      <c r="C4396" s="6" t="s">
        <v>2994</v>
      </c>
      <c r="D4396" s="5" t="s">
        <v>5163</v>
      </c>
      <c r="E4396" s="9" t="str">
        <f>HYPERLINK("https://twitter.com/Omiiitb/status/1034564734006091776","1034564734006091776")</f>
        <v>1034564734006091776</v>
      </c>
      <c r="F4396" s="4"/>
      <c r="G4396" s="4"/>
      <c r="H4396" s="4"/>
      <c r="I4396" s="10" t="str">
        <f>HYPERLINK("http://twitter.com/download/android","Twitter for Android")</f>
        <v>Twitter for Android</v>
      </c>
      <c r="J4396" s="2">
        <v>70</v>
      </c>
      <c r="K4396" s="2">
        <v>209</v>
      </c>
      <c r="L4396" s="2">
        <v>0</v>
      </c>
      <c r="M4396" s="2"/>
      <c r="N4396" s="8">
        <v>41803.872534722221</v>
      </c>
      <c r="O4396" s="4" t="s">
        <v>34</v>
      </c>
      <c r="P4396" s="3" t="s">
        <v>2992</v>
      </c>
      <c r="Q4396" s="4"/>
      <c r="R4396" s="4"/>
      <c r="S4396" s="9" t="str">
        <f>HYPERLINK("https://pbs.twimg.com/profile_images/1022173964234158080/5ougSVYh.jpg","View")</f>
        <v>View</v>
      </c>
    </row>
    <row r="4397" spans="1:19" ht="40">
      <c r="A4397" s="8">
        <v>43341.112175925926</v>
      </c>
      <c r="B4397" s="11" t="str">
        <f>HYPERLINK("https://twitter.com/ahmadghaedamini","@ahmadghaedamini")</f>
        <v>@ahmadghaedamini</v>
      </c>
      <c r="C4397" s="6" t="s">
        <v>5162</v>
      </c>
      <c r="D4397" s="5" t="s">
        <v>5161</v>
      </c>
      <c r="E4397" s="9" t="str">
        <f>HYPERLINK("https://twitter.com/ahmadghaedamini/status/1034564162976985089","1034564162976985089")</f>
        <v>1034564162976985089</v>
      </c>
      <c r="F4397" s="4"/>
      <c r="G4397" s="10" t="s">
        <v>5160</v>
      </c>
      <c r="H4397" s="4"/>
      <c r="I4397" s="10" t="str">
        <f>HYPERLINK("http://twitter.com/download/android","Twitter for Android")</f>
        <v>Twitter for Android</v>
      </c>
      <c r="J4397" s="2">
        <v>292</v>
      </c>
      <c r="K4397" s="2">
        <v>843</v>
      </c>
      <c r="L4397" s="2">
        <v>0</v>
      </c>
      <c r="M4397" s="2"/>
      <c r="N4397" s="8">
        <v>43250.456782407404</v>
      </c>
      <c r="O4397" s="4" t="s">
        <v>5159</v>
      </c>
      <c r="P4397" s="3" t="s">
        <v>5158</v>
      </c>
      <c r="Q4397" s="4"/>
      <c r="R4397" s="4"/>
      <c r="S4397" s="9" t="str">
        <f>HYPERLINK("https://pbs.twimg.com/profile_images/1032786390738714625/jyQteJJZ.jpg","View")</f>
        <v>View</v>
      </c>
    </row>
    <row r="4398" spans="1:19" ht="20">
      <c r="A4398" s="8">
        <v>43341.110335648147</v>
      </c>
      <c r="B4398" s="11" t="str">
        <f>HYPERLINK("https://twitter.com/Ahmad3120523245","@Ahmad3120523245")</f>
        <v>@Ahmad3120523245</v>
      </c>
      <c r="C4398" s="6" t="s">
        <v>5157</v>
      </c>
      <c r="D4398" s="5" t="s">
        <v>5156</v>
      </c>
      <c r="E4398" s="9" t="str">
        <f>HYPERLINK("https://twitter.com/Ahmad3120523245/status/1034563497798107137","1034563497798107137")</f>
        <v>1034563497798107137</v>
      </c>
      <c r="F4398" s="4"/>
      <c r="G4398" s="10" t="s">
        <v>5155</v>
      </c>
      <c r="H4398" s="4"/>
      <c r="I4398" s="10" t="str">
        <f>HYPERLINK("http://twitter.com/download/android","Twitter for Android")</f>
        <v>Twitter for Android</v>
      </c>
      <c r="J4398" s="2">
        <v>11</v>
      </c>
      <c r="K4398" s="2">
        <v>2</v>
      </c>
      <c r="L4398" s="2">
        <v>0</v>
      </c>
      <c r="M4398" s="2"/>
      <c r="N4398" s="8">
        <v>43338.938703703709</v>
      </c>
      <c r="O4398" s="4"/>
      <c r="P4398" s="3"/>
      <c r="Q4398" s="4"/>
      <c r="R4398" s="4"/>
      <c r="S4398" s="2" t="s">
        <v>155</v>
      </c>
    </row>
    <row r="4399" spans="1:19" ht="40">
      <c r="A4399" s="8">
        <v>43341.109259259261</v>
      </c>
      <c r="B4399" s="11" t="str">
        <f>HYPERLINK("https://twitter.com/METEOR___0","@METEOR___0")</f>
        <v>@METEOR___0</v>
      </c>
      <c r="C4399" s="6" t="s">
        <v>5154</v>
      </c>
      <c r="D4399" s="5" t="s">
        <v>5153</v>
      </c>
      <c r="E4399" s="9" t="str">
        <f>HYPERLINK("https://twitter.com/METEOR___0/status/1034563105232220160","1034563105232220160")</f>
        <v>1034563105232220160</v>
      </c>
      <c r="F4399" s="4"/>
      <c r="G4399" s="4"/>
      <c r="H4399" s="4"/>
      <c r="I4399" s="10" t="str">
        <f>HYPERLINK("http://twitter.com/download/android","Twitter for Android")</f>
        <v>Twitter for Android</v>
      </c>
      <c r="J4399" s="2">
        <v>34</v>
      </c>
      <c r="K4399" s="2">
        <v>176</v>
      </c>
      <c r="L4399" s="2">
        <v>0</v>
      </c>
      <c r="M4399" s="2"/>
      <c r="N4399" s="8">
        <v>42316.125509259262</v>
      </c>
      <c r="O4399" s="4"/>
      <c r="P4399" s="3" t="s">
        <v>5152</v>
      </c>
      <c r="Q4399" s="4"/>
      <c r="R4399" s="4"/>
      <c r="S4399" s="9" t="str">
        <f>HYPERLINK("https://pbs.twimg.com/profile_images/961454592079876096/hnuKjWeA.jpg","View")</f>
        <v>View</v>
      </c>
    </row>
    <row r="4400" spans="1:19" ht="30">
      <c r="A4400" s="8">
        <v>43341.109236111108</v>
      </c>
      <c r="B4400" s="11" t="str">
        <f>HYPERLINK("https://twitter.com/iiinjaneb","@iiinjaneb")</f>
        <v>@iiinjaneb</v>
      </c>
      <c r="C4400" s="6" t="s">
        <v>1361</v>
      </c>
      <c r="D4400" s="5" t="s">
        <v>5151</v>
      </c>
      <c r="E4400" s="9" t="str">
        <f>HYPERLINK("https://twitter.com/iiinjaneb/status/1034563098676539393","1034563098676539393")</f>
        <v>1034563098676539393</v>
      </c>
      <c r="F4400" s="4"/>
      <c r="G4400" s="4"/>
      <c r="H4400" s="4"/>
      <c r="I4400" s="10" t="str">
        <f>HYPERLINK("http://twitter.com","Twitter Web Client")</f>
        <v>Twitter Web Client</v>
      </c>
      <c r="J4400" s="2">
        <v>185</v>
      </c>
      <c r="K4400" s="2">
        <v>459</v>
      </c>
      <c r="L4400" s="2">
        <v>0</v>
      </c>
      <c r="M4400" s="2"/>
      <c r="N4400" s="8">
        <v>40039.88622685185</v>
      </c>
      <c r="O4400" s="4"/>
      <c r="P4400" s="3" t="s">
        <v>1359</v>
      </c>
      <c r="Q4400" s="4"/>
      <c r="R4400" s="4"/>
      <c r="S4400" s="9" t="str">
        <f>HYPERLINK("https://pbs.twimg.com/profile_images/962324779633127424/T8nWgdC-.jpg","View")</f>
        <v>View</v>
      </c>
    </row>
    <row r="4401" spans="1:19" ht="30">
      <c r="A4401" s="8">
        <v>43341.109050925923</v>
      </c>
      <c r="B4401" s="11" t="str">
        <f>HYPERLINK("https://twitter.com/komeil74","@komeil74")</f>
        <v>@komeil74</v>
      </c>
      <c r="C4401" s="6" t="s">
        <v>5150</v>
      </c>
      <c r="D4401" s="5" t="s">
        <v>5149</v>
      </c>
      <c r="E4401" s="9" t="str">
        <f>HYPERLINK("https://twitter.com/komeil74/status/1034563032804937729","1034563032804937729")</f>
        <v>1034563032804937729</v>
      </c>
      <c r="F4401" s="4"/>
      <c r="G4401" s="4"/>
      <c r="H4401" s="4"/>
      <c r="I4401" s="10" t="str">
        <f>HYPERLINK("http://twitter.com/download/android","Twitter for Android")</f>
        <v>Twitter for Android</v>
      </c>
      <c r="J4401" s="2">
        <v>18</v>
      </c>
      <c r="K4401" s="2">
        <v>24</v>
      </c>
      <c r="L4401" s="2">
        <v>0</v>
      </c>
      <c r="M4401" s="2"/>
      <c r="N4401" s="8">
        <v>43329.660694444443</v>
      </c>
      <c r="O4401" s="4"/>
      <c r="P4401" s="3" t="s">
        <v>5148</v>
      </c>
      <c r="Q4401" s="4"/>
      <c r="R4401" s="4"/>
      <c r="S4401" s="9" t="str">
        <f>HYPERLINK("https://pbs.twimg.com/profile_images/1030424933770440704/f3ZyPW2f.jpg","View")</f>
        <v>View</v>
      </c>
    </row>
    <row r="4402" spans="1:19" ht="40">
      <c r="A4402" s="8">
        <v>43341.108217592591</v>
      </c>
      <c r="B4402" s="11" t="str">
        <f>HYPERLINK("https://twitter.com/haj_mohamad_69","@haj_mohamad_69")</f>
        <v>@haj_mohamad_69</v>
      </c>
      <c r="C4402" s="6" t="s">
        <v>5147</v>
      </c>
      <c r="D4402" s="5" t="s">
        <v>5146</v>
      </c>
      <c r="E4402" s="9" t="str">
        <f>HYPERLINK("https://twitter.com/haj_mohamad_69/status/1034562728474681344","1034562728474681344")</f>
        <v>1034562728474681344</v>
      </c>
      <c r="F4402" s="4"/>
      <c r="G4402" s="4"/>
      <c r="H4402" s="4"/>
      <c r="I4402" s="10" t="str">
        <f>HYPERLINK("http://twitter.com/download/android","Twitter for Android")</f>
        <v>Twitter for Android</v>
      </c>
      <c r="J4402" s="2">
        <v>617</v>
      </c>
      <c r="K4402" s="2">
        <v>590</v>
      </c>
      <c r="L4402" s="2">
        <v>4</v>
      </c>
      <c r="M4402" s="2"/>
      <c r="N4402" s="8">
        <v>43166.468900462962</v>
      </c>
      <c r="O4402" s="4"/>
      <c r="P4402" s="3" t="s">
        <v>5145</v>
      </c>
      <c r="Q4402" s="4"/>
      <c r="R4402" s="4"/>
      <c r="S4402" s="9" t="str">
        <f>HYPERLINK("https://pbs.twimg.com/profile_images/1008843756135768065/BAs4IfFB.jpg","View")</f>
        <v>View</v>
      </c>
    </row>
    <row r="4403" spans="1:19" ht="20">
      <c r="A4403" s="8">
        <v>43341.106851851851</v>
      </c>
      <c r="B4403" s="11" t="str">
        <f>HYPERLINK("https://twitter.com/komolus","@komolus")</f>
        <v>@komolus</v>
      </c>
      <c r="C4403" s="6" t="s">
        <v>5144</v>
      </c>
      <c r="D4403" s="5" t="s">
        <v>5143</v>
      </c>
      <c r="E4403" s="9" t="str">
        <f>HYPERLINK("https://twitter.com/komolus/status/1034562232984760325","1034562232984760325")</f>
        <v>1034562232984760325</v>
      </c>
      <c r="F4403" s="4"/>
      <c r="G4403" s="4"/>
      <c r="H4403" s="4"/>
      <c r="I4403" s="10" t="str">
        <f>HYPERLINK("http://twitter.com/download/android","Twitter for Android")</f>
        <v>Twitter for Android</v>
      </c>
      <c r="J4403" s="2">
        <v>42</v>
      </c>
      <c r="K4403" s="2">
        <v>304</v>
      </c>
      <c r="L4403" s="2">
        <v>0</v>
      </c>
      <c r="M4403" s="2"/>
      <c r="N4403" s="8">
        <v>40588.094583333332</v>
      </c>
      <c r="O4403" s="4" t="s">
        <v>34</v>
      </c>
      <c r="P4403" s="3"/>
      <c r="Q4403" s="4"/>
      <c r="R4403" s="4"/>
      <c r="S4403" s="9" t="str">
        <f>HYPERLINK("https://pbs.twimg.com/profile_images/613297135727939585/id5pzO-D.jpg","View")</f>
        <v>View</v>
      </c>
    </row>
    <row r="4404" spans="1:19" ht="20">
      <c r="A4404" s="8">
        <v>43341.106226851851</v>
      </c>
      <c r="B4404" s="11" t="str">
        <f>HYPERLINK("https://twitter.com/rezvan_banoo","@rezvan_banoo")</f>
        <v>@rezvan_banoo</v>
      </c>
      <c r="C4404" s="6" t="s">
        <v>5142</v>
      </c>
      <c r="D4404" s="5" t="s">
        <v>5141</v>
      </c>
      <c r="E4404" s="9" t="str">
        <f>HYPERLINK("https://twitter.com/rezvan_banoo/status/1034562007939403777","1034562007939403777")</f>
        <v>1034562007939403777</v>
      </c>
      <c r="F4404" s="4"/>
      <c r="G4404" s="4"/>
      <c r="H4404" s="4"/>
      <c r="I4404" s="10" t="str">
        <f>HYPERLINK("http://twitter.com","Twitter Web Client")</f>
        <v>Twitter Web Client</v>
      </c>
      <c r="J4404" s="2">
        <v>536</v>
      </c>
      <c r="K4404" s="2">
        <v>909</v>
      </c>
      <c r="L4404" s="2">
        <v>2</v>
      </c>
      <c r="M4404" s="2"/>
      <c r="N4404" s="8">
        <v>43135.745057870372</v>
      </c>
      <c r="O4404" s="4" t="s">
        <v>5140</v>
      </c>
      <c r="P4404" s="3" t="s">
        <v>5139</v>
      </c>
      <c r="Q4404" s="4"/>
      <c r="R4404" s="4"/>
      <c r="S4404" s="9" t="str">
        <f>HYPERLINK("https://pbs.twimg.com/profile_images/961717473258205186/5bnRxBb9.jpg","View")</f>
        <v>View</v>
      </c>
    </row>
    <row r="4405" spans="1:19" ht="20">
      <c r="A4405" s="8">
        <v>43341.10527777778</v>
      </c>
      <c r="B4405" s="11" t="str">
        <f>HYPERLINK("https://twitter.com/Keyvanmoradi78","@Keyvanmoradi78")</f>
        <v>@Keyvanmoradi78</v>
      </c>
      <c r="C4405" s="6" t="s">
        <v>5138</v>
      </c>
      <c r="D4405" s="5" t="s">
        <v>5137</v>
      </c>
      <c r="E4405" s="9" t="str">
        <f>HYPERLINK("https://twitter.com/Keyvanmoradi78/status/1034561665134718981","1034561665134718981")</f>
        <v>1034561665134718981</v>
      </c>
      <c r="F4405" s="4"/>
      <c r="G4405" s="4"/>
      <c r="H4405" s="4"/>
      <c r="I4405" s="10" t="str">
        <f>HYPERLINK("http://twitter.com/download/android","Twitter for Android")</f>
        <v>Twitter for Android</v>
      </c>
      <c r="J4405" s="2">
        <v>132</v>
      </c>
      <c r="K4405" s="2">
        <v>330</v>
      </c>
      <c r="L4405" s="2">
        <v>0</v>
      </c>
      <c r="M4405" s="2"/>
      <c r="N4405" s="8">
        <v>43207.673333333332</v>
      </c>
      <c r="O4405" s="4" t="s">
        <v>5136</v>
      </c>
      <c r="P4405" s="3" t="s">
        <v>5135</v>
      </c>
      <c r="Q4405" s="4"/>
      <c r="R4405" s="4"/>
      <c r="S4405" s="9" t="str">
        <f>HYPERLINK("https://pbs.twimg.com/profile_images/1023534643226796033/BW4op6Oc.jpg","View")</f>
        <v>View</v>
      </c>
    </row>
    <row r="4406" spans="1:19" ht="30">
      <c r="A4406" s="8">
        <v>43341.105127314819</v>
      </c>
      <c r="B4406" s="11" t="str">
        <f>HYPERLINK("https://twitter.com/h1373198","@h1373198")</f>
        <v>@h1373198</v>
      </c>
      <c r="C4406" s="6" t="s">
        <v>5122</v>
      </c>
      <c r="D4406" s="5" t="s">
        <v>5134</v>
      </c>
      <c r="E4406" s="9" t="str">
        <f>HYPERLINK("https://twitter.com/h1373198/status/1034561609954418688","1034561609954418688")</f>
        <v>1034561609954418688</v>
      </c>
      <c r="F4406" s="4"/>
      <c r="G4406" s="4"/>
      <c r="H4406" s="4"/>
      <c r="I4406" s="10" t="str">
        <f>HYPERLINK("http://twitter.com","Twitter Web Client")</f>
        <v>Twitter Web Client</v>
      </c>
      <c r="J4406" s="2">
        <v>2823</v>
      </c>
      <c r="K4406" s="2">
        <v>805</v>
      </c>
      <c r="L4406" s="2">
        <v>7</v>
      </c>
      <c r="M4406" s="2"/>
      <c r="N4406" s="8">
        <v>42894.636597222227</v>
      </c>
      <c r="O4406" s="4" t="s">
        <v>902</v>
      </c>
      <c r="P4406" s="3" t="s">
        <v>5120</v>
      </c>
      <c r="Q4406" s="4"/>
      <c r="R4406" s="4"/>
      <c r="S4406" s="9" t="str">
        <f>HYPERLINK("https://pbs.twimg.com/profile_images/980060785484419072/WEtpIGYe.jpg","View")</f>
        <v>View</v>
      </c>
    </row>
    <row r="4407" spans="1:19" ht="20">
      <c r="A4407" s="8">
        <v>43341.104942129634</v>
      </c>
      <c r="B4407" s="11" t="str">
        <f>HYPERLINK("https://twitter.com/ashobmotlagh","@ashobmotlagh")</f>
        <v>@ashobmotlagh</v>
      </c>
      <c r="C4407" s="6" t="s">
        <v>5133</v>
      </c>
      <c r="D4407" s="5" t="s">
        <v>5132</v>
      </c>
      <c r="E4407" s="9" t="str">
        <f>HYPERLINK("https://twitter.com/ashobmotlagh/status/1034561543285993472","1034561543285993472")</f>
        <v>1034561543285993472</v>
      </c>
      <c r="F4407" s="4"/>
      <c r="G4407" s="10" t="s">
        <v>5131</v>
      </c>
      <c r="H4407" s="4"/>
      <c r="I4407" s="10" t="str">
        <f>HYPERLINK("http://twitter.com/download/iphone","Twitter for iPhone")</f>
        <v>Twitter for iPhone</v>
      </c>
      <c r="J4407" s="2">
        <v>6008</v>
      </c>
      <c r="K4407" s="2">
        <v>4166</v>
      </c>
      <c r="L4407" s="2">
        <v>16</v>
      </c>
      <c r="M4407" s="2"/>
      <c r="N4407" s="8">
        <v>42797.884571759263</v>
      </c>
      <c r="O4407" s="4"/>
      <c r="P4407" s="3" t="s">
        <v>5130</v>
      </c>
      <c r="Q4407" s="4"/>
      <c r="R4407" s="4"/>
      <c r="S4407" s="9" t="str">
        <f>HYPERLINK("https://pbs.twimg.com/profile_images/995027893389492224/rOnv-yqK.jpg","View")</f>
        <v>View</v>
      </c>
    </row>
    <row r="4408" spans="1:19" ht="20">
      <c r="A4408" s="8">
        <v>43341.104629629626</v>
      </c>
      <c r="B4408" s="11" t="str">
        <f>HYPERLINK("https://twitter.com/Morteza_7476","@Morteza_7476")</f>
        <v>@Morteza_7476</v>
      </c>
      <c r="C4408" s="6" t="s">
        <v>5129</v>
      </c>
      <c r="D4408" s="5" t="s">
        <v>5128</v>
      </c>
      <c r="E4408" s="9" t="str">
        <f>HYPERLINK("https://twitter.com/Morteza_7476/status/1034561427850358784","1034561427850358784")</f>
        <v>1034561427850358784</v>
      </c>
      <c r="F4408" s="4"/>
      <c r="G4408" s="4"/>
      <c r="H4408" s="4"/>
      <c r="I4408" s="10" t="str">
        <f>HYPERLINK("http://twitter.com/download/android","Twitter for Android")</f>
        <v>Twitter for Android</v>
      </c>
      <c r="J4408" s="2">
        <v>4</v>
      </c>
      <c r="K4408" s="2">
        <v>71</v>
      </c>
      <c r="L4408" s="2">
        <v>0</v>
      </c>
      <c r="M4408" s="2"/>
      <c r="N4408" s="8">
        <v>43284.760300925926</v>
      </c>
      <c r="O4408" s="4"/>
      <c r="P4408" s="3" t="s">
        <v>5127</v>
      </c>
      <c r="Q4408" s="4"/>
      <c r="R4408" s="4"/>
      <c r="S4408" s="9" t="str">
        <f>HYPERLINK("https://pbs.twimg.com/profile_images/1015796388968452096/3zu0mxNR.jpg","View")</f>
        <v>View</v>
      </c>
    </row>
    <row r="4409" spans="1:19" ht="40">
      <c r="A4409" s="8">
        <v>43341.104571759264</v>
      </c>
      <c r="B4409" s="11" t="str">
        <f>HYPERLINK("https://twitter.com/BestFarsi","@BestFarsi")</f>
        <v>@BestFarsi</v>
      </c>
      <c r="C4409" s="6" t="s">
        <v>5126</v>
      </c>
      <c r="D4409" s="5" t="s">
        <v>5125</v>
      </c>
      <c r="E4409" s="9" t="str">
        <f>HYPERLINK("https://twitter.com/BestFarsi/status/1034561407579291653","1034561407579291653")</f>
        <v>1034561407579291653</v>
      </c>
      <c r="F4409" s="4"/>
      <c r="G4409" s="4"/>
      <c r="H4409" s="4"/>
      <c r="I4409" s="10" t="str">
        <f>HYPERLINK("https://bestfarsi.com","Best Farsi Project")</f>
        <v>Best Farsi Project</v>
      </c>
      <c r="J4409" s="2">
        <v>8093</v>
      </c>
      <c r="K4409" s="2">
        <v>1173</v>
      </c>
      <c r="L4409" s="2">
        <v>45</v>
      </c>
      <c r="M4409" s="2"/>
      <c r="N4409" s="8">
        <v>42971.128634259258</v>
      </c>
      <c r="O4409" s="4"/>
      <c r="P4409" s="3" t="s">
        <v>5124</v>
      </c>
      <c r="Q4409" s="10" t="s">
        <v>5123</v>
      </c>
      <c r="R4409" s="4"/>
      <c r="S4409" s="9" t="str">
        <f>HYPERLINK("https://pbs.twimg.com/profile_images/972998668302172160/19eihMHI.jpg","View")</f>
        <v>View</v>
      </c>
    </row>
    <row r="4410" spans="1:19" ht="20">
      <c r="A4410" s="8">
        <v>43341.103946759264</v>
      </c>
      <c r="B4410" s="11" t="str">
        <f>HYPERLINK("https://twitter.com/h1373198","@h1373198")</f>
        <v>@h1373198</v>
      </c>
      <c r="C4410" s="6" t="s">
        <v>5122</v>
      </c>
      <c r="D4410" s="5" t="s">
        <v>5121</v>
      </c>
      <c r="E4410" s="9" t="str">
        <f>HYPERLINK("https://twitter.com/h1373198/status/1034561180856209408","1034561180856209408")</f>
        <v>1034561180856209408</v>
      </c>
      <c r="F4410" s="4"/>
      <c r="G4410" s="4"/>
      <c r="H4410" s="4"/>
      <c r="I4410" s="10" t="str">
        <f>HYPERLINK("http://twitter.com","Twitter Web Client")</f>
        <v>Twitter Web Client</v>
      </c>
      <c r="J4410" s="2">
        <v>2823</v>
      </c>
      <c r="K4410" s="2">
        <v>805</v>
      </c>
      <c r="L4410" s="2">
        <v>7</v>
      </c>
      <c r="M4410" s="2"/>
      <c r="N4410" s="8">
        <v>42894.636597222227</v>
      </c>
      <c r="O4410" s="4" t="s">
        <v>902</v>
      </c>
      <c r="P4410" s="3" t="s">
        <v>5120</v>
      </c>
      <c r="Q4410" s="4"/>
      <c r="R4410" s="4"/>
      <c r="S4410" s="9" t="str">
        <f>HYPERLINK("https://pbs.twimg.com/profile_images/980060785484419072/WEtpIGYe.jpg","View")</f>
        <v>View</v>
      </c>
    </row>
    <row r="4411" spans="1:19" ht="40">
      <c r="A4411" s="8">
        <v>43341.103368055556</v>
      </c>
      <c r="B4411" s="11" t="str">
        <f>HYPERLINK("https://twitter.com/pouyanja_","@pouyanja_")</f>
        <v>@pouyanja_</v>
      </c>
      <c r="C4411" s="6" t="s">
        <v>5119</v>
      </c>
      <c r="D4411" s="5" t="s">
        <v>5118</v>
      </c>
      <c r="E4411" s="9" t="str">
        <f>HYPERLINK("https://twitter.com/pouyanja_/status/1034560969781866496","1034560969781866496")</f>
        <v>1034560969781866496</v>
      </c>
      <c r="F4411" s="4"/>
      <c r="G4411" s="10" t="s">
        <v>5117</v>
      </c>
      <c r="H4411" s="4"/>
      <c r="I4411" s="10" t="str">
        <f>HYPERLINK("https://mobile.twitter.com","Twitter Lite")</f>
        <v>Twitter Lite</v>
      </c>
      <c r="J4411" s="2">
        <v>28</v>
      </c>
      <c r="K4411" s="2">
        <v>79</v>
      </c>
      <c r="L4411" s="2">
        <v>0</v>
      </c>
      <c r="M4411" s="2"/>
      <c r="N4411" s="8">
        <v>42749.546365740738</v>
      </c>
      <c r="O4411" s="4"/>
      <c r="P4411" s="3" t="s">
        <v>5116</v>
      </c>
      <c r="Q4411" s="4"/>
      <c r="R4411" s="4"/>
      <c r="S4411" s="9" t="str">
        <f>HYPERLINK("https://pbs.twimg.com/profile_images/1026316558702788608/0KRvV6ix.jpg","View")</f>
        <v>View</v>
      </c>
    </row>
    <row r="4412" spans="1:19" ht="30">
      <c r="A4412" s="8">
        <v>43341.103275462963</v>
      </c>
      <c r="B4412" s="11" t="str">
        <f>HYPERLINK("https://twitter.com/siamakfarid","@siamakfarid")</f>
        <v>@siamakfarid</v>
      </c>
      <c r="C4412" s="6" t="s">
        <v>5115</v>
      </c>
      <c r="D4412" s="5" t="s">
        <v>5114</v>
      </c>
      <c r="E4412" s="9" t="str">
        <f>HYPERLINK("https://twitter.com/siamakfarid/status/1034560936760299520","1034560936760299520")</f>
        <v>1034560936760299520</v>
      </c>
      <c r="F4412" s="4"/>
      <c r="G4412" s="4"/>
      <c r="H4412" s="4"/>
      <c r="I4412" s="10" t="str">
        <f>HYPERLINK("http://twitter.com/download/iphone","Twitter for iPhone")</f>
        <v>Twitter for iPhone</v>
      </c>
      <c r="J4412" s="2">
        <v>133</v>
      </c>
      <c r="K4412" s="2">
        <v>260</v>
      </c>
      <c r="L4412" s="2">
        <v>0</v>
      </c>
      <c r="M4412" s="2"/>
      <c r="N4412" s="8">
        <v>41726.132060185184</v>
      </c>
      <c r="O4412" s="4" t="s">
        <v>5113</v>
      </c>
      <c r="P4412" s="3" t="s">
        <v>5112</v>
      </c>
      <c r="Q4412" s="4"/>
      <c r="R4412" s="4"/>
      <c r="S4412" s="9" t="str">
        <f>HYPERLINK("https://pbs.twimg.com/profile_images/1033605273607438336/r_nHwI8s.jpg","View")</f>
        <v>View</v>
      </c>
    </row>
    <row r="4413" spans="1:19" ht="20">
      <c r="A4413" s="8">
        <v>43341.101400462961</v>
      </c>
      <c r="B4413" s="11" t="str">
        <f>HYPERLINK("https://twitter.com/gerakass","@gerakass")</f>
        <v>@gerakass</v>
      </c>
      <c r="C4413" s="6" t="s">
        <v>5111</v>
      </c>
      <c r="D4413" s="5" t="s">
        <v>5110</v>
      </c>
      <c r="E4413" s="9" t="str">
        <f>HYPERLINK("https://twitter.com/gerakass/status/1034560256523862019","1034560256523862019")</f>
        <v>1034560256523862019</v>
      </c>
      <c r="F4413" s="4"/>
      <c r="G4413" s="4"/>
      <c r="H4413" s="4"/>
      <c r="I4413" s="10" t="str">
        <f>HYPERLINK("http://twitter.com","Twitter Web Client")</f>
        <v>Twitter Web Client</v>
      </c>
      <c r="J4413" s="2">
        <v>1012</v>
      </c>
      <c r="K4413" s="2">
        <v>1006</v>
      </c>
      <c r="L4413" s="2">
        <v>0</v>
      </c>
      <c r="M4413" s="2"/>
      <c r="N4413" s="8">
        <v>42167.147696759261</v>
      </c>
      <c r="O4413" s="4"/>
      <c r="P4413" s="3" t="s">
        <v>5109</v>
      </c>
      <c r="Q4413" s="4"/>
      <c r="R4413" s="4"/>
      <c r="S4413" s="9" t="str">
        <f>HYPERLINK("https://pbs.twimg.com/profile_images/1031241304389300224/VF3D3EVG.jpg","View")</f>
        <v>View</v>
      </c>
    </row>
    <row r="4414" spans="1:19" ht="20">
      <c r="A4414" s="8">
        <v>43341.100763888884</v>
      </c>
      <c r="B4414" s="11" t="str">
        <f>HYPERLINK("https://twitter.com/aidin_fateh","@aidin_fateh")</f>
        <v>@aidin_fateh</v>
      </c>
      <c r="C4414" s="6" t="s">
        <v>2414</v>
      </c>
      <c r="D4414" s="5" t="s">
        <v>5108</v>
      </c>
      <c r="E4414" s="9" t="str">
        <f>HYPERLINK("https://twitter.com/aidin_fateh/status/1034560028005543936","1034560028005543936")</f>
        <v>1034560028005543936</v>
      </c>
      <c r="F4414" s="4"/>
      <c r="G4414" s="4"/>
      <c r="H4414" s="4"/>
      <c r="I4414" s="10" t="str">
        <f>HYPERLINK("http://twitter.com/download/iphone","Twitter for iPhone")</f>
        <v>Twitter for iPhone</v>
      </c>
      <c r="J4414" s="2">
        <v>140</v>
      </c>
      <c r="K4414" s="2">
        <v>244</v>
      </c>
      <c r="L4414" s="2">
        <v>0</v>
      </c>
      <c r="M4414" s="2"/>
      <c r="N4414" s="8">
        <v>39573.849733796298</v>
      </c>
      <c r="O4414" s="4" t="s">
        <v>133</v>
      </c>
      <c r="P4414" s="3" t="s">
        <v>2412</v>
      </c>
      <c r="Q4414" s="4"/>
      <c r="R4414" s="4"/>
      <c r="S4414" s="9" t="str">
        <f>HYPERLINK("https://pbs.twimg.com/profile_images/968854388436586497/kzkbEREM.jpg","View")</f>
        <v>View</v>
      </c>
    </row>
    <row r="4415" spans="1:19" ht="70">
      <c r="A4415" s="8">
        <v>43341.10020833333</v>
      </c>
      <c r="B4415" s="11" t="str">
        <f>HYPERLINK("https://twitter.com/nouhijournalist","@nouhijournalist")</f>
        <v>@nouhijournalist</v>
      </c>
      <c r="C4415" s="6" t="s">
        <v>5107</v>
      </c>
      <c r="D4415" s="5" t="s">
        <v>5106</v>
      </c>
      <c r="E4415" s="9" t="str">
        <f>HYPERLINK("https://twitter.com/nouhijournalist/status/1034559826469109760","1034559826469109760")</f>
        <v>1034559826469109760</v>
      </c>
      <c r="F4415" s="10" t="s">
        <v>5105</v>
      </c>
      <c r="G4415" s="4"/>
      <c r="H4415" s="4"/>
      <c r="I4415" s="10" t="str">
        <f>HYPERLINK("http://twitter.com/download/android","Twitter for Android")</f>
        <v>Twitter for Android</v>
      </c>
      <c r="J4415" s="2">
        <v>557</v>
      </c>
      <c r="K4415" s="2">
        <v>795</v>
      </c>
      <c r="L4415" s="2">
        <v>7</v>
      </c>
      <c r="M4415" s="2"/>
      <c r="N4415" s="8">
        <v>42323.019467592589</v>
      </c>
      <c r="O4415" s="4" t="s">
        <v>5104</v>
      </c>
      <c r="P4415" s="3" t="s">
        <v>5103</v>
      </c>
      <c r="Q4415" s="4"/>
      <c r="R4415" s="4"/>
      <c r="S4415" s="9" t="str">
        <f>HYPERLINK("https://pbs.twimg.com/profile_images/1018475853246861312/4Vstagj8.jpg","View")</f>
        <v>View</v>
      </c>
    </row>
    <row r="4416" spans="1:19" ht="20">
      <c r="A4416" s="8">
        <v>43341.099305555559</v>
      </c>
      <c r="B4416" s="11" t="str">
        <f>HYPERLINK("https://twitter.com/farsinews3","@farsinews3")</f>
        <v>@farsinews3</v>
      </c>
      <c r="C4416" s="6" t="s">
        <v>5102</v>
      </c>
      <c r="D4416" s="5" t="s">
        <v>5088</v>
      </c>
      <c r="E4416" s="9" t="str">
        <f>HYPERLINK("https://twitter.com/farsinews3/status/1034559497560371200","1034559497560371200")</f>
        <v>1034559497560371200</v>
      </c>
      <c r="F4416" s="10" t="s">
        <v>5101</v>
      </c>
      <c r="G4416" s="10" t="s">
        <v>5100</v>
      </c>
      <c r="H4416" s="4"/>
      <c r="I4416" s="10" t="str">
        <f>HYPERLINK("https://dlvrit.com/","dlvr.it")</f>
        <v>dlvr.it</v>
      </c>
      <c r="J4416" s="2">
        <v>1464</v>
      </c>
      <c r="K4416" s="2">
        <v>1454</v>
      </c>
      <c r="L4416" s="2">
        <v>5</v>
      </c>
      <c r="M4416" s="2"/>
      <c r="N4416" s="8">
        <v>42426.013043981482</v>
      </c>
      <c r="O4416" s="4" t="s">
        <v>5099</v>
      </c>
      <c r="P4416" s="3" t="s">
        <v>5098</v>
      </c>
      <c r="Q4416" s="10" t="s">
        <v>5097</v>
      </c>
      <c r="R4416" s="4"/>
      <c r="S4416" s="9" t="str">
        <f>HYPERLINK("https://pbs.twimg.com/profile_images/778683594751344641/oKGJDvSJ.jpg","View")</f>
        <v>View</v>
      </c>
    </row>
    <row r="4417" spans="1:19" ht="40">
      <c r="A4417" s="8">
        <v>43341.098807870367</v>
      </c>
      <c r="B4417" s="11" t="str">
        <f>HYPERLINK("https://twitter.com/pajoooh","@pajoooh")</f>
        <v>@pajoooh</v>
      </c>
      <c r="C4417" s="6" t="s">
        <v>5096</v>
      </c>
      <c r="D4417" s="5" t="s">
        <v>5095</v>
      </c>
      <c r="E4417" s="9" t="str">
        <f>HYPERLINK("https://twitter.com/pajoooh/status/1034559317045731328","1034559317045731328")</f>
        <v>1034559317045731328</v>
      </c>
      <c r="F4417" s="4"/>
      <c r="G4417" s="10" t="s">
        <v>5094</v>
      </c>
      <c r="H4417" s="4"/>
      <c r="I4417" s="10" t="str">
        <f>HYPERLINK("http://twitter.com/download/android","Twitter for Android")</f>
        <v>Twitter for Android</v>
      </c>
      <c r="J4417" s="2">
        <v>893</v>
      </c>
      <c r="K4417" s="2">
        <v>673</v>
      </c>
      <c r="L4417" s="2">
        <v>5</v>
      </c>
      <c r="M4417" s="2"/>
      <c r="N4417" s="8">
        <v>42665.863020833334</v>
      </c>
      <c r="O4417" s="4"/>
      <c r="P4417" s="3" t="s">
        <v>5093</v>
      </c>
      <c r="Q4417" s="10" t="s">
        <v>5092</v>
      </c>
      <c r="R4417" s="4"/>
      <c r="S4417" s="9" t="str">
        <f>HYPERLINK("https://pbs.twimg.com/profile_images/1005403995232333824/fcuDfLMA.jpg","View")</f>
        <v>View</v>
      </c>
    </row>
    <row r="4418" spans="1:19" ht="20">
      <c r="A4418" s="8">
        <v>43341.097407407404</v>
      </c>
      <c r="B4418" s="11" t="str">
        <f>HYPERLINK("https://twitter.com/cyrusprince333","@cyrusprince333")</f>
        <v>@cyrusprince333</v>
      </c>
      <c r="C4418" s="6" t="s">
        <v>5089</v>
      </c>
      <c r="D4418" s="5" t="s">
        <v>5091</v>
      </c>
      <c r="E4418" s="9" t="str">
        <f>HYPERLINK("https://twitter.com/cyrusprince333/status/1034558810059362305","1034558810059362305")</f>
        <v>1034558810059362305</v>
      </c>
      <c r="F4418" s="4"/>
      <c r="G4418" s="4"/>
      <c r="H4418" s="4"/>
      <c r="I4418" s="10" t="str">
        <f>HYPERLINK("http://twitter.com/download/android","Twitter for Android")</f>
        <v>Twitter for Android</v>
      </c>
      <c r="J4418" s="2">
        <v>7</v>
      </c>
      <c r="K4418" s="2">
        <v>32</v>
      </c>
      <c r="L4418" s="2">
        <v>0</v>
      </c>
      <c r="M4418" s="2"/>
      <c r="N4418" s="8">
        <v>42653.095289351855</v>
      </c>
      <c r="O4418" s="4"/>
      <c r="P4418" s="3"/>
      <c r="Q4418" s="4"/>
      <c r="R4418" s="4"/>
      <c r="S4418" s="9" t="str">
        <f>HYPERLINK("https://pbs.twimg.com/profile_images/1022644146727780355/iadFJoIP.jpg","View")</f>
        <v>View</v>
      </c>
    </row>
    <row r="4419" spans="1:19" ht="70">
      <c r="A4419" s="8">
        <v>43341.095636574071</v>
      </c>
      <c r="B4419" s="11" t="str">
        <f>HYPERLINK("https://twitter.com/Nightingale_SA","@Nightingale_SA")</f>
        <v>@Nightingale_SA</v>
      </c>
      <c r="C4419" s="6" t="s">
        <v>889</v>
      </c>
      <c r="D4419" s="5" t="s">
        <v>5090</v>
      </c>
      <c r="E4419" s="9" t="str">
        <f>HYPERLINK("https://twitter.com/Nightingale_SA/status/1034558167949037569","1034558167949037569")</f>
        <v>1034558167949037569</v>
      </c>
      <c r="F4419" s="10" t="s">
        <v>2098</v>
      </c>
      <c r="G4419" s="4"/>
      <c r="H4419" s="4"/>
      <c r="I4419" s="10" t="str">
        <f>HYPERLINK("http://twitter.com","Twitter Web Client")</f>
        <v>Twitter Web Client</v>
      </c>
      <c r="J4419" s="2">
        <v>181</v>
      </c>
      <c r="K4419" s="2">
        <v>683</v>
      </c>
      <c r="L4419" s="2">
        <v>1</v>
      </c>
      <c r="M4419" s="2"/>
      <c r="N4419" s="8">
        <v>43193.657326388886</v>
      </c>
      <c r="O4419" s="4"/>
      <c r="P4419" s="3" t="s">
        <v>886</v>
      </c>
      <c r="Q4419" s="4"/>
      <c r="R4419" s="4"/>
      <c r="S4419" s="9" t="str">
        <f>HYPERLINK("https://pbs.twimg.com/profile_images/981131756601569280/OkTGUrYl.jpg","View")</f>
        <v>View</v>
      </c>
    </row>
    <row r="4420" spans="1:19" ht="20">
      <c r="A4420" s="8">
        <v>43341.09538194444</v>
      </c>
      <c r="B4420" s="11" t="str">
        <f>HYPERLINK("https://twitter.com/cyrusprince333","@cyrusprince333")</f>
        <v>@cyrusprince333</v>
      </c>
      <c r="C4420" s="6" t="s">
        <v>5089</v>
      </c>
      <c r="D4420" s="5" t="s">
        <v>5088</v>
      </c>
      <c r="E4420" s="9" t="str">
        <f>HYPERLINK("https://twitter.com/cyrusprince333/status/1034558076492439552","1034558076492439552")</f>
        <v>1034558076492439552</v>
      </c>
      <c r="F4420" s="4"/>
      <c r="G4420" s="4"/>
      <c r="H4420" s="4"/>
      <c r="I4420" s="10" t="str">
        <f>HYPERLINK("http://twitter.com/download/android","Twitter for Android")</f>
        <v>Twitter for Android</v>
      </c>
      <c r="J4420" s="2">
        <v>7</v>
      </c>
      <c r="K4420" s="2">
        <v>32</v>
      </c>
      <c r="L4420" s="2">
        <v>0</v>
      </c>
      <c r="M4420" s="2"/>
      <c r="N4420" s="8">
        <v>42653.095289351855</v>
      </c>
      <c r="O4420" s="4"/>
      <c r="P4420" s="3"/>
      <c r="Q4420" s="4"/>
      <c r="R4420" s="4"/>
      <c r="S4420" s="9" t="str">
        <f>HYPERLINK("https://pbs.twimg.com/profile_images/1022644146727780355/iadFJoIP.jpg","View")</f>
        <v>View</v>
      </c>
    </row>
    <row r="4421" spans="1:19" ht="20">
      <c r="A4421" s="8">
        <v>43341.094513888893</v>
      </c>
      <c r="B4421" s="11" t="str">
        <f>HYPERLINK("https://twitter.com/Sajjadfirouzja1","@Sajjadfirouzja1")</f>
        <v>@Sajjadfirouzja1</v>
      </c>
      <c r="C4421" s="6" t="s">
        <v>4712</v>
      </c>
      <c r="D4421" s="5" t="s">
        <v>5087</v>
      </c>
      <c r="E4421" s="9" t="str">
        <f>HYPERLINK("https://twitter.com/Sajjadfirouzja1/status/1034557763626717185","1034557763626717185")</f>
        <v>1034557763626717185</v>
      </c>
      <c r="F4421" s="4"/>
      <c r="G4421" s="4"/>
      <c r="H4421" s="4"/>
      <c r="I4421" s="10" t="str">
        <f>HYPERLINK("http://twitter.com/download/android","Twitter for Android")</f>
        <v>Twitter for Android</v>
      </c>
      <c r="J4421" s="2">
        <v>432</v>
      </c>
      <c r="K4421" s="2">
        <v>271</v>
      </c>
      <c r="L4421" s="2">
        <v>1</v>
      </c>
      <c r="M4421" s="2"/>
      <c r="N4421" s="8">
        <v>43100.978472222225</v>
      </c>
      <c r="O4421" s="4" t="s">
        <v>17</v>
      </c>
      <c r="P4421" s="3" t="s">
        <v>4710</v>
      </c>
      <c r="Q4421" s="4"/>
      <c r="R4421" s="4"/>
      <c r="S4421" s="9" t="str">
        <f>HYPERLINK("https://pbs.twimg.com/profile_images/951597810637418496/F46LreLO.jpg","View")</f>
        <v>View</v>
      </c>
    </row>
    <row r="4422" spans="1:19" ht="30">
      <c r="A4422" s="8">
        <v>43341.094189814816</v>
      </c>
      <c r="B4422" s="11" t="str">
        <f>HYPERLINK("https://twitter.com/bZevB6ryLp1c7Lc","@bZevB6ryLp1c7Lc")</f>
        <v>@bZevB6ryLp1c7Lc</v>
      </c>
      <c r="C4422" s="6" t="s">
        <v>5086</v>
      </c>
      <c r="D4422" s="5" t="s">
        <v>5085</v>
      </c>
      <c r="E4422" s="9" t="str">
        <f>HYPERLINK("https://twitter.com/bZevB6ryLp1c7Lc/status/1034557643615035392","1034557643615035392")</f>
        <v>1034557643615035392</v>
      </c>
      <c r="F4422" s="4"/>
      <c r="G4422" s="4"/>
      <c r="H4422" s="4"/>
      <c r="I4422" s="10" t="str">
        <f>HYPERLINK("http://twitter.com/download/android","Twitter for Android")</f>
        <v>Twitter for Android</v>
      </c>
      <c r="J4422" s="2">
        <v>21</v>
      </c>
      <c r="K4422" s="2">
        <v>285</v>
      </c>
      <c r="L4422" s="2">
        <v>0</v>
      </c>
      <c r="M4422" s="2"/>
      <c r="N4422" s="8">
        <v>43323.103148148148</v>
      </c>
      <c r="O4422" s="4"/>
      <c r="P4422" s="3"/>
      <c r="Q4422" s="4"/>
      <c r="R4422" s="4"/>
      <c r="S4422" s="2" t="s">
        <v>155</v>
      </c>
    </row>
    <row r="4423" spans="1:19" ht="12.5">
      <c r="A4423" s="8">
        <v>43341.091145833328</v>
      </c>
      <c r="B4423" s="11" t="str">
        <f>HYPERLINK("https://twitter.com/__maniaa__","@__maniaa__")</f>
        <v>@__maniaa__</v>
      </c>
      <c r="C4423" s="6" t="s">
        <v>5084</v>
      </c>
      <c r="D4423" s="5" t="s">
        <v>5083</v>
      </c>
      <c r="E4423" s="9" t="str">
        <f>HYPERLINK("https://twitter.com/__maniaa__/status/1034556542295662597","1034556542295662597")</f>
        <v>1034556542295662597</v>
      </c>
      <c r="F4423" s="4"/>
      <c r="G4423" s="4"/>
      <c r="H4423" s="4"/>
      <c r="I4423" s="10" t="str">
        <f>HYPERLINK("http://twitter.com/download/iphone","Twitter for iPhone")</f>
        <v>Twitter for iPhone</v>
      </c>
      <c r="J4423" s="2">
        <v>35</v>
      </c>
      <c r="K4423" s="2">
        <v>96</v>
      </c>
      <c r="L4423" s="2">
        <v>1</v>
      </c>
      <c r="M4423" s="2"/>
      <c r="N4423" s="8">
        <v>42327.200497685189</v>
      </c>
      <c r="O4423" s="4"/>
      <c r="P4423" s="3"/>
      <c r="Q4423" s="4"/>
      <c r="R4423" s="4"/>
      <c r="S4423" s="9" t="str">
        <f>HYPERLINK("https://pbs.twimg.com/profile_images/1021459612778860544/1D7ePe9Q.jpg","View")</f>
        <v>View</v>
      </c>
    </row>
    <row r="4424" spans="1:19" ht="20">
      <c r="A4424" s="8">
        <v>43341.09075231482</v>
      </c>
      <c r="B4424" s="11" t="str">
        <f>HYPERLINK("https://twitter.com/ardeshiramiri","@ardeshiramiri")</f>
        <v>@ardeshiramiri</v>
      </c>
      <c r="C4424" s="6" t="s">
        <v>3554</v>
      </c>
      <c r="D4424" s="5" t="s">
        <v>5082</v>
      </c>
      <c r="E4424" s="9" t="str">
        <f>HYPERLINK("https://twitter.com/ardeshiramiri/status/1034556399592898561","1034556399592898561")</f>
        <v>1034556399592898561</v>
      </c>
      <c r="F4424" s="4"/>
      <c r="G4424" s="4"/>
      <c r="H4424" s="4"/>
      <c r="I4424" s="10" t="str">
        <f>HYPERLINK("http://twitter.com/download/android","Twitter for Android")</f>
        <v>Twitter for Android</v>
      </c>
      <c r="J4424" s="2">
        <v>5639</v>
      </c>
      <c r="K4424" s="2">
        <v>27</v>
      </c>
      <c r="L4424" s="2">
        <v>27</v>
      </c>
      <c r="M4424" s="2"/>
      <c r="N4424" s="8">
        <v>42410.438009259262</v>
      </c>
      <c r="O4424" s="4" t="s">
        <v>3552</v>
      </c>
      <c r="P4424" s="3" t="s">
        <v>3551</v>
      </c>
      <c r="Q4424" s="4"/>
      <c r="R4424" s="4"/>
      <c r="S4424" s="9" t="str">
        <f>HYPERLINK("https://pbs.twimg.com/profile_images/799275337993650181/1Dganc4g.jpg","View")</f>
        <v>View</v>
      </c>
    </row>
    <row r="4425" spans="1:19" ht="20">
      <c r="A4425" s="8">
        <v>43341.090428240743</v>
      </c>
      <c r="B4425" s="11" t="str">
        <f>HYPERLINK("https://twitter.com/Zarkesh5","@Zarkesh5")</f>
        <v>@Zarkesh5</v>
      </c>
      <c r="C4425" s="6" t="s">
        <v>5081</v>
      </c>
      <c r="D4425" s="5" t="s">
        <v>5080</v>
      </c>
      <c r="E4425" s="9" t="str">
        <f>HYPERLINK("https://twitter.com/Zarkesh5/status/1034556281988820995","1034556281988820995")</f>
        <v>1034556281988820995</v>
      </c>
      <c r="F4425" s="4"/>
      <c r="G4425" s="4"/>
      <c r="H4425" s="4"/>
      <c r="I4425" s="10" t="str">
        <f>HYPERLINK("http://twitter.com","Twitter Web Client")</f>
        <v>Twitter Web Client</v>
      </c>
      <c r="J4425" s="2">
        <v>49</v>
      </c>
      <c r="K4425" s="2">
        <v>93</v>
      </c>
      <c r="L4425" s="2">
        <v>0</v>
      </c>
      <c r="M4425" s="2"/>
      <c r="N4425" s="8">
        <v>42840.943472222221</v>
      </c>
      <c r="O4425" s="4" t="s">
        <v>5079</v>
      </c>
      <c r="P4425" s="3" t="s">
        <v>5078</v>
      </c>
      <c r="Q4425" s="4"/>
      <c r="R4425" s="4"/>
      <c r="S4425" s="9" t="str">
        <f>HYPERLINK("https://pbs.twimg.com/profile_images/1027424328550428674/aLh2hv01.jpg","View")</f>
        <v>View</v>
      </c>
    </row>
    <row r="4426" spans="1:19" ht="60">
      <c r="A4426" s="8">
        <v>43341.090138888889</v>
      </c>
      <c r="B4426" s="11" t="str">
        <f>HYPERLINK("https://twitter.com/14september71","@14september71")</f>
        <v>@14september71</v>
      </c>
      <c r="C4426" s="6" t="s">
        <v>5077</v>
      </c>
      <c r="D4426" s="5" t="s">
        <v>5076</v>
      </c>
      <c r="E4426" s="9" t="str">
        <f>HYPERLINK("https://twitter.com/14september71/status/1034556177064058880","1034556177064058880")</f>
        <v>1034556177064058880</v>
      </c>
      <c r="F4426" s="10" t="s">
        <v>5075</v>
      </c>
      <c r="G4426" s="10" t="s">
        <v>4570</v>
      </c>
      <c r="H4426" s="4"/>
      <c r="I4426" s="10" t="str">
        <f>HYPERLINK("http://twitter.com/download/iphone","Twitter for iPhone")</f>
        <v>Twitter for iPhone</v>
      </c>
      <c r="J4426" s="2">
        <v>1647</v>
      </c>
      <c r="K4426" s="2">
        <v>1937</v>
      </c>
      <c r="L4426" s="2">
        <v>3</v>
      </c>
      <c r="M4426" s="2"/>
      <c r="N4426" s="8">
        <v>42852.559594907405</v>
      </c>
      <c r="O4426" s="4"/>
      <c r="P4426" s="3" t="s">
        <v>5074</v>
      </c>
      <c r="Q4426" s="4"/>
      <c r="R4426" s="4"/>
      <c r="S4426" s="9" t="str">
        <f>HYPERLINK("https://pbs.twimg.com/profile_images/975338716108673024/d--goR47.jpg","View")</f>
        <v>View</v>
      </c>
    </row>
    <row r="4427" spans="1:19" ht="40">
      <c r="A4427" s="8">
        <v>43341.089872685188</v>
      </c>
      <c r="B4427" s="11" t="str">
        <f>HYPERLINK("https://twitter.com/shobeir128","@shobeir128")</f>
        <v>@shobeir128</v>
      </c>
      <c r="C4427" s="6" t="s">
        <v>5073</v>
      </c>
      <c r="D4427" s="5" t="s">
        <v>5072</v>
      </c>
      <c r="E4427" s="9" t="str">
        <f>HYPERLINK("https://twitter.com/shobeir128/status/1034556082260258816","1034556082260258816")</f>
        <v>1034556082260258816</v>
      </c>
      <c r="F4427" s="4"/>
      <c r="G4427" s="4"/>
      <c r="H4427" s="4"/>
      <c r="I4427" s="10" t="str">
        <f>HYPERLINK("http://twitter.com/download/android","Twitter for Android")</f>
        <v>Twitter for Android</v>
      </c>
      <c r="J4427" s="2">
        <v>1138</v>
      </c>
      <c r="K4427" s="2">
        <v>1311</v>
      </c>
      <c r="L4427" s="2">
        <v>1</v>
      </c>
      <c r="M4427" s="2"/>
      <c r="N4427" s="8">
        <v>42860.095173611116</v>
      </c>
      <c r="O4427" s="4" t="s">
        <v>5071</v>
      </c>
      <c r="P4427" s="3" t="s">
        <v>5070</v>
      </c>
      <c r="Q4427" s="4"/>
      <c r="R4427" s="4"/>
      <c r="S4427" s="9" t="str">
        <f>HYPERLINK("https://pbs.twimg.com/profile_images/1020346945880064003/TACFd6aO.jpg","View")</f>
        <v>View</v>
      </c>
    </row>
    <row r="4428" spans="1:19" ht="20">
      <c r="A4428" s="8">
        <v>43341.089178240742</v>
      </c>
      <c r="B4428" s="11" t="str">
        <f>HYPERLINK("https://twitter.com/Kavoshgar3","@Kavoshgar3")</f>
        <v>@Kavoshgar3</v>
      </c>
      <c r="C4428" s="6" t="s">
        <v>5069</v>
      </c>
      <c r="D4428" s="5" t="s">
        <v>5068</v>
      </c>
      <c r="E4428" s="9" t="str">
        <f>HYPERLINK("https://twitter.com/Kavoshgar3/status/1034555830022983680","1034555830022983680")</f>
        <v>1034555830022983680</v>
      </c>
      <c r="F4428" s="4"/>
      <c r="G4428" s="10" t="s">
        <v>5067</v>
      </c>
      <c r="H4428" s="4"/>
      <c r="I4428" s="10" t="str">
        <f>HYPERLINK("http://twitter.com/download/iphone","Twitter for iPhone")</f>
        <v>Twitter for iPhone</v>
      </c>
      <c r="J4428" s="2">
        <v>4</v>
      </c>
      <c r="K4428" s="2">
        <v>16</v>
      </c>
      <c r="L4428" s="2">
        <v>0</v>
      </c>
      <c r="M4428" s="2"/>
      <c r="N4428" s="8">
        <v>43331.775787037041</v>
      </c>
      <c r="O4428" s="4" t="s">
        <v>5066</v>
      </c>
      <c r="P4428" s="3" t="s">
        <v>5065</v>
      </c>
      <c r="Q4428" s="4"/>
      <c r="R4428" s="4"/>
      <c r="S4428" s="9" t="str">
        <f>HYPERLINK("https://pbs.twimg.com/profile_images/1031190027022331904/LRu3gTYp.jpg","View")</f>
        <v>View</v>
      </c>
    </row>
    <row r="4429" spans="1:19" ht="30">
      <c r="A4429" s="8">
        <v>43341.088854166665</v>
      </c>
      <c r="B4429" s="11" t="str">
        <f>HYPERLINK("https://twitter.com/133yazdani","@133yazdani")</f>
        <v>@133yazdani</v>
      </c>
      <c r="C4429" s="6" t="s">
        <v>5064</v>
      </c>
      <c r="D4429" s="5" t="s">
        <v>5063</v>
      </c>
      <c r="E4429" s="9" t="str">
        <f>HYPERLINK("https://twitter.com/133yazdani/status/1034555713962561543","1034555713962561543")</f>
        <v>1034555713962561543</v>
      </c>
      <c r="F4429" s="4"/>
      <c r="G4429" s="4"/>
      <c r="H4429" s="4"/>
      <c r="I4429" s="10" t="str">
        <f>HYPERLINK("http://twitter.com/download/android","Twitter for Android")</f>
        <v>Twitter for Android</v>
      </c>
      <c r="J4429" s="2">
        <v>506</v>
      </c>
      <c r="K4429" s="2">
        <v>447</v>
      </c>
      <c r="L4429" s="2">
        <v>2</v>
      </c>
      <c r="M4429" s="2"/>
      <c r="N4429" s="8">
        <v>43179.941296296296</v>
      </c>
      <c r="O4429" s="4" t="s">
        <v>5062</v>
      </c>
      <c r="P4429" s="3" t="s">
        <v>5061</v>
      </c>
      <c r="Q4429" s="4"/>
      <c r="R4429" s="4"/>
      <c r="S4429" s="9" t="str">
        <f>HYPERLINK("https://pbs.twimg.com/profile_images/997979695655206912/UQNzwSE7.jpg","View")</f>
        <v>View</v>
      </c>
    </row>
    <row r="4430" spans="1:19" ht="40">
      <c r="A4430" s="8">
        <v>43341.088067129633</v>
      </c>
      <c r="B4430" s="11" t="str">
        <f>HYPERLINK("https://twitter.com/KakavandShirin","@KakavandShirin")</f>
        <v>@KakavandShirin</v>
      </c>
      <c r="C4430" s="6" t="s">
        <v>5060</v>
      </c>
      <c r="D4430" s="5" t="s">
        <v>5059</v>
      </c>
      <c r="E4430" s="9" t="str">
        <f>HYPERLINK("https://twitter.com/KakavandShirin/status/1034555424870150145","1034555424870150145")</f>
        <v>1034555424870150145</v>
      </c>
      <c r="F4430" s="4"/>
      <c r="G4430" s="4"/>
      <c r="H4430" s="4"/>
      <c r="I4430" s="10" t="str">
        <f>HYPERLINK("http://twitter.com/download/android","Twitter for Android")</f>
        <v>Twitter for Android</v>
      </c>
      <c r="J4430" s="2">
        <v>5</v>
      </c>
      <c r="K4430" s="2">
        <v>24</v>
      </c>
      <c r="L4430" s="2">
        <v>0</v>
      </c>
      <c r="M4430" s="2"/>
      <c r="N4430" s="8">
        <v>43262.974155092597</v>
      </c>
      <c r="O4430" s="4" t="s">
        <v>104</v>
      </c>
      <c r="P4430" s="3" t="s">
        <v>5058</v>
      </c>
      <c r="Q4430" s="4"/>
      <c r="R4430" s="4"/>
      <c r="S4430" s="9" t="str">
        <f>HYPERLINK("https://pbs.twimg.com/profile_images/1029644748158656512/A5BGRMXM.jpg","View")</f>
        <v>View</v>
      </c>
    </row>
    <row r="4431" spans="1:19" ht="20">
      <c r="A4431" s="8">
        <v>43341.08792824074</v>
      </c>
      <c r="B4431" s="11" t="str">
        <f>HYPERLINK("https://twitter.com/KhadijeSeyfi","@KhadijeSeyfi")</f>
        <v>@KhadijeSeyfi</v>
      </c>
      <c r="C4431" s="6" t="s">
        <v>5042</v>
      </c>
      <c r="D4431" s="5" t="s">
        <v>5057</v>
      </c>
      <c r="E4431" s="9" t="str">
        <f>HYPERLINK("https://twitter.com/KhadijeSeyfi/status/1034555378074361856","1034555378074361856")</f>
        <v>1034555378074361856</v>
      </c>
      <c r="F4431" s="4"/>
      <c r="G4431" s="4"/>
      <c r="H4431" s="4"/>
      <c r="I4431" s="10" t="str">
        <f>HYPERLINK("http://twitter.com/download/android","Twitter for Android")</f>
        <v>Twitter for Android</v>
      </c>
      <c r="J4431" s="2">
        <v>69</v>
      </c>
      <c r="K4431" s="2">
        <v>135</v>
      </c>
      <c r="L4431" s="2">
        <v>0</v>
      </c>
      <c r="M4431" s="2"/>
      <c r="N4431" s="8">
        <v>43286.694328703699</v>
      </c>
      <c r="O4431" s="4"/>
      <c r="P4431" s="3" t="s">
        <v>5040</v>
      </c>
      <c r="Q4431" s="4"/>
      <c r="R4431" s="4"/>
      <c r="S4431" s="9" t="str">
        <f>HYPERLINK("https://pbs.twimg.com/profile_images/1034033476452970498/Elacfhio.jpg","View")</f>
        <v>View</v>
      </c>
    </row>
    <row r="4432" spans="1:19" ht="30">
      <c r="A4432" s="8">
        <v>43341.087384259255</v>
      </c>
      <c r="B4432" s="11" t="str">
        <f>HYPERLINK("https://twitter.com/Ebn_Mahdi10313","@Ebn_Mahdi10313")</f>
        <v>@Ebn_Mahdi10313</v>
      </c>
      <c r="C4432" s="6" t="s">
        <v>5056</v>
      </c>
      <c r="D4432" s="5" t="s">
        <v>5055</v>
      </c>
      <c r="E4432" s="9" t="str">
        <f>HYPERLINK("https://twitter.com/Ebn_Mahdi10313/status/1034555181344731137","1034555181344731137")</f>
        <v>1034555181344731137</v>
      </c>
      <c r="F4432" s="10" t="s">
        <v>5054</v>
      </c>
      <c r="G4432" s="4"/>
      <c r="H4432" s="4"/>
      <c r="I4432" s="10" t="str">
        <f>HYPERLINK("http://instagram.com","Instagram")</f>
        <v>Instagram</v>
      </c>
      <c r="J4432" s="2">
        <v>432</v>
      </c>
      <c r="K4432" s="2">
        <v>1160</v>
      </c>
      <c r="L4432" s="2">
        <v>0</v>
      </c>
      <c r="M4432" s="2"/>
      <c r="N4432" s="8">
        <v>42775.846956018519</v>
      </c>
      <c r="O4432" s="4" t="s">
        <v>5053</v>
      </c>
      <c r="P4432" s="3" t="s">
        <v>5052</v>
      </c>
      <c r="Q4432" s="10" t="s">
        <v>5051</v>
      </c>
      <c r="R4432" s="4"/>
      <c r="S4432" s="9" t="str">
        <f>HYPERLINK("https://pbs.twimg.com/profile_images/936619037404037120/GVDLnU5_.jpg","View")</f>
        <v>View</v>
      </c>
    </row>
    <row r="4433" spans="1:19" ht="20">
      <c r="A4433" s="8">
        <v>43341.087083333332</v>
      </c>
      <c r="B4433" s="11" t="str">
        <f>HYPERLINK("https://twitter.com/Elzafar9","@Elzafar9")</f>
        <v>@Elzafar9</v>
      </c>
      <c r="C4433" s="6" t="s">
        <v>5050</v>
      </c>
      <c r="D4433" s="5" t="s">
        <v>5049</v>
      </c>
      <c r="E4433" s="9" t="str">
        <f>HYPERLINK("https://twitter.com/Elzafar9/status/1034555068241063936","1034555068241063936")</f>
        <v>1034555068241063936</v>
      </c>
      <c r="F4433" s="4"/>
      <c r="G4433" s="4"/>
      <c r="H4433" s="4"/>
      <c r="I4433" s="10" t="str">
        <f>HYPERLINK("https://mobile.twitter.com","Twitter Lite")</f>
        <v>Twitter Lite</v>
      </c>
      <c r="J4433" s="2">
        <v>14</v>
      </c>
      <c r="K4433" s="2">
        <v>41</v>
      </c>
      <c r="L4433" s="2">
        <v>0</v>
      </c>
      <c r="M4433" s="2"/>
      <c r="N4433" s="8">
        <v>41520.058055555557</v>
      </c>
      <c r="O4433" s="4"/>
      <c r="P4433" s="14" t="s">
        <v>5048</v>
      </c>
      <c r="Q4433" s="4"/>
      <c r="R4433" s="4"/>
      <c r="S4433" s="9" t="str">
        <f>HYPERLINK("https://pbs.twimg.com/profile_images/1021874573153853440/wv_tW5da.jpg","View")</f>
        <v>View</v>
      </c>
    </row>
    <row r="4434" spans="1:19" ht="40">
      <c r="A4434" s="8">
        <v>43341.084374999999</v>
      </c>
      <c r="B4434" s="11" t="str">
        <f>HYPERLINK("https://twitter.com/mh_nouranian1","@mh_nouranian1")</f>
        <v>@mh_nouranian1</v>
      </c>
      <c r="C4434" s="6" t="s">
        <v>5047</v>
      </c>
      <c r="D4434" s="12" t="s">
        <v>5046</v>
      </c>
      <c r="E4434" s="9" t="str">
        <f>HYPERLINK("https://twitter.com/mh_nouranian1/status/1034554090334957571","1034554090334957571")</f>
        <v>1034554090334957571</v>
      </c>
      <c r="F4434" s="4"/>
      <c r="G4434" s="10" t="s">
        <v>5045</v>
      </c>
      <c r="H4434" s="4"/>
      <c r="I4434" s="10" t="str">
        <f>HYPERLINK("http://twitter.com/download/android","Twitter for Android")</f>
        <v>Twitter for Android</v>
      </c>
      <c r="J4434" s="2">
        <v>108</v>
      </c>
      <c r="K4434" s="2">
        <v>130</v>
      </c>
      <c r="L4434" s="2">
        <v>0</v>
      </c>
      <c r="M4434" s="2"/>
      <c r="N4434" s="8">
        <v>43315.062604166669</v>
      </c>
      <c r="O4434" s="4" t="s">
        <v>34</v>
      </c>
      <c r="P4434" s="3" t="s">
        <v>5044</v>
      </c>
      <c r="Q4434" s="4"/>
      <c r="R4434" s="4"/>
      <c r="S4434" s="9" t="str">
        <f>HYPERLINK("https://pbs.twimg.com/profile_images/1034454344857538560/dQBuv9wy.jpg","View")</f>
        <v>View</v>
      </c>
    </row>
    <row r="4435" spans="1:19" ht="40">
      <c r="A4435" s="8">
        <v>43341.084201388891</v>
      </c>
      <c r="B4435" s="11" t="str">
        <f>HYPERLINK("https://twitter.com/DaeeHassan","@DaeeHassan")</f>
        <v>@DaeeHassan</v>
      </c>
      <c r="C4435" s="6" t="s">
        <v>3374</v>
      </c>
      <c r="D4435" s="5" t="s">
        <v>5043</v>
      </c>
      <c r="E4435" s="9" t="str">
        <f>HYPERLINK("https://twitter.com/DaeeHassan/status/1034554023855063041","1034554023855063041")</f>
        <v>1034554023855063041</v>
      </c>
      <c r="F4435" s="4"/>
      <c r="G4435" s="4"/>
      <c r="H4435" s="4"/>
      <c r="I4435" s="10" t="str">
        <f>HYPERLINK("http://twitter.com/download/android","Twitter for Android")</f>
        <v>Twitter for Android</v>
      </c>
      <c r="J4435" s="2">
        <v>1394</v>
      </c>
      <c r="K4435" s="2">
        <v>1062</v>
      </c>
      <c r="L4435" s="2">
        <v>1</v>
      </c>
      <c r="M4435" s="2"/>
      <c r="N4435" s="8">
        <v>42773.082974537036</v>
      </c>
      <c r="O4435" s="4" t="s">
        <v>2440</v>
      </c>
      <c r="P4435" s="3" t="s">
        <v>3372</v>
      </c>
      <c r="Q4435" s="4"/>
      <c r="R4435" s="4"/>
      <c r="S4435" s="9" t="str">
        <f>HYPERLINK("https://pbs.twimg.com/profile_images/943173983079424000/nkx3mVMx.jpg","View")</f>
        <v>View</v>
      </c>
    </row>
    <row r="4436" spans="1:19" ht="20">
      <c r="A4436" s="8">
        <v>43341.084027777775</v>
      </c>
      <c r="B4436" s="11" t="str">
        <f>HYPERLINK("https://twitter.com/KhadijeSeyfi","@KhadijeSeyfi")</f>
        <v>@KhadijeSeyfi</v>
      </c>
      <c r="C4436" s="6" t="s">
        <v>5042</v>
      </c>
      <c r="D4436" s="5" t="s">
        <v>5041</v>
      </c>
      <c r="E4436" s="9" t="str">
        <f>HYPERLINK("https://twitter.com/KhadijeSeyfi/status/1034553962727448576","1034553962727448576")</f>
        <v>1034553962727448576</v>
      </c>
      <c r="F4436" s="4"/>
      <c r="G4436" s="4"/>
      <c r="H4436" s="4"/>
      <c r="I4436" s="10" t="str">
        <f>HYPERLINK("http://twitter.com/download/android","Twitter for Android")</f>
        <v>Twitter for Android</v>
      </c>
      <c r="J4436" s="2">
        <v>69</v>
      </c>
      <c r="K4436" s="2">
        <v>135</v>
      </c>
      <c r="L4436" s="2">
        <v>0</v>
      </c>
      <c r="M4436" s="2"/>
      <c r="N4436" s="8">
        <v>43286.694328703699</v>
      </c>
      <c r="O4436" s="4"/>
      <c r="P4436" s="3" t="s">
        <v>5040</v>
      </c>
      <c r="Q4436" s="4"/>
      <c r="R4436" s="4"/>
      <c r="S4436" s="9" t="str">
        <f>HYPERLINK("https://pbs.twimg.com/profile_images/1034033476452970498/Elacfhio.jpg","View")</f>
        <v>View</v>
      </c>
    </row>
    <row r="4437" spans="1:19" ht="50">
      <c r="A4437" s="8">
        <v>43341.083449074074</v>
      </c>
      <c r="B4437" s="11" t="str">
        <f>HYPERLINK("https://twitter.com/delshodeghan","@delshodeghan")</f>
        <v>@delshodeghan</v>
      </c>
      <c r="C4437" s="6" t="s">
        <v>5039</v>
      </c>
      <c r="D4437" s="5" t="s">
        <v>5038</v>
      </c>
      <c r="E4437" s="9" t="str">
        <f>HYPERLINK("https://twitter.com/delshodeghan/status/1034553751607148544","1034553751607148544")</f>
        <v>1034553751607148544</v>
      </c>
      <c r="F4437" s="10" t="s">
        <v>5037</v>
      </c>
      <c r="G4437" s="4"/>
      <c r="H4437" s="4"/>
      <c r="I4437" s="10" t="str">
        <f>HYPERLINK("http://twitter.com/download/iphone","Twitter for iPhone")</f>
        <v>Twitter for iPhone</v>
      </c>
      <c r="J4437" s="2">
        <v>44</v>
      </c>
      <c r="K4437" s="2">
        <v>198</v>
      </c>
      <c r="L4437" s="2">
        <v>0</v>
      </c>
      <c r="M4437" s="2"/>
      <c r="N4437" s="8">
        <v>43105.103391203702</v>
      </c>
      <c r="O4437" s="4"/>
      <c r="P4437" s="3" t="s">
        <v>5036</v>
      </c>
      <c r="Q4437" s="4"/>
      <c r="R4437" s="4"/>
      <c r="S4437" s="9" t="str">
        <f>HYPERLINK("https://pbs.twimg.com/profile_images/949057568168529920/5h44bGeg.jpg","View")</f>
        <v>View</v>
      </c>
    </row>
    <row r="4438" spans="1:19" ht="20">
      <c r="A4438" s="8">
        <v>43341.083298611113</v>
      </c>
      <c r="B4438" s="11" t="str">
        <f>HYPERLINK("https://twitter.com/Sajjadfirouzja1","@Sajjadfirouzja1")</f>
        <v>@Sajjadfirouzja1</v>
      </c>
      <c r="C4438" s="6" t="s">
        <v>4712</v>
      </c>
      <c r="D4438" s="5" t="s">
        <v>5035</v>
      </c>
      <c r="E4438" s="9" t="str">
        <f>HYPERLINK("https://twitter.com/Sajjadfirouzja1/status/1034553697886523402","1034553697886523402")</f>
        <v>1034553697886523402</v>
      </c>
      <c r="F4438" s="4"/>
      <c r="G4438" s="10" t="s">
        <v>5034</v>
      </c>
      <c r="H4438" s="4"/>
      <c r="I4438" s="10" t="str">
        <f>HYPERLINK("http://twitter.com/download/android","Twitter for Android")</f>
        <v>Twitter for Android</v>
      </c>
      <c r="J4438" s="2">
        <v>432</v>
      </c>
      <c r="K4438" s="2">
        <v>271</v>
      </c>
      <c r="L4438" s="2">
        <v>1</v>
      </c>
      <c r="M4438" s="2"/>
      <c r="N4438" s="8">
        <v>43100.978472222225</v>
      </c>
      <c r="O4438" s="4" t="s">
        <v>17</v>
      </c>
      <c r="P4438" s="3" t="s">
        <v>4710</v>
      </c>
      <c r="Q4438" s="4"/>
      <c r="R4438" s="4"/>
      <c r="S4438" s="9" t="str">
        <f>HYPERLINK("https://pbs.twimg.com/profile_images/951597810637418496/F46LreLO.jpg","View")</f>
        <v>View</v>
      </c>
    </row>
    <row r="4439" spans="1:19" ht="30">
      <c r="A4439" s="8">
        <v>43341.081307870365</v>
      </c>
      <c r="B4439" s="11" t="str">
        <f>HYPERLINK("https://twitter.com/gin__and_tonic","@gin__and_tonic")</f>
        <v>@gin__and_tonic</v>
      </c>
      <c r="C4439" s="6" t="s">
        <v>1935</v>
      </c>
      <c r="D4439" s="5" t="s">
        <v>5033</v>
      </c>
      <c r="E4439" s="9" t="str">
        <f>HYPERLINK("https://twitter.com/gin__and_tonic/status/1034552975304343553","1034552975304343553")</f>
        <v>1034552975304343553</v>
      </c>
      <c r="F4439" s="4"/>
      <c r="G4439" s="4"/>
      <c r="H4439" s="4"/>
      <c r="I4439" s="10" t="str">
        <f>HYPERLINK("http://twitter.com/download/android","Twitter for Android")</f>
        <v>Twitter for Android</v>
      </c>
      <c r="J4439" s="2">
        <v>178</v>
      </c>
      <c r="K4439" s="2">
        <v>284</v>
      </c>
      <c r="L4439" s="2">
        <v>0</v>
      </c>
      <c r="M4439" s="2"/>
      <c r="N4439" s="8">
        <v>42430.035381944443</v>
      </c>
      <c r="O4439" s="4"/>
      <c r="P4439" s="3" t="s">
        <v>1933</v>
      </c>
      <c r="Q4439" s="4"/>
      <c r="R4439" s="4"/>
      <c r="S4439" s="9" t="str">
        <f>HYPERLINK("https://pbs.twimg.com/profile_images/954455569036955648/gLVeMa-6.jpg","View")</f>
        <v>View</v>
      </c>
    </row>
    <row r="4440" spans="1:19" ht="50">
      <c r="A4440" s="8">
        <v>43341.080532407403</v>
      </c>
      <c r="B4440" s="11" t="str">
        <f>HYPERLINK("https://twitter.com/7lbm2jSfROiCZwr","@7lbm2jSfROiCZwr")</f>
        <v>@7lbm2jSfROiCZwr</v>
      </c>
      <c r="C4440" s="6" t="s">
        <v>5032</v>
      </c>
      <c r="D4440" s="5" t="s">
        <v>5031</v>
      </c>
      <c r="E4440" s="9" t="str">
        <f>HYPERLINK("https://twitter.com/7lbm2jSfROiCZwr/status/1034552698316705797","1034552698316705797")</f>
        <v>1034552698316705797</v>
      </c>
      <c r="F4440" s="4"/>
      <c r="G4440" s="4"/>
      <c r="H4440" s="4"/>
      <c r="I4440" s="10" t="str">
        <f>HYPERLINK("https://mobile.twitter.com","Twitter Lite")</f>
        <v>Twitter Lite</v>
      </c>
      <c r="J4440" s="2">
        <v>8</v>
      </c>
      <c r="K4440" s="2">
        <v>0</v>
      </c>
      <c r="L4440" s="2">
        <v>0</v>
      </c>
      <c r="M4440" s="2"/>
      <c r="N4440" s="8">
        <v>43310.596307870372</v>
      </c>
      <c r="O4440" s="4" t="s">
        <v>5030</v>
      </c>
      <c r="P4440" s="3" t="s">
        <v>5029</v>
      </c>
      <c r="Q4440" s="4"/>
      <c r="R4440" s="4"/>
      <c r="S4440" s="2" t="s">
        <v>155</v>
      </c>
    </row>
    <row r="4441" spans="1:19" ht="20">
      <c r="A4441" s="8">
        <v>43341.079687500001</v>
      </c>
      <c r="B4441" s="11" t="str">
        <f>HYPERLINK("https://twitter.com/kardinal_daniel","@kardinal_daniel")</f>
        <v>@kardinal_daniel</v>
      </c>
      <c r="C4441" s="6" t="s">
        <v>5028</v>
      </c>
      <c r="D4441" s="5" t="s">
        <v>5027</v>
      </c>
      <c r="E4441" s="9" t="str">
        <f>HYPERLINK("https://twitter.com/kardinal_daniel/status/1034552389225902081","1034552389225902081")</f>
        <v>1034552389225902081</v>
      </c>
      <c r="F4441" s="4"/>
      <c r="G4441" s="4"/>
      <c r="H4441" s="4"/>
      <c r="I4441" s="10" t="str">
        <f>HYPERLINK("http://twitter.com/download/android","Twitter for Android")</f>
        <v>Twitter for Android</v>
      </c>
      <c r="J4441" s="2">
        <v>10</v>
      </c>
      <c r="K4441" s="2">
        <v>95</v>
      </c>
      <c r="L4441" s="2">
        <v>0</v>
      </c>
      <c r="M4441" s="2"/>
      <c r="N4441" s="8">
        <v>43242.095405092594</v>
      </c>
      <c r="O4441" s="4" t="s">
        <v>5026</v>
      </c>
      <c r="P4441" s="3" t="s">
        <v>5025</v>
      </c>
      <c r="Q4441" s="4"/>
      <c r="R4441" s="4"/>
      <c r="S4441" s="9" t="str">
        <f>HYPERLINK("https://pbs.twimg.com/profile_images/1032140277845319680/vB2q8n_v.jpg","View")</f>
        <v>View</v>
      </c>
    </row>
    <row r="4442" spans="1:19" ht="30">
      <c r="A4442" s="8">
        <v>43341.079525462963</v>
      </c>
      <c r="B4442" s="11" t="str">
        <f>HYPERLINK("https://twitter.com/MojiBoof","@MojiBoof")</f>
        <v>@MojiBoof</v>
      </c>
      <c r="C4442" s="6" t="s">
        <v>5024</v>
      </c>
      <c r="D4442" s="5" t="s">
        <v>5023</v>
      </c>
      <c r="E4442" s="9" t="str">
        <f>HYPERLINK("https://twitter.com/MojiBoof/status/1034552333148012544","1034552333148012544")</f>
        <v>1034552333148012544</v>
      </c>
      <c r="F4442" s="4"/>
      <c r="G4442" s="4"/>
      <c r="H4442" s="4"/>
      <c r="I4442" s="10" t="str">
        <f>HYPERLINK("http://twitter.com/download/android","Twitter for Android")</f>
        <v>Twitter for Android</v>
      </c>
      <c r="J4442" s="2">
        <v>69</v>
      </c>
      <c r="K4442" s="2">
        <v>112</v>
      </c>
      <c r="L4442" s="2">
        <v>0</v>
      </c>
      <c r="M4442" s="2"/>
      <c r="N4442" s="8">
        <v>42960.286631944444</v>
      </c>
      <c r="O4442" s="4" t="s">
        <v>5022</v>
      </c>
      <c r="P4442" s="3" t="s">
        <v>5021</v>
      </c>
      <c r="Q4442" s="4"/>
      <c r="R4442" s="4"/>
      <c r="S4442" s="9" t="str">
        <f>HYPERLINK("https://pbs.twimg.com/profile_images/993690355383062528/5AW_k-Vw.jpg","View")</f>
        <v>View</v>
      </c>
    </row>
    <row r="4443" spans="1:19" ht="70">
      <c r="A4443" s="8">
        <v>43341.07849537037</v>
      </c>
      <c r="B4443" s="11" t="str">
        <f>HYPERLINK("https://twitter.com/kh_maktabi1960","@kh_maktabi1960")</f>
        <v>@kh_maktabi1960</v>
      </c>
      <c r="C4443" s="6" t="s">
        <v>5020</v>
      </c>
      <c r="D4443" s="5" t="s">
        <v>5019</v>
      </c>
      <c r="E4443" s="9" t="str">
        <f>HYPERLINK("https://twitter.com/kh_maktabi1960/status/1034551957082578944","1034551957082578944")</f>
        <v>1034551957082578944</v>
      </c>
      <c r="F4443" s="4" t="s">
        <v>5018</v>
      </c>
      <c r="G4443" s="4"/>
      <c r="H4443" s="4"/>
      <c r="I4443" s="10" t="str">
        <f>HYPERLINK("http://twitter.com/download/android","Twitter for Android")</f>
        <v>Twitter for Android</v>
      </c>
      <c r="J4443" s="2">
        <v>175</v>
      </c>
      <c r="K4443" s="2">
        <v>311</v>
      </c>
      <c r="L4443" s="2">
        <v>0</v>
      </c>
      <c r="M4443" s="2"/>
      <c r="N4443" s="8">
        <v>43137.913101851853</v>
      </c>
      <c r="O4443" s="4"/>
      <c r="P4443" s="3" t="s">
        <v>5017</v>
      </c>
      <c r="Q4443" s="4"/>
      <c r="R4443" s="4"/>
      <c r="S4443" s="9" t="str">
        <f>HYPERLINK("https://pbs.twimg.com/profile_images/972019313082294272/HNsQxn0f.jpg","View")</f>
        <v>View</v>
      </c>
    </row>
    <row r="4444" spans="1:19" ht="40">
      <c r="A4444" s="8">
        <v>43341.0784837963</v>
      </c>
      <c r="B4444" s="11" t="str">
        <f>HYPERLINK("https://twitter.com/mansoori_peyman","@mansoori_peyman")</f>
        <v>@mansoori_peyman</v>
      </c>
      <c r="C4444" s="6" t="s">
        <v>5016</v>
      </c>
      <c r="D4444" s="5" t="s">
        <v>5015</v>
      </c>
      <c r="E4444" s="9" t="str">
        <f>HYPERLINK("https://twitter.com/mansoori_peyman/status/1034551952934354946","1034551952934354946")</f>
        <v>1034551952934354946</v>
      </c>
      <c r="F4444" s="4"/>
      <c r="G4444" s="4"/>
      <c r="H4444" s="4"/>
      <c r="I4444" s="10" t="str">
        <f>HYPERLINK("http://twitter.com","Twitter Web Client")</f>
        <v>Twitter Web Client</v>
      </c>
      <c r="J4444" s="2">
        <v>10</v>
      </c>
      <c r="K4444" s="2">
        <v>29</v>
      </c>
      <c r="L4444" s="2">
        <v>0</v>
      </c>
      <c r="M4444" s="2"/>
      <c r="N4444" s="8">
        <v>43297.563333333332</v>
      </c>
      <c r="O4444" s="4"/>
      <c r="P4444" s="3" t="s">
        <v>5014</v>
      </c>
      <c r="Q4444" s="4"/>
      <c r="R4444" s="4"/>
      <c r="S4444" s="9" t="str">
        <f>HYPERLINK("https://pbs.twimg.com/profile_images/1018786172632469504/5TLr8XMS.jpg","View")</f>
        <v>View</v>
      </c>
    </row>
    <row r="4445" spans="1:19" ht="40">
      <c r="A4445" s="8">
        <v>43341.078252314815</v>
      </c>
      <c r="B4445" s="11" t="str">
        <f>HYPERLINK("https://twitter.com/BudaqSultan","@BudaqSultan")</f>
        <v>@BudaqSultan</v>
      </c>
      <c r="C4445" s="6" t="s">
        <v>5013</v>
      </c>
      <c r="D4445" s="5" t="s">
        <v>5012</v>
      </c>
      <c r="E4445" s="9" t="str">
        <f>HYPERLINK("https://twitter.com/BudaqSultan/status/1034551870482784257","1034551870482784257")</f>
        <v>1034551870482784257</v>
      </c>
      <c r="F4445" s="4"/>
      <c r="G4445" s="4"/>
      <c r="H4445" s="4"/>
      <c r="I4445" s="10" t="str">
        <f>HYPERLINK("http://twitter.com/download/iphone","Twitter for iPhone")</f>
        <v>Twitter for iPhone</v>
      </c>
      <c r="J4445" s="2">
        <v>314</v>
      </c>
      <c r="K4445" s="2">
        <v>1284</v>
      </c>
      <c r="L4445" s="2">
        <v>1</v>
      </c>
      <c r="M4445" s="2"/>
      <c r="N4445" s="8">
        <v>42854.085150462968</v>
      </c>
      <c r="O4445" s="4" t="s">
        <v>894</v>
      </c>
      <c r="P4445" s="3" t="s">
        <v>5011</v>
      </c>
      <c r="Q4445" s="4"/>
      <c r="R4445" s="4"/>
      <c r="S4445" s="9" t="str">
        <f>HYPERLINK("https://pbs.twimg.com/profile_images/920476370593042434/vu_2LxTq.jpg","View")</f>
        <v>View</v>
      </c>
    </row>
    <row r="4446" spans="1:19" ht="40">
      <c r="A4446" s="8">
        <v>43341.078217592592</v>
      </c>
      <c r="B4446" s="11" t="str">
        <f>HYPERLINK("https://twitter.com/OFOGH110","@OFOGH110")</f>
        <v>@OFOGH110</v>
      </c>
      <c r="C4446" s="6" t="s">
        <v>5010</v>
      </c>
      <c r="D4446" s="5" t="s">
        <v>5009</v>
      </c>
      <c r="E4446" s="9" t="str">
        <f>HYPERLINK("https://twitter.com/OFOGH110/status/1034551859309105153","1034551859309105153")</f>
        <v>1034551859309105153</v>
      </c>
      <c r="F4446" s="4"/>
      <c r="G4446" s="4"/>
      <c r="H4446" s="4"/>
      <c r="I4446" s="10" t="str">
        <f>HYPERLINK("http://twitter.com/download/android","Twitter for Android")</f>
        <v>Twitter for Android</v>
      </c>
      <c r="J4446" s="2">
        <v>197</v>
      </c>
      <c r="K4446" s="2">
        <v>168</v>
      </c>
      <c r="L4446" s="2">
        <v>0</v>
      </c>
      <c r="M4446" s="2"/>
      <c r="N4446" s="8">
        <v>43290.840613425928</v>
      </c>
      <c r="O4446" s="4" t="s">
        <v>5008</v>
      </c>
      <c r="P4446" s="3" t="s">
        <v>5007</v>
      </c>
      <c r="Q4446" s="4"/>
      <c r="R4446" s="4"/>
      <c r="S4446" s="9" t="str">
        <f>HYPERLINK("https://pbs.twimg.com/profile_images/1021144423688753157/gFIOS8j1.jpg","View")</f>
        <v>View</v>
      </c>
    </row>
    <row r="4447" spans="1:19" ht="12.5">
      <c r="A4447" s="8">
        <v>43341.077372685184</v>
      </c>
      <c r="B4447" s="11" t="str">
        <f>HYPERLINK("https://twitter.com/Yarr313","@Yarr313")</f>
        <v>@Yarr313</v>
      </c>
      <c r="C4447" s="6" t="s">
        <v>4926</v>
      </c>
      <c r="D4447" s="5" t="s">
        <v>5006</v>
      </c>
      <c r="E4447" s="9" t="str">
        <f>HYPERLINK("https://twitter.com/Yarr313/status/1034551552885891074","1034551552885891074")</f>
        <v>1034551552885891074</v>
      </c>
      <c r="F4447" s="4"/>
      <c r="G4447" s="4"/>
      <c r="H4447" s="4"/>
      <c r="I4447" s="10" t="str">
        <f>HYPERLINK("http://twitter.com/download/android","Twitter for Android")</f>
        <v>Twitter for Android</v>
      </c>
      <c r="J4447" s="2">
        <v>253</v>
      </c>
      <c r="K4447" s="2">
        <v>265</v>
      </c>
      <c r="L4447" s="2">
        <v>0</v>
      </c>
      <c r="M4447" s="2"/>
      <c r="N4447" s="8">
        <v>43314.014918981484</v>
      </c>
      <c r="O4447" s="4" t="s">
        <v>4925</v>
      </c>
      <c r="P4447" s="3" t="s">
        <v>4924</v>
      </c>
      <c r="Q4447" s="4"/>
      <c r="R4447" s="4"/>
      <c r="S4447" s="9" t="str">
        <f>HYPERLINK("https://pbs.twimg.com/profile_images/1024747079225286656/6wqXLnfo.jpg","View")</f>
        <v>View</v>
      </c>
    </row>
    <row r="4448" spans="1:19" ht="30">
      <c r="A4448" s="8">
        <v>43341.076747685191</v>
      </c>
      <c r="B4448" s="11" t="str">
        <f>HYPERLINK("https://twitter.com/mohammad_sanie","@mohammad_sanie")</f>
        <v>@mohammad_sanie</v>
      </c>
      <c r="C4448" s="6" t="s">
        <v>5005</v>
      </c>
      <c r="D4448" s="5" t="s">
        <v>5004</v>
      </c>
      <c r="E4448" s="9" t="str">
        <f>HYPERLINK("https://twitter.com/mohammad_sanie/status/1034551324153729028","1034551324153729028")</f>
        <v>1034551324153729028</v>
      </c>
      <c r="F4448" s="4"/>
      <c r="G4448" s="4"/>
      <c r="H4448" s="4"/>
      <c r="I4448" s="10" t="str">
        <f>HYPERLINK("http://twitter.com/download/android","Twitter for Android")</f>
        <v>Twitter for Android</v>
      </c>
      <c r="J4448" s="2">
        <v>12</v>
      </c>
      <c r="K4448" s="2">
        <v>35</v>
      </c>
      <c r="L4448" s="2">
        <v>0</v>
      </c>
      <c r="M4448" s="2"/>
      <c r="N4448" s="8">
        <v>43006.653020833328</v>
      </c>
      <c r="O4448" s="4" t="s">
        <v>104</v>
      </c>
      <c r="P4448" s="3" t="s">
        <v>5003</v>
      </c>
      <c r="Q4448" s="4"/>
      <c r="R4448" s="4"/>
      <c r="S4448" s="9" t="str">
        <f>HYPERLINK("https://pbs.twimg.com/profile_images/952463498142978048/bKGDnPjQ.jpg","View")</f>
        <v>View</v>
      </c>
    </row>
    <row r="4449" spans="1:19" ht="30">
      <c r="A4449" s="8">
        <v>43341.076712962968</v>
      </c>
      <c r="B4449" s="11" t="str">
        <f>HYPERLINK("https://twitter.com/Jalilijvd","@Jalilijvd")</f>
        <v>@Jalilijvd</v>
      </c>
      <c r="C4449" s="6" t="s">
        <v>5002</v>
      </c>
      <c r="D4449" s="5" t="s">
        <v>5001</v>
      </c>
      <c r="E4449" s="9" t="str">
        <f>HYPERLINK("https://twitter.com/Jalilijvd/status/1034551312795480065","1034551312795480065")</f>
        <v>1034551312795480065</v>
      </c>
      <c r="F4449" s="4"/>
      <c r="G4449" s="4"/>
      <c r="H4449" s="4"/>
      <c r="I4449" s="10" t="str">
        <f>HYPERLINK("http://twitter.com/download/android","Twitter for Android")</f>
        <v>Twitter for Android</v>
      </c>
      <c r="J4449" s="2">
        <v>126</v>
      </c>
      <c r="K4449" s="2">
        <v>275</v>
      </c>
      <c r="L4449" s="2">
        <v>0</v>
      </c>
      <c r="M4449" s="2"/>
      <c r="N4449" s="8">
        <v>42914.926527777774</v>
      </c>
      <c r="O4449" s="4"/>
      <c r="P4449" s="3" t="s">
        <v>5000</v>
      </c>
      <c r="Q4449" s="4"/>
      <c r="R4449" s="4"/>
      <c r="S4449" s="9" t="str">
        <f>HYPERLINK("https://pbs.twimg.com/profile_images/1031418533597655040/FOlDbraR.jpg","View")</f>
        <v>View</v>
      </c>
    </row>
    <row r="4450" spans="1:19" ht="30">
      <c r="A4450" s="8">
        <v>43341.076655092591</v>
      </c>
      <c r="B4450" s="11" t="str">
        <f>HYPERLINK("https://twitter.com/Sogand24356336","@Sogand24356336")</f>
        <v>@Sogand24356336</v>
      </c>
      <c r="C4450" s="6" t="s">
        <v>4999</v>
      </c>
      <c r="D4450" s="5" t="s">
        <v>4998</v>
      </c>
      <c r="E4450" s="9" t="str">
        <f>HYPERLINK("https://twitter.com/Sogand24356336/status/1034551292398645249","1034551292398645249")</f>
        <v>1034551292398645249</v>
      </c>
      <c r="F4450" s="4"/>
      <c r="G4450" s="4"/>
      <c r="H4450" s="4"/>
      <c r="I4450" s="10" t="str">
        <f>HYPERLINK("http://twitter.com/download/android","Twitter for Android")</f>
        <v>Twitter for Android</v>
      </c>
      <c r="J4450" s="2">
        <v>444</v>
      </c>
      <c r="K4450" s="2">
        <v>714</v>
      </c>
      <c r="L4450" s="2">
        <v>0</v>
      </c>
      <c r="M4450" s="2"/>
      <c r="N4450" s="8">
        <v>43281.092638888891</v>
      </c>
      <c r="O4450" s="4" t="s">
        <v>4997</v>
      </c>
      <c r="P4450" s="3" t="s">
        <v>4996</v>
      </c>
      <c r="Q4450" s="4"/>
      <c r="R4450" s="4"/>
      <c r="S4450" s="9" t="str">
        <f>HYPERLINK("https://pbs.twimg.com/profile_images/1028999406337634304/r0JG-yXf.jpg","View")</f>
        <v>View</v>
      </c>
    </row>
    <row r="4451" spans="1:19" ht="30">
      <c r="A4451" s="8">
        <v>43341.075868055559</v>
      </c>
      <c r="B4451" s="11" t="str">
        <f>HYPERLINK("https://twitter.com/SHAHBAZI_R","@SHAHBAZI_R")</f>
        <v>@SHAHBAZI_R</v>
      </c>
      <c r="C4451" s="6" t="s">
        <v>4995</v>
      </c>
      <c r="D4451" s="5" t="s">
        <v>4994</v>
      </c>
      <c r="E4451" s="9" t="str">
        <f>HYPERLINK("https://twitter.com/SHAHBAZI_R/status/1034551004975570944","1034551004975570944")</f>
        <v>1034551004975570944</v>
      </c>
      <c r="F4451" s="4"/>
      <c r="G4451" s="10" t="s">
        <v>4993</v>
      </c>
      <c r="H4451" s="4"/>
      <c r="I4451" s="10" t="str">
        <f>HYPERLINK("http://twitter.com/download/android","Twitter for Android")</f>
        <v>Twitter for Android</v>
      </c>
      <c r="J4451" s="2">
        <v>188</v>
      </c>
      <c r="K4451" s="2">
        <v>197</v>
      </c>
      <c r="L4451" s="2">
        <v>0</v>
      </c>
      <c r="M4451" s="2"/>
      <c r="N4451" s="8">
        <v>43225.052824074075</v>
      </c>
      <c r="O4451" s="4" t="s">
        <v>4992</v>
      </c>
      <c r="P4451" s="3" t="s">
        <v>4991</v>
      </c>
      <c r="Q4451" s="4"/>
      <c r="R4451" s="4"/>
      <c r="S4451" s="9" t="str">
        <f>HYPERLINK("https://pbs.twimg.com/profile_images/1034405199824265216/Rcu5VFda.jpg","View")</f>
        <v>View</v>
      </c>
    </row>
    <row r="4452" spans="1:19" ht="20">
      <c r="A4452" s="8">
        <v>43341.075555555552</v>
      </c>
      <c r="B4452" s="11" t="str">
        <f>HYPERLINK("https://twitter.com/mohammad_rbn","@mohammad_rbn")</f>
        <v>@mohammad_rbn</v>
      </c>
      <c r="C4452" s="6" t="s">
        <v>4990</v>
      </c>
      <c r="D4452" s="5" t="s">
        <v>4989</v>
      </c>
      <c r="E4452" s="9" t="str">
        <f>HYPERLINK("https://twitter.com/mohammad_rbn/status/1034550894673707008","1034550894673707008")</f>
        <v>1034550894673707008</v>
      </c>
      <c r="F4452" s="4"/>
      <c r="G4452" s="10" t="s">
        <v>4988</v>
      </c>
      <c r="H4452" s="4"/>
      <c r="I4452" s="10" t="str">
        <f>HYPERLINK("http://twitter.com/download/iphone","Twitter for iPhone")</f>
        <v>Twitter for iPhone</v>
      </c>
      <c r="J4452" s="2">
        <v>336</v>
      </c>
      <c r="K4452" s="2">
        <v>316</v>
      </c>
      <c r="L4452" s="2">
        <v>1</v>
      </c>
      <c r="M4452" s="2"/>
      <c r="N4452" s="8">
        <v>42750.07980324074</v>
      </c>
      <c r="O4452" s="4" t="s">
        <v>34</v>
      </c>
      <c r="P4452" s="3" t="s">
        <v>4987</v>
      </c>
      <c r="Q4452" s="4"/>
      <c r="R4452" s="4"/>
      <c r="S4452" s="9" t="str">
        <f>HYPERLINK("https://pbs.twimg.com/profile_images/938279629709893633/HDoMqAtp.jpg","View")</f>
        <v>View</v>
      </c>
    </row>
    <row r="4453" spans="1:19" ht="40">
      <c r="A4453" s="8">
        <v>43341.075428240743</v>
      </c>
      <c r="B4453" s="11" t="str">
        <f>HYPERLINK("https://twitter.com/n_juvin","@n_juvin")</f>
        <v>@n_juvin</v>
      </c>
      <c r="C4453" s="6" t="s">
        <v>4986</v>
      </c>
      <c r="D4453" s="5" t="s">
        <v>4985</v>
      </c>
      <c r="E4453" s="9" t="str">
        <f>HYPERLINK("https://twitter.com/n_juvin/status/1034550846456049664","1034550846456049664")</f>
        <v>1034550846456049664</v>
      </c>
      <c r="F4453" s="4"/>
      <c r="G4453" s="4"/>
      <c r="H4453" s="4"/>
      <c r="I4453" s="10" t="str">
        <f>HYPERLINK("http://twitter.com/download/iphone","Twitter for iPhone")</f>
        <v>Twitter for iPhone</v>
      </c>
      <c r="J4453" s="2">
        <v>18</v>
      </c>
      <c r="K4453" s="2">
        <v>24</v>
      </c>
      <c r="L4453" s="2">
        <v>0</v>
      </c>
      <c r="M4453" s="2"/>
      <c r="N4453" s="8">
        <v>42912.458622685182</v>
      </c>
      <c r="O4453" s="4" t="s">
        <v>805</v>
      </c>
      <c r="P4453" s="3" t="s">
        <v>4984</v>
      </c>
      <c r="Q4453" s="10" t="s">
        <v>4983</v>
      </c>
      <c r="R4453" s="4"/>
      <c r="S4453" s="9" t="str">
        <f>HYPERLINK("https://pbs.twimg.com/profile_images/992346418479288322/aivuDVcQ.jpg","View")</f>
        <v>View</v>
      </c>
    </row>
    <row r="4454" spans="1:19" ht="40">
      <c r="A4454" s="8">
        <v>43341.075092592597</v>
      </c>
      <c r="B4454" s="11" t="str">
        <f>HYPERLINK("https://twitter.com/Naeimabadi_h","@Naeimabadi_h")</f>
        <v>@Naeimabadi_h</v>
      </c>
      <c r="C4454" s="6" t="s">
        <v>4982</v>
      </c>
      <c r="D4454" s="5" t="s">
        <v>4981</v>
      </c>
      <c r="E4454" s="9" t="str">
        <f>HYPERLINK("https://twitter.com/Naeimabadi_h/status/1034550723298689024","1034550723298689024")</f>
        <v>1034550723298689024</v>
      </c>
      <c r="F4454" s="4"/>
      <c r="G4454" s="10" t="s">
        <v>4980</v>
      </c>
      <c r="H4454" s="4"/>
      <c r="I4454" s="10" t="str">
        <f>HYPERLINK("http://twitter.com/download/iphone","Twitter for iPhone")</f>
        <v>Twitter for iPhone</v>
      </c>
      <c r="J4454" s="2">
        <v>195</v>
      </c>
      <c r="K4454" s="2">
        <v>268</v>
      </c>
      <c r="L4454" s="2">
        <v>0</v>
      </c>
      <c r="M4454" s="2"/>
      <c r="N4454" s="8">
        <v>41000.825902777782</v>
      </c>
      <c r="O4454" s="4" t="s">
        <v>17</v>
      </c>
      <c r="P4454" s="3" t="s">
        <v>4979</v>
      </c>
      <c r="Q4454" s="4"/>
      <c r="R4454" s="4"/>
      <c r="S4454" s="9" t="str">
        <f>HYPERLINK("https://pbs.twimg.com/profile_images/990640974387908610/5-M2cY8h.jpg","View")</f>
        <v>View</v>
      </c>
    </row>
    <row r="4455" spans="1:19" ht="20">
      <c r="A4455" s="8">
        <v>43341.07408564815</v>
      </c>
      <c r="B4455" s="11" t="str">
        <f>HYPERLINK("https://twitter.com/tvvitterchiii","@tvvitterchiii")</f>
        <v>@tvvitterchiii</v>
      </c>
      <c r="C4455" s="6" t="s">
        <v>4978</v>
      </c>
      <c r="D4455" s="5" t="s">
        <v>4977</v>
      </c>
      <c r="E4455" s="9" t="str">
        <f>HYPERLINK("https://twitter.com/tvvitterchiii/status/1034550359627390976","1034550359627390976")</f>
        <v>1034550359627390976</v>
      </c>
      <c r="F4455" s="4"/>
      <c r="G4455" s="10" t="s">
        <v>4976</v>
      </c>
      <c r="H4455" s="4"/>
      <c r="I4455" s="10" t="str">
        <f>HYPERLINK("http://twitter.com","Twitter Web Client")</f>
        <v>Twitter Web Client</v>
      </c>
      <c r="J4455" s="2">
        <v>1879</v>
      </c>
      <c r="K4455" s="2">
        <v>2982</v>
      </c>
      <c r="L4455" s="2">
        <v>4</v>
      </c>
      <c r="M4455" s="2"/>
      <c r="N4455" s="8">
        <v>41033.240659722222</v>
      </c>
      <c r="O4455" s="4" t="s">
        <v>34</v>
      </c>
      <c r="P4455" s="3" t="s">
        <v>4975</v>
      </c>
      <c r="Q4455" s="4"/>
      <c r="R4455" s="4"/>
      <c r="S4455" s="9" t="str">
        <f>HYPERLINK("https://pbs.twimg.com/profile_images/1034553700251922432/OD-BiVDM.jpg","View")</f>
        <v>View</v>
      </c>
    </row>
    <row r="4456" spans="1:19" ht="30">
      <c r="A4456" s="8">
        <v>43341.073993055557</v>
      </c>
      <c r="B4456" s="11" t="str">
        <f>HYPERLINK("https://twitter.com/MiladRahmati7","@MiladRahmati7")</f>
        <v>@MiladRahmati7</v>
      </c>
      <c r="C4456" s="6" t="s">
        <v>4920</v>
      </c>
      <c r="D4456" s="5" t="s">
        <v>4974</v>
      </c>
      <c r="E4456" s="9" t="str">
        <f>HYPERLINK("https://twitter.com/MiladRahmati7/status/1034550327092109312","1034550327092109312")</f>
        <v>1034550327092109312</v>
      </c>
      <c r="F4456" s="4"/>
      <c r="G4456" s="4"/>
      <c r="H4456" s="4"/>
      <c r="I4456" s="10" t="str">
        <f>HYPERLINK("http://twitter.com/download/android","Twitter for Android")</f>
        <v>Twitter for Android</v>
      </c>
      <c r="J4456" s="2">
        <v>4</v>
      </c>
      <c r="K4456" s="2">
        <v>109</v>
      </c>
      <c r="L4456" s="2">
        <v>0</v>
      </c>
      <c r="M4456" s="2"/>
      <c r="N4456" s="8">
        <v>43219.181481481486</v>
      </c>
      <c r="O4456" s="4" t="s">
        <v>34</v>
      </c>
      <c r="P4456" s="3" t="s">
        <v>4918</v>
      </c>
      <c r="Q4456" s="4"/>
      <c r="R4456" s="4"/>
      <c r="S4456" s="9" t="str">
        <f>HYPERLINK("https://pbs.twimg.com/profile_images/990380325212708864/VNQ0s6rE.jpg","View")</f>
        <v>View</v>
      </c>
    </row>
    <row r="4457" spans="1:19" ht="40">
      <c r="A4457" s="8">
        <v>43341.073796296296</v>
      </c>
      <c r="B4457" s="11" t="str">
        <f>HYPERLINK("https://twitter.com/Ebrahimkolahka1","@Ebrahimkolahka1")</f>
        <v>@Ebrahimkolahka1</v>
      </c>
      <c r="C4457" s="6" t="s">
        <v>4973</v>
      </c>
      <c r="D4457" s="5" t="s">
        <v>4822</v>
      </c>
      <c r="E4457" s="9" t="str">
        <f>HYPERLINK("https://twitter.com/Ebrahimkolahka1/status/1034550256459898881","1034550256459898881")</f>
        <v>1034550256459898881</v>
      </c>
      <c r="F4457" s="4"/>
      <c r="G4457" s="4"/>
      <c r="H4457" s="4"/>
      <c r="I4457" s="10" t="str">
        <f>HYPERLINK("http://twitter.com/download/android","Twitter for Android")</f>
        <v>Twitter for Android</v>
      </c>
      <c r="J4457" s="2">
        <v>71</v>
      </c>
      <c r="K4457" s="2">
        <v>77</v>
      </c>
      <c r="L4457" s="2">
        <v>0</v>
      </c>
      <c r="M4457" s="2"/>
      <c r="N4457" s="8">
        <v>43150.729884259257</v>
      </c>
      <c r="O4457" s="4" t="s">
        <v>4972</v>
      </c>
      <c r="P4457" s="3"/>
      <c r="Q4457" s="10" t="s">
        <v>4971</v>
      </c>
      <c r="R4457" s="4"/>
      <c r="S4457" s="9" t="str">
        <f>HYPERLINK("https://pbs.twimg.com/profile_images/1028763764064116736/ZmuNL20u.jpg","View")</f>
        <v>View</v>
      </c>
    </row>
    <row r="4458" spans="1:19" ht="12.5">
      <c r="A4458" s="8">
        <v>43341.073680555557</v>
      </c>
      <c r="B4458" s="11" t="str">
        <f>HYPERLINK("https://twitter.com/h_hamidirad","@h_hamidirad")</f>
        <v>@h_hamidirad</v>
      </c>
      <c r="C4458" s="6" t="s">
        <v>4970</v>
      </c>
      <c r="D4458" s="5" t="s">
        <v>4969</v>
      </c>
      <c r="E4458" s="9" t="str">
        <f>HYPERLINK("https://twitter.com/h_hamidirad/status/1034550214621896709","1034550214621896709")</f>
        <v>1034550214621896709</v>
      </c>
      <c r="F4458" s="4"/>
      <c r="G4458" s="4"/>
      <c r="H4458" s="4"/>
      <c r="I4458" s="10" t="str">
        <f>HYPERLINK("http://twitter.com/download/android","Twitter for Android")</f>
        <v>Twitter for Android</v>
      </c>
      <c r="J4458" s="2">
        <v>578</v>
      </c>
      <c r="K4458" s="2">
        <v>1071</v>
      </c>
      <c r="L4458" s="2">
        <v>0</v>
      </c>
      <c r="M4458" s="2"/>
      <c r="N4458" s="8">
        <v>43315.978831018518</v>
      </c>
      <c r="O4458" s="4"/>
      <c r="P4458" s="3" t="s">
        <v>4968</v>
      </c>
      <c r="Q4458" s="10" t="s">
        <v>4967</v>
      </c>
      <c r="R4458" s="4"/>
      <c r="S4458" s="9" t="str">
        <f>HYPERLINK("https://pbs.twimg.com/profile_images/1025473314167435265/WI7fh6u2.jpg","View")</f>
        <v>View</v>
      </c>
    </row>
    <row r="4459" spans="1:19" ht="30">
      <c r="A4459" s="8">
        <v>43341.073240740741</v>
      </c>
      <c r="B4459" s="11" t="str">
        <f>HYPERLINK("https://twitter.com/AmoliArmin","@AmoliArmin")</f>
        <v>@AmoliArmin</v>
      </c>
      <c r="C4459" s="6" t="s">
        <v>4913</v>
      </c>
      <c r="D4459" s="5" t="s">
        <v>4966</v>
      </c>
      <c r="E4459" s="9" t="str">
        <f>HYPERLINK("https://twitter.com/AmoliArmin/status/1034550052709171201","1034550052709171201")</f>
        <v>1034550052709171201</v>
      </c>
      <c r="F4459" s="4"/>
      <c r="G4459" s="4"/>
      <c r="H4459" s="4"/>
      <c r="I4459" s="10" t="str">
        <f>HYPERLINK("http://twitter.com/download/iphone","Twitter for iPhone")</f>
        <v>Twitter for iPhone</v>
      </c>
      <c r="J4459" s="2">
        <v>8</v>
      </c>
      <c r="K4459" s="2">
        <v>28</v>
      </c>
      <c r="L4459" s="2">
        <v>0</v>
      </c>
      <c r="M4459" s="2"/>
      <c r="N4459" s="8">
        <v>42836.534791666665</v>
      </c>
      <c r="O4459" s="4"/>
      <c r="P4459" s="3"/>
      <c r="Q4459" s="4"/>
      <c r="R4459" s="4"/>
      <c r="S4459" s="9" t="str">
        <f>HYPERLINK("https://pbs.twimg.com/profile_images/942399819972251648/r1e1UT2K.jpg","View")</f>
        <v>View</v>
      </c>
    </row>
    <row r="4460" spans="1:19" ht="30">
      <c r="A4460" s="8">
        <v>43341.073229166665</v>
      </c>
      <c r="B4460" s="11" t="str">
        <f>HYPERLINK("https://twitter.com/mohamadmobin1","@mohamadmobin1")</f>
        <v>@mohamadmobin1</v>
      </c>
      <c r="C4460" s="6" t="s">
        <v>4965</v>
      </c>
      <c r="D4460" s="5" t="s">
        <v>4964</v>
      </c>
      <c r="E4460" s="9" t="str">
        <f>HYPERLINK("https://twitter.com/mohamadmobin1/status/1034550050733608961","1034550050733608961")</f>
        <v>1034550050733608961</v>
      </c>
      <c r="F4460" s="4"/>
      <c r="G4460" s="4"/>
      <c r="H4460" s="4"/>
      <c r="I4460" s="10" t="str">
        <f>HYPERLINK("http://twitter.com/download/android","Twitter for Android")</f>
        <v>Twitter for Android</v>
      </c>
      <c r="J4460" s="2">
        <v>63</v>
      </c>
      <c r="K4460" s="2">
        <v>182</v>
      </c>
      <c r="L4460" s="2">
        <v>1</v>
      </c>
      <c r="M4460" s="2"/>
      <c r="N4460" s="8">
        <v>41554.514861111107</v>
      </c>
      <c r="O4460" s="4"/>
      <c r="P4460" s="3" t="s">
        <v>4963</v>
      </c>
      <c r="Q4460" s="4"/>
      <c r="R4460" s="4"/>
      <c r="S4460" s="9" t="str">
        <f>HYPERLINK("https://pbs.twimg.com/profile_images/995743173879255040/3z8fiUhK.jpg","View")</f>
        <v>View</v>
      </c>
    </row>
    <row r="4461" spans="1:19" ht="30">
      <c r="A4461" s="8">
        <v>43341.072476851856</v>
      </c>
      <c r="B4461" s="11" t="str">
        <f>HYPERLINK("https://twitter.com/reformcreditor","@reformcreditor")</f>
        <v>@reformcreditor</v>
      </c>
      <c r="C4461" s="6" t="s">
        <v>4962</v>
      </c>
      <c r="D4461" s="5" t="s">
        <v>4961</v>
      </c>
      <c r="E4461" s="9" t="str">
        <f>HYPERLINK("https://twitter.com/reformcreditor/status/1034549774932996098","1034549774932996098")</f>
        <v>1034549774932996098</v>
      </c>
      <c r="F4461" s="4" t="s">
        <v>4960</v>
      </c>
      <c r="G4461" s="4"/>
      <c r="H4461" s="4"/>
      <c r="I4461" s="10" t="str">
        <f>HYPERLINK("http://twitter.com/download/android","Twitter for Android")</f>
        <v>Twitter for Android</v>
      </c>
      <c r="J4461" s="2">
        <v>6779</v>
      </c>
      <c r="K4461" s="2">
        <v>3567</v>
      </c>
      <c r="L4461" s="2">
        <v>22</v>
      </c>
      <c r="M4461" s="2"/>
      <c r="N4461" s="8">
        <v>42735.638159722221</v>
      </c>
      <c r="O4461" s="4"/>
      <c r="P4461" s="3" t="s">
        <v>4959</v>
      </c>
      <c r="Q4461" s="10" t="s">
        <v>4958</v>
      </c>
      <c r="R4461" s="4"/>
      <c r="S4461" s="9" t="str">
        <f>HYPERLINK("https://pbs.twimg.com/profile_images/1019559343136624641/3glV5pRm.jpg","View")</f>
        <v>View</v>
      </c>
    </row>
    <row r="4462" spans="1:19" ht="60">
      <c r="A4462" s="8">
        <v>43341.072199074071</v>
      </c>
      <c r="B4462" s="11" t="str">
        <f>HYPERLINK("https://twitter.com/mexdiii","@mexdiii")</f>
        <v>@mexdiii</v>
      </c>
      <c r="C4462" s="6" t="s">
        <v>4957</v>
      </c>
      <c r="D4462" s="5" t="s">
        <v>4956</v>
      </c>
      <c r="E4462" s="9" t="str">
        <f>HYPERLINK("https://twitter.com/mexdiii/status/1034549677943914496","1034549677943914496")</f>
        <v>1034549677943914496</v>
      </c>
      <c r="F4462" s="10" t="s">
        <v>4955</v>
      </c>
      <c r="G4462" s="4"/>
      <c r="H4462" s="4"/>
      <c r="I4462" s="10" t="str">
        <f>HYPERLINK("http://twitter.com/download/android","Twitter for Android")</f>
        <v>Twitter for Android</v>
      </c>
      <c r="J4462" s="2">
        <v>737</v>
      </c>
      <c r="K4462" s="2">
        <v>2994</v>
      </c>
      <c r="L4462" s="2">
        <v>1</v>
      </c>
      <c r="M4462" s="2"/>
      <c r="N4462" s="8">
        <v>39875.817974537036</v>
      </c>
      <c r="O4462" s="4" t="s">
        <v>4954</v>
      </c>
      <c r="P4462" s="3" t="s">
        <v>4953</v>
      </c>
      <c r="Q4462" s="4"/>
      <c r="R4462" s="4"/>
      <c r="S4462" s="9" t="str">
        <f>HYPERLINK("https://pbs.twimg.com/profile_images/948555590216728576/34JWr_Ty.jpg","View")</f>
        <v>View</v>
      </c>
    </row>
    <row r="4463" spans="1:19" ht="40">
      <c r="A4463" s="8">
        <v>43341.072164351848</v>
      </c>
      <c r="B4463" s="11" t="str">
        <f>HYPERLINK("https://twitter.com/Parsakamali7","@Parsakamali7")</f>
        <v>@Parsakamali7</v>
      </c>
      <c r="C4463" s="6" t="s">
        <v>4952</v>
      </c>
      <c r="D4463" s="5" t="s">
        <v>4951</v>
      </c>
      <c r="E4463" s="9" t="str">
        <f>HYPERLINK("https://twitter.com/Parsakamali7/status/1034549662676594689","1034549662676594689")</f>
        <v>1034549662676594689</v>
      </c>
      <c r="F4463" s="4"/>
      <c r="G4463" s="10" t="s">
        <v>4950</v>
      </c>
      <c r="H4463" s="4"/>
      <c r="I4463" s="10" t="str">
        <f>HYPERLINK("http://twitter.com/download/android","Twitter for Android")</f>
        <v>Twitter for Android</v>
      </c>
      <c r="J4463" s="2">
        <v>1158</v>
      </c>
      <c r="K4463" s="2">
        <v>1406</v>
      </c>
      <c r="L4463" s="2">
        <v>0</v>
      </c>
      <c r="M4463" s="2"/>
      <c r="N4463" s="8">
        <v>42965.679768518516</v>
      </c>
      <c r="O4463" s="4" t="s">
        <v>17</v>
      </c>
      <c r="P4463" s="3" t="s">
        <v>4949</v>
      </c>
      <c r="Q4463" s="10" t="s">
        <v>4948</v>
      </c>
      <c r="R4463" s="4"/>
      <c r="S4463" s="9" t="str">
        <f>HYPERLINK("https://pbs.twimg.com/profile_images/998527109860540417/B-Xnm52B.jpg","View")</f>
        <v>View</v>
      </c>
    </row>
    <row r="4464" spans="1:19" ht="30">
      <c r="A4464" s="8">
        <v>43341.071724537032</v>
      </c>
      <c r="B4464" s="11" t="str">
        <f>HYPERLINK("https://twitter.com/jonsnowirani","@jonsnowirani")</f>
        <v>@jonsnowirani</v>
      </c>
      <c r="C4464" s="6" t="s">
        <v>4947</v>
      </c>
      <c r="D4464" s="5" t="s">
        <v>4946</v>
      </c>
      <c r="E4464" s="9" t="str">
        <f>HYPERLINK("https://twitter.com/jonsnowirani/status/1034549503075004416","1034549503075004416")</f>
        <v>1034549503075004416</v>
      </c>
      <c r="F4464" s="4"/>
      <c r="G4464" s="4"/>
      <c r="H4464" s="4"/>
      <c r="I4464" s="10" t="str">
        <f>HYPERLINK("http://twitter.com/download/android","Twitter for Android")</f>
        <v>Twitter for Android</v>
      </c>
      <c r="J4464" s="2">
        <v>561</v>
      </c>
      <c r="K4464" s="2">
        <v>714</v>
      </c>
      <c r="L4464" s="2">
        <v>0</v>
      </c>
      <c r="M4464" s="2"/>
      <c r="N4464" s="8">
        <v>42904.819791666669</v>
      </c>
      <c r="O4464" s="4"/>
      <c r="P4464" s="3" t="s">
        <v>4945</v>
      </c>
      <c r="Q4464" s="4"/>
      <c r="R4464" s="4"/>
      <c r="S4464" s="9" t="str">
        <f>HYPERLINK("https://pbs.twimg.com/profile_images/1033620234014482433/lOhPrMzR.jpg","View")</f>
        <v>View</v>
      </c>
    </row>
    <row r="4465" spans="1:19" ht="30">
      <c r="A4465" s="8">
        <v>43341.071539351848</v>
      </c>
      <c r="B4465" s="11" t="str">
        <f>HYPERLINK("https://twitter.com/__roozbeh_","@__roozbeh_")</f>
        <v>@__roozbeh_</v>
      </c>
      <c r="C4465" s="6" t="s">
        <v>4944</v>
      </c>
      <c r="D4465" s="5" t="s">
        <v>4943</v>
      </c>
      <c r="E4465" s="9" t="str">
        <f>HYPERLINK("https://twitter.com/__roozbeh_/status/1034549436712665088","1034549436712665088")</f>
        <v>1034549436712665088</v>
      </c>
      <c r="F4465" s="4"/>
      <c r="G4465" s="4"/>
      <c r="H4465" s="4"/>
      <c r="I4465" s="10" t="str">
        <f>HYPERLINK("http://twitter.com/download/android","Twitter for Android")</f>
        <v>Twitter for Android</v>
      </c>
      <c r="J4465" s="2">
        <v>15</v>
      </c>
      <c r="K4465" s="2">
        <v>40</v>
      </c>
      <c r="L4465" s="2">
        <v>0</v>
      </c>
      <c r="M4465" s="2"/>
      <c r="N4465" s="8">
        <v>43332.946655092594</v>
      </c>
      <c r="O4465" s="4"/>
      <c r="P4465" s="3" t="s">
        <v>4942</v>
      </c>
      <c r="Q4465" s="4"/>
      <c r="R4465" s="4"/>
      <c r="S4465" s="9" t="str">
        <f>HYPERLINK("https://pbs.twimg.com/profile_images/1031637925254062081/k3dNRYcV.jpg","View")</f>
        <v>View</v>
      </c>
    </row>
    <row r="4466" spans="1:19" ht="30">
      <c r="A4466" s="8">
        <v>43341.070474537039</v>
      </c>
      <c r="B4466" s="11" t="str">
        <f>HYPERLINK("https://twitter.com/ARZ_PUN","@ARZ_PUN")</f>
        <v>@ARZ_PUN</v>
      </c>
      <c r="C4466" s="6" t="s">
        <v>4941</v>
      </c>
      <c r="D4466" s="5" t="s">
        <v>4940</v>
      </c>
      <c r="E4466" s="9" t="str">
        <f>HYPERLINK("https://twitter.com/ARZ_PUN/status/1034549053122469890","1034549053122469890")</f>
        <v>1034549053122469890</v>
      </c>
      <c r="F4466" s="4"/>
      <c r="G4466" s="4"/>
      <c r="H4466" s="4"/>
      <c r="I4466" s="10" t="str">
        <f>HYPERLINK("http://twitter.com","Twitter Web Client")</f>
        <v>Twitter Web Client</v>
      </c>
      <c r="J4466" s="2">
        <v>124</v>
      </c>
      <c r="K4466" s="2">
        <v>111</v>
      </c>
      <c r="L4466" s="2">
        <v>0</v>
      </c>
      <c r="M4466" s="2"/>
      <c r="N4466" s="8">
        <v>42549.121331018519</v>
      </c>
      <c r="O4466" s="4"/>
      <c r="P4466" s="3" t="s">
        <v>4939</v>
      </c>
      <c r="Q4466" s="10" t="s">
        <v>4938</v>
      </c>
      <c r="R4466" s="4"/>
      <c r="S4466" s="9" t="str">
        <f>HYPERLINK("https://pbs.twimg.com/profile_images/911382322519318533/5bEiGXAw.jpg","View")</f>
        <v>View</v>
      </c>
    </row>
    <row r="4467" spans="1:19" ht="20">
      <c r="A4467" s="8">
        <v>43341.069756944446</v>
      </c>
      <c r="B4467" s="11" t="str">
        <f>HYPERLINK("https://twitter.com/mahdialavi88","@mahdialavi88")</f>
        <v>@mahdialavi88</v>
      </c>
      <c r="C4467" s="6" t="s">
        <v>4937</v>
      </c>
      <c r="D4467" s="5" t="s">
        <v>4936</v>
      </c>
      <c r="E4467" s="9" t="str">
        <f>HYPERLINK("https://twitter.com/mahdialavi88/status/1034548791406407680","1034548791406407680")</f>
        <v>1034548791406407680</v>
      </c>
      <c r="F4467" s="4"/>
      <c r="G4467" s="4"/>
      <c r="H4467" s="4"/>
      <c r="I4467" s="10" t="str">
        <f>HYPERLINK("http://twitter.com/download/android","Twitter for Android")</f>
        <v>Twitter for Android</v>
      </c>
      <c r="J4467" s="2">
        <v>182</v>
      </c>
      <c r="K4467" s="2">
        <v>169</v>
      </c>
      <c r="L4467" s="2">
        <v>0</v>
      </c>
      <c r="M4467" s="2"/>
      <c r="N4467" s="8">
        <v>42756.974502314813</v>
      </c>
      <c r="O4467" s="4" t="s">
        <v>4935</v>
      </c>
      <c r="P4467" s="3" t="s">
        <v>4934</v>
      </c>
      <c r="Q4467" s="4"/>
      <c r="R4467" s="4"/>
      <c r="S4467" s="9" t="str">
        <f>HYPERLINK("https://pbs.twimg.com/profile_images/1032345328811470848/Uw_3C65T.jpg","View")</f>
        <v>View</v>
      </c>
    </row>
    <row r="4468" spans="1:19" ht="30">
      <c r="A4468" s="8">
        <v>43341.069270833337</v>
      </c>
      <c r="B4468" s="11" t="str">
        <f>HYPERLINK("https://twitter.com/Lucky_Luke_f","@Lucky_Luke_f")</f>
        <v>@Lucky_Luke_f</v>
      </c>
      <c r="C4468" s="6" t="s">
        <v>4933</v>
      </c>
      <c r="D4468" s="5" t="s">
        <v>4932</v>
      </c>
      <c r="E4468" s="9" t="str">
        <f>HYPERLINK("https://twitter.com/Lucky_Luke_f/status/1034548613534208001","1034548613534208001")</f>
        <v>1034548613534208001</v>
      </c>
      <c r="F4468" s="4"/>
      <c r="G4468" s="4"/>
      <c r="H4468" s="4"/>
      <c r="I4468" s="10" t="str">
        <f>HYPERLINK("http://twitter.com/download/android","Twitter for Android")</f>
        <v>Twitter for Android</v>
      </c>
      <c r="J4468" s="2">
        <v>1351</v>
      </c>
      <c r="K4468" s="2">
        <v>1205</v>
      </c>
      <c r="L4468" s="2">
        <v>0</v>
      </c>
      <c r="M4468" s="2"/>
      <c r="N4468" s="8">
        <v>43111.066504629634</v>
      </c>
      <c r="O4468" s="4" t="s">
        <v>4931</v>
      </c>
      <c r="P4468" s="3" t="s">
        <v>4930</v>
      </c>
      <c r="Q4468" s="4"/>
      <c r="R4468" s="4"/>
      <c r="S4468" s="9" t="str">
        <f>HYPERLINK("https://pbs.twimg.com/profile_images/1021884356363804672/d3YU29l1.jpg","View")</f>
        <v>View</v>
      </c>
    </row>
    <row r="4469" spans="1:19" ht="30">
      <c r="A4469" s="8">
        <v>43341.068784722222</v>
      </c>
      <c r="B4469" s="11" t="str">
        <f>HYPERLINK("https://twitter.com/KsrSkki","@KsrSkki")</f>
        <v>@KsrSkki</v>
      </c>
      <c r="C4469" s="6" t="s">
        <v>4929</v>
      </c>
      <c r="D4469" s="5" t="s">
        <v>4928</v>
      </c>
      <c r="E4469" s="9" t="str">
        <f>HYPERLINK("https://twitter.com/KsrSkki/status/1034548439739236354","1034548439739236354")</f>
        <v>1034548439739236354</v>
      </c>
      <c r="F4469" s="4"/>
      <c r="G4469" s="4"/>
      <c r="H4469" s="4"/>
      <c r="I4469" s="10" t="str">
        <f>HYPERLINK("http://twitter.com/download/iphone","Twitter for iPhone")</f>
        <v>Twitter for iPhone</v>
      </c>
      <c r="J4469" s="2">
        <v>205</v>
      </c>
      <c r="K4469" s="2">
        <v>539</v>
      </c>
      <c r="L4469" s="2">
        <v>0</v>
      </c>
      <c r="M4469" s="2"/>
      <c r="N4469" s="8">
        <v>41327.016909722224</v>
      </c>
      <c r="O4469" s="4" t="s">
        <v>324</v>
      </c>
      <c r="P4469" s="3" t="s">
        <v>4927</v>
      </c>
      <c r="Q4469" s="4"/>
      <c r="R4469" s="4"/>
      <c r="S4469" s="9" t="str">
        <f>HYPERLINK("https://pbs.twimg.com/profile_images/1009458055216599040/PtkUZ25d.jpg","View")</f>
        <v>View</v>
      </c>
    </row>
    <row r="4470" spans="1:19" ht="20">
      <c r="A4470" s="8">
        <v>43341.068379629629</v>
      </c>
      <c r="B4470" s="11" t="str">
        <f>HYPERLINK("https://twitter.com/Yarr313","@Yarr313")</f>
        <v>@Yarr313</v>
      </c>
      <c r="C4470" s="6" t="s">
        <v>4926</v>
      </c>
      <c r="D4470" s="5" t="s">
        <v>714</v>
      </c>
      <c r="E4470" s="9" t="str">
        <f>HYPERLINK("https://twitter.com/Yarr313/status/1034548291135041536","1034548291135041536")</f>
        <v>1034548291135041536</v>
      </c>
      <c r="F4470" s="4"/>
      <c r="G4470" s="4"/>
      <c r="H4470" s="4"/>
      <c r="I4470" s="10" t="str">
        <f>HYPERLINK("http://twitter.com/download/android","Twitter for Android")</f>
        <v>Twitter for Android</v>
      </c>
      <c r="J4470" s="2">
        <v>253</v>
      </c>
      <c r="K4470" s="2">
        <v>265</v>
      </c>
      <c r="L4470" s="2">
        <v>0</v>
      </c>
      <c r="M4470" s="2"/>
      <c r="N4470" s="8">
        <v>43314.014918981484</v>
      </c>
      <c r="O4470" s="4" t="s">
        <v>4925</v>
      </c>
      <c r="P4470" s="3" t="s">
        <v>4924</v>
      </c>
      <c r="Q4470" s="4"/>
      <c r="R4470" s="4"/>
      <c r="S4470" s="9" t="str">
        <f>HYPERLINK("https://pbs.twimg.com/profile_images/1024747079225286656/6wqXLnfo.jpg","View")</f>
        <v>View</v>
      </c>
    </row>
    <row r="4471" spans="1:19" ht="40">
      <c r="A4471" s="8">
        <v>43341.066064814819</v>
      </c>
      <c r="B4471" s="11" t="str">
        <f>HYPERLINK("https://twitter.com/sadegh_35","@sadegh_35")</f>
        <v>@sadegh_35</v>
      </c>
      <c r="C4471" s="6" t="s">
        <v>4923</v>
      </c>
      <c r="D4471" s="5" t="s">
        <v>4922</v>
      </c>
      <c r="E4471" s="9" t="str">
        <f>HYPERLINK("https://twitter.com/sadegh_35/status/1034547454765658112","1034547454765658112")</f>
        <v>1034547454765658112</v>
      </c>
      <c r="F4471" s="4"/>
      <c r="G4471" s="4"/>
      <c r="H4471" s="4"/>
      <c r="I4471" s="10" t="str">
        <f>HYPERLINK("http://twitter.com/download/android","Twitter for Android")</f>
        <v>Twitter for Android</v>
      </c>
      <c r="J4471" s="2">
        <v>1144</v>
      </c>
      <c r="K4471" s="2">
        <v>1701</v>
      </c>
      <c r="L4471" s="2">
        <v>1</v>
      </c>
      <c r="M4471" s="2"/>
      <c r="N4471" s="8">
        <v>42949.982986111107</v>
      </c>
      <c r="O4471" s="4" t="s">
        <v>17</v>
      </c>
      <c r="P4471" s="3" t="s">
        <v>4921</v>
      </c>
      <c r="Q4471" s="4"/>
      <c r="R4471" s="4"/>
      <c r="S4471" s="9" t="str">
        <f>HYPERLINK("https://pbs.twimg.com/profile_images/933817147364691970/9YcnoS7X.jpg","View")</f>
        <v>View</v>
      </c>
    </row>
    <row r="4472" spans="1:19" ht="40">
      <c r="A4472" s="8">
        <v>43341.065833333334</v>
      </c>
      <c r="B4472" s="11" t="str">
        <f>HYPERLINK("https://twitter.com/MiladRahmati7","@MiladRahmati7")</f>
        <v>@MiladRahmati7</v>
      </c>
      <c r="C4472" s="6" t="s">
        <v>4920</v>
      </c>
      <c r="D4472" s="5" t="s">
        <v>4919</v>
      </c>
      <c r="E4472" s="9" t="str">
        <f>HYPERLINK("https://twitter.com/MiladRahmati7/status/1034547367725473796","1034547367725473796")</f>
        <v>1034547367725473796</v>
      </c>
      <c r="F4472" s="4"/>
      <c r="G4472" s="4"/>
      <c r="H4472" s="4"/>
      <c r="I4472" s="10" t="str">
        <f>HYPERLINK("http://twitter.com/download/android","Twitter for Android")</f>
        <v>Twitter for Android</v>
      </c>
      <c r="J4472" s="2">
        <v>4</v>
      </c>
      <c r="K4472" s="2">
        <v>109</v>
      </c>
      <c r="L4472" s="2">
        <v>0</v>
      </c>
      <c r="M4472" s="2"/>
      <c r="N4472" s="8">
        <v>43219.181481481486</v>
      </c>
      <c r="O4472" s="4" t="s">
        <v>34</v>
      </c>
      <c r="P4472" s="3" t="s">
        <v>4918</v>
      </c>
      <c r="Q4472" s="4"/>
      <c r="R4472" s="4"/>
      <c r="S4472" s="9" t="str">
        <f>HYPERLINK("https://pbs.twimg.com/profile_images/990380325212708864/VNQ0s6rE.jpg","View")</f>
        <v>View</v>
      </c>
    </row>
    <row r="4473" spans="1:19" ht="30">
      <c r="A4473" s="8">
        <v>43341.065486111111</v>
      </c>
      <c r="B4473" s="11" t="str">
        <f>HYPERLINK("https://twitter.com/dokhtaraak69","@dokhtaraak69")</f>
        <v>@dokhtaraak69</v>
      </c>
      <c r="C4473" s="6" t="s">
        <v>4917</v>
      </c>
      <c r="D4473" s="5" t="s">
        <v>4916</v>
      </c>
      <c r="E4473" s="9" t="str">
        <f>HYPERLINK("https://twitter.com/dokhtaraak69/status/1034547244891029504","1034547244891029504")</f>
        <v>1034547244891029504</v>
      </c>
      <c r="F4473" s="4"/>
      <c r="G4473" s="4"/>
      <c r="H4473" s="4"/>
      <c r="I4473" s="10" t="str">
        <f>HYPERLINK("http://twitter.com/download/iphone","Twitter for iPhone")</f>
        <v>Twitter for iPhone</v>
      </c>
      <c r="J4473" s="2">
        <v>422</v>
      </c>
      <c r="K4473" s="2">
        <v>277</v>
      </c>
      <c r="L4473" s="2">
        <v>0</v>
      </c>
      <c r="M4473" s="2"/>
      <c r="N4473" s="8">
        <v>43338.116238425922</v>
      </c>
      <c r="O4473" s="4" t="s">
        <v>4915</v>
      </c>
      <c r="P4473" s="3" t="s">
        <v>4914</v>
      </c>
      <c r="Q4473" s="4"/>
      <c r="R4473" s="4"/>
      <c r="S4473" s="9" t="str">
        <f>HYPERLINK("https://pbs.twimg.com/profile_images/1034543713115103234/DGZrlHfR.jpg","View")</f>
        <v>View</v>
      </c>
    </row>
    <row r="4474" spans="1:19" ht="20">
      <c r="A4474" s="8">
        <v>43341.06450231481</v>
      </c>
      <c r="B4474" s="11" t="str">
        <f>HYPERLINK("https://twitter.com/AmoliArmin","@AmoliArmin")</f>
        <v>@AmoliArmin</v>
      </c>
      <c r="C4474" s="6" t="s">
        <v>4913</v>
      </c>
      <c r="D4474" s="5" t="s">
        <v>4912</v>
      </c>
      <c r="E4474" s="9" t="str">
        <f>HYPERLINK("https://twitter.com/AmoliArmin/status/1034546885590233089","1034546885590233089")</f>
        <v>1034546885590233089</v>
      </c>
      <c r="F4474" s="4"/>
      <c r="G4474" s="4"/>
      <c r="H4474" s="4"/>
      <c r="I4474" s="10" t="str">
        <f>HYPERLINK("http://twitter.com/download/iphone","Twitter for iPhone")</f>
        <v>Twitter for iPhone</v>
      </c>
      <c r="J4474" s="2">
        <v>8</v>
      </c>
      <c r="K4474" s="2">
        <v>28</v>
      </c>
      <c r="L4474" s="2">
        <v>0</v>
      </c>
      <c r="M4474" s="2"/>
      <c r="N4474" s="8">
        <v>42836.534791666665</v>
      </c>
      <c r="O4474" s="4"/>
      <c r="P4474" s="3"/>
      <c r="Q4474" s="4"/>
      <c r="R4474" s="4"/>
      <c r="S4474" s="9" t="str">
        <f>HYPERLINK("https://pbs.twimg.com/profile_images/942399819972251648/r1e1UT2K.jpg","View")</f>
        <v>View</v>
      </c>
    </row>
    <row r="4475" spans="1:19" ht="40">
      <c r="A4475" s="8">
        <v>43341.064479166671</v>
      </c>
      <c r="B4475" s="11" t="str">
        <f>HYPERLINK("https://twitter.com/Mrhashemiaj","@Mrhashemiaj")</f>
        <v>@Mrhashemiaj</v>
      </c>
      <c r="C4475" s="6" t="s">
        <v>4911</v>
      </c>
      <c r="D4475" s="5" t="s">
        <v>4910</v>
      </c>
      <c r="E4475" s="9" t="str">
        <f>HYPERLINK("https://twitter.com/Mrhashemiaj/status/1034546878690537472","1034546878690537472")</f>
        <v>1034546878690537472</v>
      </c>
      <c r="F4475" s="4"/>
      <c r="G4475" s="10" t="s">
        <v>4909</v>
      </c>
      <c r="H4475" s="4"/>
      <c r="I4475" s="10" t="str">
        <f>HYPERLINK("http://twitter.com/download/iphone","Twitter for iPhone")</f>
        <v>Twitter for iPhone</v>
      </c>
      <c r="J4475" s="2">
        <v>489</v>
      </c>
      <c r="K4475" s="2">
        <v>308</v>
      </c>
      <c r="L4475" s="2">
        <v>3</v>
      </c>
      <c r="M4475" s="2"/>
      <c r="N4475" s="8">
        <v>42787.385393518518</v>
      </c>
      <c r="O4475" s="4" t="s">
        <v>34</v>
      </c>
      <c r="P4475" s="3" t="s">
        <v>4908</v>
      </c>
      <c r="Q4475" s="4"/>
      <c r="R4475" s="4"/>
      <c r="S4475" s="9" t="str">
        <f>HYPERLINK("https://pbs.twimg.com/profile_images/1030852476076007424/KBxcReFx.jpg","View")</f>
        <v>View</v>
      </c>
    </row>
    <row r="4476" spans="1:19" ht="60">
      <c r="A4476" s="8">
        <v>43341.064421296294</v>
      </c>
      <c r="B4476" s="11" t="str">
        <f>HYPERLINK("https://twitter.com/mahdiayat","@mahdiayat")</f>
        <v>@mahdiayat</v>
      </c>
      <c r="C4476" s="6" t="s">
        <v>4907</v>
      </c>
      <c r="D4476" s="5" t="s">
        <v>4906</v>
      </c>
      <c r="E4476" s="9" t="str">
        <f>HYPERLINK("https://twitter.com/mahdiayat/status/1034546857735643136","1034546857735643136")</f>
        <v>1034546857735643136</v>
      </c>
      <c r="F4476" s="10" t="s">
        <v>3783</v>
      </c>
      <c r="G4476" s="10" t="s">
        <v>3509</v>
      </c>
      <c r="H4476" s="4"/>
      <c r="I4476" s="10" t="str">
        <f>HYPERLINK("http://twitter.com/#!/download/ipad","Twitter for iPad")</f>
        <v>Twitter for iPad</v>
      </c>
      <c r="J4476" s="2">
        <v>223</v>
      </c>
      <c r="K4476" s="2">
        <v>950</v>
      </c>
      <c r="L4476" s="2">
        <v>3</v>
      </c>
      <c r="M4476" s="2"/>
      <c r="N4476" s="8">
        <v>39793.538819444446</v>
      </c>
      <c r="O4476" s="4" t="s">
        <v>4905</v>
      </c>
      <c r="P4476" s="3" t="s">
        <v>4904</v>
      </c>
      <c r="Q4476" s="4"/>
      <c r="R4476" s="4"/>
      <c r="S4476" s="9" t="str">
        <f>HYPERLINK("https://pbs.twimg.com/profile_images/997401220024221696/b6kS9tmF.jpg","View")</f>
        <v>View</v>
      </c>
    </row>
    <row r="4477" spans="1:19" ht="40">
      <c r="A4477" s="8">
        <v>43341.064409722225</v>
      </c>
      <c r="B4477" s="11" t="str">
        <f>HYPERLINK("https://twitter.com/Reza_rahmanipur","@Reza_rahmanipur")</f>
        <v>@Reza_rahmanipur</v>
      </c>
      <c r="C4477" s="6" t="s">
        <v>4903</v>
      </c>
      <c r="D4477" s="5" t="s">
        <v>4902</v>
      </c>
      <c r="E4477" s="9" t="str">
        <f>HYPERLINK("https://twitter.com/Reza_rahmanipur/status/1034546854636216325","1034546854636216325")</f>
        <v>1034546854636216325</v>
      </c>
      <c r="F4477" s="4"/>
      <c r="G4477" s="4"/>
      <c r="H4477" s="4"/>
      <c r="I4477" s="10" t="str">
        <f>HYPERLINK("http://twitter.com","Twitter Web Client")</f>
        <v>Twitter Web Client</v>
      </c>
      <c r="J4477" s="2">
        <v>69</v>
      </c>
      <c r="K4477" s="2">
        <v>184</v>
      </c>
      <c r="L4477" s="2">
        <v>0</v>
      </c>
      <c r="M4477" s="2"/>
      <c r="N4477" s="8">
        <v>41551.864768518521</v>
      </c>
      <c r="O4477" s="4"/>
      <c r="P4477" s="3" t="s">
        <v>4901</v>
      </c>
      <c r="Q4477" s="4"/>
      <c r="R4477" s="4"/>
      <c r="S4477" s="9" t="str">
        <f>HYPERLINK("https://pbs.twimg.com/profile_images/913139913297711104/1NTqrSbD.jpg","View")</f>
        <v>View</v>
      </c>
    </row>
    <row r="4478" spans="1:19" ht="30">
      <c r="A4478" s="8">
        <v>43341.063379629632</v>
      </c>
      <c r="B4478" s="11" t="str">
        <f>HYPERLINK("https://twitter.com/khanoomak","@khanoomak")</f>
        <v>@khanoomak</v>
      </c>
      <c r="C4478" s="6" t="s">
        <v>4809</v>
      </c>
      <c r="D4478" s="5" t="s">
        <v>4900</v>
      </c>
      <c r="E4478" s="9" t="str">
        <f>HYPERLINK("https://twitter.com/khanoomak/status/1034546480445628417","1034546480445628417")</f>
        <v>1034546480445628417</v>
      </c>
      <c r="F4478" s="4"/>
      <c r="G4478" s="4"/>
      <c r="H4478" s="4"/>
      <c r="I4478" s="10" t="str">
        <f>HYPERLINK("http://twitter.com/download/android","Twitter for Android")</f>
        <v>Twitter for Android</v>
      </c>
      <c r="J4478" s="2">
        <v>2110</v>
      </c>
      <c r="K4478" s="2">
        <v>2282</v>
      </c>
      <c r="L4478" s="2">
        <v>6</v>
      </c>
      <c r="M4478" s="2"/>
      <c r="N4478" s="8">
        <v>43163.954016203701</v>
      </c>
      <c r="O4478" s="4" t="s">
        <v>104</v>
      </c>
      <c r="P4478" s="3" t="s">
        <v>4807</v>
      </c>
      <c r="Q4478" s="10" t="s">
        <v>4806</v>
      </c>
      <c r="R4478" s="4"/>
      <c r="S4478" s="9" t="str">
        <f>HYPERLINK("https://pbs.twimg.com/profile_images/1031056671659970560/P44OYWJd.jpg","View")</f>
        <v>View</v>
      </c>
    </row>
    <row r="4479" spans="1:19" ht="40">
      <c r="A4479" s="8">
        <v>43341.063275462962</v>
      </c>
      <c r="B4479" s="11" t="str">
        <f>HYPERLINK("https://twitter.com/mrahimi33","@mrahimi33")</f>
        <v>@mrahimi33</v>
      </c>
      <c r="C4479" s="6" t="s">
        <v>4899</v>
      </c>
      <c r="D4479" s="5" t="s">
        <v>4898</v>
      </c>
      <c r="E4479" s="9" t="str">
        <f>HYPERLINK("https://twitter.com/mrahimi33/status/1034546442931724288","1034546442931724288")</f>
        <v>1034546442931724288</v>
      </c>
      <c r="F4479" s="4"/>
      <c r="G4479" s="4"/>
      <c r="H4479" s="4"/>
      <c r="I4479" s="10" t="str">
        <f>HYPERLINK("http://twitter.com/download/android","Twitter for Android")</f>
        <v>Twitter for Android</v>
      </c>
      <c r="J4479" s="2">
        <v>632</v>
      </c>
      <c r="K4479" s="2">
        <v>1198</v>
      </c>
      <c r="L4479" s="2">
        <v>1</v>
      </c>
      <c r="M4479" s="2"/>
      <c r="N4479" s="8">
        <v>43261.111782407403</v>
      </c>
      <c r="O4479" s="4"/>
      <c r="P4479" s="3" t="s">
        <v>4897</v>
      </c>
      <c r="Q4479" s="4"/>
      <c r="R4479" s="4"/>
      <c r="S4479" s="9" t="str">
        <f>HYPERLINK("https://pbs.twimg.com/profile_images/1031247217057849345/_KJDt-IF.jpg","View")</f>
        <v>View</v>
      </c>
    </row>
    <row r="4480" spans="1:19" ht="20">
      <c r="A4480" s="8">
        <v>43341.063263888893</v>
      </c>
      <c r="B4480" s="11" t="str">
        <f>HYPERLINK("https://twitter.com/hesaminho","@hesaminho")</f>
        <v>@hesaminho</v>
      </c>
      <c r="C4480" s="6" t="s">
        <v>4896</v>
      </c>
      <c r="D4480" s="5" t="s">
        <v>4895</v>
      </c>
      <c r="E4480" s="9" t="str">
        <f>HYPERLINK("https://twitter.com/hesaminho/status/1034546437172981766","1034546437172981766")</f>
        <v>1034546437172981766</v>
      </c>
      <c r="F4480" s="4"/>
      <c r="G4480" s="4"/>
      <c r="H4480" s="4"/>
      <c r="I4480" s="10" t="str">
        <f>HYPERLINK("http://twitter.com/download/android","Twitter for Android")</f>
        <v>Twitter for Android</v>
      </c>
      <c r="J4480" s="2">
        <v>659</v>
      </c>
      <c r="K4480" s="2">
        <v>655</v>
      </c>
      <c r="L4480" s="2">
        <v>1</v>
      </c>
      <c r="M4480" s="2"/>
      <c r="N4480" s="8">
        <v>42881.748599537037</v>
      </c>
      <c r="O4480" s="4" t="s">
        <v>104</v>
      </c>
      <c r="P4480" s="3" t="s">
        <v>4894</v>
      </c>
      <c r="Q4480" s="4"/>
      <c r="R4480" s="4"/>
      <c r="S4480" s="9" t="str">
        <f>HYPERLINK("https://pbs.twimg.com/profile_images/1034546537341353985/nXSmIUxn.jpg","View")</f>
        <v>View</v>
      </c>
    </row>
    <row r="4481" spans="1:19" ht="30">
      <c r="A4481" s="8">
        <v>43341.062453703707</v>
      </c>
      <c r="B4481" s="11" t="str">
        <f>HYPERLINK("https://twitter.com/Mozneb_ir","@Mozneb_ir")</f>
        <v>@Mozneb_ir</v>
      </c>
      <c r="C4481" s="6" t="s">
        <v>4893</v>
      </c>
      <c r="D4481" s="5" t="s">
        <v>4892</v>
      </c>
      <c r="E4481" s="9" t="str">
        <f>HYPERLINK("https://twitter.com/Mozneb_ir/status/1034546144356052992","1034546144356052992")</f>
        <v>1034546144356052992</v>
      </c>
      <c r="F4481" s="4"/>
      <c r="G4481" s="10" t="s">
        <v>4891</v>
      </c>
      <c r="H4481" s="4"/>
      <c r="I4481" s="10" t="str">
        <f>HYPERLINK("http://twitter.com/download/android","Twitter for Android")</f>
        <v>Twitter for Android</v>
      </c>
      <c r="J4481" s="2">
        <v>178</v>
      </c>
      <c r="K4481" s="2">
        <v>124</v>
      </c>
      <c r="L4481" s="2">
        <v>5</v>
      </c>
      <c r="M4481" s="2"/>
      <c r="N4481" s="8">
        <v>42906.030081018514</v>
      </c>
      <c r="O4481" s="4" t="s">
        <v>310</v>
      </c>
      <c r="P4481" s="3" t="s">
        <v>4890</v>
      </c>
      <c r="Q4481" s="4"/>
      <c r="R4481" s="4"/>
      <c r="S4481" s="9" t="str">
        <f>HYPERLINK("https://pbs.twimg.com/profile_images/879086781534277633/gDfQPhGO.jpg","View")</f>
        <v>View</v>
      </c>
    </row>
    <row r="4482" spans="1:19" ht="40">
      <c r="A4482" s="8">
        <v>43341.062256944446</v>
      </c>
      <c r="B4482" s="11" t="str">
        <f>HYPERLINK("https://twitter.com/fati_d1996","@fati_d1996")</f>
        <v>@fati_d1996</v>
      </c>
      <c r="C4482" s="6" t="s">
        <v>3155</v>
      </c>
      <c r="D4482" s="5" t="s">
        <v>4889</v>
      </c>
      <c r="E4482" s="9" t="str">
        <f>HYPERLINK("https://twitter.com/fati_d1996/status/1034546074554327040","1034546074554327040")</f>
        <v>1034546074554327040</v>
      </c>
      <c r="F4482" s="4"/>
      <c r="G4482" s="4"/>
      <c r="H4482" s="4"/>
      <c r="I4482" s="10" t="str">
        <f>HYPERLINK("http://twitter.com/download/iphone","Twitter for iPhone")</f>
        <v>Twitter for iPhone</v>
      </c>
      <c r="J4482" s="2">
        <v>179</v>
      </c>
      <c r="K4482" s="2">
        <v>22</v>
      </c>
      <c r="L4482" s="2">
        <v>0</v>
      </c>
      <c r="M4482" s="2"/>
      <c r="N4482" s="8">
        <v>43097.738645833335</v>
      </c>
      <c r="O4482" s="4" t="s">
        <v>3153</v>
      </c>
      <c r="P4482" s="3" t="s">
        <v>3152</v>
      </c>
      <c r="Q4482" s="4"/>
      <c r="R4482" s="4"/>
      <c r="S4482" s="9" t="str">
        <f>HYPERLINK("https://pbs.twimg.com/profile_images/989507183611187200/vrapHuPH.jpg","View")</f>
        <v>View</v>
      </c>
    </row>
    <row r="4483" spans="1:19" ht="30">
      <c r="A4483" s="8">
        <v>43341.062002314815</v>
      </c>
      <c r="B4483" s="11" t="str">
        <f>HYPERLINK("https://twitter.com/mesbah_313","@mesbah_313")</f>
        <v>@mesbah_313</v>
      </c>
      <c r="C4483" s="6" t="s">
        <v>4888</v>
      </c>
      <c r="D4483" s="5" t="s">
        <v>4887</v>
      </c>
      <c r="E4483" s="9" t="str">
        <f>HYPERLINK("https://twitter.com/mesbah_313/status/1034545980295659520","1034545980295659520")</f>
        <v>1034545980295659520</v>
      </c>
      <c r="F4483" s="4"/>
      <c r="G4483" s="4"/>
      <c r="H4483" s="4"/>
      <c r="I4483" s="10" t="str">
        <f>HYPERLINK("http://twitter.com","Twitter Web Client")</f>
        <v>Twitter Web Client</v>
      </c>
      <c r="J4483" s="2">
        <v>271</v>
      </c>
      <c r="K4483" s="2">
        <v>424</v>
      </c>
      <c r="L4483" s="2">
        <v>0</v>
      </c>
      <c r="M4483" s="2"/>
      <c r="N4483" s="8">
        <v>42920.801122685181</v>
      </c>
      <c r="O4483" s="4"/>
      <c r="P4483" s="3"/>
      <c r="Q4483" s="4"/>
      <c r="R4483" s="4"/>
      <c r="S4483" s="9" t="str">
        <f>HYPERLINK("https://pbs.twimg.com/profile_images/1012656725038518272/TJADztEB.jpg","View")</f>
        <v>View</v>
      </c>
    </row>
    <row r="4484" spans="1:19" ht="50">
      <c r="A4484" s="8">
        <v>43341.061932870369</v>
      </c>
      <c r="B4484" s="11" t="str">
        <f>HYPERLINK("https://twitter.com/mohamadsalimi69","@mohamadsalimi69")</f>
        <v>@mohamadsalimi69</v>
      </c>
      <c r="C4484" s="6" t="s">
        <v>2858</v>
      </c>
      <c r="D4484" s="5" t="s">
        <v>4886</v>
      </c>
      <c r="E4484" s="9" t="str">
        <f>HYPERLINK("https://twitter.com/mohamadsalimi69/status/1034545954089783297","1034545954089783297")</f>
        <v>1034545954089783297</v>
      </c>
      <c r="F4484" s="4"/>
      <c r="G4484" s="4"/>
      <c r="H4484" s="4"/>
      <c r="I4484" s="10" t="str">
        <f>HYPERLINK("http://twitter.com/download/android","Twitter for Android")</f>
        <v>Twitter for Android</v>
      </c>
      <c r="J4484" s="2">
        <v>252</v>
      </c>
      <c r="K4484" s="2">
        <v>218</v>
      </c>
      <c r="L4484" s="2">
        <v>0</v>
      </c>
      <c r="M4484" s="2"/>
      <c r="N4484" s="8">
        <v>42471.547812500001</v>
      </c>
      <c r="O4484" s="4"/>
      <c r="P4484" s="3" t="s">
        <v>2855</v>
      </c>
      <c r="Q4484" s="4"/>
      <c r="R4484" s="4"/>
      <c r="S4484" s="9" t="str">
        <f>HYPERLINK("https://pbs.twimg.com/profile_images/1011262089216823296/oKIeknpo.jpg","View")</f>
        <v>View</v>
      </c>
    </row>
    <row r="4485" spans="1:19" ht="40">
      <c r="A4485" s="8">
        <v>43341.059965277775</v>
      </c>
      <c r="B4485" s="11" t="str">
        <f>HYPERLINK("https://twitter.com/vali_e_faghih","@vali_e_faghih")</f>
        <v>@vali_e_faghih</v>
      </c>
      <c r="C4485" s="6" t="s">
        <v>4885</v>
      </c>
      <c r="D4485" s="5" t="s">
        <v>4884</v>
      </c>
      <c r="E4485" s="9" t="str">
        <f>HYPERLINK("https://twitter.com/vali_e_faghih/status/1034545242467385344","1034545242467385344")</f>
        <v>1034545242467385344</v>
      </c>
      <c r="F4485" s="4"/>
      <c r="G4485" s="10" t="s">
        <v>4883</v>
      </c>
      <c r="H4485" s="4"/>
      <c r="I4485" s="10" t="str">
        <f>HYPERLINK("http://twitter.com/download/android","Twitter for Android")</f>
        <v>Twitter for Android</v>
      </c>
      <c r="J4485" s="2">
        <v>339</v>
      </c>
      <c r="K4485" s="2">
        <v>16</v>
      </c>
      <c r="L4485" s="2">
        <v>1</v>
      </c>
      <c r="M4485" s="2"/>
      <c r="N4485" s="8">
        <v>43217.494050925925</v>
      </c>
      <c r="O4485" s="4" t="s">
        <v>4882</v>
      </c>
      <c r="P4485" s="3" t="s">
        <v>4881</v>
      </c>
      <c r="Q4485" s="4"/>
      <c r="R4485" s="4"/>
      <c r="S4485" s="9" t="str">
        <f>HYPERLINK("https://pbs.twimg.com/profile_images/989788188255322112/AYTo48LJ.jpg","View")</f>
        <v>View</v>
      </c>
    </row>
    <row r="4486" spans="1:19" ht="30">
      <c r="A4486" s="8">
        <v>43341.059710648144</v>
      </c>
      <c r="B4486" s="11" t="str">
        <f>HYPERLINK("https://twitter.com/bazyareqbal","@bazyareqbal")</f>
        <v>@bazyareqbal</v>
      </c>
      <c r="C4486" s="6" t="s">
        <v>4880</v>
      </c>
      <c r="D4486" s="5" t="s">
        <v>4879</v>
      </c>
      <c r="E4486" s="9" t="str">
        <f>HYPERLINK("https://twitter.com/bazyareqbal/status/1034545152449277953","1034545152449277953")</f>
        <v>1034545152449277953</v>
      </c>
      <c r="F4486" s="4"/>
      <c r="G4486" s="4"/>
      <c r="H4486" s="4"/>
      <c r="I4486" s="10" t="str">
        <f>HYPERLINK("http://twitter.com/download/android","Twitter for Android")</f>
        <v>Twitter for Android</v>
      </c>
      <c r="J4486" s="2">
        <v>208</v>
      </c>
      <c r="K4486" s="2">
        <v>101</v>
      </c>
      <c r="L4486" s="2">
        <v>0</v>
      </c>
      <c r="M4486" s="2"/>
      <c r="N4486" s="8">
        <v>42851.759120370371</v>
      </c>
      <c r="O4486" s="4" t="s">
        <v>104</v>
      </c>
      <c r="P4486" s="3" t="s">
        <v>4878</v>
      </c>
      <c r="Q4486" s="10" t="s">
        <v>4877</v>
      </c>
      <c r="R4486" s="4"/>
      <c r="S4486" s="9" t="str">
        <f>HYPERLINK("https://pbs.twimg.com/profile_images/1028030547262664706/gd-U_N5Z.jpg","View")</f>
        <v>View</v>
      </c>
    </row>
    <row r="4487" spans="1:19" ht="12.5">
      <c r="A4487" s="8">
        <v>43341.059421296297</v>
      </c>
      <c r="B4487" s="11" t="str">
        <f>HYPERLINK("https://twitter.com/TweetEhsan","@TweetEhsan")</f>
        <v>@TweetEhsan</v>
      </c>
      <c r="C4487" s="6" t="s">
        <v>2774</v>
      </c>
      <c r="D4487" s="5" t="s">
        <v>4876</v>
      </c>
      <c r="E4487" s="9" t="str">
        <f>HYPERLINK("https://twitter.com/TweetEhsan/status/1034545047193022465","1034545047193022465")</f>
        <v>1034545047193022465</v>
      </c>
      <c r="F4487" s="4"/>
      <c r="G4487" s="10" t="s">
        <v>4875</v>
      </c>
      <c r="H4487" s="4"/>
      <c r="I4487" s="10" t="str">
        <f>HYPERLINK("http://twitter.com/download/iphone","Twitter for iPhone")</f>
        <v>Twitter for iPhone</v>
      </c>
      <c r="J4487" s="2">
        <v>918</v>
      </c>
      <c r="K4487" s="2">
        <v>883</v>
      </c>
      <c r="L4487" s="2">
        <v>2</v>
      </c>
      <c r="M4487" s="2"/>
      <c r="N4487" s="8">
        <v>41604.231064814812</v>
      </c>
      <c r="O4487" s="4" t="s">
        <v>2772</v>
      </c>
      <c r="P4487" s="3" t="s">
        <v>2771</v>
      </c>
      <c r="Q4487" s="4"/>
      <c r="R4487" s="4"/>
      <c r="S4487" s="9" t="str">
        <f>HYPERLINK("https://pbs.twimg.com/profile_images/1028138739673907200/LB3Tk2ve.jpg","View")</f>
        <v>View</v>
      </c>
    </row>
    <row r="4488" spans="1:19" ht="30">
      <c r="A4488" s="8">
        <v>43341.058321759258</v>
      </c>
      <c r="B4488" s="11" t="str">
        <f>HYPERLINK("https://twitter.com/MostafaPirhaya3","@MostafaPirhaya3")</f>
        <v>@MostafaPirhaya3</v>
      </c>
      <c r="C4488" s="6" t="s">
        <v>4874</v>
      </c>
      <c r="D4488" s="5" t="s">
        <v>4873</v>
      </c>
      <c r="E4488" s="9" t="str">
        <f>HYPERLINK("https://twitter.com/MostafaPirhaya3/status/1034544649212518400","1034544649212518400")</f>
        <v>1034544649212518400</v>
      </c>
      <c r="F4488" s="4"/>
      <c r="G4488" s="10" t="s">
        <v>4872</v>
      </c>
      <c r="H4488" s="4"/>
      <c r="I4488" s="10" t="str">
        <f>HYPERLINK("http://twitter.com/download/android","Twitter for Android")</f>
        <v>Twitter for Android</v>
      </c>
      <c r="J4488" s="2">
        <v>47</v>
      </c>
      <c r="K4488" s="2">
        <v>88</v>
      </c>
      <c r="L4488" s="2">
        <v>0</v>
      </c>
      <c r="M4488" s="2"/>
      <c r="N4488" s="8">
        <v>43288.989895833336</v>
      </c>
      <c r="O4488" s="4"/>
      <c r="P4488" s="3" t="s">
        <v>4871</v>
      </c>
      <c r="Q4488" s="4"/>
      <c r="R4488" s="4"/>
      <c r="S4488" s="9" t="str">
        <f>HYPERLINK("https://pbs.twimg.com/profile_images/1015679496366841858/uAUBkVhj.jpg","View")</f>
        <v>View</v>
      </c>
    </row>
    <row r="4489" spans="1:19" ht="20">
      <c r="A4489" s="8">
        <v>43341.057881944449</v>
      </c>
      <c r="B4489" s="11" t="str">
        <f>HYPERLINK("https://twitter.com/bcheshmroon","@bcheshmroon")</f>
        <v>@bcheshmroon</v>
      </c>
      <c r="C4489" s="6" t="s">
        <v>4870</v>
      </c>
      <c r="D4489" s="5" t="s">
        <v>4869</v>
      </c>
      <c r="E4489" s="9" t="str">
        <f>HYPERLINK("https://twitter.com/bcheshmroon/status/1034544489636024321","1034544489636024321")</f>
        <v>1034544489636024321</v>
      </c>
      <c r="F4489" s="4"/>
      <c r="G4489" s="4"/>
      <c r="H4489" s="4"/>
      <c r="I4489" s="10" t="str">
        <f>HYPERLINK("http://twitter.com/download/iphone","Twitter for iPhone")</f>
        <v>Twitter for iPhone</v>
      </c>
      <c r="J4489" s="2">
        <v>32</v>
      </c>
      <c r="K4489" s="2">
        <v>94</v>
      </c>
      <c r="L4489" s="2">
        <v>0</v>
      </c>
      <c r="M4489" s="2"/>
      <c r="N4489" s="8">
        <v>42859.75644675926</v>
      </c>
      <c r="O4489" s="4" t="s">
        <v>4868</v>
      </c>
      <c r="P4489" s="3" t="s">
        <v>4867</v>
      </c>
      <c r="Q4489" s="4"/>
      <c r="R4489" s="4"/>
      <c r="S4489" s="9" t="str">
        <f>HYPERLINK("https://pbs.twimg.com/profile_images/1016321662273425409/Q9HRusWw.jpg","View")</f>
        <v>View</v>
      </c>
    </row>
    <row r="4490" spans="1:19" ht="40">
      <c r="A4490" s="8">
        <v>43341.05768518518</v>
      </c>
      <c r="B4490" s="11" t="str">
        <f>HYPERLINK("https://twitter.com/mehranghavidel2","@mehranghavidel2")</f>
        <v>@mehranghavidel2</v>
      </c>
      <c r="C4490" s="6" t="s">
        <v>4866</v>
      </c>
      <c r="D4490" s="5" t="s">
        <v>4865</v>
      </c>
      <c r="E4490" s="9" t="str">
        <f>HYPERLINK("https://twitter.com/mehranghavidel2/status/1034544418106351617","1034544418106351617")</f>
        <v>1034544418106351617</v>
      </c>
      <c r="F4490" s="4"/>
      <c r="G4490" s="10" t="s">
        <v>4864</v>
      </c>
      <c r="H4490" s="4"/>
      <c r="I4490" s="10" t="str">
        <f>HYPERLINK("http://twitter.com","Twitter Web Client")</f>
        <v>Twitter Web Client</v>
      </c>
      <c r="J4490" s="2">
        <v>1047</v>
      </c>
      <c r="K4490" s="2">
        <v>1004</v>
      </c>
      <c r="L4490" s="2">
        <v>1</v>
      </c>
      <c r="M4490" s="2"/>
      <c r="N4490" s="8">
        <v>42826.946388888886</v>
      </c>
      <c r="O4490" s="4" t="s">
        <v>4863</v>
      </c>
      <c r="P4490" s="3" t="s">
        <v>4862</v>
      </c>
      <c r="Q4490" s="4"/>
      <c r="R4490" s="4"/>
      <c r="S4490" s="9" t="str">
        <f>HYPERLINK("https://pbs.twimg.com/profile_images/996495121947357185/DUKE6cFP.jpg","View")</f>
        <v>View</v>
      </c>
    </row>
    <row r="4491" spans="1:19" ht="40">
      <c r="A4491" s="8">
        <v>43341.057453703703</v>
      </c>
      <c r="B4491" s="11" t="str">
        <f>HYPERLINK("https://twitter.com/SPakroo","@SPakroo")</f>
        <v>@SPakroo</v>
      </c>
      <c r="C4491" s="6" t="s">
        <v>4824</v>
      </c>
      <c r="D4491" s="5" t="s">
        <v>4861</v>
      </c>
      <c r="E4491" s="9" t="str">
        <f>HYPERLINK("https://twitter.com/SPakroo/status/1034544331284086784","1034544331284086784")</f>
        <v>1034544331284086784</v>
      </c>
      <c r="F4491" s="4"/>
      <c r="G4491" s="4"/>
      <c r="H4491" s="4"/>
      <c r="I4491" s="10" t="str">
        <f>HYPERLINK("http://twitter.com","Twitter Web Client")</f>
        <v>Twitter Web Client</v>
      </c>
      <c r="J4491" s="2">
        <v>8</v>
      </c>
      <c r="K4491" s="2">
        <v>25</v>
      </c>
      <c r="L4491" s="2">
        <v>0</v>
      </c>
      <c r="M4491" s="2"/>
      <c r="N4491" s="8">
        <v>43310.822800925926</v>
      </c>
      <c r="O4491" s="4"/>
      <c r="P4491" s="3"/>
      <c r="Q4491" s="4"/>
      <c r="R4491" s="4"/>
      <c r="S4491" s="9" t="str">
        <f>HYPERLINK("https://pbs.twimg.com/profile_images/1026468958969331713/pXihc-bs.jpg","View")</f>
        <v>View</v>
      </c>
    </row>
    <row r="4492" spans="1:19" ht="30">
      <c r="A4492" s="8">
        <v>43341.057141203702</v>
      </c>
      <c r="B4492" s="11" t="str">
        <f>HYPERLINK("https://twitter.com/Melikah_Tehrani","@Melikah_Tehrani")</f>
        <v>@Melikah_Tehrani</v>
      </c>
      <c r="C4492" s="6" t="s">
        <v>4860</v>
      </c>
      <c r="D4492" s="5" t="s">
        <v>4859</v>
      </c>
      <c r="E4492" s="9" t="str">
        <f>HYPERLINK("https://twitter.com/Melikah_Tehrani/status/1034544220105793536","1034544220105793536")</f>
        <v>1034544220105793536</v>
      </c>
      <c r="F4492" s="4"/>
      <c r="G4492" s="4"/>
      <c r="H4492" s="4"/>
      <c r="I4492" s="10" t="str">
        <f>HYPERLINK("http://twitter.com/download/android","Twitter for Android")</f>
        <v>Twitter for Android</v>
      </c>
      <c r="J4492" s="2">
        <v>70</v>
      </c>
      <c r="K4492" s="2">
        <v>70</v>
      </c>
      <c r="L4492" s="2">
        <v>0</v>
      </c>
      <c r="M4492" s="2"/>
      <c r="N4492" s="8">
        <v>43304.722511574073</v>
      </c>
      <c r="O4492" s="4"/>
      <c r="P4492" s="3" t="s">
        <v>4858</v>
      </c>
      <c r="Q4492" s="4"/>
      <c r="R4492" s="4"/>
      <c r="S4492" s="9" t="str">
        <f>HYPERLINK("https://pbs.twimg.com/profile_images/1021385641907695617/vWTKnooU.jpg","View")</f>
        <v>View</v>
      </c>
    </row>
    <row r="4493" spans="1:19" ht="30">
      <c r="A4493" s="8">
        <v>43341.056597222225</v>
      </c>
      <c r="B4493" s="11" t="str">
        <f>HYPERLINK("https://twitter.com/haj_Einstein","@haj_Einstein")</f>
        <v>@haj_Einstein</v>
      </c>
      <c r="C4493" s="6" t="s">
        <v>1350</v>
      </c>
      <c r="D4493" s="5" t="s">
        <v>4857</v>
      </c>
      <c r="E4493" s="9" t="str">
        <f>HYPERLINK("https://twitter.com/haj_Einstein/status/1034544022679891969","1034544022679891969")</f>
        <v>1034544022679891969</v>
      </c>
      <c r="F4493" s="4"/>
      <c r="G4493" s="4"/>
      <c r="H4493" s="4"/>
      <c r="I4493" s="10" t="str">
        <f>HYPERLINK("http://twitter.com/download/android","Twitter for Android")</f>
        <v>Twitter for Android</v>
      </c>
      <c r="J4493" s="2">
        <v>1174</v>
      </c>
      <c r="K4493" s="2">
        <v>914</v>
      </c>
      <c r="L4493" s="2">
        <v>0</v>
      </c>
      <c r="M4493" s="2"/>
      <c r="N4493" s="8">
        <v>42513.552152777775</v>
      </c>
      <c r="O4493" s="4" t="s">
        <v>1348</v>
      </c>
      <c r="P4493" s="3" t="s">
        <v>1347</v>
      </c>
      <c r="Q4493" s="4"/>
      <c r="R4493" s="4"/>
      <c r="S4493" s="9" t="str">
        <f>HYPERLINK("https://pbs.twimg.com/profile_images/1026355675037921280/znaIjDgn.jpg","View")</f>
        <v>View</v>
      </c>
    </row>
    <row r="4494" spans="1:19" ht="40">
      <c r="A4494" s="8">
        <v>43341.056388888886</v>
      </c>
      <c r="B4494" s="11" t="str">
        <f>HYPERLINK("https://twitter.com/mohamadsalimi69","@mohamadsalimi69")</f>
        <v>@mohamadsalimi69</v>
      </c>
      <c r="C4494" s="6" t="s">
        <v>2858</v>
      </c>
      <c r="D4494" s="5" t="s">
        <v>4856</v>
      </c>
      <c r="E4494" s="9" t="str">
        <f>HYPERLINK("https://twitter.com/mohamadsalimi69/status/1034543945055920129","1034543945055920129")</f>
        <v>1034543945055920129</v>
      </c>
      <c r="F4494" s="4"/>
      <c r="G4494" s="4"/>
      <c r="H4494" s="4"/>
      <c r="I4494" s="10" t="str">
        <f>HYPERLINK("http://twitter.com/download/android","Twitter for Android")</f>
        <v>Twitter for Android</v>
      </c>
      <c r="J4494" s="2">
        <v>252</v>
      </c>
      <c r="K4494" s="2">
        <v>218</v>
      </c>
      <c r="L4494" s="2">
        <v>0</v>
      </c>
      <c r="M4494" s="2"/>
      <c r="N4494" s="8">
        <v>42471.547812500001</v>
      </c>
      <c r="O4494" s="4"/>
      <c r="P4494" s="3" t="s">
        <v>2855</v>
      </c>
      <c r="Q4494" s="4"/>
      <c r="R4494" s="4"/>
      <c r="S4494" s="9" t="str">
        <f>HYPERLINK("https://pbs.twimg.com/profile_images/1011262089216823296/oKIeknpo.jpg","View")</f>
        <v>View</v>
      </c>
    </row>
    <row r="4495" spans="1:19" ht="12.5">
      <c r="A4495" s="8">
        <v>43341.05631944444</v>
      </c>
      <c r="B4495" s="11" t="str">
        <f>HYPERLINK("https://twitter.com/m_taqizadeh","@m_taqizadeh")</f>
        <v>@m_taqizadeh</v>
      </c>
      <c r="C4495" s="6" t="s">
        <v>4855</v>
      </c>
      <c r="D4495" s="5" t="s">
        <v>4854</v>
      </c>
      <c r="E4495" s="9" t="str">
        <f>HYPERLINK("https://twitter.com/m_taqizadeh/status/1034543922104676352","1034543922104676352")</f>
        <v>1034543922104676352</v>
      </c>
      <c r="F4495" s="4"/>
      <c r="G4495" s="4"/>
      <c r="H4495" s="4"/>
      <c r="I4495" s="10" t="str">
        <f>HYPERLINK("http://twitter.com/download/android","Twitter for Android")</f>
        <v>Twitter for Android</v>
      </c>
      <c r="J4495" s="2">
        <v>104</v>
      </c>
      <c r="K4495" s="2">
        <v>41</v>
      </c>
      <c r="L4495" s="2">
        <v>0</v>
      </c>
      <c r="M4495" s="2"/>
      <c r="N4495" s="8">
        <v>42744.956817129627</v>
      </c>
      <c r="O4495" s="4" t="s">
        <v>4853</v>
      </c>
      <c r="P4495" s="3" t="s">
        <v>4852</v>
      </c>
      <c r="Q4495" s="10" t="s">
        <v>4851</v>
      </c>
      <c r="R4495" s="4"/>
      <c r="S4495" s="9" t="str">
        <f>HYPERLINK("https://pbs.twimg.com/profile_images/1020977971077832704/aXkIWBQP.jpg","View")</f>
        <v>View</v>
      </c>
    </row>
    <row r="4496" spans="1:19" ht="40">
      <c r="A4496" s="8">
        <v>43341.05541666667</v>
      </c>
      <c r="B4496" s="11" t="str">
        <f>HYPERLINK("https://twitter.com/Khodakomak1","@Khodakomak1")</f>
        <v>@Khodakomak1</v>
      </c>
      <c r="C4496" s="6" t="s">
        <v>4850</v>
      </c>
      <c r="D4496" s="5" t="s">
        <v>4849</v>
      </c>
      <c r="E4496" s="9" t="str">
        <f>HYPERLINK("https://twitter.com/Khodakomak1/status/1034543596559581184","1034543596559581184")</f>
        <v>1034543596559581184</v>
      </c>
      <c r="F4496" s="4"/>
      <c r="G4496" s="4"/>
      <c r="H4496" s="4"/>
      <c r="I4496" s="10" t="str">
        <f>HYPERLINK("http://twitter.com/download/android","Twitter for Android")</f>
        <v>Twitter for Android</v>
      </c>
      <c r="J4496" s="2">
        <v>82</v>
      </c>
      <c r="K4496" s="2">
        <v>231</v>
      </c>
      <c r="L4496" s="2">
        <v>0</v>
      </c>
      <c r="M4496" s="2"/>
      <c r="N4496" s="8">
        <v>43259.215856481482</v>
      </c>
      <c r="O4496" s="4"/>
      <c r="P4496" s="3" t="s">
        <v>4848</v>
      </c>
      <c r="Q4496" s="4"/>
      <c r="R4496" s="4"/>
      <c r="S4496" s="9" t="str">
        <f>HYPERLINK("https://pbs.twimg.com/profile_images/1005295768364871682/Ay9H1wzI.jpg","View")</f>
        <v>View</v>
      </c>
    </row>
    <row r="4497" spans="1:19" ht="40">
      <c r="A4497" s="8">
        <v>43341.055069444439</v>
      </c>
      <c r="B4497" s="11" t="str">
        <f>HYPERLINK("https://twitter.com/Mehrad_kkh","@Mehrad_kkh")</f>
        <v>@Mehrad_kkh</v>
      </c>
      <c r="C4497" s="6" t="s">
        <v>501</v>
      </c>
      <c r="D4497" s="5" t="s">
        <v>4847</v>
      </c>
      <c r="E4497" s="9" t="str">
        <f>HYPERLINK("https://twitter.com/Mehrad_kkh/status/1034543468004208640","1034543468004208640")</f>
        <v>1034543468004208640</v>
      </c>
      <c r="F4497" s="4"/>
      <c r="G4497" s="4"/>
      <c r="H4497" s="4"/>
      <c r="I4497" s="10" t="str">
        <f>HYPERLINK("http://twitter.com/download/android","Twitter for Android")</f>
        <v>Twitter for Android</v>
      </c>
      <c r="J4497" s="2">
        <v>5274</v>
      </c>
      <c r="K4497" s="2">
        <v>4693</v>
      </c>
      <c r="L4497" s="2">
        <v>4</v>
      </c>
      <c r="M4497" s="2"/>
      <c r="N4497" s="8">
        <v>42567.562199074076</v>
      </c>
      <c r="O4497" s="4" t="s">
        <v>34</v>
      </c>
      <c r="P4497" s="3" t="s">
        <v>499</v>
      </c>
      <c r="Q4497" s="4"/>
      <c r="R4497" s="4"/>
      <c r="S4497" s="9" t="str">
        <f>HYPERLINK("https://pbs.twimg.com/profile_images/942431478620852225/5GhvKY0T.jpg","View")</f>
        <v>View</v>
      </c>
    </row>
    <row r="4498" spans="1:19" ht="40">
      <c r="A4498" s="8">
        <v>43341.054930555554</v>
      </c>
      <c r="B4498" s="11" t="str">
        <f>HYPERLINK("https://twitter.com/yNeNq8yysVoFlcO","@yNeNq8yysVoFlcO")</f>
        <v>@yNeNq8yysVoFlcO</v>
      </c>
      <c r="C4498" s="6" t="s">
        <v>4805</v>
      </c>
      <c r="D4498" s="5" t="s">
        <v>4846</v>
      </c>
      <c r="E4498" s="9" t="str">
        <f>HYPERLINK("https://twitter.com/yNeNq8yysVoFlcO/status/1034543420533080064","1034543420533080064")</f>
        <v>1034543420533080064</v>
      </c>
      <c r="F4498" s="4"/>
      <c r="G4498" s="4"/>
      <c r="H4498" s="4"/>
      <c r="I4498" s="10" t="str">
        <f>HYPERLINK("http://twitter.com/download/iphone","Twitter for iPhone")</f>
        <v>Twitter for iPhone</v>
      </c>
      <c r="J4498" s="2">
        <v>218</v>
      </c>
      <c r="K4498" s="2">
        <v>120</v>
      </c>
      <c r="L4498" s="2">
        <v>0</v>
      </c>
      <c r="M4498" s="2"/>
      <c r="N4498" s="8">
        <v>42837.776516203703</v>
      </c>
      <c r="O4498" s="4" t="s">
        <v>4803</v>
      </c>
      <c r="P4498" s="3" t="s">
        <v>4802</v>
      </c>
      <c r="Q4498" s="4"/>
      <c r="R4498" s="4"/>
      <c r="S4498" s="9" t="str">
        <f>HYPERLINK("https://pbs.twimg.com/profile_images/988602598373683200/Dd859LN2.jpg","View")</f>
        <v>View</v>
      </c>
    </row>
    <row r="4499" spans="1:19" ht="30">
      <c r="A4499" s="8">
        <v>43341.054837962962</v>
      </c>
      <c r="B4499" s="11" t="str">
        <f>HYPERLINK("https://twitter.com/haj_Einstein","@haj_Einstein")</f>
        <v>@haj_Einstein</v>
      </c>
      <c r="C4499" s="6" t="s">
        <v>1350</v>
      </c>
      <c r="D4499" s="5" t="s">
        <v>4845</v>
      </c>
      <c r="E4499" s="9" t="str">
        <f>HYPERLINK("https://twitter.com/haj_Einstein/status/1034543385758101508","1034543385758101508")</f>
        <v>1034543385758101508</v>
      </c>
      <c r="F4499" s="4"/>
      <c r="G4499" s="4"/>
      <c r="H4499" s="4"/>
      <c r="I4499" s="10" t="str">
        <f>HYPERLINK("http://twitter.com/download/android","Twitter for Android")</f>
        <v>Twitter for Android</v>
      </c>
      <c r="J4499" s="2">
        <v>1173</v>
      </c>
      <c r="K4499" s="2">
        <v>914</v>
      </c>
      <c r="L4499" s="2">
        <v>0</v>
      </c>
      <c r="M4499" s="2"/>
      <c r="N4499" s="8">
        <v>42513.552152777775</v>
      </c>
      <c r="O4499" s="4" t="s">
        <v>1348</v>
      </c>
      <c r="P4499" s="3" t="s">
        <v>1347</v>
      </c>
      <c r="Q4499" s="4"/>
      <c r="R4499" s="4"/>
      <c r="S4499" s="9" t="str">
        <f>HYPERLINK("https://pbs.twimg.com/profile_images/1026355675037921280/znaIjDgn.jpg","View")</f>
        <v>View</v>
      </c>
    </row>
    <row r="4500" spans="1:19" ht="40">
      <c r="A4500" s="8">
        <v>43341.054560185185</v>
      </c>
      <c r="B4500" s="11" t="str">
        <f>HYPERLINK("https://twitter.com/Najafpour_m","@Najafpour_m")</f>
        <v>@Najafpour_m</v>
      </c>
      <c r="C4500" s="6" t="s">
        <v>4844</v>
      </c>
      <c r="D4500" s="5" t="s">
        <v>4843</v>
      </c>
      <c r="E4500" s="9" t="str">
        <f>HYPERLINK("https://twitter.com/Najafpour_m/status/1034543283941384197","1034543283941384197")</f>
        <v>1034543283941384197</v>
      </c>
      <c r="F4500" s="4"/>
      <c r="G4500" s="4"/>
      <c r="H4500" s="4"/>
      <c r="I4500" s="10" t="str">
        <f>HYPERLINK("http://twitter.com/download/iphone","Twitter for iPhone")</f>
        <v>Twitter for iPhone</v>
      </c>
      <c r="J4500" s="2">
        <v>285</v>
      </c>
      <c r="K4500" s="2">
        <v>1007</v>
      </c>
      <c r="L4500" s="2">
        <v>0</v>
      </c>
      <c r="M4500" s="2"/>
      <c r="N4500" s="8">
        <v>42437.788854166662</v>
      </c>
      <c r="O4500" s="4" t="s">
        <v>4842</v>
      </c>
      <c r="P4500" s="3" t="s">
        <v>4841</v>
      </c>
      <c r="Q4500" s="10" t="s">
        <v>4840</v>
      </c>
      <c r="R4500" s="4"/>
      <c r="S4500" s="9" t="str">
        <f>HYPERLINK("https://pbs.twimg.com/profile_images/982345832828727296/PnCxHHbi.jpg","View")</f>
        <v>View</v>
      </c>
    </row>
    <row r="4501" spans="1:19" ht="20">
      <c r="A4501" s="8">
        <v>43341.054502314815</v>
      </c>
      <c r="B4501" s="11" t="str">
        <f>HYPERLINK("https://twitter.com/vatan_emrooz","@vatan_emrooz")</f>
        <v>@vatan_emrooz</v>
      </c>
      <c r="C4501" s="6" t="s">
        <v>4839</v>
      </c>
      <c r="D4501" s="5" t="s">
        <v>4838</v>
      </c>
      <c r="E4501" s="9" t="str">
        <f>HYPERLINK("https://twitter.com/vatan_emrooz/status/1034543264622424065","1034543264622424065")</f>
        <v>1034543264622424065</v>
      </c>
      <c r="F4501" s="10" t="s">
        <v>4837</v>
      </c>
      <c r="G4501" s="10" t="s">
        <v>4836</v>
      </c>
      <c r="H4501" s="4"/>
      <c r="I4501" s="10" t="str">
        <f>HYPERLINK("http://twitter.com/download/android","Twitter for Android")</f>
        <v>Twitter for Android</v>
      </c>
      <c r="J4501" s="2">
        <v>34146</v>
      </c>
      <c r="K4501" s="2">
        <v>6</v>
      </c>
      <c r="L4501" s="2">
        <v>145</v>
      </c>
      <c r="M4501" s="2"/>
      <c r="N4501" s="8">
        <v>41674.692928240736</v>
      </c>
      <c r="O4501" s="4" t="s">
        <v>17</v>
      </c>
      <c r="P4501" s="3" t="s">
        <v>4835</v>
      </c>
      <c r="Q4501" s="10" t="s">
        <v>4834</v>
      </c>
      <c r="R4501" s="4"/>
      <c r="S4501" s="9" t="str">
        <f>HYPERLINK("https://pbs.twimg.com/profile_images/430690734371389440/nTTwj_SD.jpeg","View")</f>
        <v>View</v>
      </c>
    </row>
    <row r="4502" spans="1:19" ht="30">
      <c r="A4502" s="8">
        <v>43341.054120370369</v>
      </c>
      <c r="B4502" s="11" t="str">
        <f>HYPERLINK("https://twitter.com/Azad_Azarbayjan","@Azad_Azarbayjan")</f>
        <v>@Azad_Azarbayjan</v>
      </c>
      <c r="C4502" s="6" t="s">
        <v>4833</v>
      </c>
      <c r="D4502" s="5" t="s">
        <v>4832</v>
      </c>
      <c r="E4502" s="9" t="str">
        <f>HYPERLINK("https://twitter.com/Azad_Azarbayjan/status/1034543123043704837","1034543123043704837")</f>
        <v>1034543123043704837</v>
      </c>
      <c r="F4502" s="4"/>
      <c r="G4502" s="4"/>
      <c r="H4502" s="4"/>
      <c r="I4502" s="10" t="str">
        <f>HYPERLINK("http://twitter.com/download/android","Twitter for Android")</f>
        <v>Twitter for Android</v>
      </c>
      <c r="J4502" s="2">
        <v>351</v>
      </c>
      <c r="K4502" s="2">
        <v>418</v>
      </c>
      <c r="L4502" s="2">
        <v>4</v>
      </c>
      <c r="M4502" s="2"/>
      <c r="N4502" s="8">
        <v>43316.111828703702</v>
      </c>
      <c r="O4502" s="4"/>
      <c r="P4502" s="3" t="s">
        <v>4831</v>
      </c>
      <c r="Q4502" s="4"/>
      <c r="R4502" s="4"/>
      <c r="S4502" s="9" t="str">
        <f>HYPERLINK("https://pbs.twimg.com/profile_images/1031651761034092544/6S6ISBti.jpg","View")</f>
        <v>View</v>
      </c>
    </row>
    <row r="4503" spans="1:19" ht="12.5">
      <c r="A4503" s="8">
        <v>43341.053935185184</v>
      </c>
      <c r="B4503" s="11" t="str">
        <f>HYPERLINK("https://twitter.com/m_akbarzadeh5","@m_akbarzadeh5")</f>
        <v>@m_akbarzadeh5</v>
      </c>
      <c r="C4503" s="6" t="s">
        <v>4830</v>
      </c>
      <c r="D4503" s="5" t="s">
        <v>4829</v>
      </c>
      <c r="E4503" s="9" t="str">
        <f>HYPERLINK("https://twitter.com/m_akbarzadeh5/status/1034543057092444161","1034543057092444161")</f>
        <v>1034543057092444161</v>
      </c>
      <c r="F4503" s="4"/>
      <c r="G4503" s="4"/>
      <c r="H4503" s="4"/>
      <c r="I4503" s="10" t="str">
        <f>HYPERLINK("http://twitter.com/download/android","Twitter for Android")</f>
        <v>Twitter for Android</v>
      </c>
      <c r="J4503" s="2">
        <v>1398</v>
      </c>
      <c r="K4503" s="2">
        <v>533</v>
      </c>
      <c r="L4503" s="2">
        <v>4</v>
      </c>
      <c r="M4503" s="2"/>
      <c r="N4503" s="8">
        <v>42756.521192129629</v>
      </c>
      <c r="O4503" s="4" t="s">
        <v>104</v>
      </c>
      <c r="P4503" s="3" t="s">
        <v>4828</v>
      </c>
      <c r="Q4503" s="4"/>
      <c r="R4503" s="4"/>
      <c r="S4503" s="9" t="str">
        <f>HYPERLINK("https://pbs.twimg.com/profile_images/1019307798801330177/4zUzD1o2.jpg","View")</f>
        <v>View</v>
      </c>
    </row>
    <row r="4504" spans="1:19" ht="30">
      <c r="A4504" s="8">
        <v>43341.053749999999</v>
      </c>
      <c r="B4504" s="11" t="str">
        <f>HYPERLINK("https://twitter.com/ajkanani31","@ajkanani31")</f>
        <v>@ajkanani31</v>
      </c>
      <c r="C4504" s="6" t="s">
        <v>4827</v>
      </c>
      <c r="D4504" s="5" t="s">
        <v>4826</v>
      </c>
      <c r="E4504" s="9" t="str">
        <f>HYPERLINK("https://twitter.com/ajkanani31/status/1034542990914662401","1034542990914662401")</f>
        <v>1034542990914662401</v>
      </c>
      <c r="F4504" s="4"/>
      <c r="G4504" s="4"/>
      <c r="H4504" s="4"/>
      <c r="I4504" s="10" t="str">
        <f>HYPERLINK("http://twitter.com/download/android","Twitter for Android")</f>
        <v>Twitter for Android</v>
      </c>
      <c r="J4504" s="2">
        <v>433</v>
      </c>
      <c r="K4504" s="2">
        <v>809</v>
      </c>
      <c r="L4504" s="2">
        <v>4</v>
      </c>
      <c r="M4504" s="2"/>
      <c r="N4504" s="8">
        <v>42260.620312500003</v>
      </c>
      <c r="O4504" s="4"/>
      <c r="P4504" s="3" t="s">
        <v>4825</v>
      </c>
      <c r="Q4504" s="4"/>
      <c r="R4504" s="4"/>
      <c r="S4504" s="9" t="str">
        <f>HYPERLINK("https://pbs.twimg.com/profile_images/959060858646286342/Vp1mC6et.jpg","View")</f>
        <v>View</v>
      </c>
    </row>
    <row r="4505" spans="1:19" ht="20">
      <c r="A4505" s="8">
        <v>43341.053240740745</v>
      </c>
      <c r="B4505" s="11" t="str">
        <f>HYPERLINK("https://twitter.com/SPakroo","@SPakroo")</f>
        <v>@SPakroo</v>
      </c>
      <c r="C4505" s="6" t="s">
        <v>4824</v>
      </c>
      <c r="D4505" s="5" t="s">
        <v>4823</v>
      </c>
      <c r="E4505" s="9" t="str">
        <f>HYPERLINK("https://twitter.com/SPakroo/status/1034542806419746816","1034542806419746816")</f>
        <v>1034542806419746816</v>
      </c>
      <c r="F4505" s="4"/>
      <c r="G4505" s="4"/>
      <c r="H4505" s="4"/>
      <c r="I4505" s="10" t="str">
        <f>HYPERLINK("http://twitter.com","Twitter Web Client")</f>
        <v>Twitter Web Client</v>
      </c>
      <c r="J4505" s="2">
        <v>8</v>
      </c>
      <c r="K4505" s="2">
        <v>25</v>
      </c>
      <c r="L4505" s="2">
        <v>0</v>
      </c>
      <c r="M4505" s="2"/>
      <c r="N4505" s="8">
        <v>43310.822800925926</v>
      </c>
      <c r="O4505" s="4"/>
      <c r="P4505" s="3"/>
      <c r="Q4505" s="4"/>
      <c r="R4505" s="4"/>
      <c r="S4505" s="9" t="str">
        <f>HYPERLINK("https://pbs.twimg.com/profile_images/1026468958969331713/pXihc-bs.jpg","View")</f>
        <v>View</v>
      </c>
    </row>
    <row r="4506" spans="1:19" ht="40">
      <c r="A4506" s="8">
        <v>43341.052372685182</v>
      </c>
      <c r="B4506" s="11" t="str">
        <f>HYPERLINK("https://twitter.com/trenditter","@trenditter")</f>
        <v>@trenditter</v>
      </c>
      <c r="C4506" s="6" t="s">
        <v>961</v>
      </c>
      <c r="D4506" s="5" t="s">
        <v>4822</v>
      </c>
      <c r="E4506" s="9" t="str">
        <f>HYPERLINK("https://twitter.com/trenditter/status/1034542489494081536","1034542489494081536")</f>
        <v>1034542489494081536</v>
      </c>
      <c r="F4506" s="4"/>
      <c r="G4506" s="4"/>
      <c r="H4506" s="4"/>
      <c r="I4506" s="10" t="str">
        <f>HYPERLINK("https://vahedinia.me","BestOfTwitterFa")</f>
        <v>BestOfTwitterFa</v>
      </c>
      <c r="J4506" s="2">
        <v>5201</v>
      </c>
      <c r="K4506" s="2">
        <v>29</v>
      </c>
      <c r="L4506" s="2">
        <v>34</v>
      </c>
      <c r="M4506" s="2"/>
      <c r="N4506" s="8">
        <v>42824.77443287037</v>
      </c>
      <c r="O4506" s="4" t="s">
        <v>959</v>
      </c>
      <c r="P4506" s="3" t="s">
        <v>958</v>
      </c>
      <c r="Q4506" s="10" t="s">
        <v>957</v>
      </c>
      <c r="R4506" s="4"/>
      <c r="S4506" s="9" t="str">
        <f>HYPERLINK("https://pbs.twimg.com/profile_images/847507136720637953/mQCv6V9W.jpg","View")</f>
        <v>View</v>
      </c>
    </row>
    <row r="4507" spans="1:19" ht="30">
      <c r="A4507" s="8">
        <v>43341.051678240736</v>
      </c>
      <c r="B4507" s="11" t="str">
        <f>HYPERLINK("https://twitter.com/milad54652275","@milad54652275")</f>
        <v>@milad54652275</v>
      </c>
      <c r="C4507" s="6" t="s">
        <v>4821</v>
      </c>
      <c r="D4507" s="5" t="s">
        <v>4820</v>
      </c>
      <c r="E4507" s="9" t="str">
        <f>HYPERLINK("https://twitter.com/milad54652275/status/1034542238292951040","1034542238292951040")</f>
        <v>1034542238292951040</v>
      </c>
      <c r="F4507" s="4"/>
      <c r="G4507" s="4"/>
      <c r="H4507" s="4"/>
      <c r="I4507" s="10" t="str">
        <f>HYPERLINK("https://mobile.twitter.com","Twitter Lite")</f>
        <v>Twitter Lite</v>
      </c>
      <c r="J4507" s="2">
        <v>1</v>
      </c>
      <c r="K4507" s="2">
        <v>2</v>
      </c>
      <c r="L4507" s="2">
        <v>0</v>
      </c>
      <c r="M4507" s="2"/>
      <c r="N4507" s="8">
        <v>43295.655914351853</v>
      </c>
      <c r="O4507" s="4"/>
      <c r="P4507" s="3"/>
      <c r="Q4507" s="4"/>
      <c r="R4507" s="4"/>
      <c r="S4507" s="2" t="s">
        <v>155</v>
      </c>
    </row>
    <row r="4508" spans="1:19" ht="40">
      <c r="A4508" s="8">
        <v>43341.051412037035</v>
      </c>
      <c r="B4508" s="11" t="str">
        <f>HYPERLINK("https://twitter.com/rezashg","@rezashg")</f>
        <v>@rezashg</v>
      </c>
      <c r="C4508" s="6" t="s">
        <v>4819</v>
      </c>
      <c r="D4508" s="5" t="s">
        <v>4818</v>
      </c>
      <c r="E4508" s="9" t="str">
        <f>HYPERLINK("https://twitter.com/rezashg/status/1034542142855815168","1034542142855815168")</f>
        <v>1034542142855815168</v>
      </c>
      <c r="F4508" s="4"/>
      <c r="G4508" s="4"/>
      <c r="H4508" s="4"/>
      <c r="I4508" s="10" t="str">
        <f>HYPERLINK("https://mobile.twitter.com","Twitter Lite")</f>
        <v>Twitter Lite</v>
      </c>
      <c r="J4508" s="2">
        <v>0</v>
      </c>
      <c r="K4508" s="2">
        <v>0</v>
      </c>
      <c r="L4508" s="2">
        <v>0</v>
      </c>
      <c r="M4508" s="2"/>
      <c r="N4508" s="8">
        <v>41550.011030092595</v>
      </c>
      <c r="O4508" s="4"/>
      <c r="P4508" s="3"/>
      <c r="Q4508" s="4"/>
      <c r="R4508" s="4"/>
      <c r="S4508" s="2" t="s">
        <v>155</v>
      </c>
    </row>
    <row r="4509" spans="1:19" ht="40">
      <c r="A4509" s="8">
        <v>43341.050740740742</v>
      </c>
      <c r="B4509" s="11" t="str">
        <f>HYPERLINK("https://twitter.com/alijabbari3","@alijabbari3")</f>
        <v>@alijabbari3</v>
      </c>
      <c r="C4509" s="6" t="s">
        <v>4817</v>
      </c>
      <c r="D4509" s="5" t="s">
        <v>4816</v>
      </c>
      <c r="E4509" s="9" t="str">
        <f>HYPERLINK("https://twitter.com/alijabbari3/status/1034541901305794560","1034541901305794560")</f>
        <v>1034541901305794560</v>
      </c>
      <c r="F4509" s="4"/>
      <c r="G4509" s="4"/>
      <c r="H4509" s="4"/>
      <c r="I4509" s="10" t="str">
        <f>HYPERLINK("http://twitter.com/download/android","Twitter for Android")</f>
        <v>Twitter for Android</v>
      </c>
      <c r="J4509" s="2">
        <v>30</v>
      </c>
      <c r="K4509" s="2">
        <v>120</v>
      </c>
      <c r="L4509" s="2">
        <v>0</v>
      </c>
      <c r="M4509" s="2"/>
      <c r="N4509" s="8">
        <v>41278.233090277776</v>
      </c>
      <c r="O4509" s="4" t="s">
        <v>682</v>
      </c>
      <c r="P4509" s="3" t="s">
        <v>4815</v>
      </c>
      <c r="Q4509" s="4"/>
      <c r="R4509" s="4"/>
      <c r="S4509" s="9" t="str">
        <f>HYPERLINK("https://pbs.twimg.com/profile_images/1003789490471743488/sBQJZuej.jpg","View")</f>
        <v>View</v>
      </c>
    </row>
    <row r="4510" spans="1:19" ht="30">
      <c r="A4510" s="8">
        <v>43341.050520833334</v>
      </c>
      <c r="B4510" s="11" t="str">
        <f>HYPERLINK("https://twitter.com/Baran_rhmat","@Baran_rhmat")</f>
        <v>@Baran_rhmat</v>
      </c>
      <c r="C4510" s="6" t="s">
        <v>4701</v>
      </c>
      <c r="D4510" s="5" t="s">
        <v>4814</v>
      </c>
      <c r="E4510" s="9" t="str">
        <f>HYPERLINK("https://twitter.com/Baran_rhmat/status/1034541821832175618","1034541821832175618")</f>
        <v>1034541821832175618</v>
      </c>
      <c r="F4510" s="4"/>
      <c r="G4510" s="4"/>
      <c r="H4510" s="4"/>
      <c r="I4510" s="10" t="str">
        <f>HYPERLINK("http://twitter.com/download/android","Twitter for Android")</f>
        <v>Twitter for Android</v>
      </c>
      <c r="J4510" s="2">
        <v>4009</v>
      </c>
      <c r="K4510" s="2">
        <v>4995</v>
      </c>
      <c r="L4510" s="2">
        <v>8</v>
      </c>
      <c r="M4510" s="2"/>
      <c r="N4510" s="8">
        <v>43105.287986111114</v>
      </c>
      <c r="O4510" s="4"/>
      <c r="P4510" s="3" t="s">
        <v>4699</v>
      </c>
      <c r="Q4510" s="4"/>
      <c r="R4510" s="4"/>
      <c r="S4510" s="9" t="str">
        <f>HYPERLINK("https://pbs.twimg.com/profile_images/1029847265203171330/F7iW1-ul.jpg","View")</f>
        <v>View</v>
      </c>
    </row>
    <row r="4511" spans="1:19" ht="30">
      <c r="A4511" s="8">
        <v>43341.050185185188</v>
      </c>
      <c r="B4511" s="11" t="str">
        <f>HYPERLINK("https://twitter.com/BehanSoroush","@BehanSoroush")</f>
        <v>@BehanSoroush</v>
      </c>
      <c r="C4511" s="6" t="s">
        <v>4813</v>
      </c>
      <c r="D4511" s="5" t="s">
        <v>4812</v>
      </c>
      <c r="E4511" s="9" t="str">
        <f>HYPERLINK("https://twitter.com/BehanSoroush/status/1034541697273872384","1034541697273872384")</f>
        <v>1034541697273872384</v>
      </c>
      <c r="F4511" s="4"/>
      <c r="G4511" s="4"/>
      <c r="H4511" s="4"/>
      <c r="I4511" s="10" t="str">
        <f>HYPERLINK("http://twitter.com","Twitter Web Client")</f>
        <v>Twitter Web Client</v>
      </c>
      <c r="J4511" s="2">
        <v>1203</v>
      </c>
      <c r="K4511" s="2">
        <v>992</v>
      </c>
      <c r="L4511" s="2">
        <v>1</v>
      </c>
      <c r="M4511" s="2"/>
      <c r="N4511" s="8">
        <v>43230.491979166662</v>
      </c>
      <c r="O4511" s="4" t="s">
        <v>4811</v>
      </c>
      <c r="P4511" s="3" t="s">
        <v>4810</v>
      </c>
      <c r="Q4511" s="4"/>
      <c r="R4511" s="4"/>
      <c r="S4511" s="9" t="str">
        <f>HYPERLINK("https://pbs.twimg.com/profile_images/994659530914041856/y3-u0dOR.jpg","View")</f>
        <v>View</v>
      </c>
    </row>
    <row r="4512" spans="1:19" ht="40">
      <c r="A4512" s="8">
        <v>43341.049895833334</v>
      </c>
      <c r="B4512" s="11" t="str">
        <f>HYPERLINK("https://twitter.com/khanoomak","@khanoomak")</f>
        <v>@khanoomak</v>
      </c>
      <c r="C4512" s="6" t="s">
        <v>4809</v>
      </c>
      <c r="D4512" s="5" t="s">
        <v>4808</v>
      </c>
      <c r="E4512" s="9" t="str">
        <f>HYPERLINK("https://twitter.com/khanoomak/status/1034541592659537920","1034541592659537920")</f>
        <v>1034541592659537920</v>
      </c>
      <c r="F4512" s="4"/>
      <c r="G4512" s="4"/>
      <c r="H4512" s="4"/>
      <c r="I4512" s="10" t="str">
        <f>HYPERLINK("http://twitter.com/download/android","Twitter for Android")</f>
        <v>Twitter for Android</v>
      </c>
      <c r="J4512" s="2">
        <v>2111</v>
      </c>
      <c r="K4512" s="2">
        <v>2282</v>
      </c>
      <c r="L4512" s="2">
        <v>6</v>
      </c>
      <c r="M4512" s="2"/>
      <c r="N4512" s="8">
        <v>43163.954016203701</v>
      </c>
      <c r="O4512" s="4" t="s">
        <v>104</v>
      </c>
      <c r="P4512" s="3" t="s">
        <v>4807</v>
      </c>
      <c r="Q4512" s="10" t="s">
        <v>4806</v>
      </c>
      <c r="R4512" s="4"/>
      <c r="S4512" s="9" t="str">
        <f>HYPERLINK("https://pbs.twimg.com/profile_images/1031056671659970560/P44OYWJd.jpg","View")</f>
        <v>View</v>
      </c>
    </row>
    <row r="4513" spans="1:19" ht="30">
      <c r="A4513" s="8">
        <v>43341.049456018518</v>
      </c>
      <c r="B4513" s="11" t="str">
        <f>HYPERLINK("https://twitter.com/yNeNq8yysVoFlcO","@yNeNq8yysVoFlcO")</f>
        <v>@yNeNq8yysVoFlcO</v>
      </c>
      <c r="C4513" s="6" t="s">
        <v>4805</v>
      </c>
      <c r="D4513" s="5" t="s">
        <v>4804</v>
      </c>
      <c r="E4513" s="9" t="str">
        <f>HYPERLINK("https://twitter.com/yNeNq8yysVoFlcO/status/1034541436581146625","1034541436581146625")</f>
        <v>1034541436581146625</v>
      </c>
      <c r="F4513" s="4"/>
      <c r="G4513" s="4"/>
      <c r="H4513" s="4"/>
      <c r="I4513" s="10" t="str">
        <f>HYPERLINK("http://twitter.com/download/iphone","Twitter for iPhone")</f>
        <v>Twitter for iPhone</v>
      </c>
      <c r="J4513" s="2">
        <v>218</v>
      </c>
      <c r="K4513" s="2">
        <v>120</v>
      </c>
      <c r="L4513" s="2">
        <v>0</v>
      </c>
      <c r="M4513" s="2"/>
      <c r="N4513" s="8">
        <v>42837.776516203703</v>
      </c>
      <c r="O4513" s="4" t="s">
        <v>4803</v>
      </c>
      <c r="P4513" s="3" t="s">
        <v>4802</v>
      </c>
      <c r="Q4513" s="4"/>
      <c r="R4513" s="4"/>
      <c r="S4513" s="9" t="str">
        <f>HYPERLINK("https://pbs.twimg.com/profile_images/988602598373683200/Dd859LN2.jpg","View")</f>
        <v>View</v>
      </c>
    </row>
    <row r="4514" spans="1:19" ht="30">
      <c r="A4514" s="8">
        <v>43341.049282407403</v>
      </c>
      <c r="B4514" s="11" t="str">
        <f>HYPERLINK("https://twitter.com/Tahmineh_6","@Tahmineh_6")</f>
        <v>@Tahmineh_6</v>
      </c>
      <c r="C4514" s="6" t="s">
        <v>4801</v>
      </c>
      <c r="D4514" s="5" t="s">
        <v>4800</v>
      </c>
      <c r="E4514" s="9" t="str">
        <f>HYPERLINK("https://twitter.com/Tahmineh_6/status/1034541370973794305","1034541370973794305")</f>
        <v>1034541370973794305</v>
      </c>
      <c r="F4514" s="4"/>
      <c r="G4514" s="4"/>
      <c r="H4514" s="4"/>
      <c r="I4514" s="10" t="str">
        <f>HYPERLINK("http://twitter.com/download/android","Twitter for Android")</f>
        <v>Twitter for Android</v>
      </c>
      <c r="J4514" s="2">
        <v>6613</v>
      </c>
      <c r="K4514" s="2">
        <v>6160</v>
      </c>
      <c r="L4514" s="2">
        <v>3</v>
      </c>
      <c r="M4514" s="2"/>
      <c r="N4514" s="8">
        <v>43008.625925925924</v>
      </c>
      <c r="O4514" s="4" t="s">
        <v>4799</v>
      </c>
      <c r="P4514" s="3" t="s">
        <v>4798</v>
      </c>
      <c r="Q4514" s="4"/>
      <c r="R4514" s="4"/>
      <c r="S4514" s="9" t="str">
        <f>HYPERLINK("https://pbs.twimg.com/profile_images/1025713823054004225/9xZZZ3Ut.jpg","View")</f>
        <v>View</v>
      </c>
    </row>
    <row r="4515" spans="1:19" ht="30">
      <c r="A4515" s="8">
        <v>43341.048657407402</v>
      </c>
      <c r="B4515" s="11" t="str">
        <f>HYPERLINK("https://twitter.com/Its_about_Ramin","@Its_about_Ramin")</f>
        <v>@Its_about_Ramin</v>
      </c>
      <c r="C4515" s="6" t="s">
        <v>4797</v>
      </c>
      <c r="D4515" s="5" t="s">
        <v>4796</v>
      </c>
      <c r="E4515" s="9" t="str">
        <f>HYPERLINK("https://twitter.com/Its_about_Ramin/status/1034541146364694529","1034541146364694529")</f>
        <v>1034541146364694529</v>
      </c>
      <c r="F4515" s="4"/>
      <c r="G4515" s="4"/>
      <c r="H4515" s="4"/>
      <c r="I4515" s="10" t="str">
        <f>HYPERLINK("http://twitter.com/download/android","Twitter for Android")</f>
        <v>Twitter for Android</v>
      </c>
      <c r="J4515" s="2">
        <v>206</v>
      </c>
      <c r="K4515" s="2">
        <v>219</v>
      </c>
      <c r="L4515" s="2">
        <v>0</v>
      </c>
      <c r="M4515" s="2"/>
      <c r="N4515" s="8">
        <v>43319.090868055559</v>
      </c>
      <c r="O4515" s="4" t="s">
        <v>1415</v>
      </c>
      <c r="P4515" s="3"/>
      <c r="Q4515" s="4"/>
      <c r="R4515" s="4"/>
      <c r="S4515" s="9" t="str">
        <f>HYPERLINK("https://pbs.twimg.com/profile_images/1028033494331662339/xwSmhk09.jpg","View")</f>
        <v>View</v>
      </c>
    </row>
    <row r="4516" spans="1:19" ht="20">
      <c r="A4516" s="8">
        <v>43341.048101851848</v>
      </c>
      <c r="B4516" s="11" t="str">
        <f>HYPERLINK("https://twitter.com/AmiryasinM","@AmiryasinM")</f>
        <v>@AmiryasinM</v>
      </c>
      <c r="C4516" s="6" t="s">
        <v>4795</v>
      </c>
      <c r="D4516" s="5" t="s">
        <v>4794</v>
      </c>
      <c r="E4516" s="9" t="str">
        <f>HYPERLINK("https://twitter.com/AmiryasinM/status/1034540944517943297","1034540944517943297")</f>
        <v>1034540944517943297</v>
      </c>
      <c r="F4516" s="4"/>
      <c r="G4516" s="10" t="s">
        <v>4793</v>
      </c>
      <c r="H4516" s="4"/>
      <c r="I4516" s="10" t="str">
        <f>HYPERLINK("http://twitter.com/download/android","Twitter for Android")</f>
        <v>Twitter for Android</v>
      </c>
      <c r="J4516" s="2">
        <v>618</v>
      </c>
      <c r="K4516" s="2">
        <v>548</v>
      </c>
      <c r="L4516" s="2">
        <v>1</v>
      </c>
      <c r="M4516" s="2"/>
      <c r="N4516" s="8">
        <v>42490.622812500005</v>
      </c>
      <c r="O4516" s="4" t="s">
        <v>17</v>
      </c>
      <c r="P4516" s="3" t="s">
        <v>4792</v>
      </c>
      <c r="Q4516" s="4"/>
      <c r="R4516" s="4"/>
      <c r="S4516" s="9" t="str">
        <f>HYPERLINK("https://pbs.twimg.com/profile_images/1001671979957710848/9zGDZkdu.jpg","View")</f>
        <v>View</v>
      </c>
    </row>
    <row r="4517" spans="1:19" ht="30">
      <c r="A4517" s="8">
        <v>43341.047731481478</v>
      </c>
      <c r="B4517" s="11" t="str">
        <f>HYPERLINK("https://twitter.com/Zvy2xXgVT60iu3v","@Zvy2xXgVT60iu3v")</f>
        <v>@Zvy2xXgVT60iu3v</v>
      </c>
      <c r="C4517" s="6" t="s">
        <v>4790</v>
      </c>
      <c r="D4517" s="5" t="s">
        <v>4791</v>
      </c>
      <c r="E4517" s="9" t="str">
        <f>HYPERLINK("https://twitter.com/Zvy2xXgVT60iu3v/status/1034540808723161089","1034540808723161089")</f>
        <v>1034540808723161089</v>
      </c>
      <c r="F4517" s="4"/>
      <c r="G4517" s="4"/>
      <c r="H4517" s="4"/>
      <c r="I4517" s="10" t="str">
        <f>HYPERLINK("http://twitter.com/download/android","Twitter for Android")</f>
        <v>Twitter for Android</v>
      </c>
      <c r="J4517" s="2">
        <v>314</v>
      </c>
      <c r="K4517" s="2">
        <v>464</v>
      </c>
      <c r="L4517" s="2">
        <v>1</v>
      </c>
      <c r="M4517" s="2"/>
      <c r="N4517" s="8">
        <v>42927.924907407403</v>
      </c>
      <c r="O4517" s="4"/>
      <c r="P4517" s="3" t="s">
        <v>4788</v>
      </c>
      <c r="Q4517" s="4"/>
      <c r="R4517" s="4"/>
      <c r="S4517" s="9" t="str">
        <f>HYPERLINK("https://pbs.twimg.com/profile_images/885243982648881152/8Xgxbt0p.jpg","View")</f>
        <v>View</v>
      </c>
    </row>
    <row r="4518" spans="1:19" ht="30">
      <c r="A4518" s="8">
        <v>43341.047719907408</v>
      </c>
      <c r="B4518" s="11" t="str">
        <f>HYPERLINK("https://twitter.com/Zvy2xXgVT60iu3v","@Zvy2xXgVT60iu3v")</f>
        <v>@Zvy2xXgVT60iu3v</v>
      </c>
      <c r="C4518" s="6" t="s">
        <v>4790</v>
      </c>
      <c r="D4518" s="5" t="s">
        <v>4789</v>
      </c>
      <c r="E4518" s="9" t="str">
        <f>HYPERLINK("https://twitter.com/Zvy2xXgVT60iu3v/status/1034540805996900352","1034540805996900352")</f>
        <v>1034540805996900352</v>
      </c>
      <c r="F4518" s="4"/>
      <c r="G4518" s="4"/>
      <c r="H4518" s="4"/>
      <c r="I4518" s="10" t="str">
        <f>HYPERLINK("http://twitter.com/download/android","Twitter for Android")</f>
        <v>Twitter for Android</v>
      </c>
      <c r="J4518" s="2">
        <v>314</v>
      </c>
      <c r="K4518" s="2">
        <v>464</v>
      </c>
      <c r="L4518" s="2">
        <v>1</v>
      </c>
      <c r="M4518" s="2"/>
      <c r="N4518" s="8">
        <v>42927.924907407403</v>
      </c>
      <c r="O4518" s="4"/>
      <c r="P4518" s="3" t="s">
        <v>4788</v>
      </c>
      <c r="Q4518" s="4"/>
      <c r="R4518" s="4"/>
      <c r="S4518" s="9" t="str">
        <f>HYPERLINK("https://pbs.twimg.com/profile_images/885243982648881152/8Xgxbt0p.jpg","View")</f>
        <v>View</v>
      </c>
    </row>
    <row r="4519" spans="1:19" ht="40">
      <c r="A4519" s="8">
        <v>43341.04751157407</v>
      </c>
      <c r="B4519" s="11" t="str">
        <f>HYPERLINK("https://twitter.com/AHbarati_63","@AHbarati_63")</f>
        <v>@AHbarati_63</v>
      </c>
      <c r="C4519" s="6" t="s">
        <v>4675</v>
      </c>
      <c r="D4519" s="5" t="s">
        <v>4787</v>
      </c>
      <c r="E4519" s="9" t="str">
        <f>HYPERLINK("https://twitter.com/AHbarati_63/status/1034540730088210432","1034540730088210432")</f>
        <v>1034540730088210432</v>
      </c>
      <c r="F4519" s="4"/>
      <c r="G4519" s="4"/>
      <c r="H4519" s="4"/>
      <c r="I4519" s="10" t="str">
        <f>HYPERLINK("http://twitter.com","Twitter Web Client")</f>
        <v>Twitter Web Client</v>
      </c>
      <c r="J4519" s="2">
        <v>27</v>
      </c>
      <c r="K4519" s="2">
        <v>39</v>
      </c>
      <c r="L4519" s="2">
        <v>0</v>
      </c>
      <c r="M4519" s="2"/>
      <c r="N4519" s="8">
        <v>43287.855428240742</v>
      </c>
      <c r="O4519" s="4" t="s">
        <v>4673</v>
      </c>
      <c r="P4519" s="3" t="s">
        <v>4672</v>
      </c>
      <c r="Q4519" s="4"/>
      <c r="R4519" s="4"/>
      <c r="S4519" s="9" t="str">
        <f>HYPERLINK("https://pbs.twimg.com/profile_images/1021711725572239362/Z0x42RtO.jpg","View")</f>
        <v>View</v>
      </c>
    </row>
    <row r="4520" spans="1:19" ht="40">
      <c r="A4520" s="8">
        <v>43341.047256944439</v>
      </c>
      <c r="B4520" s="11" t="str">
        <f>HYPERLINK("https://twitter.com/m_r_gh_1989","@m_r_gh_1989")</f>
        <v>@m_r_gh_1989</v>
      </c>
      <c r="C4520" s="6" t="s">
        <v>4786</v>
      </c>
      <c r="D4520" s="5" t="s">
        <v>4785</v>
      </c>
      <c r="E4520" s="9" t="str">
        <f>HYPERLINK("https://twitter.com/m_r_gh_1989/status/1034540639260762112","1034540639260762112")</f>
        <v>1034540639260762112</v>
      </c>
      <c r="F4520" s="4"/>
      <c r="G4520" s="4"/>
      <c r="H4520" s="4"/>
      <c r="I4520" s="10" t="str">
        <f>HYPERLINK("http://twitter.com/download/android","Twitter for Android")</f>
        <v>Twitter for Android</v>
      </c>
      <c r="J4520" s="2">
        <v>206</v>
      </c>
      <c r="K4520" s="2">
        <v>234</v>
      </c>
      <c r="L4520" s="2">
        <v>2</v>
      </c>
      <c r="M4520" s="2"/>
      <c r="N4520" s="8">
        <v>41576.281504629631</v>
      </c>
      <c r="O4520" s="4" t="s">
        <v>4784</v>
      </c>
      <c r="P4520" s="3" t="s">
        <v>4783</v>
      </c>
      <c r="Q4520" s="4"/>
      <c r="R4520" s="4"/>
      <c r="S4520" s="9" t="str">
        <f>HYPERLINK("https://pbs.twimg.com/profile_images/994699921092698112/y9UE00OO.jpg","View")</f>
        <v>View</v>
      </c>
    </row>
    <row r="4521" spans="1:19" ht="12.5">
      <c r="A4521" s="8">
        <v>43341.0471875</v>
      </c>
      <c r="B4521" s="11" t="str">
        <f>HYPERLINK("https://twitter.com/sarch24","@sarch24")</f>
        <v>@sarch24</v>
      </c>
      <c r="C4521" s="6" t="s">
        <v>4782</v>
      </c>
      <c r="D4521" s="5" t="s">
        <v>4781</v>
      </c>
      <c r="E4521" s="9" t="str">
        <f>HYPERLINK("https://twitter.com/sarch24/status/1034540613369249793","1034540613369249793")</f>
        <v>1034540613369249793</v>
      </c>
      <c r="F4521" s="4"/>
      <c r="G4521" s="4"/>
      <c r="H4521" s="4"/>
      <c r="I4521" s="10" t="str">
        <f>HYPERLINK("http://twitter.com/download/android","Twitter for Android")</f>
        <v>Twitter for Android</v>
      </c>
      <c r="J4521" s="2">
        <v>359</v>
      </c>
      <c r="K4521" s="2">
        <v>487</v>
      </c>
      <c r="L4521" s="2">
        <v>0</v>
      </c>
      <c r="M4521" s="2"/>
      <c r="N4521" s="8">
        <v>42907.126701388886</v>
      </c>
      <c r="O4521" s="4" t="s">
        <v>4780</v>
      </c>
      <c r="P4521" s="3" t="s">
        <v>4779</v>
      </c>
      <c r="Q4521" s="4"/>
      <c r="R4521" s="4"/>
      <c r="S4521" s="9" t="str">
        <f>HYPERLINK("https://pbs.twimg.com/profile_images/994305637193535488/EUxGDSsQ.jpg","View")</f>
        <v>View</v>
      </c>
    </row>
    <row r="4522" spans="1:19" ht="20">
      <c r="A4522" s="8">
        <v>43341.046018518522</v>
      </c>
      <c r="B4522" s="11" t="str">
        <f>HYPERLINK("https://twitter.com/roozbehizadyar","@roozbehizadyar")</f>
        <v>@roozbehizadyar</v>
      </c>
      <c r="C4522" s="6" t="s">
        <v>4778</v>
      </c>
      <c r="D4522" s="5" t="s">
        <v>4777</v>
      </c>
      <c r="E4522" s="9" t="str">
        <f>HYPERLINK("https://twitter.com/roozbehizadyar/status/1034540190444998662","1034540190444998662")</f>
        <v>1034540190444998662</v>
      </c>
      <c r="F4522" s="4"/>
      <c r="G4522" s="4"/>
      <c r="H4522" s="4"/>
      <c r="I4522" s="10" t="str">
        <f>HYPERLINK("http://twitter.com/download/android","Twitter for Android")</f>
        <v>Twitter for Android</v>
      </c>
      <c r="J4522" s="2">
        <v>8</v>
      </c>
      <c r="K4522" s="2">
        <v>17</v>
      </c>
      <c r="L4522" s="2">
        <v>0</v>
      </c>
      <c r="M4522" s="2"/>
      <c r="N4522" s="8">
        <v>43305.078865740739</v>
      </c>
      <c r="O4522" s="4"/>
      <c r="P4522" s="3" t="s">
        <v>4776</v>
      </c>
      <c r="Q4522" s="4"/>
      <c r="R4522" s="4"/>
      <c r="S4522" s="9" t="str">
        <f>HYPERLINK("https://pbs.twimg.com/profile_images/1021511130248830976/7P9DjAm5.jpg","View")</f>
        <v>View</v>
      </c>
    </row>
    <row r="4523" spans="1:19" ht="30">
      <c r="A4523" s="8">
        <v>43341.045960648145</v>
      </c>
      <c r="B4523" s="11" t="str">
        <f>HYPERLINK("https://twitter.com/avare3333","@avare3333")</f>
        <v>@avare3333</v>
      </c>
      <c r="C4523" s="6" t="s">
        <v>4775</v>
      </c>
      <c r="D4523" s="5" t="s">
        <v>4774</v>
      </c>
      <c r="E4523" s="9" t="str">
        <f>HYPERLINK("https://twitter.com/avare3333/status/1034540168932405254","1034540168932405254")</f>
        <v>1034540168932405254</v>
      </c>
      <c r="F4523" s="4"/>
      <c r="G4523" s="4"/>
      <c r="H4523" s="4"/>
      <c r="I4523" s="10" t="str">
        <f>HYPERLINK("http://twitter.com/download/android","Twitter for Android")</f>
        <v>Twitter for Android</v>
      </c>
      <c r="J4523" s="2">
        <v>34</v>
      </c>
      <c r="K4523" s="2">
        <v>47</v>
      </c>
      <c r="L4523" s="2">
        <v>0</v>
      </c>
      <c r="M4523" s="2"/>
      <c r="N4523" s="8">
        <v>42766.981724537036</v>
      </c>
      <c r="O4523" s="4" t="s">
        <v>4773</v>
      </c>
      <c r="P4523" s="3" t="s">
        <v>4772</v>
      </c>
      <c r="Q4523" s="4"/>
      <c r="R4523" s="4"/>
      <c r="S4523" s="9" t="str">
        <f>HYPERLINK("https://pbs.twimg.com/profile_images/862537510118977536/762Un5dv.jpg","View")</f>
        <v>View</v>
      </c>
    </row>
    <row r="4524" spans="1:19" ht="30">
      <c r="A4524" s="8">
        <v>43341.04550925926</v>
      </c>
      <c r="B4524" s="11" t="str">
        <f>HYPERLINK("https://twitter.com/bibandobar","@bibandobar")</f>
        <v>@bibandobar</v>
      </c>
      <c r="C4524" s="6" t="s">
        <v>4771</v>
      </c>
      <c r="D4524" s="5" t="s">
        <v>4770</v>
      </c>
      <c r="E4524" s="9" t="str">
        <f>HYPERLINK("https://twitter.com/bibandobar/status/1034540005077737472","1034540005077737472")</f>
        <v>1034540005077737472</v>
      </c>
      <c r="F4524" s="4"/>
      <c r="G4524" s="4"/>
      <c r="H4524" s="4"/>
      <c r="I4524" s="10" t="str">
        <f>HYPERLINK("http://twitter.com/download/iphone","Twitter for iPhone")</f>
        <v>Twitter for iPhone</v>
      </c>
      <c r="J4524" s="2">
        <v>1015</v>
      </c>
      <c r="K4524" s="2">
        <v>748</v>
      </c>
      <c r="L4524" s="2">
        <v>0</v>
      </c>
      <c r="M4524" s="2"/>
      <c r="N4524" s="8">
        <v>43250.819965277777</v>
      </c>
      <c r="O4524" s="4" t="s">
        <v>4769</v>
      </c>
      <c r="P4524" s="3" t="s">
        <v>4768</v>
      </c>
      <c r="Q4524" s="4"/>
      <c r="R4524" s="4"/>
      <c r="S4524" s="9" t="str">
        <f>HYPERLINK("https://pbs.twimg.com/profile_images/1025000299981889538/-koeTqrN.jpg","View")</f>
        <v>View</v>
      </c>
    </row>
    <row r="4525" spans="1:19" ht="20">
      <c r="A4525" s="8">
        <v>43341.044965277775</v>
      </c>
      <c r="B4525" s="11" t="str">
        <f>HYPERLINK("https://twitter.com/its_babak","@its_babak")</f>
        <v>@its_babak</v>
      </c>
      <c r="C4525" s="6" t="s">
        <v>4767</v>
      </c>
      <c r="D4525" s="5" t="s">
        <v>4766</v>
      </c>
      <c r="E4525" s="9" t="str">
        <f>HYPERLINK("https://twitter.com/its_babak/status/1034539805072404480","1034539805072404480")</f>
        <v>1034539805072404480</v>
      </c>
      <c r="F4525" s="4"/>
      <c r="G4525" s="4"/>
      <c r="H4525" s="4"/>
      <c r="I4525" s="10" t="str">
        <f>HYPERLINK("http://twitter.com/download/android","Twitter for Android")</f>
        <v>Twitter for Android</v>
      </c>
      <c r="J4525" s="2">
        <v>1052</v>
      </c>
      <c r="K4525" s="2">
        <v>825</v>
      </c>
      <c r="L4525" s="2">
        <v>3</v>
      </c>
      <c r="M4525" s="2"/>
      <c r="N4525" s="8">
        <v>43145.206030092595</v>
      </c>
      <c r="O4525" s="4" t="s">
        <v>4765</v>
      </c>
      <c r="P4525" s="3" t="s">
        <v>4764</v>
      </c>
      <c r="Q4525" s="10" t="s">
        <v>4763</v>
      </c>
      <c r="R4525" s="4"/>
      <c r="S4525" s="9" t="str">
        <f>HYPERLINK("https://pbs.twimg.com/profile_images/1026384406150361088/pqBhTSvf.jpg","View")</f>
        <v>View</v>
      </c>
    </row>
    <row r="4526" spans="1:19" ht="30">
      <c r="A4526" s="8">
        <v>43341.044629629629</v>
      </c>
      <c r="B4526" s="11" t="str">
        <f>HYPERLINK("https://twitter.com/Behnoud1995","@Behnoud1995")</f>
        <v>@Behnoud1995</v>
      </c>
      <c r="C4526" s="6" t="s">
        <v>4762</v>
      </c>
      <c r="D4526" s="5" t="s">
        <v>4761</v>
      </c>
      <c r="E4526" s="9" t="str">
        <f>HYPERLINK("https://twitter.com/Behnoud1995/status/1034539686776262656","1034539686776262656")</f>
        <v>1034539686776262656</v>
      </c>
      <c r="F4526" s="4"/>
      <c r="G4526" s="4"/>
      <c r="H4526" s="4"/>
      <c r="I4526" s="10" t="str">
        <f>HYPERLINK("http://twitter.com","Twitter Web Client")</f>
        <v>Twitter Web Client</v>
      </c>
      <c r="J4526" s="2">
        <v>3196</v>
      </c>
      <c r="K4526" s="2">
        <v>2090</v>
      </c>
      <c r="L4526" s="2">
        <v>3</v>
      </c>
      <c r="M4526" s="2"/>
      <c r="N4526" s="8">
        <v>42830.016608796301</v>
      </c>
      <c r="O4526" s="4" t="s">
        <v>4760</v>
      </c>
      <c r="P4526" s="3" t="s">
        <v>4759</v>
      </c>
      <c r="Q4526" s="10" t="s">
        <v>4758</v>
      </c>
      <c r="R4526" s="4"/>
      <c r="S4526" s="9" t="str">
        <f>HYPERLINK("https://pbs.twimg.com/profile_images/1017368036326756352/6O3gRJnW.jpg","View")</f>
        <v>View</v>
      </c>
    </row>
    <row r="4527" spans="1:19" ht="20">
      <c r="A4527" s="8">
        <v>43341.044398148151</v>
      </c>
      <c r="B4527" s="11" t="str">
        <f>HYPERLINK("https://twitter.com/222tilit","@222tilit")</f>
        <v>@222tilit</v>
      </c>
      <c r="C4527" s="6" t="s">
        <v>4757</v>
      </c>
      <c r="D4527" s="5" t="s">
        <v>4756</v>
      </c>
      <c r="E4527" s="9" t="str">
        <f>HYPERLINK("https://twitter.com/222tilit/status/1034539602089050113","1034539602089050113")</f>
        <v>1034539602089050113</v>
      </c>
      <c r="F4527" s="4"/>
      <c r="G4527" s="4"/>
      <c r="H4527" s="4"/>
      <c r="I4527" s="10" t="str">
        <f>HYPERLINK("http://twitter.com/download/android","Twitter for Android")</f>
        <v>Twitter for Android</v>
      </c>
      <c r="J4527" s="2">
        <v>2652</v>
      </c>
      <c r="K4527" s="2">
        <v>1414</v>
      </c>
      <c r="L4527" s="2">
        <v>5</v>
      </c>
      <c r="M4527" s="2"/>
      <c r="N4527" s="8">
        <v>42915.957592592589</v>
      </c>
      <c r="O4527" s="4" t="s">
        <v>4755</v>
      </c>
      <c r="P4527" s="3" t="s">
        <v>4754</v>
      </c>
      <c r="Q4527" s="4"/>
      <c r="R4527" s="4"/>
      <c r="S4527" s="9" t="str">
        <f>HYPERLINK("https://pbs.twimg.com/profile_images/1011163389886959616/f1uUp1lN.jpg","View")</f>
        <v>View</v>
      </c>
    </row>
    <row r="4528" spans="1:19" ht="20">
      <c r="A4528" s="8">
        <v>43341.043263888889</v>
      </c>
      <c r="B4528" s="11" t="str">
        <f>HYPERLINK("https://twitter.com/del2dal","@del2dal")</f>
        <v>@del2dal</v>
      </c>
      <c r="C4528" s="6" t="s">
        <v>4753</v>
      </c>
      <c r="D4528" s="5" t="s">
        <v>4752</v>
      </c>
      <c r="E4528" s="9" t="str">
        <f>HYPERLINK("https://twitter.com/del2dal/status/1034539190233575424","1034539190233575424")</f>
        <v>1034539190233575424</v>
      </c>
      <c r="F4528" s="4"/>
      <c r="G4528" s="4"/>
      <c r="H4528" s="4"/>
      <c r="I4528" s="10" t="str">
        <f>HYPERLINK("https://mobile.twitter.com","Twitter Lite")</f>
        <v>Twitter Lite</v>
      </c>
      <c r="J4528" s="2">
        <v>5</v>
      </c>
      <c r="K4528" s="2">
        <v>23</v>
      </c>
      <c r="L4528" s="2">
        <v>0</v>
      </c>
      <c r="M4528" s="2"/>
      <c r="N4528" s="8">
        <v>39982.268148148149</v>
      </c>
      <c r="O4528" s="4" t="s">
        <v>4751</v>
      </c>
      <c r="P4528" s="3" t="s">
        <v>4750</v>
      </c>
      <c r="Q4528" s="4"/>
      <c r="R4528" s="4"/>
      <c r="S4528" s="2" t="s">
        <v>155</v>
      </c>
    </row>
    <row r="4529" spans="1:19" ht="20">
      <c r="A4529" s="8">
        <v>43341.04315972222</v>
      </c>
      <c r="B4529" s="11" t="str">
        <f>HYPERLINK("https://twitter.com/sadatkhanoom","@sadatkhanoom")</f>
        <v>@sadatkhanoom</v>
      </c>
      <c r="C4529" s="6" t="s">
        <v>4749</v>
      </c>
      <c r="D4529" s="5" t="s">
        <v>4748</v>
      </c>
      <c r="E4529" s="9" t="str">
        <f>HYPERLINK("https://twitter.com/sadatkhanoom/status/1034539154795888640","1034539154795888640")</f>
        <v>1034539154795888640</v>
      </c>
      <c r="F4529" s="10" t="s">
        <v>4747</v>
      </c>
      <c r="G4529" s="4"/>
      <c r="H4529" s="4"/>
      <c r="I4529" s="10" t="str">
        <f>HYPERLINK("http://www.facebook.com/twitter","Facebook")</f>
        <v>Facebook</v>
      </c>
      <c r="J4529" s="2">
        <v>1001</v>
      </c>
      <c r="K4529" s="2">
        <v>51</v>
      </c>
      <c r="L4529" s="2">
        <v>6</v>
      </c>
      <c r="M4529" s="2"/>
      <c r="N4529" s="8">
        <v>41375.524444444447</v>
      </c>
      <c r="O4529" s="4"/>
      <c r="P4529" s="3" t="s">
        <v>4746</v>
      </c>
      <c r="Q4529" s="4"/>
      <c r="R4529" s="4"/>
      <c r="S4529" s="9" t="str">
        <f>HYPERLINK("https://pbs.twimg.com/profile_images/3505516847/b266ce23ad933610029ac3cbf7e04a8b.jpeg","View")</f>
        <v>View</v>
      </c>
    </row>
    <row r="4530" spans="1:19" ht="20">
      <c r="A4530" s="8">
        <v>43341.042314814811</v>
      </c>
      <c r="B4530" s="11" t="str">
        <f>HYPERLINK("https://twitter.com/manimssn","@manimssn")</f>
        <v>@manimssn</v>
      </c>
      <c r="C4530" s="6" t="s">
        <v>4745</v>
      </c>
      <c r="D4530" s="5" t="s">
        <v>4744</v>
      </c>
      <c r="E4530" s="9" t="str">
        <f>HYPERLINK("https://twitter.com/manimssn/status/1034538846644563975","1034538846644563975")</f>
        <v>1034538846644563975</v>
      </c>
      <c r="F4530" s="4"/>
      <c r="G4530" s="4"/>
      <c r="H4530" s="4"/>
      <c r="I4530" s="10" t="str">
        <f>HYPERLINK("http://twitter.com/download/iphone","Twitter for iPhone")</f>
        <v>Twitter for iPhone</v>
      </c>
      <c r="J4530" s="2">
        <v>283</v>
      </c>
      <c r="K4530" s="2">
        <v>180</v>
      </c>
      <c r="L4530" s="2">
        <v>0</v>
      </c>
      <c r="M4530" s="2"/>
      <c r="N4530" s="8">
        <v>40614.654016203705</v>
      </c>
      <c r="O4530" s="4" t="s">
        <v>1113</v>
      </c>
      <c r="P4530" s="3" t="s">
        <v>4743</v>
      </c>
      <c r="Q4530" s="4"/>
      <c r="R4530" s="4"/>
      <c r="S4530" s="9" t="str">
        <f>HYPERLINK("https://pbs.twimg.com/profile_images/1032647999120437250/4uqX-alt.jpg","View")</f>
        <v>View</v>
      </c>
    </row>
    <row r="4531" spans="1:19" ht="20">
      <c r="A4531" s="8">
        <v>43341.041886574079</v>
      </c>
      <c r="B4531" s="11" t="str">
        <f>HYPERLINK("https://twitter.com/Garmaiil","@Garmaiil")</f>
        <v>@Garmaiil</v>
      </c>
      <c r="C4531" s="6" t="s">
        <v>4742</v>
      </c>
      <c r="D4531" s="5" t="s">
        <v>4741</v>
      </c>
      <c r="E4531" s="9" t="str">
        <f>HYPERLINK("https://twitter.com/Garmaiil/status/1034538692470300673","1034538692470300673")</f>
        <v>1034538692470300673</v>
      </c>
      <c r="F4531" s="4"/>
      <c r="G4531" s="10" t="s">
        <v>4740</v>
      </c>
      <c r="H4531" s="4"/>
      <c r="I4531" s="10" t="str">
        <f>HYPERLINK("http://twitter.com/download/android","Twitter for Android")</f>
        <v>Twitter for Android</v>
      </c>
      <c r="J4531" s="2">
        <v>446</v>
      </c>
      <c r="K4531" s="2">
        <v>766</v>
      </c>
      <c r="L4531" s="2">
        <v>0</v>
      </c>
      <c r="M4531" s="2"/>
      <c r="N4531" s="8">
        <v>43283.914456018523</v>
      </c>
      <c r="O4531" s="4" t="s">
        <v>4739</v>
      </c>
      <c r="P4531" s="3" t="s">
        <v>4738</v>
      </c>
      <c r="Q4531" s="4"/>
      <c r="R4531" s="4"/>
      <c r="S4531" s="9" t="str">
        <f>HYPERLINK("https://pbs.twimg.com/profile_images/1013841682847141894/DGILkGMC.jpg","View")</f>
        <v>View</v>
      </c>
    </row>
    <row r="4532" spans="1:19" ht="30">
      <c r="A4532" s="8">
        <v>43341.041886574079</v>
      </c>
      <c r="B4532" s="11" t="str">
        <f>HYPERLINK("https://twitter.com/ashkanliberal","@ashkanliberal")</f>
        <v>@ashkanliberal</v>
      </c>
      <c r="C4532" s="6" t="s">
        <v>4737</v>
      </c>
      <c r="D4532" s="5" t="s">
        <v>4736</v>
      </c>
      <c r="E4532" s="9" t="str">
        <f>HYPERLINK("https://twitter.com/ashkanliberal/status/1034538691505664005","1034538691505664005")</f>
        <v>1034538691505664005</v>
      </c>
      <c r="F4532" s="4"/>
      <c r="G4532" s="4"/>
      <c r="H4532" s="4"/>
      <c r="I4532" s="10" t="str">
        <f>HYPERLINK("http://twitter.com/download/android","Twitter for Android")</f>
        <v>Twitter for Android</v>
      </c>
      <c r="J4532" s="2">
        <v>55</v>
      </c>
      <c r="K4532" s="2">
        <v>152</v>
      </c>
      <c r="L4532" s="2">
        <v>1</v>
      </c>
      <c r="M4532" s="2"/>
      <c r="N4532" s="8">
        <v>43337.104675925926</v>
      </c>
      <c r="O4532" s="4" t="s">
        <v>34</v>
      </c>
      <c r="P4532" s="3" t="s">
        <v>4735</v>
      </c>
      <c r="Q4532" s="4"/>
      <c r="R4532" s="4"/>
      <c r="S4532" s="9" t="str">
        <f>HYPERLINK("https://pbs.twimg.com/profile_images/1033112977753468929/QJzf8Dro.jpg","View")</f>
        <v>View</v>
      </c>
    </row>
    <row r="4533" spans="1:19" ht="40">
      <c r="A4533" s="8">
        <v>43341.041828703703</v>
      </c>
      <c r="B4533" s="11" t="str">
        <f>HYPERLINK("https://twitter.com/mostafazadehxoy","@mostafazadehxoy")</f>
        <v>@mostafazadehxoy</v>
      </c>
      <c r="C4533" s="6" t="s">
        <v>4734</v>
      </c>
      <c r="D4533" s="5" t="s">
        <v>4733</v>
      </c>
      <c r="E4533" s="9" t="str">
        <f>HYPERLINK("https://twitter.com/mostafazadehxoy/status/1034538669623762944","1034538669623762944")</f>
        <v>1034538669623762944</v>
      </c>
      <c r="F4533" s="4"/>
      <c r="G4533" s="4"/>
      <c r="H4533" s="4"/>
      <c r="I4533" s="10" t="str">
        <f>HYPERLINK("http://twitter.com/download/android","Twitter for Android")</f>
        <v>Twitter for Android</v>
      </c>
      <c r="J4533" s="2">
        <v>25</v>
      </c>
      <c r="K4533" s="2">
        <v>77</v>
      </c>
      <c r="L4533" s="2">
        <v>0</v>
      </c>
      <c r="M4533" s="2"/>
      <c r="N4533" s="8">
        <v>43105.009606481486</v>
      </c>
      <c r="O4533" s="4"/>
      <c r="P4533" s="3"/>
      <c r="Q4533" s="4"/>
      <c r="R4533" s="4"/>
      <c r="S4533" s="9" t="str">
        <f>HYPERLINK("https://pbs.twimg.com/profile_images/949287283861131264/v3Y264rk.jpg","View")</f>
        <v>View</v>
      </c>
    </row>
    <row r="4534" spans="1:19" ht="40">
      <c r="A4534" s="8">
        <v>43341.041701388887</v>
      </c>
      <c r="B4534" s="11" t="str">
        <f>HYPERLINK("https://twitter.com/amin9453","@amin9453")</f>
        <v>@amin9453</v>
      </c>
      <c r="C4534" s="6" t="s">
        <v>4732</v>
      </c>
      <c r="D4534" s="5" t="s">
        <v>4731</v>
      </c>
      <c r="E4534" s="9" t="str">
        <f>HYPERLINK("https://twitter.com/amin9453/status/1034538624124170240","1034538624124170240")</f>
        <v>1034538624124170240</v>
      </c>
      <c r="F4534" s="4"/>
      <c r="G4534" s="4"/>
      <c r="H4534" s="4"/>
      <c r="I4534" s="10" t="str">
        <f>HYPERLINK("http://twitter.com/download/android","Twitter for Android")</f>
        <v>Twitter for Android</v>
      </c>
      <c r="J4534" s="2">
        <v>1151</v>
      </c>
      <c r="K4534" s="2">
        <v>768</v>
      </c>
      <c r="L4534" s="2">
        <v>5</v>
      </c>
      <c r="M4534" s="2"/>
      <c r="N4534" s="8">
        <v>42989.96539351852</v>
      </c>
      <c r="O4534" s="4"/>
      <c r="P4534" s="3" t="s">
        <v>4730</v>
      </c>
      <c r="Q4534" s="4"/>
      <c r="R4534" s="4"/>
      <c r="S4534" s="9" t="str">
        <f>HYPERLINK("https://pbs.twimg.com/profile_images/907560034330128384/fOqh5Se4.jpg","View")</f>
        <v>View</v>
      </c>
    </row>
    <row r="4535" spans="1:19" ht="40">
      <c r="A4535" s="8">
        <v>43341.041666666672</v>
      </c>
      <c r="B4535" s="11" t="str">
        <f>HYPERLINK("https://twitter.com/nasleranj","@nasleranj")</f>
        <v>@nasleranj</v>
      </c>
      <c r="C4535" s="6" t="s">
        <v>4379</v>
      </c>
      <c r="D4535" s="5" t="s">
        <v>4729</v>
      </c>
      <c r="E4535" s="9" t="str">
        <f>HYPERLINK("https://twitter.com/nasleranj/status/1034538613797728258","1034538613797728258")</f>
        <v>1034538613797728258</v>
      </c>
      <c r="F4535" s="4"/>
      <c r="G4535" s="4"/>
      <c r="H4535" s="4"/>
      <c r="I4535" s="10" t="str">
        <f>HYPERLINK("http://twitter.com/download/android","Twitter for Android")</f>
        <v>Twitter for Android</v>
      </c>
      <c r="J4535" s="2">
        <v>1051</v>
      </c>
      <c r="K4535" s="2">
        <v>440</v>
      </c>
      <c r="L4535" s="2">
        <v>6</v>
      </c>
      <c r="M4535" s="2"/>
      <c r="N4535" s="8">
        <v>42767.068020833336</v>
      </c>
      <c r="O4535" s="4" t="s">
        <v>4377</v>
      </c>
      <c r="P4535" s="3" t="s">
        <v>4376</v>
      </c>
      <c r="Q4535" s="4"/>
      <c r="R4535" s="4"/>
      <c r="S4535" s="9" t="str">
        <f>HYPERLINK("https://pbs.twimg.com/profile_images/1028570341805879296/AEb7yQF2.jpg","View")</f>
        <v>View</v>
      </c>
    </row>
    <row r="4536" spans="1:19" ht="40">
      <c r="A4536" s="8">
        <v>43341.041643518518</v>
      </c>
      <c r="B4536" s="11" t="str">
        <f>HYPERLINK("https://twitter.com/nasim_tavakol","@nasim_tavakol")</f>
        <v>@nasim_tavakol</v>
      </c>
      <c r="C4536" s="6" t="s">
        <v>4728</v>
      </c>
      <c r="D4536" s="5" t="s">
        <v>4727</v>
      </c>
      <c r="E4536" s="9" t="str">
        <f>HYPERLINK("https://twitter.com/nasim_tavakol/status/1034538603907563521","1034538603907563521")</f>
        <v>1034538603907563521</v>
      </c>
      <c r="F4536" s="4"/>
      <c r="G4536" s="4"/>
      <c r="H4536" s="4"/>
      <c r="I4536" s="10" t="str">
        <f>HYPERLINK("http://twitter.com/download/iphone","Twitter for iPhone")</f>
        <v>Twitter for iPhone</v>
      </c>
      <c r="J4536" s="2">
        <v>452</v>
      </c>
      <c r="K4536" s="2">
        <v>779</v>
      </c>
      <c r="L4536" s="2">
        <v>1</v>
      </c>
      <c r="M4536" s="2"/>
      <c r="N4536" s="8">
        <v>42981.026620370365</v>
      </c>
      <c r="O4536" s="4" t="s">
        <v>34</v>
      </c>
      <c r="P4536" s="3" t="s">
        <v>4726</v>
      </c>
      <c r="Q4536" s="10" t="s">
        <v>4725</v>
      </c>
      <c r="R4536" s="4"/>
      <c r="S4536" s="9" t="str">
        <f>HYPERLINK("https://pbs.twimg.com/profile_images/904076882911645697/nMvHxPQ7.jpg","View")</f>
        <v>View</v>
      </c>
    </row>
    <row r="4537" spans="1:19" ht="20">
      <c r="A4537" s="8">
        <v>43341.04106481481</v>
      </c>
      <c r="B4537" s="11" t="str">
        <f>HYPERLINK("https://twitter.com/SaeedMohebbiIR","@SaeedMohebbiIR")</f>
        <v>@SaeedMohebbiIR</v>
      </c>
      <c r="C4537" s="6" t="s">
        <v>4724</v>
      </c>
      <c r="D4537" s="5" t="s">
        <v>4723</v>
      </c>
      <c r="E4537" s="9" t="str">
        <f>HYPERLINK("https://twitter.com/SaeedMohebbiIR/status/1034538392787279872","1034538392787279872")</f>
        <v>1034538392787279872</v>
      </c>
      <c r="F4537" s="4"/>
      <c r="G4537" s="4"/>
      <c r="H4537" s="4"/>
      <c r="I4537" s="10" t="str">
        <f>HYPERLINK("http://twitter.com/download/android","Twitter for Android")</f>
        <v>Twitter for Android</v>
      </c>
      <c r="J4537" s="2">
        <v>0</v>
      </c>
      <c r="K4537" s="2">
        <v>11</v>
      </c>
      <c r="L4537" s="2">
        <v>0</v>
      </c>
      <c r="M4537" s="2"/>
      <c r="N4537" s="8">
        <v>42877.444965277777</v>
      </c>
      <c r="O4537" s="4" t="s">
        <v>4722</v>
      </c>
      <c r="P4537" s="3"/>
      <c r="Q4537" s="4"/>
      <c r="R4537" s="4"/>
      <c r="S4537" s="9" t="str">
        <f>HYPERLINK("https://pbs.twimg.com/profile_images/1034533477960622082/AhF1TIQB.jpg","View")</f>
        <v>View</v>
      </c>
    </row>
    <row r="4538" spans="1:19" ht="20">
      <c r="A4538" s="8">
        <v>43341.040983796294</v>
      </c>
      <c r="B4538" s="11" t="str">
        <f>HYPERLINK("https://twitter.com/HajipourS","@HajipourS")</f>
        <v>@HajipourS</v>
      </c>
      <c r="C4538" s="6" t="s">
        <v>4721</v>
      </c>
      <c r="D4538" s="5" t="s">
        <v>4720</v>
      </c>
      <c r="E4538" s="9" t="str">
        <f>HYPERLINK("https://twitter.com/HajipourS/status/1034538364811268097","1034538364811268097")</f>
        <v>1034538364811268097</v>
      </c>
      <c r="F4538" s="4"/>
      <c r="G4538" s="4"/>
      <c r="H4538" s="4"/>
      <c r="I4538" s="10" t="str">
        <f>HYPERLINK("http://twitter.com/download/android","Twitter for Android")</f>
        <v>Twitter for Android</v>
      </c>
      <c r="J4538" s="2">
        <v>359</v>
      </c>
      <c r="K4538" s="2">
        <v>382</v>
      </c>
      <c r="L4538" s="2">
        <v>0</v>
      </c>
      <c r="M4538" s="2"/>
      <c r="N4538" s="8">
        <v>43243.066354166665</v>
      </c>
      <c r="O4538" s="4"/>
      <c r="P4538" s="3" t="s">
        <v>4719</v>
      </c>
      <c r="Q4538" s="4"/>
      <c r="R4538" s="4"/>
      <c r="S4538" s="9" t="str">
        <f>HYPERLINK("https://pbs.twimg.com/profile_images/1005088607546363904/jDfMRSzk.jpg","View")</f>
        <v>View</v>
      </c>
    </row>
    <row r="4539" spans="1:19" ht="20">
      <c r="A4539" s="8">
        <v>43341.04069444444</v>
      </c>
      <c r="B4539" s="11" t="str">
        <f>HYPERLINK("https://twitter.com/A_H_safari","@A_H_safari")</f>
        <v>@A_H_safari</v>
      </c>
      <c r="C4539" s="6" t="s">
        <v>4718</v>
      </c>
      <c r="D4539" s="5" t="s">
        <v>4717</v>
      </c>
      <c r="E4539" s="9" t="str">
        <f>HYPERLINK("https://twitter.com/A_H_safari/status/1034538257416114177","1034538257416114177")</f>
        <v>1034538257416114177</v>
      </c>
      <c r="F4539" s="4"/>
      <c r="G4539" s="4"/>
      <c r="H4539" s="4"/>
      <c r="I4539" s="10" t="str">
        <f>HYPERLINK("http://twitter.com/download/android","Twitter for Android")</f>
        <v>Twitter for Android</v>
      </c>
      <c r="J4539" s="2">
        <v>13</v>
      </c>
      <c r="K4539" s="2">
        <v>25</v>
      </c>
      <c r="L4539" s="2">
        <v>0</v>
      </c>
      <c r="M4539" s="2"/>
      <c r="N4539" s="8">
        <v>42899.759386574078</v>
      </c>
      <c r="O4539" s="4" t="s">
        <v>34</v>
      </c>
      <c r="P4539" s="3" t="s">
        <v>4716</v>
      </c>
      <c r="Q4539" s="4"/>
      <c r="R4539" s="4"/>
      <c r="S4539" s="9" t="str">
        <f>HYPERLINK("https://pbs.twimg.com/profile_images/1034176798194577408/xfsT7hwZ.jpg","View")</f>
        <v>View</v>
      </c>
    </row>
    <row r="4540" spans="1:19" ht="12.5">
      <c r="A4540" s="8">
        <v>43341.039942129632</v>
      </c>
      <c r="B4540" s="11" t="str">
        <f>HYPERLINK("https://twitter.com/EngSaboryfard","@EngSaboryfard")</f>
        <v>@EngSaboryfard</v>
      </c>
      <c r="C4540" s="6" t="s">
        <v>4704</v>
      </c>
      <c r="D4540" s="5" t="s">
        <v>4715</v>
      </c>
      <c r="E4540" s="9" t="str">
        <f>HYPERLINK("https://twitter.com/EngSaboryfard/status/1034537985667203077","1034537985667203077")</f>
        <v>1034537985667203077</v>
      </c>
      <c r="F4540" s="4"/>
      <c r="G4540" s="4"/>
      <c r="H4540" s="4"/>
      <c r="I4540" s="10" t="str">
        <f>HYPERLINK("http://twitter.com/download/android","Twitter for Android")</f>
        <v>Twitter for Android</v>
      </c>
      <c r="J4540" s="2">
        <v>28</v>
      </c>
      <c r="K4540" s="2">
        <v>320</v>
      </c>
      <c r="L4540" s="2">
        <v>0</v>
      </c>
      <c r="M4540" s="2"/>
      <c r="N4540" s="8">
        <v>43315.893877314811</v>
      </c>
      <c r="O4540" s="4" t="s">
        <v>4702</v>
      </c>
      <c r="P4540" s="3"/>
      <c r="Q4540" s="4"/>
      <c r="R4540" s="4"/>
      <c r="S4540" s="9" t="str">
        <f>HYPERLINK("https://pbs.twimg.com/profile_images/1027668025074483203/_pwqJQgE.jpg","View")</f>
        <v>View</v>
      </c>
    </row>
    <row r="4541" spans="1:19" ht="30">
      <c r="A4541" s="8">
        <v>43341.039502314816</v>
      </c>
      <c r="B4541" s="11" t="str">
        <f>HYPERLINK("https://twitter.com/haj_Einstein","@haj_Einstein")</f>
        <v>@haj_Einstein</v>
      </c>
      <c r="C4541" s="6" t="s">
        <v>1350</v>
      </c>
      <c r="D4541" s="5" t="s">
        <v>4714</v>
      </c>
      <c r="E4541" s="9" t="str">
        <f>HYPERLINK("https://twitter.com/haj_Einstein/status/1034537827671965696","1034537827671965696")</f>
        <v>1034537827671965696</v>
      </c>
      <c r="F4541" s="4"/>
      <c r="G4541" s="10" t="s">
        <v>4713</v>
      </c>
      <c r="H4541" s="4"/>
      <c r="I4541" s="10" t="str">
        <f>HYPERLINK("http://twitter.com/download/android","Twitter for Android")</f>
        <v>Twitter for Android</v>
      </c>
      <c r="J4541" s="2">
        <v>1173</v>
      </c>
      <c r="K4541" s="2">
        <v>914</v>
      </c>
      <c r="L4541" s="2">
        <v>0</v>
      </c>
      <c r="M4541" s="2"/>
      <c r="N4541" s="8">
        <v>42513.552152777775</v>
      </c>
      <c r="O4541" s="4" t="s">
        <v>1348</v>
      </c>
      <c r="P4541" s="3" t="s">
        <v>1347</v>
      </c>
      <c r="Q4541" s="4"/>
      <c r="R4541" s="4"/>
      <c r="S4541" s="9" t="str">
        <f>HYPERLINK("https://pbs.twimg.com/profile_images/1026355675037921280/znaIjDgn.jpg","View")</f>
        <v>View</v>
      </c>
    </row>
    <row r="4542" spans="1:19" ht="20">
      <c r="A4542" s="8">
        <v>43341.038460648153</v>
      </c>
      <c r="B4542" s="11" t="str">
        <f>HYPERLINK("https://twitter.com/Sajjadfirouzja1","@Sajjadfirouzja1")</f>
        <v>@Sajjadfirouzja1</v>
      </c>
      <c r="C4542" s="6" t="s">
        <v>4712</v>
      </c>
      <c r="D4542" s="5" t="s">
        <v>4711</v>
      </c>
      <c r="E4542" s="9" t="str">
        <f>HYPERLINK("https://twitter.com/Sajjadfirouzja1/status/1034537450885074946","1034537450885074946")</f>
        <v>1034537450885074946</v>
      </c>
      <c r="F4542" s="4"/>
      <c r="G4542" s="4"/>
      <c r="H4542" s="4"/>
      <c r="I4542" s="10" t="str">
        <f>HYPERLINK("http://twitter.com/download/android","Twitter for Android")</f>
        <v>Twitter for Android</v>
      </c>
      <c r="J4542" s="2">
        <v>431</v>
      </c>
      <c r="K4542" s="2">
        <v>271</v>
      </c>
      <c r="L4542" s="2">
        <v>1</v>
      </c>
      <c r="M4542" s="2"/>
      <c r="N4542" s="8">
        <v>43100.978472222225</v>
      </c>
      <c r="O4542" s="4" t="s">
        <v>17</v>
      </c>
      <c r="P4542" s="3" t="s">
        <v>4710</v>
      </c>
      <c r="Q4542" s="4"/>
      <c r="R4542" s="4"/>
      <c r="S4542" s="9" t="str">
        <f>HYPERLINK("https://pbs.twimg.com/profile_images/951597810637418496/F46LreLO.jpg","View")</f>
        <v>View</v>
      </c>
    </row>
    <row r="4543" spans="1:19" ht="40">
      <c r="A4543" s="8">
        <v>43341.038414351853</v>
      </c>
      <c r="B4543" s="11" t="str">
        <f>HYPERLINK("https://twitter.com/sohrabbashardo1","@sohrabbashardo1")</f>
        <v>@sohrabbashardo1</v>
      </c>
      <c r="C4543" s="6" t="s">
        <v>4709</v>
      </c>
      <c r="D4543" s="5" t="s">
        <v>4368</v>
      </c>
      <c r="E4543" s="9" t="str">
        <f>HYPERLINK("https://twitter.com/sohrabbashardo1/status/1034537434766368771","1034537434766368771")</f>
        <v>1034537434766368771</v>
      </c>
      <c r="F4543" s="4"/>
      <c r="G4543" s="10" t="s">
        <v>4708</v>
      </c>
      <c r="H4543" s="4"/>
      <c r="I4543" s="10" t="str">
        <f>HYPERLINK("http://twitter.com","Twitter Web Client")</f>
        <v>Twitter Web Client</v>
      </c>
      <c r="J4543" s="2">
        <v>1568</v>
      </c>
      <c r="K4543" s="2">
        <v>3531</v>
      </c>
      <c r="L4543" s="2">
        <v>36</v>
      </c>
      <c r="M4543" s="2"/>
      <c r="N4543" s="8">
        <v>42382.516400462962</v>
      </c>
      <c r="O4543" s="4"/>
      <c r="P4543" s="3" t="s">
        <v>4707</v>
      </c>
      <c r="Q4543" s="4"/>
      <c r="R4543" s="4"/>
      <c r="S4543" s="9" t="str">
        <f>HYPERLINK("https://pbs.twimg.com/profile_images/893792487738933248/lYZ6WupM.jpg","View")</f>
        <v>View</v>
      </c>
    </row>
    <row r="4544" spans="1:19" ht="40">
      <c r="A4544" s="8">
        <v>43341.037800925929</v>
      </c>
      <c r="B4544" s="11" t="str">
        <f>HYPERLINK("https://twitter.com/babakehsany","@babakehsany")</f>
        <v>@babakehsany</v>
      </c>
      <c r="C4544" s="6" t="s">
        <v>4706</v>
      </c>
      <c r="D4544" s="5" t="s">
        <v>4705</v>
      </c>
      <c r="E4544" s="9" t="str">
        <f>HYPERLINK("https://twitter.com/babakehsany/status/1034537212740820994","1034537212740820994")</f>
        <v>1034537212740820994</v>
      </c>
      <c r="F4544" s="4"/>
      <c r="G4544" s="4"/>
      <c r="H4544" s="4"/>
      <c r="I4544" s="10" t="str">
        <f>HYPERLINK("http://twitter.com/download/android","Twitter for Android")</f>
        <v>Twitter for Android</v>
      </c>
      <c r="J4544" s="2">
        <v>20</v>
      </c>
      <c r="K4544" s="2">
        <v>117</v>
      </c>
      <c r="L4544" s="2">
        <v>0</v>
      </c>
      <c r="M4544" s="2"/>
      <c r="N4544" s="8">
        <v>41186.404016203705</v>
      </c>
      <c r="O4544" s="4"/>
      <c r="P4544" s="3"/>
      <c r="Q4544" s="4"/>
      <c r="R4544" s="4"/>
      <c r="S4544" s="9" t="str">
        <f>HYPERLINK("https://pbs.twimg.com/profile_images/988776569199038465/Va8HnuZB.jpg","View")</f>
        <v>View</v>
      </c>
    </row>
    <row r="4545" spans="1:19" ht="20">
      <c r="A4545" s="8">
        <v>43341.037418981483</v>
      </c>
      <c r="B4545" s="11" t="str">
        <f>HYPERLINK("https://twitter.com/EngSaboryfard","@EngSaboryfard")</f>
        <v>@EngSaboryfard</v>
      </c>
      <c r="C4545" s="6" t="s">
        <v>4704</v>
      </c>
      <c r="D4545" s="5" t="s">
        <v>4703</v>
      </c>
      <c r="E4545" s="9" t="str">
        <f>HYPERLINK("https://twitter.com/EngSaboryfard/status/1034537074144288773","1034537074144288773")</f>
        <v>1034537074144288773</v>
      </c>
      <c r="F4545" s="4"/>
      <c r="G4545" s="4"/>
      <c r="H4545" s="4"/>
      <c r="I4545" s="10" t="str">
        <f>HYPERLINK("http://twitter.com/download/android","Twitter for Android")</f>
        <v>Twitter for Android</v>
      </c>
      <c r="J4545" s="2">
        <v>28</v>
      </c>
      <c r="K4545" s="2">
        <v>320</v>
      </c>
      <c r="L4545" s="2">
        <v>0</v>
      </c>
      <c r="M4545" s="2"/>
      <c r="N4545" s="8">
        <v>43315.893877314811</v>
      </c>
      <c r="O4545" s="4" t="s">
        <v>4702</v>
      </c>
      <c r="P4545" s="3"/>
      <c r="Q4545" s="4"/>
      <c r="R4545" s="4"/>
      <c r="S4545" s="9" t="str">
        <f>HYPERLINK("https://pbs.twimg.com/profile_images/1027668025074483203/_pwqJQgE.jpg","View")</f>
        <v>View</v>
      </c>
    </row>
    <row r="4546" spans="1:19" ht="20">
      <c r="A4546" s="8">
        <v>43341.03733796296</v>
      </c>
      <c r="B4546" s="11" t="str">
        <f>HYPERLINK("https://twitter.com/Baran_rhmat","@Baran_rhmat")</f>
        <v>@Baran_rhmat</v>
      </c>
      <c r="C4546" s="6" t="s">
        <v>4701</v>
      </c>
      <c r="D4546" s="5" t="s">
        <v>4700</v>
      </c>
      <c r="E4546" s="9" t="str">
        <f>HYPERLINK("https://twitter.com/Baran_rhmat/status/1034537043651698689","1034537043651698689")</f>
        <v>1034537043651698689</v>
      </c>
      <c r="F4546" s="4"/>
      <c r="G4546" s="4"/>
      <c r="H4546" s="4"/>
      <c r="I4546" s="10" t="str">
        <f>HYPERLINK("http://twitter.com/download/android","Twitter for Android")</f>
        <v>Twitter for Android</v>
      </c>
      <c r="J4546" s="2">
        <v>4009</v>
      </c>
      <c r="K4546" s="2">
        <v>4995</v>
      </c>
      <c r="L4546" s="2">
        <v>8</v>
      </c>
      <c r="M4546" s="2"/>
      <c r="N4546" s="8">
        <v>43105.287986111114</v>
      </c>
      <c r="O4546" s="4"/>
      <c r="P4546" s="3" t="s">
        <v>4699</v>
      </c>
      <c r="Q4546" s="4"/>
      <c r="R4546" s="4"/>
      <c r="S4546" s="9" t="str">
        <f>HYPERLINK("https://pbs.twimg.com/profile_images/1029847265203171330/F7iW1-ul.jpg","View")</f>
        <v>View</v>
      </c>
    </row>
    <row r="4547" spans="1:19" ht="20">
      <c r="A4547" s="8">
        <v>43341.036886574075</v>
      </c>
      <c r="B4547" s="11" t="str">
        <f>HYPERLINK("https://twitter.com/shabnambrume","@shabnambrume")</f>
        <v>@shabnambrume</v>
      </c>
      <c r="C4547" s="6" t="s">
        <v>761</v>
      </c>
      <c r="D4547" s="5" t="s">
        <v>4698</v>
      </c>
      <c r="E4547" s="9" t="str">
        <f>HYPERLINK("https://twitter.com/shabnambrume/status/1034536877892591616","1034536877892591616")</f>
        <v>1034536877892591616</v>
      </c>
      <c r="F4547" s="4"/>
      <c r="G4547" s="4"/>
      <c r="H4547" s="4"/>
      <c r="I4547" s="10" t="str">
        <f>HYPERLINK("http://twitter.com/download/iphone","Twitter for iPhone")</f>
        <v>Twitter for iPhone</v>
      </c>
      <c r="J4547" s="2">
        <v>112</v>
      </c>
      <c r="K4547" s="2">
        <v>166</v>
      </c>
      <c r="L4547" s="2">
        <v>0</v>
      </c>
      <c r="M4547" s="2"/>
      <c r="N4547" s="8">
        <v>41168.58221064815</v>
      </c>
      <c r="O4547" s="4" t="s">
        <v>759</v>
      </c>
      <c r="P4547" s="3" t="s">
        <v>758</v>
      </c>
      <c r="Q4547" s="4"/>
      <c r="R4547" s="4"/>
      <c r="S4547" s="9" t="str">
        <f>HYPERLINK("https://pbs.twimg.com/profile_images/1010716146289393665/ed0sCiZ1.jpg","View")</f>
        <v>View</v>
      </c>
    </row>
    <row r="4548" spans="1:19" ht="20">
      <c r="A4548" s="8">
        <v>43341.036759259259</v>
      </c>
      <c r="B4548" s="11" t="str">
        <f>HYPERLINK("https://twitter.com/Reza40355670","@Reza40355670")</f>
        <v>@Reza40355670</v>
      </c>
      <c r="C4548" s="6" t="s">
        <v>4697</v>
      </c>
      <c r="D4548" s="5" t="s">
        <v>4696</v>
      </c>
      <c r="E4548" s="9" t="str">
        <f>HYPERLINK("https://twitter.com/Reza40355670/status/1034536834179559424","1034536834179559424")</f>
        <v>1034536834179559424</v>
      </c>
      <c r="F4548" s="4"/>
      <c r="G4548" s="4"/>
      <c r="H4548" s="4"/>
      <c r="I4548" s="10" t="str">
        <f>HYPERLINK("http://twitter.com/download/android","Twitter for Android")</f>
        <v>Twitter for Android</v>
      </c>
      <c r="J4548" s="2">
        <v>340</v>
      </c>
      <c r="K4548" s="2">
        <v>446</v>
      </c>
      <c r="L4548" s="2">
        <v>2</v>
      </c>
      <c r="M4548" s="2"/>
      <c r="N4548" s="8">
        <v>43136.51290509259</v>
      </c>
      <c r="O4548" s="4" t="s">
        <v>4695</v>
      </c>
      <c r="P4548" s="3" t="s">
        <v>4694</v>
      </c>
      <c r="Q4548" s="4"/>
      <c r="R4548" s="4"/>
      <c r="S4548" s="9" t="str">
        <f>HYPERLINK("https://pbs.twimg.com/profile_images/960731793593917440/SFU38251.jpg","View")</f>
        <v>View</v>
      </c>
    </row>
    <row r="4549" spans="1:19" ht="40">
      <c r="A4549" s="8">
        <v>43341.036678240736</v>
      </c>
      <c r="B4549" s="11" t="str">
        <f>HYPERLINK("https://twitter.com/haj_Einstein","@haj_Einstein")</f>
        <v>@haj_Einstein</v>
      </c>
      <c r="C4549" s="6" t="s">
        <v>1350</v>
      </c>
      <c r="D4549" s="12" t="s">
        <v>4693</v>
      </c>
      <c r="E4549" s="9" t="str">
        <f>HYPERLINK("https://twitter.com/haj_Einstein/status/1034536804941262848","1034536804941262848")</f>
        <v>1034536804941262848</v>
      </c>
      <c r="F4549" s="4"/>
      <c r="G4549" s="10" t="s">
        <v>4692</v>
      </c>
      <c r="H4549" s="4"/>
      <c r="I4549" s="10" t="str">
        <f>HYPERLINK("http://twitter.com/download/android","Twitter for Android")</f>
        <v>Twitter for Android</v>
      </c>
      <c r="J4549" s="2">
        <v>1173</v>
      </c>
      <c r="K4549" s="2">
        <v>914</v>
      </c>
      <c r="L4549" s="2">
        <v>0</v>
      </c>
      <c r="M4549" s="2"/>
      <c r="N4549" s="8">
        <v>42513.552152777775</v>
      </c>
      <c r="O4549" s="4" t="s">
        <v>1348</v>
      </c>
      <c r="P4549" s="3" t="s">
        <v>1347</v>
      </c>
      <c r="Q4549" s="4"/>
      <c r="R4549" s="4"/>
      <c r="S4549" s="9" t="str">
        <f>HYPERLINK("https://pbs.twimg.com/profile_images/1026355675037921280/znaIjDgn.jpg","View")</f>
        <v>View</v>
      </c>
    </row>
    <row r="4550" spans="1:19" ht="30">
      <c r="A4550" s="8">
        <v>43341.036157407405</v>
      </c>
      <c r="B4550" s="11" t="str">
        <f>HYPERLINK("https://twitter.com/ghoghnos_21","@ghoghnos_21")</f>
        <v>@ghoghnos_21</v>
      </c>
      <c r="C4550" s="6" t="s">
        <v>4691</v>
      </c>
      <c r="D4550" s="5" t="s">
        <v>4690</v>
      </c>
      <c r="E4550" s="9" t="str">
        <f>HYPERLINK("https://twitter.com/ghoghnos_21/status/1034536615186706433","1034536615186706433")</f>
        <v>1034536615186706433</v>
      </c>
      <c r="F4550" s="4"/>
      <c r="G4550" s="4"/>
      <c r="H4550" s="4"/>
      <c r="I4550" s="10" t="str">
        <f>HYPERLINK("http://twitter.com/download/android","Twitter for Android")</f>
        <v>Twitter for Android</v>
      </c>
      <c r="J4550" s="2">
        <v>55</v>
      </c>
      <c r="K4550" s="2">
        <v>38</v>
      </c>
      <c r="L4550" s="2">
        <v>0</v>
      </c>
      <c r="M4550" s="2"/>
      <c r="N4550" s="8">
        <v>43327.109953703708</v>
      </c>
      <c r="O4550" s="4"/>
      <c r="P4550" s="3" t="s">
        <v>4689</v>
      </c>
      <c r="Q4550" s="4"/>
      <c r="R4550" s="4"/>
      <c r="S4550" s="9" t="str">
        <f>HYPERLINK("https://pbs.twimg.com/profile_images/1030142714770325506/lDAMtFYl.jpg","View")</f>
        <v>View</v>
      </c>
    </row>
    <row r="4551" spans="1:19" ht="20">
      <c r="A4551" s="8">
        <v>43341.035555555558</v>
      </c>
      <c r="B4551" s="11" t="str">
        <f>HYPERLINK("https://twitter.com/Fatemeh201808","@Fatemeh201808")</f>
        <v>@Fatemeh201808</v>
      </c>
      <c r="C4551" s="6" t="s">
        <v>4688</v>
      </c>
      <c r="D4551" s="5" t="s">
        <v>4687</v>
      </c>
      <c r="E4551" s="9" t="str">
        <f>HYPERLINK("https://twitter.com/Fatemeh201808/status/1034536398181806080","1034536398181806080")</f>
        <v>1034536398181806080</v>
      </c>
      <c r="F4551" s="4"/>
      <c r="G4551" s="4"/>
      <c r="H4551" s="4"/>
      <c r="I4551" s="10" t="str">
        <f>HYPERLINK("http://twitter.com/download/android","Twitter for Android")</f>
        <v>Twitter for Android</v>
      </c>
      <c r="J4551" s="2">
        <v>207</v>
      </c>
      <c r="K4551" s="2">
        <v>190</v>
      </c>
      <c r="L4551" s="2">
        <v>1</v>
      </c>
      <c r="M4551" s="2"/>
      <c r="N4551" s="8">
        <v>43285.997777777782</v>
      </c>
      <c r="O4551" s="4" t="s">
        <v>4686</v>
      </c>
      <c r="P4551" s="3" t="s">
        <v>4685</v>
      </c>
      <c r="Q4551" s="4"/>
      <c r="R4551" s="4"/>
      <c r="S4551" s="9" t="str">
        <f>HYPERLINK("https://pbs.twimg.com/profile_images/1033685520424071168/88sMI11H.jpg","View")</f>
        <v>View</v>
      </c>
    </row>
    <row r="4552" spans="1:19" ht="20">
      <c r="A4552" s="8">
        <v>43341.035381944443</v>
      </c>
      <c r="B4552" s="11" t="str">
        <f>HYPERLINK("https://twitter.com/art_ahd","@art_ahd")</f>
        <v>@art_ahd</v>
      </c>
      <c r="C4552" s="6" t="s">
        <v>4684</v>
      </c>
      <c r="D4552" s="5" t="s">
        <v>4683</v>
      </c>
      <c r="E4552" s="9" t="str">
        <f>HYPERLINK("https://twitter.com/art_ahd/status/1034536333543399424","1034536333543399424")</f>
        <v>1034536333543399424</v>
      </c>
      <c r="F4552" s="4"/>
      <c r="G4552" s="4"/>
      <c r="H4552" s="4"/>
      <c r="I4552" s="10" t="str">
        <f>HYPERLINK("http://twitter.com/download/android","Twitter for Android")</f>
        <v>Twitter for Android</v>
      </c>
      <c r="J4552" s="2">
        <v>498</v>
      </c>
      <c r="K4552" s="2">
        <v>677</v>
      </c>
      <c r="L4552" s="2">
        <v>1</v>
      </c>
      <c r="M4552" s="2"/>
      <c r="N4552" s="8">
        <v>43108.257268518515</v>
      </c>
      <c r="O4552" s="4" t="s">
        <v>17</v>
      </c>
      <c r="P4552" s="3" t="s">
        <v>4682</v>
      </c>
      <c r="Q4552" s="4"/>
      <c r="R4552" s="4"/>
      <c r="S4552" s="9" t="str">
        <f>HYPERLINK("https://pbs.twimg.com/profile_images/950199200058355713/L1it-MSw.jpg","View")</f>
        <v>View</v>
      </c>
    </row>
    <row r="4553" spans="1:19" ht="20">
      <c r="A4553" s="8">
        <v>43341.034942129627</v>
      </c>
      <c r="B4553" s="11" t="str">
        <f>HYPERLINK("https://twitter.com/2kohe274","@2kohe274")</f>
        <v>@2kohe274</v>
      </c>
      <c r="C4553" s="6" t="s">
        <v>4681</v>
      </c>
      <c r="D4553" s="5" t="s">
        <v>4680</v>
      </c>
      <c r="E4553" s="9" t="str">
        <f>HYPERLINK("https://twitter.com/2kohe274/status/1034536174998761473","1034536174998761473")</f>
        <v>1034536174998761473</v>
      </c>
      <c r="F4553" s="4"/>
      <c r="G4553" s="4"/>
      <c r="H4553" s="4"/>
      <c r="I4553" s="10" t="str">
        <f>HYPERLINK("http://twitter.com/download/android","Twitter for Android")</f>
        <v>Twitter for Android</v>
      </c>
      <c r="J4553" s="2">
        <v>271</v>
      </c>
      <c r="K4553" s="2">
        <v>439</v>
      </c>
      <c r="L4553" s="2">
        <v>0</v>
      </c>
      <c r="M4553" s="2"/>
      <c r="N4553" s="8">
        <v>43312.619108796294</v>
      </c>
      <c r="O4553" s="4" t="s">
        <v>17</v>
      </c>
      <c r="P4553" s="3" t="s">
        <v>4679</v>
      </c>
      <c r="Q4553" s="4"/>
      <c r="R4553" s="4"/>
      <c r="S4553" s="9" t="str">
        <f>HYPERLINK("https://pbs.twimg.com/profile_images/1026284926403047426/MKBiEXeo.jpg","View")</f>
        <v>View</v>
      </c>
    </row>
    <row r="4554" spans="1:19" ht="40">
      <c r="A4554" s="8">
        <v>43341.034895833334</v>
      </c>
      <c r="B4554" s="11" t="str">
        <f>HYPERLINK("https://twitter.com/rFGjX2aNu23JEq3","@rFGjX2aNu23JEq3")</f>
        <v>@rFGjX2aNu23JEq3</v>
      </c>
      <c r="C4554" s="6" t="s">
        <v>4678</v>
      </c>
      <c r="D4554" s="5" t="s">
        <v>4677</v>
      </c>
      <c r="E4554" s="9" t="str">
        <f>HYPERLINK("https://twitter.com/rFGjX2aNu23JEq3/status/1034536157240074241","1034536157240074241")</f>
        <v>1034536157240074241</v>
      </c>
      <c r="F4554" s="4"/>
      <c r="G4554" s="4"/>
      <c r="H4554" s="4"/>
      <c r="I4554" s="10" t="str">
        <f>HYPERLINK("http://twitter.com/download/android","Twitter for Android")</f>
        <v>Twitter for Android</v>
      </c>
      <c r="J4554" s="2">
        <v>2</v>
      </c>
      <c r="K4554" s="2">
        <v>37</v>
      </c>
      <c r="L4554" s="2">
        <v>0</v>
      </c>
      <c r="M4554" s="2"/>
      <c r="N4554" s="8">
        <v>43333.13857638889</v>
      </c>
      <c r="O4554" s="4" t="s">
        <v>34</v>
      </c>
      <c r="P4554" s="3"/>
      <c r="Q4554" s="4"/>
      <c r="R4554" s="4"/>
      <c r="S4554" s="9" t="str">
        <f>HYPERLINK("https://pbs.twimg.com/profile_images/1034537554652143616/PUytx40N.jpg","View")</f>
        <v>View</v>
      </c>
    </row>
    <row r="4555" spans="1:19" ht="20">
      <c r="A4555" s="8">
        <v>43341.034525462965</v>
      </c>
      <c r="B4555" s="11" t="str">
        <f>HYPERLINK("https://twitter.com/revayateman","@revayateman")</f>
        <v>@revayateman</v>
      </c>
      <c r="C4555" s="6" t="s">
        <v>2668</v>
      </c>
      <c r="D4555" s="5" t="s">
        <v>4676</v>
      </c>
      <c r="E4555" s="9" t="str">
        <f>HYPERLINK("https://twitter.com/revayateman/status/1034536025106866177","1034536025106866177")</f>
        <v>1034536025106866177</v>
      </c>
      <c r="F4555" s="4"/>
      <c r="G4555" s="4"/>
      <c r="H4555" s="4"/>
      <c r="I4555" s="10" t="str">
        <f>HYPERLINK("http://twitter.com/download/android","Twitter for Android")</f>
        <v>Twitter for Android</v>
      </c>
      <c r="J4555" s="2">
        <v>1175</v>
      </c>
      <c r="K4555" s="2">
        <v>1579</v>
      </c>
      <c r="L4555" s="2">
        <v>2</v>
      </c>
      <c r="M4555" s="2"/>
      <c r="N4555" s="8">
        <v>43142.102812500001</v>
      </c>
      <c r="O4555" s="4"/>
      <c r="P4555" s="3"/>
      <c r="Q4555" s="4"/>
      <c r="R4555" s="4"/>
      <c r="S4555" s="9" t="str">
        <f>HYPERLINK("https://pbs.twimg.com/profile_images/1009529903597879296/HjmoU0O9.jpg","View")</f>
        <v>View</v>
      </c>
    </row>
    <row r="4556" spans="1:19" ht="30">
      <c r="A4556" s="8">
        <v>43341.034432870365</v>
      </c>
      <c r="B4556" s="11" t="str">
        <f>HYPERLINK("https://twitter.com/AHbarati_63","@AHbarati_63")</f>
        <v>@AHbarati_63</v>
      </c>
      <c r="C4556" s="6" t="s">
        <v>4675</v>
      </c>
      <c r="D4556" s="5" t="s">
        <v>4674</v>
      </c>
      <c r="E4556" s="9" t="str">
        <f>HYPERLINK("https://twitter.com/AHbarati_63/status/1034535991107698688","1034535991107698688")</f>
        <v>1034535991107698688</v>
      </c>
      <c r="F4556" s="4"/>
      <c r="G4556" s="4"/>
      <c r="H4556" s="4"/>
      <c r="I4556" s="10" t="str">
        <f>HYPERLINK("http://twitter.com","Twitter Web Client")</f>
        <v>Twitter Web Client</v>
      </c>
      <c r="J4556" s="2">
        <v>27</v>
      </c>
      <c r="K4556" s="2">
        <v>39</v>
      </c>
      <c r="L4556" s="2">
        <v>0</v>
      </c>
      <c r="M4556" s="2"/>
      <c r="N4556" s="8">
        <v>43287.855428240742</v>
      </c>
      <c r="O4556" s="4" t="s">
        <v>4673</v>
      </c>
      <c r="P4556" s="3" t="s">
        <v>4672</v>
      </c>
      <c r="Q4556" s="4"/>
      <c r="R4556" s="4"/>
      <c r="S4556" s="9" t="str">
        <f>HYPERLINK("https://pbs.twimg.com/profile_images/1021711725572239362/Z0x42RtO.jpg","View")</f>
        <v>View</v>
      </c>
    </row>
    <row r="4557" spans="1:19" ht="30">
      <c r="A4557" s="8">
        <v>43341.034074074079</v>
      </c>
      <c r="B4557" s="11" t="str">
        <f>HYPERLINK("https://twitter.com/AliFarhudy14","@AliFarhudy14")</f>
        <v>@AliFarhudy14</v>
      </c>
      <c r="C4557" s="6" t="s">
        <v>4671</v>
      </c>
      <c r="D4557" s="5" t="s">
        <v>4670</v>
      </c>
      <c r="E4557" s="9" t="str">
        <f>HYPERLINK("https://twitter.com/AliFarhudy14/status/1034535862376251394","1034535862376251394")</f>
        <v>1034535862376251394</v>
      </c>
      <c r="F4557" s="4"/>
      <c r="G4557" s="4"/>
      <c r="H4557" s="4"/>
      <c r="I4557" s="10" t="str">
        <f>HYPERLINK("http://twitter.com/download/android","Twitter for Android")</f>
        <v>Twitter for Android</v>
      </c>
      <c r="J4557" s="2">
        <v>190</v>
      </c>
      <c r="K4557" s="2">
        <v>177</v>
      </c>
      <c r="L4557" s="2">
        <v>3</v>
      </c>
      <c r="M4557" s="2"/>
      <c r="N4557" s="8">
        <v>43114.482430555552</v>
      </c>
      <c r="O4557" s="4" t="s">
        <v>4669</v>
      </c>
      <c r="P4557" s="3" t="s">
        <v>4668</v>
      </c>
      <c r="Q4557" s="4"/>
      <c r="R4557" s="4"/>
      <c r="S4557" s="9" t="str">
        <f>HYPERLINK("https://pbs.twimg.com/profile_images/1018596518813732864/IkNMRSKR.jpg","View")</f>
        <v>View</v>
      </c>
    </row>
    <row r="4558" spans="1:19" ht="30">
      <c r="A4558" s="8">
        <v>43341.032824074078</v>
      </c>
      <c r="B4558" s="11" t="str">
        <f>HYPERLINK("https://twitter.com/miantitr","@miantitr")</f>
        <v>@miantitr</v>
      </c>
      <c r="C4558" s="6" t="s">
        <v>4667</v>
      </c>
      <c r="D4558" s="5" t="s">
        <v>4666</v>
      </c>
      <c r="E4558" s="9" t="str">
        <f>HYPERLINK("https://twitter.com/miantitr/status/1034535409315921920","1034535409315921920")</f>
        <v>1034535409315921920</v>
      </c>
      <c r="F4558" s="4"/>
      <c r="G4558" s="4"/>
      <c r="H4558" s="4"/>
      <c r="I4558" s="10" t="str">
        <f>HYPERLINK("http://twitter.com/download/iphone","Twitter for iPhone")</f>
        <v>Twitter for iPhone</v>
      </c>
      <c r="J4558" s="2">
        <v>783</v>
      </c>
      <c r="K4558" s="2">
        <v>367</v>
      </c>
      <c r="L4558" s="2">
        <v>2</v>
      </c>
      <c r="M4558" s="2"/>
      <c r="N4558" s="8">
        <v>39729.483275462961</v>
      </c>
      <c r="O4558" s="4"/>
      <c r="P4558" s="3"/>
      <c r="Q4558" s="10" t="s">
        <v>4665</v>
      </c>
      <c r="R4558" s="4"/>
      <c r="S4558" s="9" t="str">
        <f>HYPERLINK("https://pbs.twimg.com/profile_images/815209145066520576/Cd7b_gLz.jpg","View")</f>
        <v>View</v>
      </c>
    </row>
    <row r="4559" spans="1:19" ht="30">
      <c r="A4559" s="8">
        <v>43341.032500000001</v>
      </c>
      <c r="B4559" s="11" t="str">
        <f>HYPERLINK("https://twitter.com/Konjir1","@Konjir1")</f>
        <v>@Konjir1</v>
      </c>
      <c r="C4559" s="6" t="s">
        <v>4664</v>
      </c>
      <c r="D4559" s="5" t="s">
        <v>4663</v>
      </c>
      <c r="E4559" s="9" t="str">
        <f>HYPERLINK("https://twitter.com/Konjir1/status/1034535290881355778","1034535290881355778")</f>
        <v>1034535290881355778</v>
      </c>
      <c r="F4559" s="4"/>
      <c r="G4559" s="4"/>
      <c r="H4559" s="4"/>
      <c r="I4559" s="10" t="str">
        <f>HYPERLINK("http://twitter.com/download/android","Twitter for Android")</f>
        <v>Twitter for Android</v>
      </c>
      <c r="J4559" s="2">
        <v>68</v>
      </c>
      <c r="K4559" s="2">
        <v>132</v>
      </c>
      <c r="L4559" s="2">
        <v>0</v>
      </c>
      <c r="M4559" s="2"/>
      <c r="N4559" s="8">
        <v>43196.923287037032</v>
      </c>
      <c r="O4559" s="4" t="s">
        <v>17</v>
      </c>
      <c r="P4559" s="3" t="s">
        <v>4662</v>
      </c>
      <c r="Q4559" s="4"/>
      <c r="R4559" s="4"/>
      <c r="S4559" s="9" t="str">
        <f>HYPERLINK("https://pbs.twimg.com/profile_images/982313585882918912/fzH27TjI.jpg","View")</f>
        <v>View</v>
      </c>
    </row>
    <row r="4560" spans="1:19" ht="30">
      <c r="A4560" s="8">
        <v>43341.032500000001</v>
      </c>
      <c r="B4560" s="11" t="str">
        <f>HYPERLINK("https://twitter.com/abbas7293","@abbas7293")</f>
        <v>@abbas7293</v>
      </c>
      <c r="C4560" s="6" t="s">
        <v>4661</v>
      </c>
      <c r="D4560" s="5" t="s">
        <v>4660</v>
      </c>
      <c r="E4560" s="9" t="str">
        <f>HYPERLINK("https://twitter.com/abbas7293/status/1034535290029977606","1034535290029977606")</f>
        <v>1034535290029977606</v>
      </c>
      <c r="F4560" s="4"/>
      <c r="G4560" s="4"/>
      <c r="H4560" s="4"/>
      <c r="I4560" s="10" t="str">
        <f>HYPERLINK("http://twitter.com/download/iphone","Twitter for iPhone")</f>
        <v>Twitter for iPhone</v>
      </c>
      <c r="J4560" s="2">
        <v>229</v>
      </c>
      <c r="K4560" s="2">
        <v>691</v>
      </c>
      <c r="L4560" s="2">
        <v>2</v>
      </c>
      <c r="M4560" s="2"/>
      <c r="N4560" s="8">
        <v>42960.999189814815</v>
      </c>
      <c r="O4560" s="4" t="s">
        <v>34</v>
      </c>
      <c r="P4560" s="3" t="s">
        <v>4659</v>
      </c>
      <c r="Q4560" s="4"/>
      <c r="R4560" s="4"/>
      <c r="S4560" s="9" t="str">
        <f>HYPERLINK("https://pbs.twimg.com/profile_images/1025129929283960833/tZ1l1bo-.jpg","View")</f>
        <v>View</v>
      </c>
    </row>
    <row r="4561" spans="1:19" ht="20">
      <c r="A4561" s="8">
        <v>43341.032164351855</v>
      </c>
      <c r="B4561" s="11" t="str">
        <f>HYPERLINK("https://twitter.com/OmidPouraziz","@OmidPouraziz")</f>
        <v>@OmidPouraziz</v>
      </c>
      <c r="C4561" s="6" t="s">
        <v>4605</v>
      </c>
      <c r="D4561" s="5" t="s">
        <v>4658</v>
      </c>
      <c r="E4561" s="9" t="str">
        <f>HYPERLINK("https://twitter.com/OmidPouraziz/status/1034535167837261824","1034535167837261824")</f>
        <v>1034535167837261824</v>
      </c>
      <c r="F4561" s="4"/>
      <c r="G4561" s="4"/>
      <c r="H4561" s="4"/>
      <c r="I4561" s="10" t="str">
        <f>HYPERLINK("http://twitter.com/download/iphone","Twitter for iPhone")</f>
        <v>Twitter for iPhone</v>
      </c>
      <c r="J4561" s="2">
        <v>170</v>
      </c>
      <c r="K4561" s="2">
        <v>641</v>
      </c>
      <c r="L4561" s="2">
        <v>1</v>
      </c>
      <c r="M4561" s="2"/>
      <c r="N4561" s="8">
        <v>41593.060752314814</v>
      </c>
      <c r="O4561" s="4" t="s">
        <v>4603</v>
      </c>
      <c r="P4561" s="3" t="s">
        <v>4602</v>
      </c>
      <c r="Q4561" s="10" t="s">
        <v>4601</v>
      </c>
      <c r="R4561" s="4"/>
      <c r="S4561" s="9" t="str">
        <f>HYPERLINK("https://pbs.twimg.com/profile_images/1007528872282378240/IzFlT-Cm.jpg","View")</f>
        <v>View</v>
      </c>
    </row>
    <row r="4562" spans="1:19" ht="20">
      <c r="A4562" s="8">
        <v>43341.032152777778</v>
      </c>
      <c r="B4562" s="11" t="str">
        <f>HYPERLINK("https://twitter.com/sarafi_iranian","@sarafi_iranian")</f>
        <v>@sarafi_iranian</v>
      </c>
      <c r="C4562" s="6" t="s">
        <v>4657</v>
      </c>
      <c r="D4562" s="5" t="s">
        <v>4656</v>
      </c>
      <c r="E4562" s="9" t="str">
        <f>HYPERLINK("https://twitter.com/sarafi_iranian/status/1034535163915591681","1034535163915591681")</f>
        <v>1034535163915591681</v>
      </c>
      <c r="F4562" s="4"/>
      <c r="G4562" s="10" t="s">
        <v>4655</v>
      </c>
      <c r="H4562" s="4"/>
      <c r="I4562" s="10" t="str">
        <f>HYPERLINK("http://twitter.com/download/android","Twitter for Android")</f>
        <v>Twitter for Android</v>
      </c>
      <c r="J4562" s="2">
        <v>1</v>
      </c>
      <c r="K4562" s="2">
        <v>0</v>
      </c>
      <c r="L4562" s="2">
        <v>0</v>
      </c>
      <c r="M4562" s="2"/>
      <c r="N4562" s="8">
        <v>43337.971701388888</v>
      </c>
      <c r="O4562" s="4" t="s">
        <v>4654</v>
      </c>
      <c r="P4562" s="3" t="s">
        <v>4653</v>
      </c>
      <c r="Q4562" s="10" t="s">
        <v>4652</v>
      </c>
      <c r="R4562" s="4"/>
      <c r="S4562" s="9" t="str">
        <f>HYPERLINK("https://pbs.twimg.com/profile_images/1033428054901698560/c_1aqX6h.jpg","View")</f>
        <v>View</v>
      </c>
    </row>
    <row r="4563" spans="1:19" ht="40">
      <c r="A4563" s="8">
        <v>43341.030960648146</v>
      </c>
      <c r="B4563" s="11" t="str">
        <f>HYPERLINK("https://twitter.com/Homayoun_Ghani","@Homayoun_Ghani")</f>
        <v>@Homayoun_Ghani</v>
      </c>
      <c r="C4563" s="6" t="s">
        <v>3847</v>
      </c>
      <c r="D4563" s="5" t="s">
        <v>4651</v>
      </c>
      <c r="E4563" s="9" t="str">
        <f>HYPERLINK("https://twitter.com/Homayoun_Ghani/status/1034534732493664256","1034534732493664256")</f>
        <v>1034534732493664256</v>
      </c>
      <c r="F4563" s="4"/>
      <c r="G4563" s="4"/>
      <c r="H4563" s="4"/>
      <c r="I4563" s="10" t="str">
        <f>HYPERLINK("http://twitter.com/download/android","Twitter for Android")</f>
        <v>Twitter for Android</v>
      </c>
      <c r="J4563" s="2">
        <v>275</v>
      </c>
      <c r="K4563" s="2">
        <v>532</v>
      </c>
      <c r="L4563" s="2">
        <v>0</v>
      </c>
      <c r="M4563" s="2"/>
      <c r="N4563" s="8">
        <v>43310.121701388889</v>
      </c>
      <c r="O4563" s="4" t="s">
        <v>324</v>
      </c>
      <c r="P4563" s="3" t="s">
        <v>3845</v>
      </c>
      <c r="Q4563" s="4"/>
      <c r="R4563" s="4"/>
      <c r="S4563" s="9" t="str">
        <f>HYPERLINK("https://pbs.twimg.com/profile_images/1023522612608229376/-2hsNWYF.jpg","View")</f>
        <v>View</v>
      </c>
    </row>
    <row r="4564" spans="1:19" ht="40">
      <c r="A4564" s="8">
        <v>43341.030868055561</v>
      </c>
      <c r="B4564" s="11" t="str">
        <f>HYPERLINK("https://twitter.com/4uOfSo6eweWBbWg","@4uOfSo6eweWBbWg")</f>
        <v>@4uOfSo6eweWBbWg</v>
      </c>
      <c r="C4564" s="6" t="s">
        <v>4650</v>
      </c>
      <c r="D4564" s="5" t="s">
        <v>4649</v>
      </c>
      <c r="E4564" s="9" t="str">
        <f>HYPERLINK("https://twitter.com/4uOfSo6eweWBbWg/status/1034534700449247236","1034534700449247236")</f>
        <v>1034534700449247236</v>
      </c>
      <c r="F4564" s="4"/>
      <c r="G4564" s="4"/>
      <c r="H4564" s="4"/>
      <c r="I4564" s="10" t="str">
        <f>HYPERLINK("http://twitter.com/download/android","Twitter for Android")</f>
        <v>Twitter for Android</v>
      </c>
      <c r="J4564" s="2">
        <v>1</v>
      </c>
      <c r="K4564" s="2">
        <v>2</v>
      </c>
      <c r="L4564" s="2">
        <v>0</v>
      </c>
      <c r="M4564" s="2"/>
      <c r="N4564" s="8">
        <v>43294.956886574073</v>
      </c>
      <c r="O4564" s="4"/>
      <c r="P4564" s="3" t="s">
        <v>4648</v>
      </c>
      <c r="Q4564" s="4"/>
      <c r="R4564" s="4"/>
      <c r="S4564" s="9" t="str">
        <f>HYPERLINK("https://pbs.twimg.com/profile_images/1034525164527075330/RbDSgF21.jpg","View")</f>
        <v>View</v>
      </c>
    </row>
    <row r="4565" spans="1:19" ht="30">
      <c r="A4565" s="8">
        <v>43341.030706018515</v>
      </c>
      <c r="B4565" s="11" t="str">
        <f>HYPERLINK("https://twitter.com/sirous_69","@sirous_69")</f>
        <v>@sirous_69</v>
      </c>
      <c r="C4565" s="6" t="s">
        <v>4630</v>
      </c>
      <c r="D4565" s="5" t="s">
        <v>4647</v>
      </c>
      <c r="E4565" s="9" t="str">
        <f>HYPERLINK("https://twitter.com/sirous_69/status/1034534640214831106","1034534640214831106")</f>
        <v>1034534640214831106</v>
      </c>
      <c r="F4565" s="4"/>
      <c r="G4565" s="4"/>
      <c r="H4565" s="4"/>
      <c r="I4565" s="10" t="str">
        <f>HYPERLINK("http://twitter.com/download/android","Twitter for Android")</f>
        <v>Twitter for Android</v>
      </c>
      <c r="J4565" s="2">
        <v>37</v>
      </c>
      <c r="K4565" s="2">
        <v>44</v>
      </c>
      <c r="L4565" s="2">
        <v>0</v>
      </c>
      <c r="M4565" s="2"/>
      <c r="N4565" s="8">
        <v>43157.637118055558</v>
      </c>
      <c r="O4565" s="4"/>
      <c r="P4565" s="3" t="s">
        <v>4628</v>
      </c>
      <c r="Q4565" s="4"/>
      <c r="R4565" s="4"/>
      <c r="S4565" s="9" t="str">
        <f>HYPERLINK("https://pbs.twimg.com/profile_images/968092205809328129/xyen7Tuv.jpg","View")</f>
        <v>View</v>
      </c>
    </row>
    <row r="4566" spans="1:19" ht="30">
      <c r="A4566" s="8">
        <v>43341.030266203699</v>
      </c>
      <c r="B4566" s="11" t="str">
        <f>HYPERLINK("https://twitter.com/SedayAzadi","@SedayAzadi")</f>
        <v>@SedayAzadi</v>
      </c>
      <c r="C4566" s="6" t="s">
        <v>472</v>
      </c>
      <c r="D4566" s="5" t="s">
        <v>4646</v>
      </c>
      <c r="E4566" s="9" t="str">
        <f>HYPERLINK("https://twitter.com/SedayAzadi/status/1034534480583778304","1034534480583778304")</f>
        <v>1034534480583778304</v>
      </c>
      <c r="F4566" s="4"/>
      <c r="G4566" s="4"/>
      <c r="H4566" s="4"/>
      <c r="I4566" s="10" t="str">
        <f>HYPERLINK("http://twitter.com/download/android","Twitter for Android")</f>
        <v>Twitter for Android</v>
      </c>
      <c r="J4566" s="2">
        <v>603</v>
      </c>
      <c r="K4566" s="2">
        <v>1057</v>
      </c>
      <c r="L4566" s="2">
        <v>1</v>
      </c>
      <c r="M4566" s="2"/>
      <c r="N4566" s="8">
        <v>43230.989849537036</v>
      </c>
      <c r="O4566" s="4"/>
      <c r="P4566" s="3" t="s">
        <v>470</v>
      </c>
      <c r="Q4566" s="4"/>
      <c r="R4566" s="4"/>
      <c r="S4566" s="9" t="str">
        <f>HYPERLINK("https://pbs.twimg.com/profile_images/994668885298368513/GbwMHYa9.jpg","View")</f>
        <v>View</v>
      </c>
    </row>
    <row r="4567" spans="1:19" ht="30">
      <c r="A4567" s="8">
        <v>43341.030034722222</v>
      </c>
      <c r="B4567" s="11" t="str">
        <f>HYPERLINK("https://twitter.com/Rsanaiee","@Rsanaiee")</f>
        <v>@Rsanaiee</v>
      </c>
      <c r="C4567" s="6" t="s">
        <v>4645</v>
      </c>
      <c r="D4567" s="5" t="s">
        <v>4644</v>
      </c>
      <c r="E4567" s="9" t="str">
        <f>HYPERLINK("https://twitter.com/Rsanaiee/status/1034534394554400768","1034534394554400768")</f>
        <v>1034534394554400768</v>
      </c>
      <c r="F4567" s="4"/>
      <c r="G4567" s="4"/>
      <c r="H4567" s="4"/>
      <c r="I4567" s="10" t="str">
        <f>HYPERLINK("http://twitter.com/download/android","Twitter for Android")</f>
        <v>Twitter for Android</v>
      </c>
      <c r="J4567" s="2">
        <v>386</v>
      </c>
      <c r="K4567" s="2">
        <v>139</v>
      </c>
      <c r="L4567" s="2">
        <v>7</v>
      </c>
      <c r="M4567" s="2"/>
      <c r="N4567" s="8">
        <v>42945.570844907408</v>
      </c>
      <c r="O4567" s="4" t="s">
        <v>4643</v>
      </c>
      <c r="P4567" s="3" t="s">
        <v>4642</v>
      </c>
      <c r="Q4567" s="10" t="s">
        <v>4641</v>
      </c>
      <c r="R4567" s="4"/>
      <c r="S4567" s="9" t="str">
        <f>HYPERLINK("https://pbs.twimg.com/profile_images/998258519496261632/s2TorZzd.jpg","View")</f>
        <v>View</v>
      </c>
    </row>
    <row r="4568" spans="1:19" ht="80">
      <c r="A4568" s="8">
        <v>43341.029942129629</v>
      </c>
      <c r="B4568" s="11" t="str">
        <f>HYPERLINK("https://twitter.com/ReformistBoy","@ReformistBoy")</f>
        <v>@ReformistBoy</v>
      </c>
      <c r="C4568" s="6" t="s">
        <v>4640</v>
      </c>
      <c r="D4568" s="5" t="s">
        <v>4639</v>
      </c>
      <c r="E4568" s="9" t="str">
        <f>HYPERLINK("https://twitter.com/ReformistBoy/status/1034534361251622913","1034534361251622913")</f>
        <v>1034534361251622913</v>
      </c>
      <c r="F4568" s="10" t="s">
        <v>4638</v>
      </c>
      <c r="G4568" s="4"/>
      <c r="H4568" s="4"/>
      <c r="I4568" s="10" t="str">
        <f>HYPERLINK("http://twitter.com/download/android","Twitter for Android")</f>
        <v>Twitter for Android</v>
      </c>
      <c r="J4568" s="2">
        <v>767</v>
      </c>
      <c r="K4568" s="2">
        <v>382</v>
      </c>
      <c r="L4568" s="2">
        <v>2</v>
      </c>
      <c r="M4568" s="2"/>
      <c r="N4568" s="8">
        <v>41841.961365740739</v>
      </c>
      <c r="O4568" s="4" t="s">
        <v>4637</v>
      </c>
      <c r="P4568" s="3" t="s">
        <v>4636</v>
      </c>
      <c r="Q4568" s="4"/>
      <c r="R4568" s="4"/>
      <c r="S4568" s="9" t="str">
        <f>HYPERLINK("https://pbs.twimg.com/profile_images/1024208644286701568/nb2BOkhE.jpg","View")</f>
        <v>View</v>
      </c>
    </row>
    <row r="4569" spans="1:19" ht="20">
      <c r="A4569" s="8">
        <v>43341.029930555553</v>
      </c>
      <c r="B4569" s="11" t="str">
        <f>HYPERLINK("https://twitter.com/helimiri","@helimiri")</f>
        <v>@helimiri</v>
      </c>
      <c r="C4569" s="6" t="s">
        <v>4635</v>
      </c>
      <c r="D4569" s="5" t="s">
        <v>4634</v>
      </c>
      <c r="E4569" s="9" t="str">
        <f>HYPERLINK("https://twitter.com/helimiri/status/1034534360823857152","1034534360823857152")</f>
        <v>1034534360823857152</v>
      </c>
      <c r="F4569" s="4"/>
      <c r="G4569" s="4"/>
      <c r="H4569" s="4"/>
      <c r="I4569" s="10" t="str">
        <f>HYPERLINK("https://mobile.twitter.com","Twitter Lite")</f>
        <v>Twitter Lite</v>
      </c>
      <c r="J4569" s="2">
        <v>926</v>
      </c>
      <c r="K4569" s="2">
        <v>631</v>
      </c>
      <c r="L4569" s="2">
        <v>5</v>
      </c>
      <c r="M4569" s="2"/>
      <c r="N4569" s="8">
        <v>41625.921712962961</v>
      </c>
      <c r="O4569" s="4"/>
      <c r="P4569" s="3" t="s">
        <v>4633</v>
      </c>
      <c r="Q4569" s="4"/>
      <c r="R4569" s="4"/>
      <c r="S4569" s="9" t="str">
        <f>HYPERLINK("https://pbs.twimg.com/profile_images/1028939823598501888/FwXxl1V3.jpg","View")</f>
        <v>View</v>
      </c>
    </row>
    <row r="4570" spans="1:19" ht="20">
      <c r="A4570" s="8">
        <v>43341.029907407406</v>
      </c>
      <c r="B4570" s="11" t="str">
        <f>HYPERLINK("https://twitter.com/Steve_Jobs87","@Steve_Jobs87")</f>
        <v>@Steve_Jobs87</v>
      </c>
      <c r="C4570" s="6" t="s">
        <v>4632</v>
      </c>
      <c r="D4570" s="5" t="s">
        <v>4631</v>
      </c>
      <c r="E4570" s="9" t="str">
        <f>HYPERLINK("https://twitter.com/Steve_Jobs87/status/1034534349088153601","1034534349088153601")</f>
        <v>1034534349088153601</v>
      </c>
      <c r="F4570" s="4"/>
      <c r="G4570" s="4"/>
      <c r="H4570" s="4"/>
      <c r="I4570" s="10" t="str">
        <f>HYPERLINK("http://twitter.com","Twitter Web Client")</f>
        <v>Twitter Web Client</v>
      </c>
      <c r="J4570" s="2">
        <v>1543</v>
      </c>
      <c r="K4570" s="2">
        <v>853</v>
      </c>
      <c r="L4570" s="2">
        <v>10</v>
      </c>
      <c r="M4570" s="2"/>
      <c r="N4570" s="8">
        <v>41472.830972222218</v>
      </c>
      <c r="O4570" s="4" t="s">
        <v>743</v>
      </c>
      <c r="P4570" s="3"/>
      <c r="Q4570" s="4"/>
      <c r="R4570" s="4"/>
      <c r="S4570" s="9" t="str">
        <f>HYPERLINK("https://pbs.twimg.com/profile_images/963158828555685888/Lg94NEIc.jpg","View")</f>
        <v>View</v>
      </c>
    </row>
    <row r="4571" spans="1:19" ht="30">
      <c r="A4571" s="8">
        <v>43341.029826388884</v>
      </c>
      <c r="B4571" s="11" t="str">
        <f>HYPERLINK("https://twitter.com/sirous_69","@sirous_69")</f>
        <v>@sirous_69</v>
      </c>
      <c r="C4571" s="6" t="s">
        <v>4630</v>
      </c>
      <c r="D4571" s="5" t="s">
        <v>4629</v>
      </c>
      <c r="E4571" s="9" t="str">
        <f>HYPERLINK("https://twitter.com/sirous_69/status/1034534319337951233","1034534319337951233")</f>
        <v>1034534319337951233</v>
      </c>
      <c r="F4571" s="4"/>
      <c r="G4571" s="4"/>
      <c r="H4571" s="4"/>
      <c r="I4571" s="10" t="str">
        <f>HYPERLINK("http://twitter.com/download/android","Twitter for Android")</f>
        <v>Twitter for Android</v>
      </c>
      <c r="J4571" s="2">
        <v>37</v>
      </c>
      <c r="K4571" s="2">
        <v>44</v>
      </c>
      <c r="L4571" s="2">
        <v>0</v>
      </c>
      <c r="M4571" s="2"/>
      <c r="N4571" s="8">
        <v>43157.637118055558</v>
      </c>
      <c r="O4571" s="4"/>
      <c r="P4571" s="3" t="s">
        <v>4628</v>
      </c>
      <c r="Q4571" s="4"/>
      <c r="R4571" s="4"/>
      <c r="S4571" s="9" t="str">
        <f>HYPERLINK("https://pbs.twimg.com/profile_images/968092205809328129/xyen7Tuv.jpg","View")</f>
        <v>View</v>
      </c>
    </row>
    <row r="4572" spans="1:19" ht="40">
      <c r="A4572" s="8">
        <v>43341.029629629629</v>
      </c>
      <c r="B4572" s="11" t="str">
        <f>HYPERLINK("https://twitter.com/Daee_Iman","@Daee_Iman")</f>
        <v>@Daee_Iman</v>
      </c>
      <c r="C4572" s="6" t="s">
        <v>4627</v>
      </c>
      <c r="D4572" s="5" t="s">
        <v>4626</v>
      </c>
      <c r="E4572" s="9" t="str">
        <f>HYPERLINK("https://twitter.com/Daee_Iman/status/1034534248999518208","1034534248999518208")</f>
        <v>1034534248999518208</v>
      </c>
      <c r="F4572" s="4"/>
      <c r="G4572" s="4"/>
      <c r="H4572" s="4"/>
      <c r="I4572" s="10" t="str">
        <f>HYPERLINK("http://twitter.com/download/android","Twitter for Android")</f>
        <v>Twitter for Android</v>
      </c>
      <c r="J4572" s="2">
        <v>60</v>
      </c>
      <c r="K4572" s="2">
        <v>93</v>
      </c>
      <c r="L4572" s="2">
        <v>1</v>
      </c>
      <c r="M4572" s="2"/>
      <c r="N4572" s="8">
        <v>42841.576562499999</v>
      </c>
      <c r="O4572" s="4" t="s">
        <v>145</v>
      </c>
      <c r="P4572" s="3" t="s">
        <v>4625</v>
      </c>
      <c r="Q4572" s="4"/>
      <c r="R4572" s="4"/>
      <c r="S4572" s="9" t="str">
        <f>HYPERLINK("https://pbs.twimg.com/profile_images/859687315001798656/_ftmg6gO.jpg","View")</f>
        <v>View</v>
      </c>
    </row>
    <row r="4573" spans="1:19" ht="20">
      <c r="A4573" s="8">
        <v>43341.029212962967</v>
      </c>
      <c r="B4573" s="11" t="str">
        <f>HYPERLINK("https://twitter.com/rhmn95","@rhmn95")</f>
        <v>@rhmn95</v>
      </c>
      <c r="C4573" s="6" t="s">
        <v>4624</v>
      </c>
      <c r="D4573" s="5" t="s">
        <v>4623</v>
      </c>
      <c r="E4573" s="9" t="str">
        <f>HYPERLINK("https://twitter.com/rhmn95/status/1034534097354465280","1034534097354465280")</f>
        <v>1034534097354465280</v>
      </c>
      <c r="F4573" s="4"/>
      <c r="G4573" s="4"/>
      <c r="H4573" s="4"/>
      <c r="I4573" s="10" t="str">
        <f>HYPERLINK("http://twitter.com/download/android","Twitter for Android")</f>
        <v>Twitter for Android</v>
      </c>
      <c r="J4573" s="2">
        <v>154</v>
      </c>
      <c r="K4573" s="2">
        <v>194</v>
      </c>
      <c r="L4573" s="2">
        <v>0</v>
      </c>
      <c r="M4573" s="2"/>
      <c r="N4573" s="8">
        <v>42691.578831018516</v>
      </c>
      <c r="O4573" s="4"/>
      <c r="P4573" s="3" t="s">
        <v>4622</v>
      </c>
      <c r="Q4573" s="4"/>
      <c r="R4573" s="4"/>
      <c r="S4573" s="9" t="str">
        <f>HYPERLINK("https://pbs.twimg.com/profile_images/1023605361029382149/uaMgvhV9.jpg","View")</f>
        <v>View</v>
      </c>
    </row>
    <row r="4574" spans="1:19" ht="30">
      <c r="A4574" s="8">
        <v>43341.028587962966</v>
      </c>
      <c r="B4574" s="11" t="str">
        <f>HYPERLINK("https://twitter.com/ehsanhamedifar","@ehsanhamedifar")</f>
        <v>@ehsanhamedifar</v>
      </c>
      <c r="C4574" s="6" t="s">
        <v>4621</v>
      </c>
      <c r="D4574" s="5" t="s">
        <v>4620</v>
      </c>
      <c r="E4574" s="9" t="str">
        <f>HYPERLINK("https://twitter.com/ehsanhamedifar/status/1034533872409698304","1034533872409698304")</f>
        <v>1034533872409698304</v>
      </c>
      <c r="F4574" s="4"/>
      <c r="G4574" s="4"/>
      <c r="H4574" s="4"/>
      <c r="I4574" s="10" t="str">
        <f>HYPERLINK("http://twitter.com/download/android","Twitter for Android")</f>
        <v>Twitter for Android</v>
      </c>
      <c r="J4574" s="2">
        <v>99</v>
      </c>
      <c r="K4574" s="2">
        <v>151</v>
      </c>
      <c r="L4574" s="2">
        <v>2</v>
      </c>
      <c r="M4574" s="2"/>
      <c r="N4574" s="8">
        <v>43270.491423611107</v>
      </c>
      <c r="O4574" s="4" t="s">
        <v>17</v>
      </c>
      <c r="P4574" s="3" t="s">
        <v>4619</v>
      </c>
      <c r="Q4574" s="4"/>
      <c r="R4574" s="4"/>
      <c r="S4574" s="9" t="str">
        <f>HYPERLINK("https://pbs.twimg.com/profile_images/1010840568350564353/_rWVjHTG.jpg","View")</f>
        <v>View</v>
      </c>
    </row>
    <row r="4575" spans="1:19" ht="20">
      <c r="A4575" s="8">
        <v>43341.028078703705</v>
      </c>
      <c r="B4575" s="11" t="str">
        <f>HYPERLINK("https://twitter.com/Ahmad110_313","@Ahmad110_313")</f>
        <v>@Ahmad110_313</v>
      </c>
      <c r="C4575" s="6" t="s">
        <v>4618</v>
      </c>
      <c r="D4575" s="5" t="s">
        <v>4617</v>
      </c>
      <c r="E4575" s="9" t="str">
        <f>HYPERLINK("https://twitter.com/Ahmad110_313/status/1034533686832779264","1034533686832779264")</f>
        <v>1034533686832779264</v>
      </c>
      <c r="F4575" s="4"/>
      <c r="G4575" s="10" t="s">
        <v>4616</v>
      </c>
      <c r="H4575" s="4"/>
      <c r="I4575" s="10" t="str">
        <f>HYPERLINK("http://twitter.com/download/android","Twitter for Android")</f>
        <v>Twitter for Android</v>
      </c>
      <c r="J4575" s="2">
        <v>536</v>
      </c>
      <c r="K4575" s="2">
        <v>743</v>
      </c>
      <c r="L4575" s="2">
        <v>2</v>
      </c>
      <c r="M4575" s="2"/>
      <c r="N4575" s="8">
        <v>43081.937199074076</v>
      </c>
      <c r="O4575" s="4" t="s">
        <v>4615</v>
      </c>
      <c r="P4575" s="3" t="s">
        <v>4614</v>
      </c>
      <c r="Q4575" s="4"/>
      <c r="R4575" s="4"/>
      <c r="S4575" s="9" t="str">
        <f>HYPERLINK("https://pbs.twimg.com/profile_images/1007778647816704000/UhOXVJOT.jpg","View")</f>
        <v>View</v>
      </c>
    </row>
    <row r="4576" spans="1:19" ht="20">
      <c r="A4576" s="8">
        <v>43341.027638888889</v>
      </c>
      <c r="B4576" s="11" t="str">
        <f>HYPERLINK("https://twitter.com/HamedMo58","@HamedMo58")</f>
        <v>@HamedMo58</v>
      </c>
      <c r="C4576" s="6" t="s">
        <v>4613</v>
      </c>
      <c r="D4576" s="5" t="s">
        <v>4612</v>
      </c>
      <c r="E4576" s="9" t="str">
        <f>HYPERLINK("https://twitter.com/HamedMo58/status/1034533529445707776","1034533529445707776")</f>
        <v>1034533529445707776</v>
      </c>
      <c r="F4576" s="4"/>
      <c r="G4576" s="4"/>
      <c r="H4576" s="4"/>
      <c r="I4576" s="10" t="str">
        <f>HYPERLINK("http://twitter.com/download/android","Twitter for Android")</f>
        <v>Twitter for Android</v>
      </c>
      <c r="J4576" s="2">
        <v>2232</v>
      </c>
      <c r="K4576" s="2">
        <v>776</v>
      </c>
      <c r="L4576" s="2">
        <v>3</v>
      </c>
      <c r="M4576" s="2"/>
      <c r="N4576" s="8">
        <v>42721.955995370372</v>
      </c>
      <c r="O4576" s="4" t="s">
        <v>17</v>
      </c>
      <c r="P4576" s="3" t="s">
        <v>4611</v>
      </c>
      <c r="Q4576" s="4"/>
      <c r="R4576" s="4"/>
      <c r="S4576" s="9" t="str">
        <f>HYPERLINK("https://pbs.twimg.com/profile_images/817969332311330816/k8Ip4_Sw.jpg","View")</f>
        <v>View</v>
      </c>
    </row>
    <row r="4577" spans="1:19" ht="30">
      <c r="A4577" s="8">
        <v>43341.027303240742</v>
      </c>
      <c r="B4577" s="11" t="str">
        <f>HYPERLINK("https://twitter.com/BecksBehzad","@BecksBehzad")</f>
        <v>@BecksBehzad</v>
      </c>
      <c r="C4577" s="6" t="s">
        <v>4610</v>
      </c>
      <c r="D4577" s="5" t="s">
        <v>4609</v>
      </c>
      <c r="E4577" s="9" t="str">
        <f>HYPERLINK("https://twitter.com/BecksBehzad/status/1034533405638230016","1034533405638230016")</f>
        <v>1034533405638230016</v>
      </c>
      <c r="F4577" s="4"/>
      <c r="G4577" s="4"/>
      <c r="H4577" s="4"/>
      <c r="I4577" s="10" t="str">
        <f>HYPERLINK("http://twitter.com/download/android","Twitter for Android")</f>
        <v>Twitter for Android</v>
      </c>
      <c r="J4577" s="2">
        <v>336</v>
      </c>
      <c r="K4577" s="2">
        <v>201</v>
      </c>
      <c r="L4577" s="2">
        <v>4</v>
      </c>
      <c r="M4577" s="2"/>
      <c r="N4577" s="8">
        <v>40926.082546296297</v>
      </c>
      <c r="O4577" s="4" t="s">
        <v>4608</v>
      </c>
      <c r="P4577" s="3" t="s">
        <v>4607</v>
      </c>
      <c r="Q4577" s="10" t="s">
        <v>4606</v>
      </c>
      <c r="R4577" s="4"/>
      <c r="S4577" s="9" t="str">
        <f>HYPERLINK("https://pbs.twimg.com/profile_images/1034535760693800965/FfkBNlxT.jpg","View")</f>
        <v>View</v>
      </c>
    </row>
    <row r="4578" spans="1:19" ht="40">
      <c r="A4578" s="8">
        <v>43341.027245370366</v>
      </c>
      <c r="B4578" s="11" t="str">
        <f>HYPERLINK("https://twitter.com/OmidPouraziz","@OmidPouraziz")</f>
        <v>@OmidPouraziz</v>
      </c>
      <c r="C4578" s="6" t="s">
        <v>4605</v>
      </c>
      <c r="D4578" s="5" t="s">
        <v>4604</v>
      </c>
      <c r="E4578" s="9" t="str">
        <f>HYPERLINK("https://twitter.com/OmidPouraziz/status/1034533385815945216","1034533385815945216")</f>
        <v>1034533385815945216</v>
      </c>
      <c r="F4578" s="4"/>
      <c r="G4578" s="4"/>
      <c r="H4578" s="4"/>
      <c r="I4578" s="10" t="str">
        <f>HYPERLINK("http://twitter.com/download/iphone","Twitter for iPhone")</f>
        <v>Twitter for iPhone</v>
      </c>
      <c r="J4578" s="2">
        <v>170</v>
      </c>
      <c r="K4578" s="2">
        <v>641</v>
      </c>
      <c r="L4578" s="2">
        <v>1</v>
      </c>
      <c r="M4578" s="2"/>
      <c r="N4578" s="8">
        <v>41593.060752314814</v>
      </c>
      <c r="O4578" s="4" t="s">
        <v>4603</v>
      </c>
      <c r="P4578" s="3" t="s">
        <v>4602</v>
      </c>
      <c r="Q4578" s="10" t="s">
        <v>4601</v>
      </c>
      <c r="R4578" s="4"/>
      <c r="S4578" s="9" t="str">
        <f>HYPERLINK("https://pbs.twimg.com/profile_images/1007528872282378240/IzFlT-Cm.jpg","View")</f>
        <v>View</v>
      </c>
    </row>
    <row r="4579" spans="1:19" ht="40">
      <c r="A4579" s="8">
        <v>43341.026805555557</v>
      </c>
      <c r="B4579" s="11" t="str">
        <f>HYPERLINK("https://twitter.com/Zeinabbhrni","@Zeinabbhrni")</f>
        <v>@Zeinabbhrni</v>
      </c>
      <c r="C4579" s="6" t="s">
        <v>4600</v>
      </c>
      <c r="D4579" s="5" t="s">
        <v>4599</v>
      </c>
      <c r="E4579" s="9" t="str">
        <f>HYPERLINK("https://twitter.com/Zeinabbhrni/status/1034533225857736710","1034533225857736710")</f>
        <v>1034533225857736710</v>
      </c>
      <c r="F4579" s="4"/>
      <c r="G4579" s="4"/>
      <c r="H4579" s="4"/>
      <c r="I4579" s="10" t="str">
        <f>HYPERLINK("http://twitter.com/download/iphone","Twitter for iPhone")</f>
        <v>Twitter for iPhone</v>
      </c>
      <c r="J4579" s="2">
        <v>1198</v>
      </c>
      <c r="K4579" s="2">
        <v>428</v>
      </c>
      <c r="L4579" s="2">
        <v>1</v>
      </c>
      <c r="M4579" s="2"/>
      <c r="N4579" s="8">
        <v>41780.615856481483</v>
      </c>
      <c r="O4579" s="4" t="s">
        <v>34</v>
      </c>
      <c r="P4579" s="3" t="s">
        <v>4598</v>
      </c>
      <c r="Q4579" s="4"/>
      <c r="R4579" s="4"/>
      <c r="S4579" s="9" t="str">
        <f>HYPERLINK("https://pbs.twimg.com/profile_images/999966329137455104/KVEryKsp.jpg","View")</f>
        <v>View</v>
      </c>
    </row>
    <row r="4580" spans="1:19" ht="40">
      <c r="A4580" s="8">
        <v>43341.026504629626</v>
      </c>
      <c r="B4580" s="11" t="str">
        <f>HYPERLINK("https://twitter.com/jirjirakpar","@jirjirakpar")</f>
        <v>@jirjirakpar</v>
      </c>
      <c r="C4580" s="6" t="s">
        <v>4597</v>
      </c>
      <c r="D4580" s="5" t="s">
        <v>4596</v>
      </c>
      <c r="E4580" s="9" t="str">
        <f>HYPERLINK("https://twitter.com/jirjirakpar/status/1034533115283353600","1034533115283353600")</f>
        <v>1034533115283353600</v>
      </c>
      <c r="F4580" s="4"/>
      <c r="G4580" s="4"/>
      <c r="H4580" s="4"/>
      <c r="I4580" s="10" t="str">
        <f>HYPERLINK("http://twitter.com/download/iphone","Twitter for iPhone")</f>
        <v>Twitter for iPhone</v>
      </c>
      <c r="J4580" s="2">
        <v>636</v>
      </c>
      <c r="K4580" s="2">
        <v>303</v>
      </c>
      <c r="L4580" s="2">
        <v>3</v>
      </c>
      <c r="M4580" s="2"/>
      <c r="N4580" s="8">
        <v>43151.004594907412</v>
      </c>
      <c r="O4580" s="4" t="s">
        <v>34</v>
      </c>
      <c r="P4580" s="3" t="s">
        <v>4595</v>
      </c>
      <c r="Q4580" s="4"/>
      <c r="R4580" s="4"/>
      <c r="S4580" s="9" t="str">
        <f>HYPERLINK("https://pbs.twimg.com/profile_images/1006480663992782848/od2CubpA.jpg","View")</f>
        <v>View</v>
      </c>
    </row>
    <row r="4581" spans="1:19" ht="20">
      <c r="A4581" s="8">
        <v>43341.025729166664</v>
      </c>
      <c r="B4581" s="11" t="str">
        <f>HYPERLINK("https://twitter.com/MehrdadTabrizi","@MehrdadTabrizi")</f>
        <v>@MehrdadTabrizi</v>
      </c>
      <c r="C4581" s="6" t="s">
        <v>4594</v>
      </c>
      <c r="D4581" s="5" t="s">
        <v>4593</v>
      </c>
      <c r="E4581" s="9" t="str">
        <f>HYPERLINK("https://twitter.com/MehrdadTabrizi/status/1034532834269122560","1034532834269122560")</f>
        <v>1034532834269122560</v>
      </c>
      <c r="F4581" s="4"/>
      <c r="G4581" s="4"/>
      <c r="H4581" s="4"/>
      <c r="I4581" s="10" t="str">
        <f>HYPERLINK("http://twitter.com/download/android","Twitter for Android")</f>
        <v>Twitter for Android</v>
      </c>
      <c r="J4581" s="2">
        <v>82</v>
      </c>
      <c r="K4581" s="2">
        <v>127</v>
      </c>
      <c r="L4581" s="2">
        <v>0</v>
      </c>
      <c r="M4581" s="2"/>
      <c r="N4581" s="8">
        <v>40804.455011574071</v>
      </c>
      <c r="O4581" s="4" t="s">
        <v>4592</v>
      </c>
      <c r="P4581" s="3" t="s">
        <v>4591</v>
      </c>
      <c r="Q4581" s="4"/>
      <c r="R4581" s="4"/>
      <c r="S4581" s="9" t="str">
        <f>HYPERLINK("https://pbs.twimg.com/profile_images/1628575867/twitter.jpg","View")</f>
        <v>View</v>
      </c>
    </row>
    <row r="4582" spans="1:19" ht="12.5">
      <c r="A4582" s="8">
        <v>43341.02480324074</v>
      </c>
      <c r="B4582" s="11" t="str">
        <f>HYPERLINK("https://twitter.com/Thesonofman9","@Thesonofman9")</f>
        <v>@Thesonofman9</v>
      </c>
      <c r="C4582" s="6" t="s">
        <v>4590</v>
      </c>
      <c r="D4582" s="5" t="s">
        <v>4589</v>
      </c>
      <c r="E4582" s="9" t="str">
        <f>HYPERLINK("https://twitter.com/Thesonofman9/status/1034532500389986304","1034532500389986304")</f>
        <v>1034532500389986304</v>
      </c>
      <c r="F4582" s="4"/>
      <c r="G4582" s="4"/>
      <c r="H4582" s="4"/>
      <c r="I4582" s="10" t="str">
        <f>HYPERLINK("http://twitter.com","Twitter Web Client")</f>
        <v>Twitter Web Client</v>
      </c>
      <c r="J4582" s="2">
        <v>612</v>
      </c>
      <c r="K4582" s="2">
        <v>1317</v>
      </c>
      <c r="L4582" s="2">
        <v>1</v>
      </c>
      <c r="M4582" s="2"/>
      <c r="N4582" s="8">
        <v>43241.737615740742</v>
      </c>
      <c r="O4582" s="4" t="s">
        <v>34</v>
      </c>
      <c r="P4582" s="3" t="s">
        <v>4588</v>
      </c>
      <c r="Q4582" s="4"/>
      <c r="R4582" s="4"/>
      <c r="S4582" s="9" t="str">
        <f>HYPERLINK("https://pbs.twimg.com/profile_images/1004463585089581057/WKhdpB3F.jpg","View")</f>
        <v>View</v>
      </c>
    </row>
    <row r="4583" spans="1:19" ht="80">
      <c r="A4583" s="8">
        <v>43341.024780092594</v>
      </c>
      <c r="B4583" s="11" t="str">
        <f>HYPERLINK("https://twitter.com/alikishizadeh","@alikishizadeh")</f>
        <v>@alikishizadeh</v>
      </c>
      <c r="C4583" s="6" t="s">
        <v>4587</v>
      </c>
      <c r="D4583" s="5" t="s">
        <v>4586</v>
      </c>
      <c r="E4583" s="9" t="str">
        <f>HYPERLINK("https://twitter.com/alikishizadeh/status/1034532490235572224","1034532490235572224")</f>
        <v>1034532490235572224</v>
      </c>
      <c r="F4583" s="10" t="s">
        <v>4330</v>
      </c>
      <c r="G4583" s="10" t="s">
        <v>4329</v>
      </c>
      <c r="H4583" s="4"/>
      <c r="I4583" s="10" t="str">
        <f>HYPERLINK("http://twitter.com/download/android","Twitter for Android")</f>
        <v>Twitter for Android</v>
      </c>
      <c r="J4583" s="2">
        <v>136</v>
      </c>
      <c r="K4583" s="2">
        <v>180</v>
      </c>
      <c r="L4583" s="2">
        <v>0</v>
      </c>
      <c r="M4583" s="2"/>
      <c r="N4583" s="8">
        <v>40593.031782407408</v>
      </c>
      <c r="O4583" s="4" t="s">
        <v>17</v>
      </c>
      <c r="P4583" s="3" t="s">
        <v>4585</v>
      </c>
      <c r="Q4583" s="4"/>
      <c r="R4583" s="4"/>
      <c r="S4583" s="9" t="str">
        <f>HYPERLINK("https://pbs.twimg.com/profile_images/968421759383941120/jFsq1KO5.jpg","View")</f>
        <v>View</v>
      </c>
    </row>
    <row r="4584" spans="1:19" ht="30">
      <c r="A4584" s="8">
        <v>43341.024618055555</v>
      </c>
      <c r="B4584" s="11" t="str">
        <f>HYPERLINK("https://twitter.com/BisheyeBidar","@BisheyeBidar")</f>
        <v>@BisheyeBidar</v>
      </c>
      <c r="C4584" s="6" t="s">
        <v>4584</v>
      </c>
      <c r="D4584" s="5" t="s">
        <v>4583</v>
      </c>
      <c r="E4584" s="9" t="str">
        <f>HYPERLINK("https://twitter.com/BisheyeBidar/status/1034532434854006785","1034532434854006785")</f>
        <v>1034532434854006785</v>
      </c>
      <c r="F4584" s="4"/>
      <c r="G4584" s="4"/>
      <c r="H4584" s="4"/>
      <c r="I4584" s="10" t="str">
        <f>HYPERLINK("http://twitter.com/download/android","Twitter for Android")</f>
        <v>Twitter for Android</v>
      </c>
      <c r="J4584" s="2">
        <v>147</v>
      </c>
      <c r="K4584" s="2">
        <v>444</v>
      </c>
      <c r="L4584" s="2">
        <v>1</v>
      </c>
      <c r="M4584" s="2"/>
      <c r="N4584" s="8">
        <v>43214.937789351854</v>
      </c>
      <c r="O4584" s="4"/>
      <c r="P4584" s="3"/>
      <c r="Q4584" s="4"/>
      <c r="R4584" s="4"/>
      <c r="S4584" s="9" t="str">
        <f>HYPERLINK("https://pbs.twimg.com/profile_images/1003188625662570497/0YnO4VPb.jpg","View")</f>
        <v>View</v>
      </c>
    </row>
    <row r="4585" spans="1:19" ht="12.5">
      <c r="A4585" s="8">
        <v>43341.024513888886</v>
      </c>
      <c r="B4585" s="11" t="str">
        <f>HYPERLINK("https://twitter.com/real_raae","@real_raae")</f>
        <v>@real_raae</v>
      </c>
      <c r="C4585" s="6" t="s">
        <v>4582</v>
      </c>
      <c r="D4585" s="5" t="s">
        <v>4581</v>
      </c>
      <c r="E4585" s="9" t="str">
        <f>HYPERLINK("https://twitter.com/real_raae/status/1034532396694163456","1034532396694163456")</f>
        <v>1034532396694163456</v>
      </c>
      <c r="F4585" s="4"/>
      <c r="G4585" s="4"/>
      <c r="H4585" s="4"/>
      <c r="I4585" s="10" t="str">
        <f>HYPERLINK("http://twitter.com/download/android","Twitter for Android")</f>
        <v>Twitter for Android</v>
      </c>
      <c r="J4585" s="2">
        <v>168</v>
      </c>
      <c r="K4585" s="2">
        <v>234</v>
      </c>
      <c r="L4585" s="2">
        <v>1</v>
      </c>
      <c r="M4585" s="2"/>
      <c r="N4585" s="8">
        <v>43111.179363425923</v>
      </c>
      <c r="O4585" s="4" t="s">
        <v>4580</v>
      </c>
      <c r="P4585" s="3" t="s">
        <v>4579</v>
      </c>
      <c r="Q4585" s="4"/>
      <c r="R4585" s="4"/>
      <c r="S4585" s="9" t="str">
        <f>HYPERLINK("https://pbs.twimg.com/profile_images/1031112729434701824/lfi0TIu0.jpg","View")</f>
        <v>View</v>
      </c>
    </row>
    <row r="4586" spans="1:19" ht="20">
      <c r="A4586" s="8">
        <v>43341.024375000001</v>
      </c>
      <c r="B4586" s="11" t="str">
        <f>HYPERLINK("https://twitter.com/Ash51336671","@Ash51336671")</f>
        <v>@Ash51336671</v>
      </c>
      <c r="C4586" s="6" t="s">
        <v>4578</v>
      </c>
      <c r="D4586" s="5" t="s">
        <v>4577</v>
      </c>
      <c r="E4586" s="9" t="str">
        <f>HYPERLINK("https://twitter.com/Ash51336671/status/1034532344412229632","1034532344412229632")</f>
        <v>1034532344412229632</v>
      </c>
      <c r="F4586" s="4"/>
      <c r="G4586" s="4"/>
      <c r="H4586" s="4"/>
      <c r="I4586" s="10" t="str">
        <f>HYPERLINK("https://mobile.twitter.com","Twitter Lite")</f>
        <v>Twitter Lite</v>
      </c>
      <c r="J4586" s="2">
        <v>0</v>
      </c>
      <c r="K4586" s="2">
        <v>6</v>
      </c>
      <c r="L4586" s="2">
        <v>0</v>
      </c>
      <c r="M4586" s="2"/>
      <c r="N4586" s="8">
        <v>43304.909618055557</v>
      </c>
      <c r="O4586" s="4" t="s">
        <v>2205</v>
      </c>
      <c r="P4586" s="3" t="s">
        <v>4576</v>
      </c>
      <c r="Q4586" s="4"/>
      <c r="R4586" s="4"/>
      <c r="S4586" s="2" t="s">
        <v>155</v>
      </c>
    </row>
    <row r="4587" spans="1:19" ht="12.5">
      <c r="A4587" s="8">
        <v>43341.02416666667</v>
      </c>
      <c r="B4587" s="11" t="str">
        <f>HYPERLINK("https://twitter.com/mohamma32088394","@mohamma32088394")</f>
        <v>@mohamma32088394</v>
      </c>
      <c r="C4587" s="6" t="s">
        <v>4575</v>
      </c>
      <c r="D4587" s="5" t="s">
        <v>4574</v>
      </c>
      <c r="E4587" s="9" t="str">
        <f>HYPERLINK("https://twitter.com/mohamma32088394/status/1034532269774462977","1034532269774462977")</f>
        <v>1034532269774462977</v>
      </c>
      <c r="F4587" s="4"/>
      <c r="G4587" s="4"/>
      <c r="H4587" s="4"/>
      <c r="I4587" s="10" t="str">
        <f>HYPERLINK("http://twitter.com/download/android","Twitter for Android")</f>
        <v>Twitter for Android</v>
      </c>
      <c r="J4587" s="2">
        <v>28</v>
      </c>
      <c r="K4587" s="2">
        <v>89</v>
      </c>
      <c r="L4587" s="2">
        <v>0</v>
      </c>
      <c r="M4587" s="2"/>
      <c r="N4587" s="8">
        <v>42773.0393287037</v>
      </c>
      <c r="O4587" s="4" t="s">
        <v>34</v>
      </c>
      <c r="P4587" s="3" t="s">
        <v>4573</v>
      </c>
      <c r="Q4587" s="4"/>
      <c r="R4587" s="4"/>
      <c r="S4587" s="9" t="str">
        <f>HYPERLINK("https://pbs.twimg.com/profile_images/855853046001258498/hTzCIMBL.jpg","View")</f>
        <v>View</v>
      </c>
    </row>
    <row r="4588" spans="1:19" ht="40">
      <c r="A4588" s="8">
        <v>43341.024097222224</v>
      </c>
      <c r="B4588" s="11" t="str">
        <f>HYPERLINK("https://twitter.com/hasanasadiz","@hasanasadiz")</f>
        <v>@hasanasadiz</v>
      </c>
      <c r="C4588" s="6" t="s">
        <v>4572</v>
      </c>
      <c r="D4588" s="5" t="s">
        <v>4571</v>
      </c>
      <c r="E4588" s="9" t="str">
        <f>HYPERLINK("https://twitter.com/hasanasadiz/status/1034532244235399168","1034532244235399168")</f>
        <v>1034532244235399168</v>
      </c>
      <c r="F4588" s="4"/>
      <c r="G4588" s="10" t="s">
        <v>4570</v>
      </c>
      <c r="H4588" s="4"/>
      <c r="I4588" s="10" t="str">
        <f>HYPERLINK("http://twitter.com/download/iphone","Twitter for iPhone")</f>
        <v>Twitter for iPhone</v>
      </c>
      <c r="J4588" s="2">
        <v>22358</v>
      </c>
      <c r="K4588" s="2">
        <v>206</v>
      </c>
      <c r="L4588" s="2">
        <v>92</v>
      </c>
      <c r="M4588" s="2"/>
      <c r="N4588" s="8">
        <v>42248.669837962967</v>
      </c>
      <c r="O4588" s="4" t="s">
        <v>133</v>
      </c>
      <c r="P4588" s="3" t="s">
        <v>4569</v>
      </c>
      <c r="Q4588" s="4"/>
      <c r="R4588" s="4"/>
      <c r="S4588" s="9" t="str">
        <f>HYPERLINK("https://pbs.twimg.com/profile_images/1013062048517902336/7FeFKwKA.jpg","View")</f>
        <v>View</v>
      </c>
    </row>
    <row r="4589" spans="1:19" ht="30">
      <c r="A4589" s="8">
        <v>43341.023784722223</v>
      </c>
      <c r="B4589" s="11" t="str">
        <f>HYPERLINK("https://twitter.com/mirza_borjerdi","@mirza_borjerdi")</f>
        <v>@mirza_borjerdi</v>
      </c>
      <c r="C4589" s="6" t="s">
        <v>4568</v>
      </c>
      <c r="D4589" s="5" t="s">
        <v>4567</v>
      </c>
      <c r="E4589" s="9" t="str">
        <f>HYPERLINK("https://twitter.com/mirza_borjerdi/status/1034532129538015232","1034532129538015232")</f>
        <v>1034532129538015232</v>
      </c>
      <c r="F4589" s="4"/>
      <c r="G4589" s="4"/>
      <c r="H4589" s="4"/>
      <c r="I4589" s="10" t="str">
        <f>HYPERLINK("http://twitter.com/download/android","Twitter for Android")</f>
        <v>Twitter for Android</v>
      </c>
      <c r="J4589" s="2">
        <v>461</v>
      </c>
      <c r="K4589" s="2">
        <v>731</v>
      </c>
      <c r="L4589" s="2">
        <v>1</v>
      </c>
      <c r="M4589" s="2"/>
      <c r="N4589" s="8">
        <v>43235.710023148145</v>
      </c>
      <c r="O4589" s="4"/>
      <c r="P4589" s="3" t="s">
        <v>4566</v>
      </c>
      <c r="Q4589" s="4"/>
      <c r="R4589" s="4"/>
      <c r="S4589" s="9" t="str">
        <f>HYPERLINK("https://pbs.twimg.com/profile_images/1034539644019507201/zudHXYEh.jpg","View")</f>
        <v>View</v>
      </c>
    </row>
    <row r="4590" spans="1:19" ht="20">
      <c r="A4590" s="8">
        <v>43341.0230787037</v>
      </c>
      <c r="B4590" s="11" t="str">
        <f>HYPERLINK("https://twitter.com/kiafreedom","@kiafreedom")</f>
        <v>@kiafreedom</v>
      </c>
      <c r="C4590" s="6" t="s">
        <v>4565</v>
      </c>
      <c r="D4590" s="5" t="s">
        <v>4564</v>
      </c>
      <c r="E4590" s="9" t="str">
        <f>HYPERLINK("https://twitter.com/kiafreedom/status/1034531875165888512","1034531875165888512")</f>
        <v>1034531875165888512</v>
      </c>
      <c r="F4590" s="4"/>
      <c r="G4590" s="4"/>
      <c r="H4590" s="4"/>
      <c r="I4590" s="10" t="str">
        <f>HYPERLINK("http://twitter.com/download/android","Twitter for Android")</f>
        <v>Twitter for Android</v>
      </c>
      <c r="J4590" s="2">
        <v>82</v>
      </c>
      <c r="K4590" s="2">
        <v>137</v>
      </c>
      <c r="L4590" s="2">
        <v>1</v>
      </c>
      <c r="M4590" s="2"/>
      <c r="N4590" s="8">
        <v>41484.493229166663</v>
      </c>
      <c r="O4590" s="4" t="s">
        <v>4563</v>
      </c>
      <c r="P4590" s="3" t="s">
        <v>4562</v>
      </c>
      <c r="Q4590" s="4"/>
      <c r="R4590" s="4"/>
      <c r="S4590" s="9" t="str">
        <f>HYPERLINK("https://pbs.twimg.com/profile_images/472658792035790849/83bTQ125.jpeg","View")</f>
        <v>View</v>
      </c>
    </row>
    <row r="4591" spans="1:19" ht="20">
      <c r="A4591" s="8">
        <v>43341.023009259261</v>
      </c>
      <c r="B4591" s="11" t="str">
        <f>HYPERLINK("https://twitter.com/behzadghobadi_","@behzadghobadi_")</f>
        <v>@behzadghobadi_</v>
      </c>
      <c r="C4591" s="6" t="s">
        <v>2489</v>
      </c>
      <c r="D4591" s="5" t="s">
        <v>4561</v>
      </c>
      <c r="E4591" s="9" t="str">
        <f>HYPERLINK("https://twitter.com/behzadghobadi_/status/1034531851803742210","1034531851803742210")</f>
        <v>1034531851803742210</v>
      </c>
      <c r="F4591" s="4"/>
      <c r="G4591" s="10" t="s">
        <v>4560</v>
      </c>
      <c r="H4591" s="4"/>
      <c r="I4591" s="10" t="str">
        <f>HYPERLINK("http://twitter.com/download/android","Twitter for Android")</f>
        <v>Twitter for Android</v>
      </c>
      <c r="J4591" s="2">
        <v>48</v>
      </c>
      <c r="K4591" s="2">
        <v>112</v>
      </c>
      <c r="L4591" s="2">
        <v>0</v>
      </c>
      <c r="M4591" s="2"/>
      <c r="N4591" s="8">
        <v>42914.156643518523</v>
      </c>
      <c r="O4591" s="4"/>
      <c r="P4591" s="3" t="s">
        <v>2487</v>
      </c>
      <c r="Q4591" s="4"/>
      <c r="R4591" s="4"/>
      <c r="S4591" s="9" t="str">
        <f>HYPERLINK("https://pbs.twimg.com/profile_images/1034401444579880961/Uj4S_Mvg.jpg","View")</f>
        <v>View</v>
      </c>
    </row>
    <row r="4592" spans="1:19" ht="20">
      <c r="A4592" s="8">
        <v>43341.022627314815</v>
      </c>
      <c r="B4592" s="11" t="str">
        <f>HYPERLINK("https://twitter.com/Abuali_313","@Abuali_313")</f>
        <v>@Abuali_313</v>
      </c>
      <c r="C4592" s="6" t="s">
        <v>46</v>
      </c>
      <c r="D4592" s="5" t="s">
        <v>4559</v>
      </c>
      <c r="E4592" s="9" t="str">
        <f>HYPERLINK("https://twitter.com/Abuali_313/status/1034531711546212353","1034531711546212353")</f>
        <v>1034531711546212353</v>
      </c>
      <c r="F4592" s="4"/>
      <c r="G4592" s="4"/>
      <c r="H4592" s="4"/>
      <c r="I4592" s="10" t="str">
        <f>HYPERLINK("http://twitter.com/download/android","Twitter for Android")</f>
        <v>Twitter for Android</v>
      </c>
      <c r="J4592" s="2">
        <v>497</v>
      </c>
      <c r="K4592" s="2">
        <v>549</v>
      </c>
      <c r="L4592" s="2">
        <v>0</v>
      </c>
      <c r="M4592" s="2"/>
      <c r="N4592" s="8">
        <v>43081.298576388886</v>
      </c>
      <c r="O4592" s="4" t="s">
        <v>34</v>
      </c>
      <c r="P4592" s="3" t="s">
        <v>44</v>
      </c>
      <c r="Q4592" s="10" t="s">
        <v>43</v>
      </c>
      <c r="R4592" s="4"/>
      <c r="S4592" s="9" t="str">
        <f>HYPERLINK("https://pbs.twimg.com/profile_images/941006636113637378/T--iAnqV.jpg","View")</f>
        <v>View</v>
      </c>
    </row>
    <row r="4593" spans="1:19" ht="30">
      <c r="A4593" s="8">
        <v>43341.022488425922</v>
      </c>
      <c r="B4593" s="11" t="str">
        <f>HYPERLINK("https://twitter.com/mehrandousty","@mehrandousty")</f>
        <v>@mehrandousty</v>
      </c>
      <c r="C4593" s="6" t="s">
        <v>4558</v>
      </c>
      <c r="D4593" s="5" t="s">
        <v>4557</v>
      </c>
      <c r="E4593" s="9" t="str">
        <f>HYPERLINK("https://twitter.com/mehrandousty/status/1034531663550849026","1034531663550849026")</f>
        <v>1034531663550849026</v>
      </c>
      <c r="F4593" s="4"/>
      <c r="G4593" s="4"/>
      <c r="H4593" s="4"/>
      <c r="I4593" s="10" t="str">
        <f>HYPERLINK("http://twitter.com/download/iphone","Twitter for iPhone")</f>
        <v>Twitter for iPhone</v>
      </c>
      <c r="J4593" s="2">
        <v>328</v>
      </c>
      <c r="K4593" s="2">
        <v>97</v>
      </c>
      <c r="L4593" s="2">
        <v>1</v>
      </c>
      <c r="M4593" s="2"/>
      <c r="N4593" s="8">
        <v>41131.673159722224</v>
      </c>
      <c r="O4593" s="4" t="s">
        <v>34</v>
      </c>
      <c r="P4593" s="3" t="s">
        <v>4556</v>
      </c>
      <c r="Q4593" s="4"/>
      <c r="R4593" s="4"/>
      <c r="S4593" s="9" t="str">
        <f>HYPERLINK("https://pbs.twimg.com/profile_images/1033782221176561664/Q1u52_Lg.jpg","View")</f>
        <v>View</v>
      </c>
    </row>
    <row r="4594" spans="1:19" ht="40">
      <c r="A4594" s="8">
        <v>43341.022256944445</v>
      </c>
      <c r="B4594" s="11" t="str">
        <f>HYPERLINK("https://twitter.com/AkbarEghbali","@AkbarEghbali")</f>
        <v>@AkbarEghbali</v>
      </c>
      <c r="C4594" s="6" t="s">
        <v>4555</v>
      </c>
      <c r="D4594" s="5" t="s">
        <v>4554</v>
      </c>
      <c r="E4594" s="9" t="str">
        <f>HYPERLINK("https://twitter.com/AkbarEghbali/status/1034531576334508037","1034531576334508037")</f>
        <v>1034531576334508037</v>
      </c>
      <c r="F4594" s="4"/>
      <c r="G4594" s="4"/>
      <c r="H4594" s="4"/>
      <c r="I4594" s="10" t="str">
        <f>HYPERLINK("http://twitter.com/download/android","Twitter for Android")</f>
        <v>Twitter for Android</v>
      </c>
      <c r="J4594" s="2">
        <v>77</v>
      </c>
      <c r="K4594" s="2">
        <v>127</v>
      </c>
      <c r="L4594" s="2">
        <v>0</v>
      </c>
      <c r="M4594" s="2"/>
      <c r="N4594" s="8">
        <v>41482.725335648152</v>
      </c>
      <c r="O4594" s="4" t="s">
        <v>2221</v>
      </c>
      <c r="P4594" s="3" t="s">
        <v>4553</v>
      </c>
      <c r="Q4594" s="4"/>
      <c r="R4594" s="4"/>
      <c r="S4594" s="9" t="str">
        <f>HYPERLINK("https://pbs.twimg.com/profile_images/876580975198818305/Aj4xuJLq.jpg","View")</f>
        <v>View</v>
      </c>
    </row>
    <row r="4595" spans="1:19" ht="40">
      <c r="A4595" s="8">
        <v>43341.022118055553</v>
      </c>
      <c r="B4595" s="11" t="str">
        <f>HYPERLINK("https://twitter.com/znajian","@znajian")</f>
        <v>@znajian</v>
      </c>
      <c r="C4595" s="6" t="s">
        <v>4552</v>
      </c>
      <c r="D4595" s="5" t="s">
        <v>4551</v>
      </c>
      <c r="E4595" s="9" t="str">
        <f>HYPERLINK("https://twitter.com/znajian/status/1034531525587607552","1034531525587607552")</f>
        <v>1034531525587607552</v>
      </c>
      <c r="F4595" s="4"/>
      <c r="G4595" s="4"/>
      <c r="H4595" s="4"/>
      <c r="I4595" s="10" t="str">
        <f>HYPERLINK("http://twitter.com/download/android","Twitter for Android")</f>
        <v>Twitter for Android</v>
      </c>
      <c r="J4595" s="2">
        <v>855</v>
      </c>
      <c r="K4595" s="2">
        <v>261</v>
      </c>
      <c r="L4595" s="2">
        <v>2</v>
      </c>
      <c r="M4595" s="2"/>
      <c r="N4595" s="8">
        <v>42386.081805555557</v>
      </c>
      <c r="O4595" s="4"/>
      <c r="P4595" s="3" t="s">
        <v>4550</v>
      </c>
      <c r="Q4595" s="4"/>
      <c r="R4595" s="4"/>
      <c r="S4595" s="9" t="str">
        <f>HYPERLINK("https://pbs.twimg.com/profile_images/876067867774640128/7Eqa3uOR.jpg","View")</f>
        <v>View</v>
      </c>
    </row>
    <row r="4596" spans="1:19" ht="30">
      <c r="A4596" s="8">
        <v>43341.022037037037</v>
      </c>
      <c r="B4596" s="11" t="str">
        <f>HYPERLINK("https://twitter.com/civileng1112","@civileng1112")</f>
        <v>@civileng1112</v>
      </c>
      <c r="C4596" s="6" t="s">
        <v>4549</v>
      </c>
      <c r="D4596" s="5" t="s">
        <v>4548</v>
      </c>
      <c r="E4596" s="9" t="str">
        <f>HYPERLINK("https://twitter.com/civileng1112/status/1034531497846472704","1034531497846472704")</f>
        <v>1034531497846472704</v>
      </c>
      <c r="F4596" s="4"/>
      <c r="G4596" s="4"/>
      <c r="H4596" s="4"/>
      <c r="I4596" s="10" t="str">
        <f>HYPERLINK("http://twitter.com/download/android","Twitter for Android")</f>
        <v>Twitter for Android</v>
      </c>
      <c r="J4596" s="2">
        <v>11</v>
      </c>
      <c r="K4596" s="2">
        <v>69</v>
      </c>
      <c r="L4596" s="2">
        <v>0</v>
      </c>
      <c r="M4596" s="2"/>
      <c r="N4596" s="8">
        <v>43105.928506944445</v>
      </c>
      <c r="O4596" s="4"/>
      <c r="P4596" s="3" t="s">
        <v>4547</v>
      </c>
      <c r="Q4596" s="4"/>
      <c r="R4596" s="4"/>
      <c r="S4596" s="9" t="str">
        <f>HYPERLINK("https://pbs.twimg.com/profile_images/1031980890434482176/BwuAgJT4.jpg","View")</f>
        <v>View</v>
      </c>
    </row>
    <row r="4597" spans="1:19" ht="30">
      <c r="A4597" s="8">
        <v>43341.021944444445</v>
      </c>
      <c r="B4597" s="11" t="str">
        <f>HYPERLINK("https://twitter.com/Revman10","@Revman10")</f>
        <v>@Revman10</v>
      </c>
      <c r="C4597" s="6" t="s">
        <v>4403</v>
      </c>
      <c r="D4597" s="5" t="s">
        <v>4546</v>
      </c>
      <c r="E4597" s="9" t="str">
        <f>HYPERLINK("https://twitter.com/Revman10/status/1034531466066190338","1034531466066190338")</f>
        <v>1034531466066190338</v>
      </c>
      <c r="F4597" s="4"/>
      <c r="G4597" s="10" t="s">
        <v>4545</v>
      </c>
      <c r="H4597" s="4"/>
      <c r="I4597" s="10" t="str">
        <f>HYPERLINK("http://twitter.com/download/android","Twitter for Android")</f>
        <v>Twitter for Android</v>
      </c>
      <c r="J4597" s="2">
        <v>68</v>
      </c>
      <c r="K4597" s="2">
        <v>95</v>
      </c>
      <c r="L4597" s="2">
        <v>0</v>
      </c>
      <c r="M4597" s="2"/>
      <c r="N4597" s="8">
        <v>43271.257766203707</v>
      </c>
      <c r="O4597" s="4" t="s">
        <v>324</v>
      </c>
      <c r="P4597" s="3" t="s">
        <v>4401</v>
      </c>
      <c r="Q4597" s="4"/>
      <c r="R4597" s="4"/>
      <c r="S4597" s="9" t="str">
        <f>HYPERLINK("https://pbs.twimg.com/profile_images/1027487813896429568/Gbn1h0z3.jpg","View")</f>
        <v>View</v>
      </c>
    </row>
    <row r="4598" spans="1:19" ht="20">
      <c r="A4598" s="8">
        <v>43341.021458333329</v>
      </c>
      <c r="B4598" s="11" t="str">
        <f>HYPERLINK("https://twitter.com/Amoo_Sibilou","@Amoo_Sibilou")</f>
        <v>@Amoo_Sibilou</v>
      </c>
      <c r="C4598" s="6" t="s">
        <v>1463</v>
      </c>
      <c r="D4598" s="5" t="s">
        <v>4544</v>
      </c>
      <c r="E4598" s="9" t="str">
        <f>HYPERLINK("https://twitter.com/Amoo_Sibilou/status/1034531288466644997","1034531288466644997")</f>
        <v>1034531288466644997</v>
      </c>
      <c r="F4598" s="4"/>
      <c r="G4598" s="4"/>
      <c r="H4598" s="4"/>
      <c r="I4598" s="10" t="str">
        <f>HYPERLINK("http://twitter.com/download/iphone","Twitter for iPhone")</f>
        <v>Twitter for iPhone</v>
      </c>
      <c r="J4598" s="2">
        <v>462</v>
      </c>
      <c r="K4598" s="2">
        <v>314</v>
      </c>
      <c r="L4598" s="2">
        <v>0</v>
      </c>
      <c r="M4598" s="2"/>
      <c r="N4598" s="8">
        <v>43101.114201388889</v>
      </c>
      <c r="O4598" s="4" t="s">
        <v>4543</v>
      </c>
      <c r="P4598" s="3" t="s">
        <v>4542</v>
      </c>
      <c r="Q4598" s="4"/>
      <c r="R4598" s="4"/>
      <c r="S4598" s="9" t="str">
        <f>HYPERLINK("https://pbs.twimg.com/profile_images/1030554319446106112/lrtsaY6a.jpg","View")</f>
        <v>View</v>
      </c>
    </row>
    <row r="4599" spans="1:19" ht="30">
      <c r="A4599" s="8">
        <v>43341.012314814812</v>
      </c>
      <c r="B4599" s="11" t="str">
        <f>HYPERLINK("https://twitter.com/nasimegonoob","@nasimegonoob")</f>
        <v>@nasimegonoob</v>
      </c>
      <c r="C4599" s="6" t="s">
        <v>4043</v>
      </c>
      <c r="D4599" s="5" t="s">
        <v>4541</v>
      </c>
      <c r="E4599" s="9" t="str">
        <f>HYPERLINK("https://twitter.com/nasimegonoob/status/1034527976468242432","1034527976468242432")</f>
        <v>1034527976468242432</v>
      </c>
      <c r="F4599" s="10" t="s">
        <v>4540</v>
      </c>
      <c r="G4599" s="4"/>
      <c r="H4599" s="4"/>
      <c r="I4599" s="10" t="str">
        <f>HYPERLINK("http://twitter.com/download/android","Twitter for Android")</f>
        <v>Twitter for Android</v>
      </c>
      <c r="J4599" s="2">
        <v>2874</v>
      </c>
      <c r="K4599" s="2">
        <v>3752</v>
      </c>
      <c r="L4599" s="2">
        <v>5</v>
      </c>
      <c r="M4599" s="2"/>
      <c r="N4599" s="8">
        <v>43227.970277777778</v>
      </c>
      <c r="O4599" s="4"/>
      <c r="P4599" s="3" t="s">
        <v>4040</v>
      </c>
      <c r="Q4599" s="4"/>
      <c r="R4599" s="4"/>
      <c r="S4599" s="9" t="str">
        <f>HYPERLINK("https://pbs.twimg.com/profile_images/1000147359119085569/Nc9iAcO9.jpg","View")</f>
        <v>View</v>
      </c>
    </row>
    <row r="4600" spans="1:19" ht="40">
      <c r="A4600" s="8">
        <v>43341.012094907404</v>
      </c>
      <c r="B4600" s="11" t="str">
        <f>HYPERLINK("https://twitter.com/sadeghkhayatoun","@sadeghkhayatoun")</f>
        <v>@sadeghkhayatoun</v>
      </c>
      <c r="C4600" s="6" t="s">
        <v>3268</v>
      </c>
      <c r="D4600" s="5" t="s">
        <v>4539</v>
      </c>
      <c r="E4600" s="9" t="str">
        <f>HYPERLINK("https://twitter.com/sadeghkhayatoun/status/1034527897166524417","1034527897166524417")</f>
        <v>1034527897166524417</v>
      </c>
      <c r="F4600" s="4"/>
      <c r="G4600" s="10" t="s">
        <v>4538</v>
      </c>
      <c r="H4600" s="4"/>
      <c r="I4600" s="10" t="str">
        <f>HYPERLINK("http://twitter.com/download/iphone","Twitter for iPhone")</f>
        <v>Twitter for iPhone</v>
      </c>
      <c r="J4600" s="2">
        <v>73</v>
      </c>
      <c r="K4600" s="2">
        <v>142</v>
      </c>
      <c r="L4600" s="2">
        <v>0</v>
      </c>
      <c r="M4600" s="2"/>
      <c r="N4600" s="8">
        <v>41546.941689814819</v>
      </c>
      <c r="O4600" s="4" t="s">
        <v>3265</v>
      </c>
      <c r="P4600" s="3" t="s">
        <v>3264</v>
      </c>
      <c r="Q4600" s="4"/>
      <c r="R4600" s="4"/>
      <c r="S4600" s="9" t="str">
        <f>HYPERLINK("https://pbs.twimg.com/profile_images/1034088823674871816/ZP8QZOG6.jpg","View")</f>
        <v>View</v>
      </c>
    </row>
    <row r="4601" spans="1:19" ht="20">
      <c r="A4601" s="8">
        <v>43341.011759259258</v>
      </c>
      <c r="B4601" s="11" t="str">
        <f>HYPERLINK("https://twitter.com/Babazade6p","@Babazade6p")</f>
        <v>@Babazade6p</v>
      </c>
      <c r="C4601" s="6" t="s">
        <v>4537</v>
      </c>
      <c r="D4601" s="5" t="s">
        <v>4536</v>
      </c>
      <c r="E4601" s="9" t="str">
        <f>HYPERLINK("https://twitter.com/Babazade6p/status/1034527773061246976","1034527773061246976")</f>
        <v>1034527773061246976</v>
      </c>
      <c r="F4601" s="4"/>
      <c r="G4601" s="4"/>
      <c r="H4601" s="4"/>
      <c r="I4601" s="10" t="str">
        <f>HYPERLINK("http://twitter.com/download/android","Twitter for Android")</f>
        <v>Twitter for Android</v>
      </c>
      <c r="J4601" s="2">
        <v>2</v>
      </c>
      <c r="K4601" s="2">
        <v>11</v>
      </c>
      <c r="L4601" s="2">
        <v>0</v>
      </c>
      <c r="M4601" s="2"/>
      <c r="N4601" s="8">
        <v>43334.602905092594</v>
      </c>
      <c r="O4601" s="4"/>
      <c r="P4601" s="3" t="s">
        <v>4535</v>
      </c>
      <c r="Q4601" s="4"/>
      <c r="R4601" s="4"/>
      <c r="S4601" s="9" t="str">
        <f>HYPERLINK("https://pbs.twimg.com/profile_images/1032207791740600320/SfvFmCHS.jpg","View")</f>
        <v>View</v>
      </c>
    </row>
    <row r="4602" spans="1:19" ht="20">
      <c r="A4602" s="8">
        <v>43341.011724537035</v>
      </c>
      <c r="B4602" s="11" t="str">
        <f>HYPERLINK("https://twitter.com/Aria_Prd","@Aria_Prd")</f>
        <v>@Aria_Prd</v>
      </c>
      <c r="C4602" s="6" t="s">
        <v>4534</v>
      </c>
      <c r="D4602" s="5" t="s">
        <v>4533</v>
      </c>
      <c r="E4602" s="9" t="str">
        <f>HYPERLINK("https://twitter.com/Aria_Prd/status/1034527762076323840","1034527762076323840")</f>
        <v>1034527762076323840</v>
      </c>
      <c r="F4602" s="4"/>
      <c r="G4602" s="4"/>
      <c r="H4602" s="4"/>
      <c r="I4602" s="10" t="str">
        <f>HYPERLINK("http://twitter.com","Twitter Web Client")</f>
        <v>Twitter Web Client</v>
      </c>
      <c r="J4602" s="2">
        <v>3236</v>
      </c>
      <c r="K4602" s="2">
        <v>2767</v>
      </c>
      <c r="L4602" s="2">
        <v>1</v>
      </c>
      <c r="M4602" s="2"/>
      <c r="N4602" s="8">
        <v>42948.438657407409</v>
      </c>
      <c r="O4602" s="4"/>
      <c r="P4602" s="3" t="s">
        <v>4532</v>
      </c>
      <c r="Q4602" s="4"/>
      <c r="R4602" s="4"/>
      <c r="S4602" s="9" t="str">
        <f>HYPERLINK("https://pbs.twimg.com/profile_images/1032002356299395072/2weycQcH.jpg","View")</f>
        <v>View</v>
      </c>
    </row>
    <row r="4603" spans="1:19" ht="20">
      <c r="A4603" s="8">
        <v>43341.011643518519</v>
      </c>
      <c r="B4603" s="11" t="str">
        <f>HYPERLINK("https://twitter.com/yahyainax","@yahyainax")</f>
        <v>@yahyainax</v>
      </c>
      <c r="C4603" s="6" t="s">
        <v>4341</v>
      </c>
      <c r="D4603" s="5" t="s">
        <v>4531</v>
      </c>
      <c r="E4603" s="9" t="str">
        <f>HYPERLINK("https://twitter.com/yahyainax/status/1034527732368068608","1034527732368068608")</f>
        <v>1034527732368068608</v>
      </c>
      <c r="F4603" s="4"/>
      <c r="G4603" s="4"/>
      <c r="H4603" s="4"/>
      <c r="I4603" s="10" t="str">
        <f>HYPERLINK("http://twitter.com/download/iphone","Twitter for iPhone")</f>
        <v>Twitter for iPhone</v>
      </c>
      <c r="J4603" s="2">
        <v>303</v>
      </c>
      <c r="K4603" s="2">
        <v>449</v>
      </c>
      <c r="L4603" s="2">
        <v>0</v>
      </c>
      <c r="M4603" s="2"/>
      <c r="N4603" s="8">
        <v>41150.867997685185</v>
      </c>
      <c r="O4603" s="4" t="s">
        <v>4338</v>
      </c>
      <c r="P4603" s="3" t="s">
        <v>4337</v>
      </c>
      <c r="Q4603" s="4"/>
      <c r="R4603" s="4"/>
      <c r="S4603" s="9" t="str">
        <f>HYPERLINK("https://pbs.twimg.com/profile_images/1005181032893767680/9HSkfLvG.jpg","View")</f>
        <v>View</v>
      </c>
    </row>
    <row r="4604" spans="1:19" ht="20">
      <c r="A4604" s="8">
        <v>43341.011562500003</v>
      </c>
      <c r="B4604" s="11" t="str">
        <f>HYPERLINK("https://twitter.com/matin320","@matin320")</f>
        <v>@matin320</v>
      </c>
      <c r="C4604" s="6" t="s">
        <v>4530</v>
      </c>
      <c r="D4604" s="5" t="s">
        <v>4529</v>
      </c>
      <c r="E4604" s="9" t="str">
        <f>HYPERLINK("https://twitter.com/matin320/status/1034527702185922566","1034527702185922566")</f>
        <v>1034527702185922566</v>
      </c>
      <c r="F4604" s="4"/>
      <c r="G4604" s="4"/>
      <c r="H4604" s="4"/>
      <c r="I4604" s="10" t="str">
        <f>HYPERLINK("https://about.twitter.com/products/tweetdeck","TweetDeck")</f>
        <v>TweetDeck</v>
      </c>
      <c r="J4604" s="2">
        <v>0</v>
      </c>
      <c r="K4604" s="2">
        <v>0</v>
      </c>
      <c r="L4604" s="2">
        <v>0</v>
      </c>
      <c r="M4604" s="2"/>
      <c r="N4604" s="8">
        <v>43269.204710648148</v>
      </c>
      <c r="O4604" s="4"/>
      <c r="P4604" s="3"/>
      <c r="Q4604" s="4"/>
      <c r="R4604" s="4"/>
      <c r="S4604" s="2" t="s">
        <v>155</v>
      </c>
    </row>
    <row r="4605" spans="1:19" ht="80">
      <c r="A4605" s="8">
        <v>43341.011388888888</v>
      </c>
      <c r="B4605" s="11" t="str">
        <f>HYPERLINK("https://twitter.com/vahid_roohi","@vahid_roohi")</f>
        <v>@vahid_roohi</v>
      </c>
      <c r="C4605" s="6" t="s">
        <v>4528</v>
      </c>
      <c r="D4605" s="5" t="s">
        <v>4527</v>
      </c>
      <c r="E4605" s="9" t="str">
        <f>HYPERLINK("https://twitter.com/vahid_roohi/status/1034527641011933187","1034527641011933187")</f>
        <v>1034527641011933187</v>
      </c>
      <c r="F4605" s="10" t="s">
        <v>4084</v>
      </c>
      <c r="G4605" s="10" t="s">
        <v>4083</v>
      </c>
      <c r="H4605" s="4"/>
      <c r="I4605" s="10" t="str">
        <f>HYPERLINK("http://twitter.com/download/android","Twitter for Android")</f>
        <v>Twitter for Android</v>
      </c>
      <c r="J4605" s="2">
        <v>1257</v>
      </c>
      <c r="K4605" s="2">
        <v>860</v>
      </c>
      <c r="L4605" s="2">
        <v>2</v>
      </c>
      <c r="M4605" s="2"/>
      <c r="N4605" s="8">
        <v>41996.866064814814</v>
      </c>
      <c r="O4605" s="4" t="s">
        <v>2221</v>
      </c>
      <c r="P4605" s="3" t="s">
        <v>4526</v>
      </c>
      <c r="Q4605" s="4"/>
      <c r="R4605" s="4"/>
      <c r="S4605" s="9" t="str">
        <f>HYPERLINK("https://pbs.twimg.com/profile_images/854451849797226498/smayeRL8.jpg","View")</f>
        <v>View</v>
      </c>
    </row>
    <row r="4606" spans="1:19" ht="20">
      <c r="A4606" s="8">
        <v>43341.011238425926</v>
      </c>
      <c r="B4606" s="11" t="str">
        <f>HYPERLINK("https://twitter.com/Rihanna77908045","@Rihanna77908045")</f>
        <v>@Rihanna77908045</v>
      </c>
      <c r="C4606" s="6" t="s">
        <v>4525</v>
      </c>
      <c r="D4606" s="5" t="s">
        <v>4524</v>
      </c>
      <c r="E4606" s="9" t="str">
        <f>HYPERLINK("https://twitter.com/Rihanna77908045/status/1034527583457759239","1034527583457759239")</f>
        <v>1034527583457759239</v>
      </c>
      <c r="F4606" s="4"/>
      <c r="G4606" s="4"/>
      <c r="H4606" s="4"/>
      <c r="I4606" s="10" t="str">
        <f>HYPERLINK("http://twitter.com/download/android","Twitter for Android")</f>
        <v>Twitter for Android</v>
      </c>
      <c r="J4606" s="2">
        <v>9</v>
      </c>
      <c r="K4606" s="2">
        <v>26</v>
      </c>
      <c r="L4606" s="2">
        <v>0</v>
      </c>
      <c r="M4606" s="2"/>
      <c r="N4606" s="8">
        <v>43029.098321759258</v>
      </c>
      <c r="O4606" s="4" t="s">
        <v>17</v>
      </c>
      <c r="P4606" s="3" t="s">
        <v>4523</v>
      </c>
      <c r="Q4606" s="4"/>
      <c r="R4606" s="4"/>
      <c r="S4606" s="9" t="str">
        <f>HYPERLINK("https://pbs.twimg.com/profile_images/1032212441843855365/SPhViI0R.jpg","View")</f>
        <v>View</v>
      </c>
    </row>
    <row r="4607" spans="1:19" ht="20">
      <c r="A4607" s="8">
        <v>43341.010474537034</v>
      </c>
      <c r="B4607" s="11" t="str">
        <f>HYPERLINK("https://twitter.com/surayyadalgin","@surayyadalgin")</f>
        <v>@surayyadalgin</v>
      </c>
      <c r="C4607" s="6" t="s">
        <v>4522</v>
      </c>
      <c r="D4607" s="5" t="s">
        <v>4521</v>
      </c>
      <c r="E4607" s="9" t="str">
        <f>HYPERLINK("https://twitter.com/surayyadalgin/status/1034527306386210817","1034527306386210817")</f>
        <v>1034527306386210817</v>
      </c>
      <c r="F4607" s="4"/>
      <c r="G4607" s="4"/>
      <c r="H4607" s="4"/>
      <c r="I4607" s="10" t="str">
        <f>HYPERLINK("http://twitter.com/download/android","Twitter for Android")</f>
        <v>Twitter for Android</v>
      </c>
      <c r="J4607" s="2">
        <v>34</v>
      </c>
      <c r="K4607" s="2">
        <v>73</v>
      </c>
      <c r="L4607" s="2">
        <v>0</v>
      </c>
      <c r="M4607" s="2"/>
      <c r="N4607" s="8">
        <v>42944.545104166667</v>
      </c>
      <c r="O4607" s="4" t="s">
        <v>4520</v>
      </c>
      <c r="P4607" s="3" t="s">
        <v>4519</v>
      </c>
      <c r="Q4607" s="4"/>
      <c r="R4607" s="4"/>
      <c r="S4607" s="9" t="str">
        <f>HYPERLINK("https://pbs.twimg.com/profile_images/1007319949142978560/Pc5lRYCq.jpg","View")</f>
        <v>View</v>
      </c>
    </row>
    <row r="4608" spans="1:19" ht="20">
      <c r="A4608" s="8">
        <v>43341.010312500002</v>
      </c>
      <c r="B4608" s="11" t="str">
        <f>HYPERLINK("https://twitter.com/msbu61","@msbu61")</f>
        <v>@msbu61</v>
      </c>
      <c r="C4608" s="6" t="s">
        <v>4518</v>
      </c>
      <c r="D4608" s="5" t="s">
        <v>4517</v>
      </c>
      <c r="E4608" s="9" t="str">
        <f>HYPERLINK("https://twitter.com/msbu61/status/1034527247410049026","1034527247410049026")</f>
        <v>1034527247410049026</v>
      </c>
      <c r="F4608" s="4"/>
      <c r="G4608" s="4"/>
      <c r="H4608" s="4"/>
      <c r="I4608" s="10" t="str">
        <f>HYPERLINK("http://twitter.com","Twitter Web Client")</f>
        <v>Twitter Web Client</v>
      </c>
      <c r="J4608" s="2">
        <v>530</v>
      </c>
      <c r="K4608" s="2">
        <v>2510</v>
      </c>
      <c r="L4608" s="2">
        <v>0</v>
      </c>
      <c r="M4608" s="2"/>
      <c r="N4608" s="8">
        <v>41763.565057870372</v>
      </c>
      <c r="O4608" s="4"/>
      <c r="P4608" s="3" t="s">
        <v>2586</v>
      </c>
      <c r="Q4608" s="4"/>
      <c r="R4608" s="4"/>
      <c r="S4608" s="9" t="str">
        <f>HYPERLINK("https://pbs.twimg.com/profile_images/1025111736649576448/uNCJ4eLa.jpg","View")</f>
        <v>View</v>
      </c>
    </row>
    <row r="4609" spans="1:19" ht="70">
      <c r="A4609" s="8">
        <v>43341.008229166662</v>
      </c>
      <c r="B4609" s="11" t="str">
        <f>HYPERLINK("https://twitter.com/Alefba_Day","@Alefba_Day")</f>
        <v>@Alefba_Day</v>
      </c>
      <c r="C4609" s="6" t="s">
        <v>4516</v>
      </c>
      <c r="D4609" s="5" t="s">
        <v>4515</v>
      </c>
      <c r="E4609" s="9" t="str">
        <f>HYPERLINK("https://twitter.com/Alefba_Day/status/1034526496453525504","1034526496453525504")</f>
        <v>1034526496453525504</v>
      </c>
      <c r="F4609" s="10" t="s">
        <v>4514</v>
      </c>
      <c r="G4609" s="10" t="s">
        <v>4354</v>
      </c>
      <c r="H4609" s="4"/>
      <c r="I4609" s="10" t="str">
        <f>HYPERLINK("http://twitter.com","Twitter Web Client")</f>
        <v>Twitter Web Client</v>
      </c>
      <c r="J4609" s="2">
        <v>587</v>
      </c>
      <c r="K4609" s="2">
        <v>387</v>
      </c>
      <c r="L4609" s="2">
        <v>4</v>
      </c>
      <c r="M4609" s="2"/>
      <c r="N4609" s="8">
        <v>43087.667164351849</v>
      </c>
      <c r="O4609" s="4"/>
      <c r="P4609" s="3" t="s">
        <v>4513</v>
      </c>
      <c r="Q4609" s="4"/>
      <c r="R4609" s="4"/>
      <c r="S4609" s="9" t="str">
        <f>HYPERLINK("https://pbs.twimg.com/profile_images/953714645390561283/TWsU2xBO.jpg","View")</f>
        <v>View</v>
      </c>
    </row>
    <row r="4610" spans="1:19" ht="30">
      <c r="A4610" s="8">
        <v>43341.008009259254</v>
      </c>
      <c r="B4610" s="11" t="str">
        <f>HYPERLINK("https://twitter.com/mahmodi_sahar","@mahmodi_sahar")</f>
        <v>@mahmodi_sahar</v>
      </c>
      <c r="C4610" s="6" t="s">
        <v>4512</v>
      </c>
      <c r="D4610" s="5" t="s">
        <v>4511</v>
      </c>
      <c r="E4610" s="9" t="str">
        <f>HYPERLINK("https://twitter.com/mahmodi_sahar/status/1034526414568087558","1034526414568087558")</f>
        <v>1034526414568087558</v>
      </c>
      <c r="F4610" s="4"/>
      <c r="G4610" s="4"/>
      <c r="H4610" s="4"/>
      <c r="I4610" s="10" t="str">
        <f>HYPERLINK("http://twitter.com/download/android","Twitter for Android")</f>
        <v>Twitter for Android</v>
      </c>
      <c r="J4610" s="2">
        <v>3308</v>
      </c>
      <c r="K4610" s="2">
        <v>1447</v>
      </c>
      <c r="L4610" s="2">
        <v>10</v>
      </c>
      <c r="M4610" s="2"/>
      <c r="N4610" s="8">
        <v>43102.837361111116</v>
      </c>
      <c r="O4610" s="4" t="s">
        <v>17</v>
      </c>
      <c r="P4610" s="3" t="s">
        <v>4510</v>
      </c>
      <c r="Q4610" s="4"/>
      <c r="R4610" s="4"/>
      <c r="S4610" s="9" t="str">
        <f>HYPERLINK("https://pbs.twimg.com/profile_images/982673974726483970/UiYSW22j.jpg","View")</f>
        <v>View</v>
      </c>
    </row>
    <row r="4611" spans="1:19" ht="20">
      <c r="A4611" s="8">
        <v>43341.007557870369</v>
      </c>
      <c r="B4611" s="11" t="str">
        <f>HYPERLINK("https://twitter.com/eliassmaleki","@eliassmaleki")</f>
        <v>@eliassmaleki</v>
      </c>
      <c r="C4611" s="6" t="s">
        <v>4509</v>
      </c>
      <c r="D4611" s="5" t="s">
        <v>4508</v>
      </c>
      <c r="E4611" s="9" t="str">
        <f>HYPERLINK("https://twitter.com/eliassmaleki/status/1034526249752899586","1034526249752899586")</f>
        <v>1034526249752899586</v>
      </c>
      <c r="F4611" s="4"/>
      <c r="G4611" s="10" t="s">
        <v>4507</v>
      </c>
      <c r="H4611" s="4"/>
      <c r="I4611" s="10" t="str">
        <f>HYPERLINK("http://twitter.com/download/android","Twitter for Android")</f>
        <v>Twitter for Android</v>
      </c>
      <c r="J4611" s="2">
        <v>898</v>
      </c>
      <c r="K4611" s="2">
        <v>1181</v>
      </c>
      <c r="L4611" s="2">
        <v>1</v>
      </c>
      <c r="M4611" s="2"/>
      <c r="N4611" s="8">
        <v>42963.989745370374</v>
      </c>
      <c r="O4611" s="4" t="s">
        <v>4506</v>
      </c>
      <c r="P4611" s="3" t="s">
        <v>4505</v>
      </c>
      <c r="Q4611" s="10" t="s">
        <v>4504</v>
      </c>
      <c r="R4611" s="4"/>
      <c r="S4611" s="9" t="str">
        <f>HYPERLINK("https://pbs.twimg.com/profile_images/961204023889092608/CBVu_iWH.jpg","View")</f>
        <v>View</v>
      </c>
    </row>
    <row r="4612" spans="1:19" ht="20">
      <c r="A4612" s="8">
        <v>43341.006655092591</v>
      </c>
      <c r="B4612" s="11" t="str">
        <f>HYPERLINK("https://twitter.com/AnneShirley2022","@AnneShirley2022")</f>
        <v>@AnneShirley2022</v>
      </c>
      <c r="C4612" s="6" t="s">
        <v>442</v>
      </c>
      <c r="D4612" s="5" t="s">
        <v>4503</v>
      </c>
      <c r="E4612" s="9" t="str">
        <f>HYPERLINK("https://twitter.com/AnneShirley2022/status/1034525925835268097","1034525925835268097")</f>
        <v>1034525925835268097</v>
      </c>
      <c r="F4612" s="4"/>
      <c r="G4612" s="4"/>
      <c r="H4612" s="4"/>
      <c r="I4612" s="10" t="str">
        <f>HYPERLINK("http://twitter.com/download/android","Twitter for Android")</f>
        <v>Twitter for Android</v>
      </c>
      <c r="J4612" s="2">
        <v>2343</v>
      </c>
      <c r="K4612" s="2">
        <v>2424</v>
      </c>
      <c r="L4612" s="2">
        <v>0</v>
      </c>
      <c r="M4612" s="2"/>
      <c r="N4612" s="8">
        <v>43249.901562500003</v>
      </c>
      <c r="O4612" s="4" t="s">
        <v>440</v>
      </c>
      <c r="P4612" s="3" t="s">
        <v>4502</v>
      </c>
      <c r="Q4612" s="4"/>
      <c r="R4612" s="4"/>
      <c r="S4612" s="9" t="str">
        <f>HYPERLINK("https://pbs.twimg.com/profile_images/1032546577901121536/76UZo2q5.jpg","View")</f>
        <v>View</v>
      </c>
    </row>
    <row r="4613" spans="1:19" ht="20">
      <c r="A4613" s="8">
        <v>43341.006388888884</v>
      </c>
      <c r="B4613" s="11" t="str">
        <f>HYPERLINK("https://twitter.com/Fghaf5","@Fghaf5")</f>
        <v>@Fghaf5</v>
      </c>
      <c r="C4613" s="6" t="s">
        <v>4501</v>
      </c>
      <c r="D4613" s="5" t="s">
        <v>4500</v>
      </c>
      <c r="E4613" s="9" t="str">
        <f>HYPERLINK("https://twitter.com/Fghaf5/status/1034525828988723207","1034525828988723207")</f>
        <v>1034525828988723207</v>
      </c>
      <c r="F4613" s="4"/>
      <c r="G4613" s="4"/>
      <c r="H4613" s="4"/>
      <c r="I4613" s="10" t="str">
        <f>HYPERLINK("http://twitter.com/download/android","Twitter for Android")</f>
        <v>Twitter for Android</v>
      </c>
      <c r="J4613" s="2">
        <v>286</v>
      </c>
      <c r="K4613" s="2">
        <v>218</v>
      </c>
      <c r="L4613" s="2">
        <v>2</v>
      </c>
      <c r="M4613" s="2"/>
      <c r="N4613" s="8">
        <v>43198.589814814812</v>
      </c>
      <c r="O4613" s="4" t="s">
        <v>34</v>
      </c>
      <c r="P4613" s="3"/>
      <c r="Q4613" s="4"/>
      <c r="R4613" s="4"/>
      <c r="S4613" s="9" t="str">
        <f>HYPERLINK("https://pbs.twimg.com/profile_images/1030907711431606272/-zVMPAkV.jpg","View")</f>
        <v>View</v>
      </c>
    </row>
    <row r="4614" spans="1:19" ht="40">
      <c r="A4614" s="8">
        <v>43341.006261574075</v>
      </c>
      <c r="B4614" s="11" t="str">
        <f>HYPERLINK("https://twitter.com/Omidmansor1","@Omidmansor1")</f>
        <v>@Omidmansor1</v>
      </c>
      <c r="C4614" s="6" t="s">
        <v>2816</v>
      </c>
      <c r="D4614" s="5" t="s">
        <v>4499</v>
      </c>
      <c r="E4614" s="9" t="str">
        <f>HYPERLINK("https://twitter.com/Omidmansor1/status/1034525780678791168","1034525780678791168")</f>
        <v>1034525780678791168</v>
      </c>
      <c r="F4614" s="4"/>
      <c r="G4614" s="4"/>
      <c r="H4614" s="4"/>
      <c r="I4614" s="10" t="str">
        <f>HYPERLINK("https://mobile.twitter.com","Twitter Lite")</f>
        <v>Twitter Lite</v>
      </c>
      <c r="J4614" s="2">
        <v>30</v>
      </c>
      <c r="K4614" s="2">
        <v>60</v>
      </c>
      <c r="L4614" s="2">
        <v>0</v>
      </c>
      <c r="M4614" s="2"/>
      <c r="N4614" s="8">
        <v>43048.681377314817</v>
      </c>
      <c r="O4614" s="4"/>
      <c r="P4614" s="3" t="s">
        <v>2813</v>
      </c>
      <c r="Q4614" s="4"/>
      <c r="R4614" s="4"/>
      <c r="S4614" s="9" t="str">
        <f>HYPERLINK("https://pbs.twimg.com/profile_images/1033199679150981121/sBhUvbEi.jpg","View")</f>
        <v>View</v>
      </c>
    </row>
    <row r="4615" spans="1:19" ht="60">
      <c r="A4615" s="8">
        <v>43341.006157407406</v>
      </c>
      <c r="B4615" s="11" t="str">
        <f>HYPERLINK("https://twitter.com/Ehsan_phoenix86","@Ehsan_phoenix86")</f>
        <v>@Ehsan_phoenix86</v>
      </c>
      <c r="C4615" s="6" t="s">
        <v>4498</v>
      </c>
      <c r="D4615" s="5" t="s">
        <v>4497</v>
      </c>
      <c r="E4615" s="9" t="str">
        <f>HYPERLINK("https://twitter.com/Ehsan_phoenix86/status/1034525744767086593","1034525744767086593")</f>
        <v>1034525744767086593</v>
      </c>
      <c r="F4615" s="10" t="s">
        <v>4496</v>
      </c>
      <c r="G4615" s="10" t="s">
        <v>4495</v>
      </c>
      <c r="H4615" s="4"/>
      <c r="I4615" s="10" t="str">
        <f>HYPERLINK("http://twitter.com","Twitter Web Client")</f>
        <v>Twitter Web Client</v>
      </c>
      <c r="J4615" s="2">
        <v>108</v>
      </c>
      <c r="K4615" s="2">
        <v>238</v>
      </c>
      <c r="L4615" s="2">
        <v>0</v>
      </c>
      <c r="M4615" s="2"/>
      <c r="N4615" s="8">
        <v>42931.895925925928</v>
      </c>
      <c r="O4615" s="4"/>
      <c r="P4615" s="3" t="s">
        <v>4494</v>
      </c>
      <c r="Q4615" s="4"/>
      <c r="R4615" s="4"/>
      <c r="S4615" s="9" t="str">
        <f>HYPERLINK("https://pbs.twimg.com/profile_images/990166675671597057/I6W5gg_A.jpg","View")</f>
        <v>View</v>
      </c>
    </row>
    <row r="4616" spans="1:19" ht="40">
      <c r="A4616" s="8">
        <v>43341.005879629629</v>
      </c>
      <c r="B4616" s="11" t="str">
        <f>HYPERLINK("https://twitter.com/Revman10","@Revman10")</f>
        <v>@Revman10</v>
      </c>
      <c r="C4616" s="6" t="s">
        <v>4403</v>
      </c>
      <c r="D4616" s="5" t="s">
        <v>4493</v>
      </c>
      <c r="E4616" s="9" t="str">
        <f>HYPERLINK("https://twitter.com/Revman10/status/1034525641906040832","1034525641906040832")</f>
        <v>1034525641906040832</v>
      </c>
      <c r="F4616" s="4"/>
      <c r="G4616" s="4"/>
      <c r="H4616" s="4"/>
      <c r="I4616" s="10" t="str">
        <f>HYPERLINK("http://twitter.com/download/android","Twitter for Android")</f>
        <v>Twitter for Android</v>
      </c>
      <c r="J4616" s="2">
        <v>67</v>
      </c>
      <c r="K4616" s="2">
        <v>95</v>
      </c>
      <c r="L4616" s="2">
        <v>0</v>
      </c>
      <c r="M4616" s="2"/>
      <c r="N4616" s="8">
        <v>43271.257766203707</v>
      </c>
      <c r="O4616" s="4" t="s">
        <v>324</v>
      </c>
      <c r="P4616" s="3" t="s">
        <v>4401</v>
      </c>
      <c r="Q4616" s="4"/>
      <c r="R4616" s="4"/>
      <c r="S4616" s="9" t="str">
        <f>HYPERLINK("https://pbs.twimg.com/profile_images/1027487813896429568/Gbn1h0z3.jpg","View")</f>
        <v>View</v>
      </c>
    </row>
    <row r="4617" spans="1:19" ht="20">
      <c r="A4617" s="8">
        <v>43341.004583333328</v>
      </c>
      <c r="B4617" s="11" t="str">
        <f>HYPERLINK("https://twitter.com/moslehi_ir","@moslehi_ir")</f>
        <v>@moslehi_ir</v>
      </c>
      <c r="C4617" s="6" t="s">
        <v>4492</v>
      </c>
      <c r="D4617" s="5" t="s">
        <v>4491</v>
      </c>
      <c r="E4617" s="9" t="str">
        <f>HYPERLINK("https://twitter.com/moslehi_ir/status/1034525174266253312","1034525174266253312")</f>
        <v>1034525174266253312</v>
      </c>
      <c r="F4617" s="4"/>
      <c r="G4617" s="10" t="s">
        <v>4490</v>
      </c>
      <c r="H4617" s="4"/>
      <c r="I4617" s="10" t="str">
        <f>HYPERLINK("http://twitter.com/download/android","Twitter for Android")</f>
        <v>Twitter for Android</v>
      </c>
      <c r="J4617" s="2">
        <v>11</v>
      </c>
      <c r="K4617" s="2">
        <v>53</v>
      </c>
      <c r="L4617" s="2">
        <v>0</v>
      </c>
      <c r="M4617" s="2"/>
      <c r="N4617" s="8">
        <v>42512.966817129629</v>
      </c>
      <c r="O4617" s="4"/>
      <c r="P4617" s="3" t="s">
        <v>4489</v>
      </c>
      <c r="Q4617" s="10" t="s">
        <v>4488</v>
      </c>
      <c r="R4617" s="4"/>
      <c r="S4617" s="9" t="str">
        <f>HYPERLINK("https://pbs.twimg.com/profile_images/1033291050885042176/L41hsYqf.jpg","View")</f>
        <v>View</v>
      </c>
    </row>
    <row r="4618" spans="1:19" ht="30">
      <c r="A4618" s="8">
        <v>43341.004490740743</v>
      </c>
      <c r="B4618" s="11" t="str">
        <f>HYPERLINK("https://twitter.com/nakisa23","@nakisa23")</f>
        <v>@nakisa23</v>
      </c>
      <c r="C4618" s="6" t="s">
        <v>4487</v>
      </c>
      <c r="D4618" s="5" t="s">
        <v>4486</v>
      </c>
      <c r="E4618" s="9" t="str">
        <f>HYPERLINK("https://twitter.com/nakisa23/status/1034525137956204544","1034525137956204544")</f>
        <v>1034525137956204544</v>
      </c>
      <c r="F4618" s="4"/>
      <c r="G4618" s="10" t="s">
        <v>4485</v>
      </c>
      <c r="H4618" s="4"/>
      <c r="I4618" s="10" t="str">
        <f>HYPERLINK("http://twitter.com/download/iphone","Twitter for iPhone")</f>
        <v>Twitter for iPhone</v>
      </c>
      <c r="J4618" s="2">
        <v>1024</v>
      </c>
      <c r="K4618" s="2">
        <v>900</v>
      </c>
      <c r="L4618" s="2">
        <v>12</v>
      </c>
      <c r="M4618" s="2"/>
      <c r="N4618" s="8">
        <v>41017.827951388885</v>
      </c>
      <c r="O4618" s="4" t="s">
        <v>4484</v>
      </c>
      <c r="P4618" s="3" t="s">
        <v>4483</v>
      </c>
      <c r="Q4618" s="4"/>
      <c r="R4618" s="4"/>
      <c r="S4618" s="9" t="str">
        <f>HYPERLINK("https://pbs.twimg.com/profile_images/1017134956357799936/vGyrsikK.jpg","View")</f>
        <v>View</v>
      </c>
    </row>
    <row r="4619" spans="1:19" ht="30">
      <c r="A4619" s="8">
        <v>43341.004363425927</v>
      </c>
      <c r="B4619" s="11" t="str">
        <f>HYPERLINK("https://twitter.com/FclA5yizhtUgkQy","@FclA5yizhtUgkQy")</f>
        <v>@FclA5yizhtUgkQy</v>
      </c>
      <c r="C4619" s="6" t="s">
        <v>3307</v>
      </c>
      <c r="D4619" s="5" t="s">
        <v>4482</v>
      </c>
      <c r="E4619" s="9" t="str">
        <f>HYPERLINK("https://twitter.com/FclA5yizhtUgkQy/status/1034525093341196288","1034525093341196288")</f>
        <v>1034525093341196288</v>
      </c>
      <c r="F4619" s="4"/>
      <c r="G4619" s="4"/>
      <c r="H4619" s="4"/>
      <c r="I4619" s="10" t="str">
        <f>HYPERLINK("http://twitter.com/download/android","Twitter for Android")</f>
        <v>Twitter for Android</v>
      </c>
      <c r="J4619" s="2">
        <v>22</v>
      </c>
      <c r="K4619" s="2">
        <v>47</v>
      </c>
      <c r="L4619" s="2">
        <v>0</v>
      </c>
      <c r="M4619" s="2"/>
      <c r="N4619" s="8">
        <v>43339.788564814815</v>
      </c>
      <c r="O4619" s="4" t="s">
        <v>3305</v>
      </c>
      <c r="P4619" s="3"/>
      <c r="Q4619" s="4"/>
      <c r="R4619" s="4"/>
      <c r="S4619" s="9" t="str">
        <f>HYPERLINK("https://pbs.twimg.com/profile_images/1034089771407224833/kyMdtndZ.jpg","View")</f>
        <v>View</v>
      </c>
    </row>
    <row r="4620" spans="1:19" ht="30">
      <c r="A4620" s="8">
        <v>43341.00304398148</v>
      </c>
      <c r="B4620" s="11" t="str">
        <f>HYPERLINK("https://twitter.com/iran13577","@iran13577")</f>
        <v>@iran13577</v>
      </c>
      <c r="C4620" s="6" t="s">
        <v>2010</v>
      </c>
      <c r="D4620" s="5" t="s">
        <v>4481</v>
      </c>
      <c r="E4620" s="9" t="str">
        <f>HYPERLINK("https://twitter.com/iran13577/status/1034524614666448896","1034524614666448896")</f>
        <v>1034524614666448896</v>
      </c>
      <c r="F4620" s="4"/>
      <c r="G4620" s="4"/>
      <c r="H4620" s="4"/>
      <c r="I4620" s="10" t="str">
        <f>HYPERLINK("http://twitter.com/download/android","Twitter for Android")</f>
        <v>Twitter for Android</v>
      </c>
      <c r="J4620" s="2">
        <v>470</v>
      </c>
      <c r="K4620" s="2">
        <v>506</v>
      </c>
      <c r="L4620" s="2">
        <v>1</v>
      </c>
      <c r="M4620" s="2"/>
      <c r="N4620" s="8">
        <v>41956.624490740738</v>
      </c>
      <c r="O4620" s="4" t="s">
        <v>1415</v>
      </c>
      <c r="P4620" s="3" t="s">
        <v>2007</v>
      </c>
      <c r="Q4620" s="4"/>
      <c r="R4620" s="4"/>
      <c r="S4620" s="9" t="str">
        <f>HYPERLINK("https://pbs.twimg.com/profile_images/974546149292982277/cNI_HPC8.jpg","View")</f>
        <v>View</v>
      </c>
    </row>
    <row r="4621" spans="1:19" ht="30">
      <c r="A4621" s="8">
        <v>43341.00299768518</v>
      </c>
      <c r="B4621" s="11" t="str">
        <f>HYPERLINK("https://twitter.com/shahidbeheshti1","@shahidbeheshti1")</f>
        <v>@shahidbeheshti1</v>
      </c>
      <c r="C4621" s="6" t="s">
        <v>4480</v>
      </c>
      <c r="D4621" s="5" t="s">
        <v>4479</v>
      </c>
      <c r="E4621" s="9" t="str">
        <f>HYPERLINK("https://twitter.com/shahidbeheshti1/status/1034524598715535360","1034524598715535360")</f>
        <v>1034524598715535360</v>
      </c>
      <c r="F4621" s="4"/>
      <c r="G4621" s="4"/>
      <c r="H4621" s="4"/>
      <c r="I4621" s="10" t="str">
        <f>HYPERLINK("http://twitter.com/download/android","Twitter for Android")</f>
        <v>Twitter for Android</v>
      </c>
      <c r="J4621" s="2">
        <v>1</v>
      </c>
      <c r="K4621" s="2">
        <v>2</v>
      </c>
      <c r="L4621" s="2">
        <v>0</v>
      </c>
      <c r="M4621" s="2"/>
      <c r="N4621" s="8">
        <v>43340.917210648149</v>
      </c>
      <c r="O4621" s="4"/>
      <c r="P4621" s="3" t="s">
        <v>4478</v>
      </c>
      <c r="Q4621" s="4"/>
      <c r="R4621" s="4"/>
      <c r="S4621" s="9" t="str">
        <f>HYPERLINK("https://pbs.twimg.com/profile_images/1034494396916555781/SjYzR--j.jpg","View")</f>
        <v>View</v>
      </c>
    </row>
    <row r="4622" spans="1:19" ht="20">
      <c r="A4622" s="8">
        <v>43341.002199074079</v>
      </c>
      <c r="B4622" s="11" t="str">
        <f>HYPERLINK("https://twitter.com/ant_yeg","@ant_yeg")</f>
        <v>@ant_yeg</v>
      </c>
      <c r="C4622" s="6" t="s">
        <v>4477</v>
      </c>
      <c r="D4622" s="5" t="s">
        <v>4476</v>
      </c>
      <c r="E4622" s="9" t="str">
        <f>HYPERLINK("https://twitter.com/ant_yeg/status/1034524310763913218","1034524310763913218")</f>
        <v>1034524310763913218</v>
      </c>
      <c r="F4622" s="4"/>
      <c r="G4622" s="4"/>
      <c r="H4622" s="4"/>
      <c r="I4622" s="10" t="str">
        <f>HYPERLINK("http://twitter.com/download/android","Twitter for Android")</f>
        <v>Twitter for Android</v>
      </c>
      <c r="J4622" s="2">
        <v>21</v>
      </c>
      <c r="K4622" s="2">
        <v>60</v>
      </c>
      <c r="L4622" s="2">
        <v>0</v>
      </c>
      <c r="M4622" s="2"/>
      <c r="N4622" s="8">
        <v>43337.906377314815</v>
      </c>
      <c r="O4622" s="4" t="s">
        <v>4475</v>
      </c>
      <c r="P4622" s="3" t="s">
        <v>4474</v>
      </c>
      <c r="Q4622" s="4"/>
      <c r="R4622" s="4"/>
      <c r="S4622" s="9" t="str">
        <f>HYPERLINK("https://pbs.twimg.com/profile_images/1033407308540338176/wuwgkp-M.jpg","View")</f>
        <v>View</v>
      </c>
    </row>
    <row r="4623" spans="1:19" ht="50">
      <c r="A4623" s="8">
        <v>43341.002175925925</v>
      </c>
      <c r="B4623" s="11" t="str">
        <f>HYPERLINK("https://twitter.com/Nightingale_SA","@Nightingale_SA")</f>
        <v>@Nightingale_SA</v>
      </c>
      <c r="C4623" s="6" t="s">
        <v>889</v>
      </c>
      <c r="D4623" s="5" t="s">
        <v>4473</v>
      </c>
      <c r="E4623" s="9" t="str">
        <f>HYPERLINK("https://twitter.com/Nightingale_SA/status/1034524300915744769","1034524300915744769")</f>
        <v>1034524300915744769</v>
      </c>
      <c r="F4623" s="10" t="s">
        <v>4472</v>
      </c>
      <c r="G4623" s="4"/>
      <c r="H4623" s="4"/>
      <c r="I4623" s="10" t="str">
        <f>HYPERLINK("http://twitter.com","Twitter Web Client")</f>
        <v>Twitter Web Client</v>
      </c>
      <c r="J4623" s="2">
        <v>181</v>
      </c>
      <c r="K4623" s="2">
        <v>682</v>
      </c>
      <c r="L4623" s="2">
        <v>1</v>
      </c>
      <c r="M4623" s="2"/>
      <c r="N4623" s="8">
        <v>43193.657326388886</v>
      </c>
      <c r="O4623" s="4"/>
      <c r="P4623" s="3" t="s">
        <v>886</v>
      </c>
      <c r="Q4623" s="4"/>
      <c r="R4623" s="4"/>
      <c r="S4623" s="9" t="str">
        <f>HYPERLINK("https://pbs.twimg.com/profile_images/981131756601569280/OkTGUrYl.jpg","View")</f>
        <v>View</v>
      </c>
    </row>
    <row r="4624" spans="1:19" ht="70">
      <c r="A4624" s="8">
        <v>43341.002175925925</v>
      </c>
      <c r="B4624" s="11" t="str">
        <f>HYPERLINK("https://twitter.com/sadid59","@sadid59")</f>
        <v>@sadid59</v>
      </c>
      <c r="C4624" s="6" t="s">
        <v>4426</v>
      </c>
      <c r="D4624" s="5" t="s">
        <v>4471</v>
      </c>
      <c r="E4624" s="9" t="str">
        <f>HYPERLINK("https://twitter.com/sadid59/status/1034524300735340546","1034524300735340546")</f>
        <v>1034524300735340546</v>
      </c>
      <c r="F4624" s="10" t="s">
        <v>4470</v>
      </c>
      <c r="G4624" s="4"/>
      <c r="H4624" s="4"/>
      <c r="I4624" s="10" t="str">
        <f>HYPERLINK("http://twitter.com/download/android","Twitter for Android")</f>
        <v>Twitter for Android</v>
      </c>
      <c r="J4624" s="2">
        <v>355</v>
      </c>
      <c r="K4624" s="2">
        <v>123</v>
      </c>
      <c r="L4624" s="2">
        <v>4</v>
      </c>
      <c r="M4624" s="2"/>
      <c r="N4624" s="8">
        <v>43104.945740740739</v>
      </c>
      <c r="O4624" s="4"/>
      <c r="P4624" s="3" t="s">
        <v>4423</v>
      </c>
      <c r="Q4624" s="4"/>
      <c r="R4624" s="4"/>
      <c r="S4624" s="9" t="str">
        <f>HYPERLINK("https://pbs.twimg.com/profile_images/949000450174541824/1PyCSHZU.jpg","View")</f>
        <v>View</v>
      </c>
    </row>
    <row r="4625" spans="1:19" ht="40">
      <c r="A4625" s="8">
        <v>43341.001886574071</v>
      </c>
      <c r="B4625" s="11" t="str">
        <f>HYPERLINK("https://twitter.com/mysamcivil1","@mysamcivil1")</f>
        <v>@mysamcivil1</v>
      </c>
      <c r="C4625" s="6" t="s">
        <v>4469</v>
      </c>
      <c r="D4625" s="5" t="s">
        <v>4468</v>
      </c>
      <c r="E4625" s="9" t="str">
        <f>HYPERLINK("https://twitter.com/mysamcivil1/status/1034524195705651200","1034524195705651200")</f>
        <v>1034524195705651200</v>
      </c>
      <c r="F4625" s="4"/>
      <c r="G4625" s="4"/>
      <c r="H4625" s="4"/>
      <c r="I4625" s="10" t="str">
        <f>HYPERLINK("http://twitter.com/download/android","Twitter for Android")</f>
        <v>Twitter for Android</v>
      </c>
      <c r="J4625" s="2">
        <v>141</v>
      </c>
      <c r="K4625" s="2">
        <v>477</v>
      </c>
      <c r="L4625" s="2">
        <v>0</v>
      </c>
      <c r="M4625" s="2"/>
      <c r="N4625" s="8">
        <v>43093.518252314811</v>
      </c>
      <c r="O4625" s="4" t="s">
        <v>4467</v>
      </c>
      <c r="P4625" s="3" t="s">
        <v>4466</v>
      </c>
      <c r="Q4625" s="4"/>
      <c r="R4625" s="4"/>
      <c r="S4625" s="9" t="str">
        <f>HYPERLINK("https://pbs.twimg.com/profile_images/1015610637647515648/5pXHXCdF.jpg","View")</f>
        <v>View</v>
      </c>
    </row>
    <row r="4626" spans="1:19" ht="12.5">
      <c r="A4626" s="8">
        <v>43341.001412037032</v>
      </c>
      <c r="B4626" s="11" t="str">
        <f>HYPERLINK("https://twitter.com/nabavi8","@nabavi8")</f>
        <v>@nabavi8</v>
      </c>
      <c r="C4626" s="6" t="s">
        <v>4465</v>
      </c>
      <c r="D4626" s="5" t="s">
        <v>4464</v>
      </c>
      <c r="E4626" s="9" t="str">
        <f>HYPERLINK("https://twitter.com/nabavi8/status/1034524023676260352","1034524023676260352")</f>
        <v>1034524023676260352</v>
      </c>
      <c r="F4626" s="4"/>
      <c r="G4626" s="4"/>
      <c r="H4626" s="4"/>
      <c r="I4626" s="10" t="str">
        <f>HYPERLINK("http://twitter.com","Twitter Web Client")</f>
        <v>Twitter Web Client</v>
      </c>
      <c r="J4626" s="2">
        <v>112</v>
      </c>
      <c r="K4626" s="2">
        <v>475</v>
      </c>
      <c r="L4626" s="2">
        <v>1</v>
      </c>
      <c r="M4626" s="2"/>
      <c r="N4626" s="8">
        <v>41600.829421296294</v>
      </c>
      <c r="O4626" s="4" t="s">
        <v>794</v>
      </c>
      <c r="P4626" s="3" t="s">
        <v>4463</v>
      </c>
      <c r="Q4626" s="4"/>
      <c r="R4626" s="4"/>
      <c r="S4626" s="9" t="str">
        <f>HYPERLINK("https://pbs.twimg.com/profile_images/668534963575255041/4KqebuFh.jpg","View")</f>
        <v>View</v>
      </c>
    </row>
    <row r="4627" spans="1:19" ht="40">
      <c r="A4627" s="8">
        <v>43341.001319444447</v>
      </c>
      <c r="B4627" s="11" t="str">
        <f>HYPERLINK("https://twitter.com/NeginR60","@NeginR60")</f>
        <v>@NeginR60</v>
      </c>
      <c r="C4627" s="6" t="s">
        <v>4462</v>
      </c>
      <c r="D4627" s="5" t="s">
        <v>4461</v>
      </c>
      <c r="E4627" s="9" t="str">
        <f>HYPERLINK("https://twitter.com/NeginR60/status/1034523989127909377","1034523989127909377")</f>
        <v>1034523989127909377</v>
      </c>
      <c r="F4627" s="4"/>
      <c r="G4627" s="4"/>
      <c r="H4627" s="4"/>
      <c r="I4627" s="10" t="str">
        <f>HYPERLINK("http://twitter.com/download/iphone","Twitter for iPhone")</f>
        <v>Twitter for iPhone</v>
      </c>
      <c r="J4627" s="2">
        <v>31</v>
      </c>
      <c r="K4627" s="2">
        <v>69</v>
      </c>
      <c r="L4627" s="2">
        <v>0</v>
      </c>
      <c r="M4627" s="2"/>
      <c r="N4627" s="8">
        <v>43103.236180555556</v>
      </c>
      <c r="O4627" s="4"/>
      <c r="P4627" s="3" t="s">
        <v>4460</v>
      </c>
      <c r="Q4627" s="4"/>
      <c r="R4627" s="4"/>
      <c r="S4627" s="9" t="str">
        <f>HYPERLINK("https://pbs.twimg.com/profile_images/949484977825239040/mUKIY4cy.jpg","View")</f>
        <v>View</v>
      </c>
    </row>
    <row r="4628" spans="1:19" ht="50">
      <c r="A4628" s="8">
        <v>43341.001296296294</v>
      </c>
      <c r="B4628" s="11" t="str">
        <f>HYPERLINK("https://twitter.com/hhamidreza313","@hhamidreza313")</f>
        <v>@hhamidreza313</v>
      </c>
      <c r="C4628" s="6" t="s">
        <v>4459</v>
      </c>
      <c r="D4628" s="5" t="s">
        <v>4458</v>
      </c>
      <c r="E4628" s="9" t="str">
        <f>HYPERLINK("https://twitter.com/hhamidreza313/status/1034523981175500800","1034523981175500800")</f>
        <v>1034523981175500800</v>
      </c>
      <c r="F4628" s="4"/>
      <c r="G4628" s="10" t="s">
        <v>4457</v>
      </c>
      <c r="H4628" s="4"/>
      <c r="I4628" s="10" t="str">
        <f>HYPERLINK("http://twitter.com/download/android","Twitter for Android")</f>
        <v>Twitter for Android</v>
      </c>
      <c r="J4628" s="2">
        <v>95</v>
      </c>
      <c r="K4628" s="2">
        <v>67</v>
      </c>
      <c r="L4628" s="2">
        <v>0</v>
      </c>
      <c r="M4628" s="2"/>
      <c r="N4628" s="8">
        <v>42759.66101851852</v>
      </c>
      <c r="O4628" s="4" t="s">
        <v>34</v>
      </c>
      <c r="P4628" s="3" t="s">
        <v>4456</v>
      </c>
      <c r="Q4628" s="10" t="s">
        <v>4455</v>
      </c>
      <c r="R4628" s="4"/>
      <c r="S4628" s="9" t="str">
        <f>HYPERLINK("https://pbs.twimg.com/profile_images/1031776311071711232/CNKHQAQ-.jpg","View")</f>
        <v>View</v>
      </c>
    </row>
    <row r="4629" spans="1:19" ht="30">
      <c r="A4629" s="8">
        <v>43341.000763888893</v>
      </c>
      <c r="B4629" s="11" t="str">
        <f>HYPERLINK("https://twitter.com/KavocAsta","@KavocAsta")</f>
        <v>@KavocAsta</v>
      </c>
      <c r="C4629" s="6" t="s">
        <v>4396</v>
      </c>
      <c r="D4629" s="5" t="s">
        <v>4454</v>
      </c>
      <c r="E4629" s="9" t="str">
        <f>HYPERLINK("https://twitter.com/KavocAsta/status/1034523788539555842","1034523788539555842")</f>
        <v>1034523788539555842</v>
      </c>
      <c r="F4629" s="4"/>
      <c r="G4629" s="4"/>
      <c r="H4629" s="4"/>
      <c r="I4629" s="10" t="str">
        <f>HYPERLINK("http://twitter.com","Twitter Web Client")</f>
        <v>Twitter Web Client</v>
      </c>
      <c r="J4629" s="2">
        <v>2242</v>
      </c>
      <c r="K4629" s="2">
        <v>1864</v>
      </c>
      <c r="L4629" s="2">
        <v>5</v>
      </c>
      <c r="M4629" s="2"/>
      <c r="N4629" s="8">
        <v>42852.058171296296</v>
      </c>
      <c r="O4629" s="4" t="s">
        <v>4394</v>
      </c>
      <c r="P4629" s="3" t="s">
        <v>4393</v>
      </c>
      <c r="Q4629" s="10" t="s">
        <v>4392</v>
      </c>
      <c r="R4629" s="4"/>
      <c r="S4629" s="9" t="str">
        <f>HYPERLINK("https://pbs.twimg.com/profile_images/996833951804080128/6KrrgRW_.jpg","View")</f>
        <v>View</v>
      </c>
    </row>
    <row r="4630" spans="1:19" ht="40">
      <c r="A4630" s="8">
        <v>43341.000486111108</v>
      </c>
      <c r="B4630" s="11" t="str">
        <f>HYPERLINK("https://twitter.com/Nightingale_SA","@Nightingale_SA")</f>
        <v>@Nightingale_SA</v>
      </c>
      <c r="C4630" s="6" t="s">
        <v>889</v>
      </c>
      <c r="D4630" s="5" t="s">
        <v>4453</v>
      </c>
      <c r="E4630" s="9" t="str">
        <f>HYPERLINK("https://twitter.com/Nightingale_SA/status/1034523687964368896","1034523687964368896")</f>
        <v>1034523687964368896</v>
      </c>
      <c r="F4630" s="10" t="s">
        <v>4452</v>
      </c>
      <c r="G4630" s="4"/>
      <c r="H4630" s="4"/>
      <c r="I4630" s="10" t="str">
        <f>HYPERLINK("http://twitter.com","Twitter Web Client")</f>
        <v>Twitter Web Client</v>
      </c>
      <c r="J4630" s="2">
        <v>181</v>
      </c>
      <c r="K4630" s="2">
        <v>682</v>
      </c>
      <c r="L4630" s="2">
        <v>1</v>
      </c>
      <c r="M4630" s="2"/>
      <c r="N4630" s="8">
        <v>43193.657326388886</v>
      </c>
      <c r="O4630" s="4"/>
      <c r="P4630" s="3" t="s">
        <v>886</v>
      </c>
      <c r="Q4630" s="4"/>
      <c r="R4630" s="4"/>
      <c r="S4630" s="9" t="str">
        <f>HYPERLINK("https://pbs.twimg.com/profile_images/981131756601569280/OkTGUrYl.jpg","View")</f>
        <v>View</v>
      </c>
    </row>
    <row r="4631" spans="1:19" ht="30">
      <c r="A4631" s="8">
        <v>43341.000439814816</v>
      </c>
      <c r="B4631" s="11" t="str">
        <f>HYPERLINK("https://twitter.com/er_zaineb","@er_zaineb")</f>
        <v>@er_zaineb</v>
      </c>
      <c r="C4631" s="6" t="s">
        <v>4451</v>
      </c>
      <c r="D4631" s="5" t="s">
        <v>4450</v>
      </c>
      <c r="E4631" s="9" t="str">
        <f>HYPERLINK("https://twitter.com/er_zaineb/status/1034523671199735808","1034523671199735808")</f>
        <v>1034523671199735808</v>
      </c>
      <c r="F4631" s="4"/>
      <c r="G4631" s="4"/>
      <c r="H4631" s="4"/>
      <c r="I4631" s="10" t="str">
        <f>HYPERLINK("http://twitter.com/download/iphone","Twitter for iPhone")</f>
        <v>Twitter for iPhone</v>
      </c>
      <c r="J4631" s="2">
        <v>37</v>
      </c>
      <c r="K4631" s="2">
        <v>53</v>
      </c>
      <c r="L4631" s="2">
        <v>0</v>
      </c>
      <c r="M4631" s="2"/>
      <c r="N4631" s="8">
        <v>43304.629120370373</v>
      </c>
      <c r="O4631" s="4"/>
      <c r="P4631" s="3" t="s">
        <v>4449</v>
      </c>
      <c r="Q4631" s="4"/>
      <c r="R4631" s="4"/>
      <c r="S4631" s="9" t="str">
        <f>HYPERLINK("https://pbs.twimg.com/profile_images/1021728412468211712/CvYXMDqY.jpg","View")</f>
        <v>View</v>
      </c>
    </row>
    <row r="4632" spans="1:19" ht="20">
      <c r="A4632" s="8">
        <v>43341.000173611115</v>
      </c>
      <c r="B4632" s="11" t="str">
        <f>HYPERLINK("https://twitter.com/m_r_f_najafi","@m_r_f_najafi")</f>
        <v>@m_r_f_najafi</v>
      </c>
      <c r="C4632" s="6" t="s">
        <v>4383</v>
      </c>
      <c r="D4632" s="5" t="s">
        <v>4448</v>
      </c>
      <c r="E4632" s="9" t="str">
        <f>HYPERLINK("https://twitter.com/m_r_f_najafi/status/1034523575749943296","1034523575749943296")</f>
        <v>1034523575749943296</v>
      </c>
      <c r="F4632" s="4"/>
      <c r="G4632" s="4"/>
      <c r="H4632" s="4"/>
      <c r="I4632" s="10" t="str">
        <f>HYPERLINK("http://twitter.com/download/android","Twitter for Android")</f>
        <v>Twitter for Android</v>
      </c>
      <c r="J4632" s="2">
        <v>212</v>
      </c>
      <c r="K4632" s="2">
        <v>33</v>
      </c>
      <c r="L4632" s="2">
        <v>3</v>
      </c>
      <c r="M4632" s="2"/>
      <c r="N4632" s="8">
        <v>43032.872303240743</v>
      </c>
      <c r="O4632" s="4"/>
      <c r="P4632" s="3"/>
      <c r="Q4632" s="4"/>
      <c r="R4632" s="4"/>
      <c r="S4632" s="9" t="str">
        <f>HYPERLINK("https://pbs.twimg.com/profile_images/932731081786142720/P3d8Wbit.jpg","View")</f>
        <v>View</v>
      </c>
    </row>
    <row r="4633" spans="1:19" ht="30">
      <c r="A4633" s="8">
        <v>43340.999675925923</v>
      </c>
      <c r="B4633" s="11" t="str">
        <f>HYPERLINK("https://twitter.com/Tahere__m","@Tahere__m")</f>
        <v>@Tahere__m</v>
      </c>
      <c r="C4633" s="6" t="s">
        <v>4447</v>
      </c>
      <c r="D4633" s="5" t="s">
        <v>4446</v>
      </c>
      <c r="E4633" s="9" t="str">
        <f>HYPERLINK("https://twitter.com/Tahere__m/status/1034523395696799745","1034523395696799745")</f>
        <v>1034523395696799745</v>
      </c>
      <c r="F4633" s="4"/>
      <c r="G4633" s="4"/>
      <c r="H4633" s="4"/>
      <c r="I4633" s="10" t="str">
        <f>HYPERLINK("http://twitter.com/download/android","Twitter for Android")</f>
        <v>Twitter for Android</v>
      </c>
      <c r="J4633" s="2">
        <v>1717</v>
      </c>
      <c r="K4633" s="2">
        <v>1222</v>
      </c>
      <c r="L4633" s="2">
        <v>12</v>
      </c>
      <c r="M4633" s="2"/>
      <c r="N4633" s="8">
        <v>43124.726435185185</v>
      </c>
      <c r="O4633" s="4" t="s">
        <v>4445</v>
      </c>
      <c r="P4633" s="3" t="s">
        <v>4444</v>
      </c>
      <c r="Q4633" s="4"/>
      <c r="R4633" s="4"/>
      <c r="S4633" s="9" t="str">
        <f>HYPERLINK("https://pbs.twimg.com/profile_images/1009362339869675521/kCsJ_fVl.jpg","View")</f>
        <v>View</v>
      </c>
    </row>
    <row r="4634" spans="1:19" ht="30">
      <c r="A4634" s="8">
        <v>43340.999305555553</v>
      </c>
      <c r="B4634" s="11" t="str">
        <f>HYPERLINK("https://twitter.com/Revman10","@Revman10")</f>
        <v>@Revman10</v>
      </c>
      <c r="C4634" s="6" t="s">
        <v>4403</v>
      </c>
      <c r="D4634" s="5" t="s">
        <v>4443</v>
      </c>
      <c r="E4634" s="9" t="str">
        <f>HYPERLINK("https://twitter.com/Revman10/status/1034523258597638144","1034523258597638144")</f>
        <v>1034523258597638144</v>
      </c>
      <c r="F4634" s="4"/>
      <c r="G4634" s="4"/>
      <c r="H4634" s="4"/>
      <c r="I4634" s="10" t="str">
        <f>HYPERLINK("http://twitter.com/download/android","Twitter for Android")</f>
        <v>Twitter for Android</v>
      </c>
      <c r="J4634" s="2">
        <v>67</v>
      </c>
      <c r="K4634" s="2">
        <v>95</v>
      </c>
      <c r="L4634" s="2">
        <v>0</v>
      </c>
      <c r="M4634" s="2"/>
      <c r="N4634" s="8">
        <v>43271.257766203707</v>
      </c>
      <c r="O4634" s="4" t="s">
        <v>324</v>
      </c>
      <c r="P4634" s="3" t="s">
        <v>4401</v>
      </c>
      <c r="Q4634" s="4"/>
      <c r="R4634" s="4"/>
      <c r="S4634" s="9" t="str">
        <f>HYPERLINK("https://pbs.twimg.com/profile_images/1027487813896429568/Gbn1h0z3.jpg","View")</f>
        <v>View</v>
      </c>
    </row>
    <row r="4635" spans="1:19" ht="20">
      <c r="A4635" s="8">
        <v>43340.999097222222</v>
      </c>
      <c r="B4635" s="11" t="str">
        <f>HYPERLINK("https://twitter.com/maryam13474380","@maryam13474380")</f>
        <v>@maryam13474380</v>
      </c>
      <c r="C4635" s="6" t="s">
        <v>4442</v>
      </c>
      <c r="D4635" s="5" t="s">
        <v>4441</v>
      </c>
      <c r="E4635" s="9" t="str">
        <f>HYPERLINK("https://twitter.com/maryam13474380/status/1034523186174590976","1034523186174590976")</f>
        <v>1034523186174590976</v>
      </c>
      <c r="F4635" s="4"/>
      <c r="G4635" s="4"/>
      <c r="H4635" s="4"/>
      <c r="I4635" s="10" t="str">
        <f>HYPERLINK("http://twitter.com","Twitter Web Client")</f>
        <v>Twitter Web Client</v>
      </c>
      <c r="J4635" s="2">
        <v>10</v>
      </c>
      <c r="K4635" s="2">
        <v>15</v>
      </c>
      <c r="L4635" s="2">
        <v>0</v>
      </c>
      <c r="M4635" s="2"/>
      <c r="N4635" s="8">
        <v>43339.928182870368</v>
      </c>
      <c r="O4635" s="4" t="s">
        <v>4440</v>
      </c>
      <c r="P4635" s="3" t="s">
        <v>4439</v>
      </c>
      <c r="Q4635" s="4"/>
      <c r="R4635" s="4"/>
      <c r="S4635" s="9" t="str">
        <f>HYPERLINK("https://pbs.twimg.com/profile_images/1034142597449691139/EZgC2DDT.jpg","View")</f>
        <v>View</v>
      </c>
    </row>
    <row r="4636" spans="1:19" ht="40">
      <c r="A4636" s="8">
        <v>43340.999039351853</v>
      </c>
      <c r="B4636" s="11" t="str">
        <f>HYPERLINK("https://twitter.com/amirhos68812408","@amirhos68812408")</f>
        <v>@amirhos68812408</v>
      </c>
      <c r="C4636" s="6" t="s">
        <v>4266</v>
      </c>
      <c r="D4636" s="5" t="s">
        <v>4438</v>
      </c>
      <c r="E4636" s="9" t="str">
        <f>HYPERLINK("https://twitter.com/amirhos68812408/status/1034523165479718912","1034523165479718912")</f>
        <v>1034523165479718912</v>
      </c>
      <c r="F4636" s="4"/>
      <c r="G4636" s="4"/>
      <c r="H4636" s="4"/>
      <c r="I4636" s="10" t="str">
        <f>HYPERLINK("http://twitter.com/download/android","Twitter for Android")</f>
        <v>Twitter for Android</v>
      </c>
      <c r="J4636" s="2">
        <v>40</v>
      </c>
      <c r="K4636" s="2">
        <v>38</v>
      </c>
      <c r="L4636" s="2">
        <v>0</v>
      </c>
      <c r="M4636" s="2"/>
      <c r="N4636" s="8">
        <v>41169.878530092596</v>
      </c>
      <c r="O4636" s="4" t="s">
        <v>282</v>
      </c>
      <c r="P4636" s="3" t="s">
        <v>324</v>
      </c>
      <c r="Q4636" s="4"/>
      <c r="R4636" s="4"/>
      <c r="S4636" s="9" t="str">
        <f>HYPERLINK("https://pbs.twimg.com/profile_images/1010265907946577926/0szWEgIr.jpg","View")</f>
        <v>View</v>
      </c>
    </row>
    <row r="4637" spans="1:19" ht="40">
      <c r="A4637" s="8">
        <v>43340.998958333337</v>
      </c>
      <c r="B4637" s="11" t="str">
        <f>HYPERLINK("https://twitter.com/Ali69958089","@Ali69958089")</f>
        <v>@Ali69958089</v>
      </c>
      <c r="C4637" s="6" t="s">
        <v>4437</v>
      </c>
      <c r="D4637" s="5" t="s">
        <v>4436</v>
      </c>
      <c r="E4637" s="9" t="str">
        <f>HYPERLINK("https://twitter.com/Ali69958089/status/1034523133234040832","1034523133234040832")</f>
        <v>1034523133234040832</v>
      </c>
      <c r="F4637" s="4"/>
      <c r="G4637" s="4"/>
      <c r="H4637" s="4"/>
      <c r="I4637" s="10" t="str">
        <f>HYPERLINK("http://twitter.com/download/android","Twitter for Android")</f>
        <v>Twitter for Android</v>
      </c>
      <c r="J4637" s="2">
        <v>0</v>
      </c>
      <c r="K4637" s="2">
        <v>4</v>
      </c>
      <c r="L4637" s="2">
        <v>0</v>
      </c>
      <c r="M4637" s="2"/>
      <c r="N4637" s="8">
        <v>43332.495011574079</v>
      </c>
      <c r="O4637" s="4" t="s">
        <v>17</v>
      </c>
      <c r="P4637" s="3" t="s">
        <v>4435</v>
      </c>
      <c r="Q4637" s="4"/>
      <c r="R4637" s="4"/>
      <c r="S4637" s="9" t="str">
        <f>HYPERLINK("https://pbs.twimg.com/profile_images/1033044820816797696/Ejpgcq-X.jpg","View")</f>
        <v>View</v>
      </c>
    </row>
    <row r="4638" spans="1:19" ht="30">
      <c r="A4638" s="8">
        <v>43340.998796296291</v>
      </c>
      <c r="B4638" s="11" t="str">
        <f>HYPERLINK("https://twitter.com/RKhabook","@RKhabook")</f>
        <v>@RKhabook</v>
      </c>
      <c r="C4638" s="6" t="s">
        <v>4434</v>
      </c>
      <c r="D4638" s="5" t="s">
        <v>4433</v>
      </c>
      <c r="E4638" s="9" t="str">
        <f>HYPERLINK("https://twitter.com/RKhabook/status/1034523077818941440","1034523077818941440")</f>
        <v>1034523077818941440</v>
      </c>
      <c r="F4638" s="4"/>
      <c r="G4638" s="4"/>
      <c r="H4638" s="4"/>
      <c r="I4638" s="10" t="str">
        <f>HYPERLINK("http://twitter.com/download/iphone","Twitter for iPhone")</f>
        <v>Twitter for iPhone</v>
      </c>
      <c r="J4638" s="2">
        <v>608</v>
      </c>
      <c r="K4638" s="2">
        <v>365</v>
      </c>
      <c r="L4638" s="2">
        <v>0</v>
      </c>
      <c r="M4638" s="2"/>
      <c r="N4638" s="8">
        <v>42893.76961805555</v>
      </c>
      <c r="O4638" s="4" t="s">
        <v>133</v>
      </c>
      <c r="P4638" s="3" t="s">
        <v>4432</v>
      </c>
      <c r="Q4638" s="4"/>
      <c r="R4638" s="4"/>
      <c r="S4638" s="9" t="str">
        <f>HYPERLINK("https://pbs.twimg.com/profile_images/1029852416588570625/ZZ6zSOWA.jpg","View")</f>
        <v>View</v>
      </c>
    </row>
    <row r="4639" spans="1:19" ht="20">
      <c r="A4639" s="8">
        <v>43340.998622685191</v>
      </c>
      <c r="B4639" s="11" t="str">
        <f>HYPERLINK("https://twitter.com/javadnazeri1","@javadnazeri1")</f>
        <v>@javadnazeri1</v>
      </c>
      <c r="C4639" s="6" t="s">
        <v>4375</v>
      </c>
      <c r="D4639" s="5" t="s">
        <v>4431</v>
      </c>
      <c r="E4639" s="9" t="str">
        <f>HYPERLINK("https://twitter.com/javadnazeri1/status/1034523014107471872","1034523014107471872")</f>
        <v>1034523014107471872</v>
      </c>
      <c r="F4639" s="4"/>
      <c r="G4639" s="4"/>
      <c r="H4639" s="4"/>
      <c r="I4639" s="10" t="str">
        <f>HYPERLINK("http://twitter.com/download/android","Twitter for Android")</f>
        <v>Twitter for Android</v>
      </c>
      <c r="J4639" s="2">
        <v>211</v>
      </c>
      <c r="K4639" s="2">
        <v>169</v>
      </c>
      <c r="L4639" s="2">
        <v>0</v>
      </c>
      <c r="M4639" s="2"/>
      <c r="N4639" s="8">
        <v>42828.677245370374</v>
      </c>
      <c r="O4639" s="4" t="s">
        <v>17</v>
      </c>
      <c r="P4639" s="3" t="s">
        <v>4373</v>
      </c>
      <c r="Q4639" s="4"/>
      <c r="R4639" s="4"/>
      <c r="S4639" s="9" t="str">
        <f>HYPERLINK("https://pbs.twimg.com/profile_images/1015553730987610113/5I3Il-3T.jpg","View")</f>
        <v>View</v>
      </c>
    </row>
    <row r="4640" spans="1:19" ht="50">
      <c r="A4640" s="8">
        <v>43340.997604166667</v>
      </c>
      <c r="B4640" s="11" t="str">
        <f>HYPERLINK("https://twitter.com/rezasedaghattt","@rezasedaghattt")</f>
        <v>@rezasedaghattt</v>
      </c>
      <c r="C4640" s="6" t="s">
        <v>4082</v>
      </c>
      <c r="D4640" s="5" t="s">
        <v>4430</v>
      </c>
      <c r="E4640" s="9" t="str">
        <f>HYPERLINK("https://twitter.com/rezasedaghattt/status/1034522642731163649","1034522642731163649")</f>
        <v>1034522642731163649</v>
      </c>
      <c r="F4640" s="10" t="s">
        <v>4429</v>
      </c>
      <c r="G4640" s="4"/>
      <c r="H4640" s="4"/>
      <c r="I4640" s="10" t="str">
        <f>HYPERLINK("http://twitter.com/download/android","Twitter for Android")</f>
        <v>Twitter for Android</v>
      </c>
      <c r="J4640" s="2">
        <v>5273</v>
      </c>
      <c r="K4640" s="2">
        <v>5367</v>
      </c>
      <c r="L4640" s="2">
        <v>7</v>
      </c>
      <c r="M4640" s="2"/>
      <c r="N4640" s="8">
        <v>42760.839872685188</v>
      </c>
      <c r="O4640" s="4" t="s">
        <v>4080</v>
      </c>
      <c r="P4640" s="3" t="s">
        <v>4079</v>
      </c>
      <c r="Q4640" s="4"/>
      <c r="R4640" s="4"/>
      <c r="S4640" s="9" t="str">
        <f>HYPERLINK("https://pbs.twimg.com/profile_images/1024155447622811653/9VEvRfFL.jpg","View")</f>
        <v>View</v>
      </c>
    </row>
    <row r="4641" spans="1:19" ht="30">
      <c r="A4641" s="8">
        <v>43340.996782407412</v>
      </c>
      <c r="B4641" s="11" t="str">
        <f>HYPERLINK("https://twitter.com/Aqileh_313","@Aqileh_313")</f>
        <v>@Aqileh_313</v>
      </c>
      <c r="C4641" s="6" t="s">
        <v>498</v>
      </c>
      <c r="D4641" s="5" t="s">
        <v>4428</v>
      </c>
      <c r="E4641" s="9" t="str">
        <f>HYPERLINK("https://twitter.com/Aqileh_313/status/1034522346525282305","1034522346525282305")</f>
        <v>1034522346525282305</v>
      </c>
      <c r="F4641" s="4"/>
      <c r="G4641" s="10" t="s">
        <v>4427</v>
      </c>
      <c r="H4641" s="4"/>
      <c r="I4641" s="10" t="str">
        <f>HYPERLINK("http://twitter.com/download/android","Twitter for Android")</f>
        <v>Twitter for Android</v>
      </c>
      <c r="J4641" s="2">
        <v>989</v>
      </c>
      <c r="K4641" s="2">
        <v>1339</v>
      </c>
      <c r="L4641" s="2">
        <v>2</v>
      </c>
      <c r="M4641" s="2"/>
      <c r="N4641" s="8">
        <v>43229.33929398148</v>
      </c>
      <c r="O4641" s="4" t="s">
        <v>17</v>
      </c>
      <c r="P4641" s="3" t="s">
        <v>496</v>
      </c>
      <c r="Q4641" s="4"/>
      <c r="R4641" s="4"/>
      <c r="S4641" s="9" t="str">
        <f>HYPERLINK("https://pbs.twimg.com/profile_images/1030919443751284737/RDKeWBwn.jpg","View")</f>
        <v>View</v>
      </c>
    </row>
    <row r="4642" spans="1:19" ht="30">
      <c r="A4642" s="8">
        <v>43340.996655092589</v>
      </c>
      <c r="B4642" s="11" t="str">
        <f>HYPERLINK("https://twitter.com/sadid59","@sadid59")</f>
        <v>@sadid59</v>
      </c>
      <c r="C4642" s="6" t="s">
        <v>4426</v>
      </c>
      <c r="D4642" s="5" t="s">
        <v>4425</v>
      </c>
      <c r="E4642" s="9" t="str">
        <f>HYPERLINK("https://twitter.com/sadid59/status/1034522299075108864","1034522299075108864")</f>
        <v>1034522299075108864</v>
      </c>
      <c r="F4642" s="10" t="s">
        <v>4424</v>
      </c>
      <c r="G4642" s="4"/>
      <c r="H4642" s="4"/>
      <c r="I4642" s="10" t="str">
        <f>HYPERLINK("http://twitter.com/download/android","Twitter for Android")</f>
        <v>Twitter for Android</v>
      </c>
      <c r="J4642" s="2">
        <v>355</v>
      </c>
      <c r="K4642" s="2">
        <v>123</v>
      </c>
      <c r="L4642" s="2">
        <v>4</v>
      </c>
      <c r="M4642" s="2"/>
      <c r="N4642" s="8">
        <v>43104.945740740739</v>
      </c>
      <c r="O4642" s="4"/>
      <c r="P4642" s="3" t="s">
        <v>4423</v>
      </c>
      <c r="Q4642" s="4"/>
      <c r="R4642" s="4"/>
      <c r="S4642" s="9" t="str">
        <f>HYPERLINK("https://pbs.twimg.com/profile_images/949000450174541824/1PyCSHZU.jpg","View")</f>
        <v>View</v>
      </c>
    </row>
    <row r="4643" spans="1:19" ht="40">
      <c r="A4643" s="8">
        <v>43340.996377314819</v>
      </c>
      <c r="B4643" s="11" t="str">
        <f>HYPERLINK("https://twitter.com/seyedmojtaba_sh","@seyedmojtaba_sh")</f>
        <v>@seyedmojtaba_sh</v>
      </c>
      <c r="C4643" s="6" t="s">
        <v>4422</v>
      </c>
      <c r="D4643" s="5" t="s">
        <v>4421</v>
      </c>
      <c r="E4643" s="9" t="str">
        <f>HYPERLINK("https://twitter.com/seyedmojtaba_sh/status/1034522200366350336","1034522200366350336")</f>
        <v>1034522200366350336</v>
      </c>
      <c r="F4643" s="4"/>
      <c r="G4643" s="4"/>
      <c r="H4643" s="4"/>
      <c r="I4643" s="10" t="str">
        <f>HYPERLINK("http://twitter.com/download/android","Twitter for Android")</f>
        <v>Twitter for Android</v>
      </c>
      <c r="J4643" s="2">
        <v>1848</v>
      </c>
      <c r="K4643" s="2">
        <v>2014</v>
      </c>
      <c r="L4643" s="2">
        <v>2</v>
      </c>
      <c r="M4643" s="2"/>
      <c r="N4643" s="8">
        <v>42946.906192129631</v>
      </c>
      <c r="O4643" s="4" t="s">
        <v>4420</v>
      </c>
      <c r="P4643" s="3" t="s">
        <v>4419</v>
      </c>
      <c r="Q4643" s="4"/>
      <c r="R4643" s="4"/>
      <c r="S4643" s="9" t="str">
        <f>HYPERLINK("https://pbs.twimg.com/profile_images/1005944850691317761/CY6oHY2B.jpg","View")</f>
        <v>View</v>
      </c>
    </row>
    <row r="4644" spans="1:19" ht="30">
      <c r="A4644" s="8">
        <v>43340.995532407411</v>
      </c>
      <c r="B4644" s="11" t="str">
        <f>HYPERLINK("https://twitter.com/Ziaeenia2","@Ziaeenia2")</f>
        <v>@Ziaeenia2</v>
      </c>
      <c r="C4644" s="6" t="s">
        <v>4418</v>
      </c>
      <c r="D4644" s="5" t="s">
        <v>4417</v>
      </c>
      <c r="E4644" s="9" t="str">
        <f>HYPERLINK("https://twitter.com/Ziaeenia2/status/1034521892298866689","1034521892298866689")</f>
        <v>1034521892298866689</v>
      </c>
      <c r="F4644" s="4"/>
      <c r="G4644" s="4"/>
      <c r="H4644" s="4"/>
      <c r="I4644" s="10" t="str">
        <f>HYPERLINK("http://twitter.com/download/android","Twitter for Android")</f>
        <v>Twitter for Android</v>
      </c>
      <c r="J4644" s="2">
        <v>298</v>
      </c>
      <c r="K4644" s="2">
        <v>335</v>
      </c>
      <c r="L4644" s="2">
        <v>0</v>
      </c>
      <c r="M4644" s="2"/>
      <c r="N4644" s="8">
        <v>43274.553506944445</v>
      </c>
      <c r="O4644" s="4"/>
      <c r="P4644" s="3" t="s">
        <v>4416</v>
      </c>
      <c r="Q4644" s="4"/>
      <c r="R4644" s="4"/>
      <c r="S4644" s="9" t="str">
        <f>HYPERLINK("https://pbs.twimg.com/profile_images/1013486796284530689/CYqJp_nu.jpg","View")</f>
        <v>View</v>
      </c>
    </row>
    <row r="4645" spans="1:19" ht="20">
      <c r="A4645" s="8">
        <v>43340.995486111111</v>
      </c>
      <c r="B4645" s="11" t="str">
        <f>HYPERLINK("https://twitter.com/Kouroshhakhaa","@Kouroshhakhaa")</f>
        <v>@Kouroshhakhaa</v>
      </c>
      <c r="C4645" s="6" t="s">
        <v>4415</v>
      </c>
      <c r="D4645" s="5" t="s">
        <v>4414</v>
      </c>
      <c r="E4645" s="9" t="str">
        <f>HYPERLINK("https://twitter.com/Kouroshhakhaa/status/1034521874565419008","1034521874565419008")</f>
        <v>1034521874565419008</v>
      </c>
      <c r="F4645" s="4"/>
      <c r="G4645" s="4"/>
      <c r="H4645" s="4"/>
      <c r="I4645" s="10" t="str">
        <f>HYPERLINK("http://twitter.com/download/android","Twitter for Android")</f>
        <v>Twitter for Android</v>
      </c>
      <c r="J4645" s="2">
        <v>499</v>
      </c>
      <c r="K4645" s="2">
        <v>607</v>
      </c>
      <c r="L4645" s="2">
        <v>2</v>
      </c>
      <c r="M4645" s="2"/>
      <c r="N4645" s="8">
        <v>43104.663460648153</v>
      </c>
      <c r="O4645" s="4"/>
      <c r="P4645" s="3" t="s">
        <v>4413</v>
      </c>
      <c r="Q4645" s="4"/>
      <c r="R4645" s="4"/>
      <c r="S4645" s="9" t="str">
        <f>HYPERLINK("https://pbs.twimg.com/profile_images/972188779837607936/DFWBNEIu.jpg","View")</f>
        <v>View</v>
      </c>
    </row>
    <row r="4646" spans="1:19" ht="20">
      <c r="A4646" s="8">
        <v>43340.995196759264</v>
      </c>
      <c r="B4646" s="11" t="str">
        <f>HYPERLINK("https://twitter.com/sh_azhdari","@sh_azhdari")</f>
        <v>@sh_azhdari</v>
      </c>
      <c r="C4646" s="6" t="s">
        <v>4412</v>
      </c>
      <c r="D4646" s="5" t="s">
        <v>4411</v>
      </c>
      <c r="E4646" s="9" t="str">
        <f>HYPERLINK("https://twitter.com/sh_azhdari/status/1034521770064269313","1034521770064269313")</f>
        <v>1034521770064269313</v>
      </c>
      <c r="F4646" s="4"/>
      <c r="G4646" s="4"/>
      <c r="H4646" s="4"/>
      <c r="I4646" s="10" t="str">
        <f>HYPERLINK("http://twitter.com/download/iphone","Twitter for iPhone")</f>
        <v>Twitter for iPhone</v>
      </c>
      <c r="J4646" s="2">
        <v>21</v>
      </c>
      <c r="K4646" s="2">
        <v>70</v>
      </c>
      <c r="L4646" s="2">
        <v>0</v>
      </c>
      <c r="M4646" s="2"/>
      <c r="N4646" s="8">
        <v>43331.693912037037</v>
      </c>
      <c r="O4646" s="4" t="s">
        <v>34</v>
      </c>
      <c r="P4646" s="3" t="s">
        <v>4410</v>
      </c>
      <c r="Q4646" s="10" t="s">
        <v>4409</v>
      </c>
      <c r="R4646" s="4"/>
      <c r="S4646" s="9" t="str">
        <f>HYPERLINK("https://pbs.twimg.com/profile_images/1034155561686851587/xfhmpSOK.jpg","View")</f>
        <v>View</v>
      </c>
    </row>
    <row r="4647" spans="1:19" ht="20">
      <c r="A4647" s="8">
        <v>43340.995046296295</v>
      </c>
      <c r="B4647" s="11" t="str">
        <f>HYPERLINK("https://twitter.com/baharehjadidian","@baharehjadidian")</f>
        <v>@baharehjadidian</v>
      </c>
      <c r="C4647" s="6" t="s">
        <v>4408</v>
      </c>
      <c r="D4647" s="5" t="s">
        <v>4407</v>
      </c>
      <c r="E4647" s="9" t="str">
        <f>HYPERLINK("https://twitter.com/baharehjadidian/status/1034521718965129216","1034521718965129216")</f>
        <v>1034521718965129216</v>
      </c>
      <c r="F4647" s="4"/>
      <c r="G4647" s="10" t="s">
        <v>4406</v>
      </c>
      <c r="H4647" s="4"/>
      <c r="I4647" s="10" t="str">
        <f>HYPERLINK("http://twitter.com","Twitter Web Client")</f>
        <v>Twitter Web Client</v>
      </c>
      <c r="J4647" s="2">
        <v>6963</v>
      </c>
      <c r="K4647" s="2">
        <v>4431</v>
      </c>
      <c r="L4647" s="2">
        <v>42</v>
      </c>
      <c r="M4647" s="2"/>
      <c r="N4647" s="8">
        <v>42600.016215277778</v>
      </c>
      <c r="O4647" s="4" t="s">
        <v>4405</v>
      </c>
      <c r="P4647" s="3" t="s">
        <v>4404</v>
      </c>
      <c r="Q4647" s="4"/>
      <c r="R4647" s="4"/>
      <c r="S4647" s="9" t="str">
        <f>HYPERLINK("https://pbs.twimg.com/profile_images/1011335330329489409/kQCoLm_c.jpg","View")</f>
        <v>View</v>
      </c>
    </row>
    <row r="4648" spans="1:19" ht="40">
      <c r="A4648" s="8">
        <v>43340.994803240741</v>
      </c>
      <c r="B4648" s="11" t="str">
        <f>HYPERLINK("https://twitter.com/Revman10","@Revman10")</f>
        <v>@Revman10</v>
      </c>
      <c r="C4648" s="6" t="s">
        <v>4403</v>
      </c>
      <c r="D4648" s="5" t="s">
        <v>4402</v>
      </c>
      <c r="E4648" s="9" t="str">
        <f>HYPERLINK("https://twitter.com/Revman10/status/1034521628951150592","1034521628951150592")</f>
        <v>1034521628951150592</v>
      </c>
      <c r="F4648" s="4"/>
      <c r="G4648" s="4"/>
      <c r="H4648" s="4"/>
      <c r="I4648" s="10" t="str">
        <f>HYPERLINK("http://twitter.com/download/android","Twitter for Android")</f>
        <v>Twitter for Android</v>
      </c>
      <c r="J4648" s="2">
        <v>67</v>
      </c>
      <c r="K4648" s="2">
        <v>95</v>
      </c>
      <c r="L4648" s="2">
        <v>0</v>
      </c>
      <c r="M4648" s="2"/>
      <c r="N4648" s="8">
        <v>43271.257766203707</v>
      </c>
      <c r="O4648" s="4" t="s">
        <v>324</v>
      </c>
      <c r="P4648" s="3" t="s">
        <v>4401</v>
      </c>
      <c r="Q4648" s="4"/>
      <c r="R4648" s="4"/>
      <c r="S4648" s="9" t="str">
        <f>HYPERLINK("https://pbs.twimg.com/profile_images/1027487813896429568/Gbn1h0z3.jpg","View")</f>
        <v>View</v>
      </c>
    </row>
    <row r="4649" spans="1:19" ht="30">
      <c r="A4649" s="8">
        <v>43340.994652777779</v>
      </c>
      <c r="B4649" s="11" t="str">
        <f>HYPERLINK("https://twitter.com/Haaghiighaat110","@Haaghiighaat110")</f>
        <v>@Haaghiighaat110</v>
      </c>
      <c r="C4649" s="6" t="s">
        <v>4400</v>
      </c>
      <c r="D4649" s="5" t="s">
        <v>4399</v>
      </c>
      <c r="E4649" s="9" t="str">
        <f>HYPERLINK("https://twitter.com/Haaghiighaat110/status/1034521573577904134","1034521573577904134")</f>
        <v>1034521573577904134</v>
      </c>
      <c r="F4649" s="4"/>
      <c r="G4649" s="4"/>
      <c r="H4649" s="4"/>
      <c r="I4649" s="10" t="str">
        <f>HYPERLINK("http://twitter.com/download/android","Twitter for Android")</f>
        <v>Twitter for Android</v>
      </c>
      <c r="J4649" s="2">
        <v>115</v>
      </c>
      <c r="K4649" s="2">
        <v>189</v>
      </c>
      <c r="L4649" s="2">
        <v>0</v>
      </c>
      <c r="M4649" s="2"/>
      <c r="N4649" s="8">
        <v>43250.923217592594</v>
      </c>
      <c r="O4649" s="4"/>
      <c r="P4649" s="3"/>
      <c r="Q4649" s="4"/>
      <c r="R4649" s="4"/>
      <c r="S4649" s="9" t="str">
        <f>HYPERLINK("https://pbs.twimg.com/profile_images/1001885039418925056/ogTUT34V.jpg","View")</f>
        <v>View</v>
      </c>
    </row>
    <row r="4650" spans="1:19" ht="40">
      <c r="A4650" s="8">
        <v>43340.994618055556</v>
      </c>
      <c r="B4650" s="11" t="str">
        <f>HYPERLINK("https://twitter.com/DaeeHassan","@DaeeHassan")</f>
        <v>@DaeeHassan</v>
      </c>
      <c r="C4650" s="6" t="s">
        <v>3374</v>
      </c>
      <c r="D4650" s="5" t="s">
        <v>4398</v>
      </c>
      <c r="E4650" s="9" t="str">
        <f>HYPERLINK("https://twitter.com/DaeeHassan/status/1034521562651811845","1034521562651811845")</f>
        <v>1034521562651811845</v>
      </c>
      <c r="F4650" s="4"/>
      <c r="G4650" s="4"/>
      <c r="H4650" s="4"/>
      <c r="I4650" s="10" t="str">
        <f>HYPERLINK("http://twitter.com/download/android","Twitter for Android")</f>
        <v>Twitter for Android</v>
      </c>
      <c r="J4650" s="2">
        <v>1394</v>
      </c>
      <c r="K4650" s="2">
        <v>1062</v>
      </c>
      <c r="L4650" s="2">
        <v>1</v>
      </c>
      <c r="M4650" s="2"/>
      <c r="N4650" s="8">
        <v>42773.082974537036</v>
      </c>
      <c r="O4650" s="4" t="s">
        <v>2440</v>
      </c>
      <c r="P4650" s="3" t="s">
        <v>3372</v>
      </c>
      <c r="Q4650" s="4"/>
      <c r="R4650" s="4"/>
      <c r="S4650" s="9" t="str">
        <f>HYPERLINK("https://pbs.twimg.com/profile_images/943173983079424000/nkx3mVMx.jpg","View")</f>
        <v>View</v>
      </c>
    </row>
    <row r="4651" spans="1:19" ht="20">
      <c r="A4651" s="8">
        <v>43340.994085648148</v>
      </c>
      <c r="B4651" s="11" t="str">
        <f>HYPERLINK("https://twitter.com/javadnazeri1","@javadnazeri1")</f>
        <v>@javadnazeri1</v>
      </c>
      <c r="C4651" s="6" t="s">
        <v>4375</v>
      </c>
      <c r="D4651" s="5" t="s">
        <v>4397</v>
      </c>
      <c r="E4651" s="9" t="str">
        <f>HYPERLINK("https://twitter.com/javadnazeri1/status/1034521367096565760","1034521367096565760")</f>
        <v>1034521367096565760</v>
      </c>
      <c r="F4651" s="4"/>
      <c r="G4651" s="4"/>
      <c r="H4651" s="4"/>
      <c r="I4651" s="10" t="str">
        <f>HYPERLINK("http://twitter.com/download/android","Twitter for Android")</f>
        <v>Twitter for Android</v>
      </c>
      <c r="J4651" s="2">
        <v>211</v>
      </c>
      <c r="K4651" s="2">
        <v>169</v>
      </c>
      <c r="L4651" s="2">
        <v>0</v>
      </c>
      <c r="M4651" s="2"/>
      <c r="N4651" s="8">
        <v>42828.677245370374</v>
      </c>
      <c r="O4651" s="4" t="s">
        <v>17</v>
      </c>
      <c r="P4651" s="3" t="s">
        <v>4373</v>
      </c>
      <c r="Q4651" s="4"/>
      <c r="R4651" s="4"/>
      <c r="S4651" s="9" t="str">
        <f>HYPERLINK("https://pbs.twimg.com/profile_images/1015553730987610113/5I3Il-3T.jpg","View")</f>
        <v>View</v>
      </c>
    </row>
    <row r="4652" spans="1:19" ht="40">
      <c r="A4652" s="8">
        <v>43340.993923611109</v>
      </c>
      <c r="B4652" s="11" t="str">
        <f>HYPERLINK("https://twitter.com/KavocAsta","@KavocAsta")</f>
        <v>@KavocAsta</v>
      </c>
      <c r="C4652" s="6" t="s">
        <v>4396</v>
      </c>
      <c r="D4652" s="5" t="s">
        <v>4395</v>
      </c>
      <c r="E4652" s="9" t="str">
        <f>HYPERLINK("https://twitter.com/KavocAsta/status/1034521310397911040","1034521310397911040")</f>
        <v>1034521310397911040</v>
      </c>
      <c r="F4652" s="4"/>
      <c r="G4652" s="4"/>
      <c r="H4652" s="4"/>
      <c r="I4652" s="10" t="str">
        <f>HYPERLINK("http://twitter.com","Twitter Web Client")</f>
        <v>Twitter Web Client</v>
      </c>
      <c r="J4652" s="2">
        <v>2242</v>
      </c>
      <c r="K4652" s="2">
        <v>1864</v>
      </c>
      <c r="L4652" s="2">
        <v>5</v>
      </c>
      <c r="M4652" s="2"/>
      <c r="N4652" s="8">
        <v>42852.058171296296</v>
      </c>
      <c r="O4652" s="4" t="s">
        <v>4394</v>
      </c>
      <c r="P4652" s="3" t="s">
        <v>4393</v>
      </c>
      <c r="Q4652" s="10" t="s">
        <v>4392</v>
      </c>
      <c r="R4652" s="4"/>
      <c r="S4652" s="9" t="str">
        <f>HYPERLINK("https://pbs.twimg.com/profile_images/996833951804080128/6KrrgRW_.jpg","View")</f>
        <v>View</v>
      </c>
    </row>
    <row r="4653" spans="1:19" ht="20">
      <c r="A4653" s="8">
        <v>43340.993703703702</v>
      </c>
      <c r="B4653" s="11" t="str">
        <f>HYPERLINK("https://twitter.com/armin_shokri","@armin_shokri")</f>
        <v>@armin_shokri</v>
      </c>
      <c r="C4653" s="6" t="s">
        <v>4391</v>
      </c>
      <c r="D4653" s="5" t="s">
        <v>4390</v>
      </c>
      <c r="E4653" s="9" t="str">
        <f>HYPERLINK("https://twitter.com/armin_shokri/status/1034521232337760256","1034521232337760256")</f>
        <v>1034521232337760256</v>
      </c>
      <c r="F4653" s="4"/>
      <c r="G4653" s="4"/>
      <c r="H4653" s="4"/>
      <c r="I4653" s="10" t="str">
        <f>HYPERLINK("http://twitter.com/download/iphone","Twitter for iPhone")</f>
        <v>Twitter for iPhone</v>
      </c>
      <c r="J4653" s="2">
        <v>1050</v>
      </c>
      <c r="K4653" s="2">
        <v>1046</v>
      </c>
      <c r="L4653" s="2">
        <v>14</v>
      </c>
      <c r="M4653" s="2"/>
      <c r="N4653" s="8">
        <v>41533.964861111112</v>
      </c>
      <c r="O4653" s="4" t="s">
        <v>2054</v>
      </c>
      <c r="P4653" s="3" t="s">
        <v>4389</v>
      </c>
      <c r="Q4653" s="10" t="s">
        <v>4388</v>
      </c>
      <c r="R4653" s="4"/>
      <c r="S4653" s="9" t="str">
        <f>HYPERLINK("https://pbs.twimg.com/profile_images/1032004354260328449/LqMFTP7o.jpg","View")</f>
        <v>View</v>
      </c>
    </row>
    <row r="4654" spans="1:19" ht="40">
      <c r="A4654" s="8">
        <v>43340.993425925924</v>
      </c>
      <c r="B4654" s="11" t="str">
        <f>HYPERLINK("https://twitter.com/AliPakari","@AliPakari")</f>
        <v>@AliPakari</v>
      </c>
      <c r="C4654" s="6" t="s">
        <v>4387</v>
      </c>
      <c r="D4654" s="5" t="s">
        <v>4386</v>
      </c>
      <c r="E4654" s="9" t="str">
        <f>HYPERLINK("https://twitter.com/AliPakari/status/1034521129807949826","1034521129807949826")</f>
        <v>1034521129807949826</v>
      </c>
      <c r="F4654" s="4"/>
      <c r="G4654" s="4"/>
      <c r="H4654" s="4"/>
      <c r="I4654" s="10" t="str">
        <f>HYPERLINK("http://twitter.com/download/android","Twitter for Android")</f>
        <v>Twitter for Android</v>
      </c>
      <c r="J4654" s="2">
        <v>320</v>
      </c>
      <c r="K4654" s="2">
        <v>75</v>
      </c>
      <c r="L4654" s="2">
        <v>2</v>
      </c>
      <c r="M4654" s="2"/>
      <c r="N4654" s="8">
        <v>42466.067916666667</v>
      </c>
      <c r="O4654" s="4" t="s">
        <v>4385</v>
      </c>
      <c r="P4654" s="3" t="s">
        <v>4384</v>
      </c>
      <c r="Q4654" s="4"/>
      <c r="R4654" s="4"/>
      <c r="S4654" s="9" t="str">
        <f>HYPERLINK("https://pbs.twimg.com/profile_images/988287967989911552/m75jH9fe.jpg","View")</f>
        <v>View</v>
      </c>
    </row>
    <row r="4655" spans="1:19" ht="20">
      <c r="A4655" s="8">
        <v>43340.993159722224</v>
      </c>
      <c r="B4655" s="11" t="str">
        <f>HYPERLINK("https://twitter.com/m_r_f_najafi","@m_r_f_najafi")</f>
        <v>@m_r_f_najafi</v>
      </c>
      <c r="C4655" s="6" t="s">
        <v>4383</v>
      </c>
      <c r="D4655" s="5" t="s">
        <v>4382</v>
      </c>
      <c r="E4655" s="9" t="str">
        <f>HYPERLINK("https://twitter.com/m_r_f_najafi/status/1034521033997516801","1034521033997516801")</f>
        <v>1034521033997516801</v>
      </c>
      <c r="F4655" s="4"/>
      <c r="G4655" s="4"/>
      <c r="H4655" s="4"/>
      <c r="I4655" s="10" t="str">
        <f>HYPERLINK("http://twitter.com/download/android","Twitter for Android")</f>
        <v>Twitter for Android</v>
      </c>
      <c r="J4655" s="2">
        <v>212</v>
      </c>
      <c r="K4655" s="2">
        <v>33</v>
      </c>
      <c r="L4655" s="2">
        <v>3</v>
      </c>
      <c r="M4655" s="2"/>
      <c r="N4655" s="8">
        <v>43032.872303240743</v>
      </c>
      <c r="O4655" s="4"/>
      <c r="P4655" s="3"/>
      <c r="Q4655" s="4"/>
      <c r="R4655" s="4"/>
      <c r="S4655" s="9" t="str">
        <f>HYPERLINK("https://pbs.twimg.com/profile_images/932731081786142720/P3d8Wbit.jpg","View")</f>
        <v>View</v>
      </c>
    </row>
    <row r="4656" spans="1:19" ht="30">
      <c r="A4656" s="8">
        <v>43340.993078703701</v>
      </c>
      <c r="B4656" s="11" t="str">
        <f>HYPERLINK("https://twitter.com/MLD56038732","@MLD56038732")</f>
        <v>@MLD56038732</v>
      </c>
      <c r="C4656" s="6" t="s">
        <v>4381</v>
      </c>
      <c r="D4656" s="5" t="s">
        <v>4380</v>
      </c>
      <c r="E4656" s="9" t="str">
        <f>HYPERLINK("https://twitter.com/MLD56038732/status/1034521002271821824","1034521002271821824")</f>
        <v>1034521002271821824</v>
      </c>
      <c r="F4656" s="4"/>
      <c r="G4656" s="4"/>
      <c r="H4656" s="4"/>
      <c r="I4656" s="10" t="str">
        <f>HYPERLINK("http://twitter.com","Twitter Web Client")</f>
        <v>Twitter Web Client</v>
      </c>
      <c r="J4656" s="2">
        <v>1</v>
      </c>
      <c r="K4656" s="2">
        <v>6</v>
      </c>
      <c r="L4656" s="2">
        <v>0</v>
      </c>
      <c r="M4656" s="2"/>
      <c r="N4656" s="8">
        <v>42758.117060185185</v>
      </c>
      <c r="O4656" s="4"/>
      <c r="P4656" s="3"/>
      <c r="Q4656" s="4"/>
      <c r="R4656" s="4"/>
      <c r="S4656" s="9" t="str">
        <f>HYPERLINK("https://pbs.twimg.com/profile_images/1031864222022598656/TEPzCcWl.jpg","View")</f>
        <v>View</v>
      </c>
    </row>
    <row r="4657" spans="1:19" ht="30">
      <c r="A4657" s="8">
        <v>43340.992939814816</v>
      </c>
      <c r="B4657" s="11" t="str">
        <f>HYPERLINK("https://twitter.com/nasleranj","@nasleranj")</f>
        <v>@nasleranj</v>
      </c>
      <c r="C4657" s="6" t="s">
        <v>4379</v>
      </c>
      <c r="D4657" s="5" t="s">
        <v>4378</v>
      </c>
      <c r="E4657" s="9" t="str">
        <f>HYPERLINK("https://twitter.com/nasleranj/status/1034520952141438982","1034520952141438982")</f>
        <v>1034520952141438982</v>
      </c>
      <c r="F4657" s="4"/>
      <c r="G4657" s="4"/>
      <c r="H4657" s="4"/>
      <c r="I4657" s="10" t="str">
        <f>HYPERLINK("http://twitter.com/download/android","Twitter for Android")</f>
        <v>Twitter for Android</v>
      </c>
      <c r="J4657" s="2">
        <v>1052</v>
      </c>
      <c r="K4657" s="2">
        <v>440</v>
      </c>
      <c r="L4657" s="2">
        <v>6</v>
      </c>
      <c r="M4657" s="2"/>
      <c r="N4657" s="8">
        <v>42767.068020833336</v>
      </c>
      <c r="O4657" s="4" t="s">
        <v>4377</v>
      </c>
      <c r="P4657" s="3" t="s">
        <v>4376</v>
      </c>
      <c r="Q4657" s="4"/>
      <c r="R4657" s="4"/>
      <c r="S4657" s="9" t="str">
        <f>HYPERLINK("https://pbs.twimg.com/profile_images/1028570341805879296/AEb7yQF2.jpg","View")</f>
        <v>View</v>
      </c>
    </row>
    <row r="4658" spans="1:19" ht="12.5">
      <c r="A4658" s="8">
        <v>43340.992349537039</v>
      </c>
      <c r="B4658" s="11" t="str">
        <f>HYPERLINK("https://twitter.com/javadnazeri1","@javadnazeri1")</f>
        <v>@javadnazeri1</v>
      </c>
      <c r="C4658" s="6" t="s">
        <v>4375</v>
      </c>
      <c r="D4658" s="5" t="s">
        <v>4374</v>
      </c>
      <c r="E4658" s="9" t="str">
        <f>HYPERLINK("https://twitter.com/javadnazeri1/status/1034520739335098370","1034520739335098370")</f>
        <v>1034520739335098370</v>
      </c>
      <c r="F4658" s="4"/>
      <c r="G4658" s="4"/>
      <c r="H4658" s="4"/>
      <c r="I4658" s="10" t="str">
        <f>HYPERLINK("http://twitter.com/download/android","Twitter for Android")</f>
        <v>Twitter for Android</v>
      </c>
      <c r="J4658" s="2">
        <v>211</v>
      </c>
      <c r="K4658" s="2">
        <v>169</v>
      </c>
      <c r="L4658" s="2">
        <v>0</v>
      </c>
      <c r="M4658" s="2"/>
      <c r="N4658" s="8">
        <v>42828.677245370374</v>
      </c>
      <c r="O4658" s="4" t="s">
        <v>17</v>
      </c>
      <c r="P4658" s="3" t="s">
        <v>4373</v>
      </c>
      <c r="Q4658" s="4"/>
      <c r="R4658" s="4"/>
      <c r="S4658" s="9" t="str">
        <f>HYPERLINK("https://pbs.twimg.com/profile_images/1015553730987610113/5I3Il-3T.jpg","View")</f>
        <v>View</v>
      </c>
    </row>
    <row r="4659" spans="1:19" ht="70">
      <c r="A4659" s="8">
        <v>43340.992256944446</v>
      </c>
      <c r="B4659" s="11" t="str">
        <f>HYPERLINK("https://twitter.com/a_maghami","@a_maghami")</f>
        <v>@a_maghami</v>
      </c>
      <c r="C4659" s="6" t="s">
        <v>4332</v>
      </c>
      <c r="D4659" s="5" t="s">
        <v>4372</v>
      </c>
      <c r="E4659" s="9" t="str">
        <f>HYPERLINK("https://twitter.com/a_maghami/status/1034520706548215808","1034520706548215808")</f>
        <v>1034520706548215808</v>
      </c>
      <c r="F4659" s="10" t="s">
        <v>4371</v>
      </c>
      <c r="G4659" s="4"/>
      <c r="H4659" s="4"/>
      <c r="I4659" s="10" t="str">
        <f>HYPERLINK("http://twitter.com/download/android","Twitter for Android")</f>
        <v>Twitter for Android</v>
      </c>
      <c r="J4659" s="2">
        <v>136</v>
      </c>
      <c r="K4659" s="2">
        <v>263</v>
      </c>
      <c r="L4659" s="2">
        <v>1</v>
      </c>
      <c r="M4659" s="2"/>
      <c r="N4659" s="8">
        <v>41507.376886574071</v>
      </c>
      <c r="O4659" s="4" t="s">
        <v>324</v>
      </c>
      <c r="P4659" s="3" t="s">
        <v>4328</v>
      </c>
      <c r="Q4659" s="10" t="s">
        <v>4327</v>
      </c>
      <c r="R4659" s="4"/>
      <c r="S4659" s="9" t="str">
        <f>HYPERLINK("https://pbs.twimg.com/profile_images/378800000729051711/bd566e9e4ba7bff75d083188111793dc.jpeg","View")</f>
        <v>View</v>
      </c>
    </row>
    <row r="4660" spans="1:19" ht="20">
      <c r="A4660" s="8">
        <v>43340.992013888885</v>
      </c>
      <c r="B4660" s="11" t="str">
        <f>HYPERLINK("https://twitter.com/nimarezaei94","@nimarezaei94")</f>
        <v>@nimarezaei94</v>
      </c>
      <c r="C4660" s="6" t="s">
        <v>684</v>
      </c>
      <c r="D4660" s="5" t="s">
        <v>4370</v>
      </c>
      <c r="E4660" s="9" t="str">
        <f>HYPERLINK("https://twitter.com/nimarezaei94/status/1034520619860324355","1034520619860324355")</f>
        <v>1034520619860324355</v>
      </c>
      <c r="F4660" s="4"/>
      <c r="G4660" s="4"/>
      <c r="H4660" s="4"/>
      <c r="I4660" s="10" t="str">
        <f>HYPERLINK("http://twitter.com/download/iphone","Twitter for iPhone")</f>
        <v>Twitter for iPhone</v>
      </c>
      <c r="J4660" s="2">
        <v>533</v>
      </c>
      <c r="K4660" s="2">
        <v>523</v>
      </c>
      <c r="L4660" s="2">
        <v>1</v>
      </c>
      <c r="M4660" s="2"/>
      <c r="N4660" s="8">
        <v>41447.60665509259</v>
      </c>
      <c r="O4660" s="4" t="s">
        <v>682</v>
      </c>
      <c r="P4660" s="3" t="s">
        <v>681</v>
      </c>
      <c r="Q4660" s="4"/>
      <c r="R4660" s="4"/>
      <c r="S4660" s="9" t="str">
        <f>HYPERLINK("https://pbs.twimg.com/profile_images/905451759769931778/MXFEZzQz.jpg","View")</f>
        <v>View</v>
      </c>
    </row>
    <row r="4661" spans="1:19" ht="40">
      <c r="A4661" s="8">
        <v>43340.991562499999</v>
      </c>
      <c r="B4661" s="11" t="str">
        <f>HYPERLINK("https://twitter.com/MehriranN","@MehriranN")</f>
        <v>@MehriranN</v>
      </c>
      <c r="C4661" s="6" t="s">
        <v>4369</v>
      </c>
      <c r="D4661" s="5" t="s">
        <v>4368</v>
      </c>
      <c r="E4661" s="9" t="str">
        <f>HYPERLINK("https://twitter.com/MehriranN/status/1034520455447752709","1034520455447752709")</f>
        <v>1034520455447752709</v>
      </c>
      <c r="F4661" s="4"/>
      <c r="G4661" s="10" t="s">
        <v>4367</v>
      </c>
      <c r="H4661" s="4"/>
      <c r="I4661" s="10" t="str">
        <f>HYPERLINK("http://twitter.com","Twitter Web Client")</f>
        <v>Twitter Web Client</v>
      </c>
      <c r="J4661" s="2">
        <v>2189</v>
      </c>
      <c r="K4661" s="2">
        <v>2117</v>
      </c>
      <c r="L4661" s="2">
        <v>29</v>
      </c>
      <c r="M4661" s="2"/>
      <c r="N4661" s="8">
        <v>42600.605960648143</v>
      </c>
      <c r="O4661" s="4" t="s">
        <v>4366</v>
      </c>
      <c r="P4661" s="3" t="s">
        <v>4365</v>
      </c>
      <c r="Q4661" s="4"/>
      <c r="R4661" s="4"/>
      <c r="S4661" s="9" t="str">
        <f>HYPERLINK("https://pbs.twimg.com/profile_images/986850521553227776/gwh3w_6D.jpg","View")</f>
        <v>View</v>
      </c>
    </row>
    <row r="4662" spans="1:19" ht="40">
      <c r="A4662" s="8">
        <v>43340.991238425922</v>
      </c>
      <c r="B4662" s="11" t="str">
        <f>HYPERLINK("https://twitter.com/kateb_ouham","@kateb_ouham")</f>
        <v>@kateb_ouham</v>
      </c>
      <c r="C4662" s="6" t="s">
        <v>2997</v>
      </c>
      <c r="D4662" s="5" t="s">
        <v>4364</v>
      </c>
      <c r="E4662" s="9" t="str">
        <f>HYPERLINK("https://twitter.com/kateb_ouham/status/1034520338510618624","1034520338510618624")</f>
        <v>1034520338510618624</v>
      </c>
      <c r="F4662" s="4"/>
      <c r="G4662" s="4"/>
      <c r="H4662" s="4"/>
      <c r="I4662" s="10" t="str">
        <f>HYPERLINK("http://twitter.com/download/android","Twitter for Android")</f>
        <v>Twitter for Android</v>
      </c>
      <c r="J4662" s="2">
        <v>1591</v>
      </c>
      <c r="K4662" s="2">
        <v>1267</v>
      </c>
      <c r="L4662" s="2">
        <v>1</v>
      </c>
      <c r="M4662" s="2"/>
      <c r="N4662" s="8">
        <v>43238.326655092591</v>
      </c>
      <c r="O4662" s="4" t="s">
        <v>34</v>
      </c>
      <c r="P4662" s="3" t="s">
        <v>2995</v>
      </c>
      <c r="Q4662" s="4"/>
      <c r="R4662" s="4"/>
      <c r="S4662" s="9" t="str">
        <f>HYPERLINK("https://pbs.twimg.com/profile_images/1026085330624163840/hPNekdYn.jpg","View")</f>
        <v>View</v>
      </c>
    </row>
    <row r="4663" spans="1:19" ht="12.5">
      <c r="A4663" s="8">
        <v>43340.990613425922</v>
      </c>
      <c r="B4663" s="11" t="str">
        <f>HYPERLINK("https://twitter.com/Djavue2","@Djavue2")</f>
        <v>@Djavue2</v>
      </c>
      <c r="C4663" s="6" t="s">
        <v>4363</v>
      </c>
      <c r="D4663" s="5" t="s">
        <v>4362</v>
      </c>
      <c r="E4663" s="9" t="str">
        <f>HYPERLINK("https://twitter.com/Djavue2/status/1034520108792729600","1034520108792729600")</f>
        <v>1034520108792729600</v>
      </c>
      <c r="F4663" s="4"/>
      <c r="G4663" s="10" t="s">
        <v>4361</v>
      </c>
      <c r="H4663" s="4"/>
      <c r="I4663" s="10" t="str">
        <f>HYPERLINK("http://twitter.com/download/android","Twitter for Android")</f>
        <v>Twitter for Android</v>
      </c>
      <c r="J4663" s="2">
        <v>740</v>
      </c>
      <c r="K4663" s="2">
        <v>1483</v>
      </c>
      <c r="L4663" s="2">
        <v>0</v>
      </c>
      <c r="M4663" s="2"/>
      <c r="N4663" s="8">
        <v>43324.9378125</v>
      </c>
      <c r="O4663" s="4"/>
      <c r="P4663" s="3" t="s">
        <v>4360</v>
      </c>
      <c r="Q4663" s="4"/>
      <c r="R4663" s="4"/>
      <c r="S4663" s="9" t="str">
        <f>HYPERLINK("https://pbs.twimg.com/profile_images/1028705635356028928/dp4qnVxN.jpg","View")</f>
        <v>View</v>
      </c>
    </row>
    <row r="4664" spans="1:19" ht="30">
      <c r="A4664" s="8">
        <v>43340.990069444444</v>
      </c>
      <c r="B4664" s="11" t="str">
        <f>HYPERLINK("https://twitter.com/saberi_erfan","@saberi_erfan")</f>
        <v>@saberi_erfan</v>
      </c>
      <c r="C4664" s="6" t="s">
        <v>4359</v>
      </c>
      <c r="D4664" s="5" t="s">
        <v>4358</v>
      </c>
      <c r="E4664" s="9" t="str">
        <f>HYPERLINK("https://twitter.com/saberi_erfan/status/1034519913715703808","1034519913715703808")</f>
        <v>1034519913715703808</v>
      </c>
      <c r="F4664" s="4"/>
      <c r="G4664" s="4"/>
      <c r="H4664" s="4"/>
      <c r="I4664" s="10" t="str">
        <f>HYPERLINK("http://twitter.com/download/android","Twitter for Android")</f>
        <v>Twitter for Android</v>
      </c>
      <c r="J4664" s="2">
        <v>137</v>
      </c>
      <c r="K4664" s="2">
        <v>96</v>
      </c>
      <c r="L4664" s="2">
        <v>0</v>
      </c>
      <c r="M4664" s="2"/>
      <c r="N4664" s="8">
        <v>42967.348136574074</v>
      </c>
      <c r="O4664" s="4" t="s">
        <v>894</v>
      </c>
      <c r="P4664" s="3" t="s">
        <v>4357</v>
      </c>
      <c r="Q4664" s="4"/>
      <c r="R4664" s="4"/>
      <c r="S4664" s="9" t="str">
        <f>HYPERLINK("https://pbs.twimg.com/profile_images/976874198437187587/Et-xRkwr.jpg","View")</f>
        <v>View</v>
      </c>
    </row>
    <row r="4665" spans="1:19" ht="30">
      <c r="A4665" s="8">
        <v>43340.990000000005</v>
      </c>
      <c r="B4665" s="11" t="str">
        <f>HYPERLINK("https://twitter.com/abmomeni","@abmomeni")</f>
        <v>@abmomeni</v>
      </c>
      <c r="C4665" s="6" t="s">
        <v>4356</v>
      </c>
      <c r="D4665" s="5" t="s">
        <v>4355</v>
      </c>
      <c r="E4665" s="9" t="str">
        <f>HYPERLINK("https://twitter.com/abmomeni/status/1034519886926688256","1034519886926688256")</f>
        <v>1034519886926688256</v>
      </c>
      <c r="F4665" s="4"/>
      <c r="G4665" s="10" t="s">
        <v>4354</v>
      </c>
      <c r="H4665" s="4"/>
      <c r="I4665" s="10" t="str">
        <f>HYPERLINK("http://twitter.com/download/iphone","Twitter for iPhone")</f>
        <v>Twitter for iPhone</v>
      </c>
      <c r="J4665" s="2">
        <v>31273</v>
      </c>
      <c r="K4665" s="2">
        <v>177</v>
      </c>
      <c r="L4665" s="2">
        <v>84</v>
      </c>
      <c r="M4665" s="2"/>
      <c r="N4665" s="8">
        <v>42846.957997685182</v>
      </c>
      <c r="O4665" s="4" t="s">
        <v>104</v>
      </c>
      <c r="P4665" s="3"/>
      <c r="Q4665" s="10" t="s">
        <v>4353</v>
      </c>
      <c r="R4665" s="4"/>
      <c r="S4665" s="9" t="str">
        <f>HYPERLINK("https://pbs.twimg.com/profile_images/1029815189867253760/sFxyqtmr.jpg","View")</f>
        <v>View</v>
      </c>
    </row>
    <row r="4666" spans="1:19" ht="20">
      <c r="A4666" s="8">
        <v>43340.989976851852</v>
      </c>
      <c r="B4666" s="11" t="str">
        <f>HYPERLINK("https://twitter.com/goleshazdeh","@goleshazdeh")</f>
        <v>@goleshazdeh</v>
      </c>
      <c r="C4666" s="6" t="s">
        <v>4352</v>
      </c>
      <c r="D4666" s="5" t="s">
        <v>4351</v>
      </c>
      <c r="E4666" s="9" t="str">
        <f>HYPERLINK("https://twitter.com/goleshazdeh/status/1034519878026309633","1034519878026309633")</f>
        <v>1034519878026309633</v>
      </c>
      <c r="F4666" s="4"/>
      <c r="G4666" s="10" t="s">
        <v>4350</v>
      </c>
      <c r="H4666" s="4"/>
      <c r="I4666" s="10" t="str">
        <f>HYPERLINK("http://twitter.com/download/android","Twitter for Android")</f>
        <v>Twitter for Android</v>
      </c>
      <c r="J4666" s="2">
        <v>64</v>
      </c>
      <c r="K4666" s="2">
        <v>110</v>
      </c>
      <c r="L4666" s="2">
        <v>0</v>
      </c>
      <c r="M4666" s="2"/>
      <c r="N4666" s="8">
        <v>43339.962893518517</v>
      </c>
      <c r="O4666" s="4" t="s">
        <v>4349</v>
      </c>
      <c r="P4666" s="3" t="s">
        <v>4348</v>
      </c>
      <c r="Q4666" s="4"/>
      <c r="R4666" s="4"/>
      <c r="S4666" s="9" t="str">
        <f>HYPERLINK("https://pbs.twimg.com/profile_images/1034149819483414530/Br1Jl64J.jpg","View")</f>
        <v>View</v>
      </c>
    </row>
    <row r="4667" spans="1:19" ht="30">
      <c r="A4667" s="8">
        <v>43340.989247685182</v>
      </c>
      <c r="B4667" s="11" t="str">
        <f>HYPERLINK("https://twitter.com/hamidis","@hamidis")</f>
        <v>@hamidis</v>
      </c>
      <c r="C4667" s="6" t="s">
        <v>4347</v>
      </c>
      <c r="D4667" s="5" t="s">
        <v>4346</v>
      </c>
      <c r="E4667" s="9" t="str">
        <f>HYPERLINK("https://twitter.com/hamidis/status/1034519615823638528","1034519615823638528")</f>
        <v>1034519615823638528</v>
      </c>
      <c r="F4667" s="4"/>
      <c r="G4667" s="4"/>
      <c r="H4667" s="4"/>
      <c r="I4667" s="10" t="str">
        <f>HYPERLINK("http://twitter.com/download/android","Twitter for Android")</f>
        <v>Twitter for Android</v>
      </c>
      <c r="J4667" s="2">
        <v>100</v>
      </c>
      <c r="K4667" s="2">
        <v>412</v>
      </c>
      <c r="L4667" s="2">
        <v>1</v>
      </c>
      <c r="M4667" s="2"/>
      <c r="N4667" s="8">
        <v>39936.76190972222</v>
      </c>
      <c r="O4667" s="4" t="s">
        <v>4345</v>
      </c>
      <c r="P4667" s="3"/>
      <c r="Q4667" s="4"/>
      <c r="R4667" s="4"/>
      <c r="S4667" s="9" t="str">
        <f>HYPERLINK("https://pbs.twimg.com/profile_images/469054258726174720/8Rivr1FM.jpeg","View")</f>
        <v>View</v>
      </c>
    </row>
    <row r="4668" spans="1:19" ht="30">
      <c r="A4668" s="8">
        <v>43340.988483796296</v>
      </c>
      <c r="B4668" s="11" t="str">
        <f>HYPERLINK("https://twitter.com/jalaljalale3193","@jalaljalale3193")</f>
        <v>@jalaljalale3193</v>
      </c>
      <c r="C4668" s="6" t="s">
        <v>4344</v>
      </c>
      <c r="D4668" s="5" t="s">
        <v>4343</v>
      </c>
      <c r="E4668" s="9" t="str">
        <f>HYPERLINK("https://twitter.com/jalaljalale3193/status/1034519340102688769","1034519340102688769")</f>
        <v>1034519340102688769</v>
      </c>
      <c r="F4668" s="4"/>
      <c r="G4668" s="4"/>
      <c r="H4668" s="4"/>
      <c r="I4668" s="10" t="str">
        <f>HYPERLINK("http://twitter.com","Twitter Web Client")</f>
        <v>Twitter Web Client</v>
      </c>
      <c r="J4668" s="2">
        <v>1379</v>
      </c>
      <c r="K4668" s="2">
        <v>1162</v>
      </c>
      <c r="L4668" s="2">
        <v>2</v>
      </c>
      <c r="M4668" s="2"/>
      <c r="N4668" s="8">
        <v>42830.037997685184</v>
      </c>
      <c r="O4668" s="4"/>
      <c r="P4668" s="3" t="s">
        <v>4342</v>
      </c>
      <c r="Q4668" s="4"/>
      <c r="R4668" s="4"/>
      <c r="S4668" s="9" t="str">
        <f>HYPERLINK("https://pbs.twimg.com/profile_images/1033984247151906816/YQw2Za1X.jpg","View")</f>
        <v>View</v>
      </c>
    </row>
    <row r="4669" spans="1:19" ht="20">
      <c r="A4669" s="8">
        <v>43340.98836805555</v>
      </c>
      <c r="B4669" s="11" t="str">
        <f>HYPERLINK("https://twitter.com/yahyainax","@yahyainax")</f>
        <v>@yahyainax</v>
      </c>
      <c r="C4669" s="6" t="s">
        <v>4341</v>
      </c>
      <c r="D4669" s="5" t="s">
        <v>4340</v>
      </c>
      <c r="E4669" s="9" t="str">
        <f>HYPERLINK("https://twitter.com/yahyainax/status/1034519296108576768","1034519296108576768")</f>
        <v>1034519296108576768</v>
      </c>
      <c r="F4669" s="4"/>
      <c r="G4669" s="10" t="s">
        <v>4339</v>
      </c>
      <c r="H4669" s="4"/>
      <c r="I4669" s="10" t="str">
        <f>HYPERLINK("http://twitter.com/download/iphone","Twitter for iPhone")</f>
        <v>Twitter for iPhone</v>
      </c>
      <c r="J4669" s="2">
        <v>303</v>
      </c>
      <c r="K4669" s="2">
        <v>449</v>
      </c>
      <c r="L4669" s="2">
        <v>0</v>
      </c>
      <c r="M4669" s="2"/>
      <c r="N4669" s="8">
        <v>41150.867997685185</v>
      </c>
      <c r="O4669" s="4" t="s">
        <v>4338</v>
      </c>
      <c r="P4669" s="3" t="s">
        <v>4337</v>
      </c>
      <c r="Q4669" s="4"/>
      <c r="R4669" s="4"/>
      <c r="S4669" s="9" t="str">
        <f>HYPERLINK("https://pbs.twimg.com/profile_images/1005181032893767680/9HSkfLvG.jpg","View")</f>
        <v>View</v>
      </c>
    </row>
    <row r="4670" spans="1:19" ht="40">
      <c r="A4670" s="8">
        <v>43340.988136574073</v>
      </c>
      <c r="B4670" s="11" t="str">
        <f>HYPERLINK("https://twitter.com/mahdinazari_ir","@mahdinazari_ir")</f>
        <v>@mahdinazari_ir</v>
      </c>
      <c r="C4670" s="6" t="s">
        <v>4336</v>
      </c>
      <c r="D4670" s="5" t="s">
        <v>4335</v>
      </c>
      <c r="E4670" s="9" t="str">
        <f>HYPERLINK("https://twitter.com/mahdinazari_ir/status/1034519212478353408","1034519212478353408")</f>
        <v>1034519212478353408</v>
      </c>
      <c r="F4670" s="4"/>
      <c r="G4670" s="4"/>
      <c r="H4670" s="4"/>
      <c r="I4670" s="10" t="str">
        <f>HYPERLINK("http://twitter.com/download/android","Twitter for Android")</f>
        <v>Twitter for Android</v>
      </c>
      <c r="J4670" s="2">
        <v>19</v>
      </c>
      <c r="K4670" s="2">
        <v>14</v>
      </c>
      <c r="L4670" s="2">
        <v>0</v>
      </c>
      <c r="M4670" s="2"/>
      <c r="N4670" s="8">
        <v>43291.704814814817</v>
      </c>
      <c r="O4670" s="4" t="s">
        <v>34</v>
      </c>
      <c r="P4670" s="3" t="s">
        <v>4334</v>
      </c>
      <c r="Q4670" s="10" t="s">
        <v>4333</v>
      </c>
      <c r="R4670" s="4"/>
      <c r="S4670" s="9" t="str">
        <f>HYPERLINK("https://pbs.twimg.com/profile_images/1016682295389048832/GKYSlfTf.jpg","View")</f>
        <v>View</v>
      </c>
    </row>
    <row r="4671" spans="1:19" ht="60">
      <c r="A4671" s="8">
        <v>43340.987916666665</v>
      </c>
      <c r="B4671" s="11" t="str">
        <f>HYPERLINK("https://twitter.com/a_maghami","@a_maghami")</f>
        <v>@a_maghami</v>
      </c>
      <c r="C4671" s="6" t="s">
        <v>4332</v>
      </c>
      <c r="D4671" s="5" t="s">
        <v>4331</v>
      </c>
      <c r="E4671" s="9" t="str">
        <f>HYPERLINK("https://twitter.com/a_maghami/status/1034519131868069888","1034519131868069888")</f>
        <v>1034519131868069888</v>
      </c>
      <c r="F4671" s="10" t="s">
        <v>4330</v>
      </c>
      <c r="G4671" s="10" t="s">
        <v>4329</v>
      </c>
      <c r="H4671" s="4"/>
      <c r="I4671" s="10" t="str">
        <f>HYPERLINK("http://twitter.com/download/android","Twitter for Android")</f>
        <v>Twitter for Android</v>
      </c>
      <c r="J4671" s="2">
        <v>136</v>
      </c>
      <c r="K4671" s="2">
        <v>263</v>
      </c>
      <c r="L4671" s="2">
        <v>1</v>
      </c>
      <c r="M4671" s="2"/>
      <c r="N4671" s="8">
        <v>41507.376886574071</v>
      </c>
      <c r="O4671" s="4" t="s">
        <v>324</v>
      </c>
      <c r="P4671" s="3" t="s">
        <v>4328</v>
      </c>
      <c r="Q4671" s="10" t="s">
        <v>4327</v>
      </c>
      <c r="R4671" s="4"/>
      <c r="S4671" s="9" t="str">
        <f>HYPERLINK("https://pbs.twimg.com/profile_images/378800000729051711/bd566e9e4ba7bff75d083188111793dc.jpeg","View")</f>
        <v>View</v>
      </c>
    </row>
    <row r="4672" spans="1:19" ht="20">
      <c r="A4672" s="8">
        <v>43340.987870370373</v>
      </c>
      <c r="B4672" s="11" t="str">
        <f>HYPERLINK("https://twitter.com/javan_twt","@javan_twt")</f>
        <v>@javan_twt</v>
      </c>
      <c r="C4672" s="6" t="s">
        <v>4326</v>
      </c>
      <c r="D4672" s="5" t="s">
        <v>4325</v>
      </c>
      <c r="E4672" s="9" t="str">
        <f>HYPERLINK("https://twitter.com/javan_twt/status/1034519118148501505","1034519118148501505")</f>
        <v>1034519118148501505</v>
      </c>
      <c r="F4672" s="4"/>
      <c r="G4672" s="4"/>
      <c r="H4672" s="4"/>
      <c r="I4672" s="10" t="str">
        <f>HYPERLINK("http://twitter.com","Twitter Web Client")</f>
        <v>Twitter Web Client</v>
      </c>
      <c r="J4672" s="2">
        <v>449</v>
      </c>
      <c r="K4672" s="2">
        <v>319</v>
      </c>
      <c r="L4672" s="2">
        <v>2</v>
      </c>
      <c r="M4672" s="2"/>
      <c r="N4672" s="8">
        <v>41272.54623842593</v>
      </c>
      <c r="O4672" s="4" t="s">
        <v>34</v>
      </c>
      <c r="P4672" s="3" t="s">
        <v>4324</v>
      </c>
      <c r="Q4672" s="4"/>
      <c r="R4672" s="4"/>
      <c r="S4672" s="9" t="str">
        <f>HYPERLINK("https://pbs.twimg.com/profile_images/1017834042165792768/mQUu2inO.jpg","View")</f>
        <v>View</v>
      </c>
    </row>
    <row r="4673" spans="1:19" ht="30">
      <c r="A4673" s="8">
        <v>43340.987800925926</v>
      </c>
      <c r="B4673" s="11" t="str">
        <f>HYPERLINK("https://twitter.com/faghatkhodaa","@faghatkhodaa")</f>
        <v>@faghatkhodaa</v>
      </c>
      <c r="C4673" s="6" t="s">
        <v>4323</v>
      </c>
      <c r="D4673" s="5" t="s">
        <v>4322</v>
      </c>
      <c r="E4673" s="9" t="str">
        <f>HYPERLINK("https://twitter.com/faghatkhodaa/status/1034519093460779008","1034519093460779008")</f>
        <v>1034519093460779008</v>
      </c>
      <c r="F4673" s="4"/>
      <c r="G4673" s="4"/>
      <c r="H4673" s="4"/>
      <c r="I4673" s="10" t="str">
        <f>HYPERLINK("http://twitter.com/download/android","Twitter for Android")</f>
        <v>Twitter for Android</v>
      </c>
      <c r="J4673" s="2">
        <v>8757</v>
      </c>
      <c r="K4673" s="2">
        <v>8991</v>
      </c>
      <c r="L4673" s="2">
        <v>23</v>
      </c>
      <c r="M4673" s="2"/>
      <c r="N4673" s="8">
        <v>43126.628379629634</v>
      </c>
      <c r="O4673" s="4" t="s">
        <v>34</v>
      </c>
      <c r="P4673" s="3" t="s">
        <v>4321</v>
      </c>
      <c r="Q4673" s="4"/>
      <c r="R4673" s="4"/>
      <c r="S4673" s="9" t="str">
        <f>HYPERLINK("https://pbs.twimg.com/profile_images/1027942473103040514/73l8O29B.jpg","View")</f>
        <v>View</v>
      </c>
    </row>
    <row r="4674" spans="1:19" ht="40">
      <c r="A4674" s="8">
        <v>43340.987789351857</v>
      </c>
      <c r="B4674" s="11" t="str">
        <f>HYPERLINK("https://twitter.com/mahdimsadeghi","@mahdimsadeghi")</f>
        <v>@mahdimsadeghi</v>
      </c>
      <c r="C4674" s="6" t="s">
        <v>4320</v>
      </c>
      <c r="D4674" s="5" t="s">
        <v>4319</v>
      </c>
      <c r="E4674" s="9" t="str">
        <f>HYPERLINK("https://twitter.com/mahdimsadeghi/status/1034519085948780544","1034519085948780544")</f>
        <v>1034519085948780544</v>
      </c>
      <c r="F4674" s="4"/>
      <c r="G4674" s="4"/>
      <c r="H4674" s="4"/>
      <c r="I4674" s="10" t="str">
        <f>HYPERLINK("https://mobile.twitter.com","Twitter Lite")</f>
        <v>Twitter Lite</v>
      </c>
      <c r="J4674" s="2">
        <v>23</v>
      </c>
      <c r="K4674" s="2">
        <v>24</v>
      </c>
      <c r="L4674" s="2">
        <v>0</v>
      </c>
      <c r="M4674" s="2"/>
      <c r="N4674" s="8">
        <v>42753.090937500005</v>
      </c>
      <c r="O4674" s="4"/>
      <c r="P4674" s="3" t="s">
        <v>4318</v>
      </c>
      <c r="Q4674" s="4"/>
      <c r="R4674" s="4"/>
      <c r="S4674" s="9" t="str">
        <f>HYPERLINK("https://pbs.twimg.com/profile_images/982956196452864001/5OHV20P0.jpg","View")</f>
        <v>View</v>
      </c>
    </row>
    <row r="4675" spans="1:19" ht="30">
      <c r="A4675" s="8">
        <v>43340.98741898148</v>
      </c>
      <c r="B4675" s="11" t="str">
        <f>HYPERLINK("https://twitter.com/OkhtayHosseini","@OkhtayHosseini")</f>
        <v>@OkhtayHosseini</v>
      </c>
      <c r="C4675" s="6" t="s">
        <v>3338</v>
      </c>
      <c r="D4675" s="5" t="s">
        <v>4317</v>
      </c>
      <c r="E4675" s="9" t="str">
        <f>HYPERLINK("https://twitter.com/OkhtayHosseini/status/1034518954172194818","1034518954172194818")</f>
        <v>1034518954172194818</v>
      </c>
      <c r="F4675" s="10" t="s">
        <v>4316</v>
      </c>
      <c r="G4675" s="10" t="s">
        <v>4315</v>
      </c>
      <c r="H4675" s="4"/>
      <c r="I4675" s="10" t="str">
        <f>HYPERLINK("https://mobile.twitter.com","Twitter Lite")</f>
        <v>Twitter Lite</v>
      </c>
      <c r="J4675" s="2">
        <v>370</v>
      </c>
      <c r="K4675" s="2">
        <v>348</v>
      </c>
      <c r="L4675" s="2">
        <v>1</v>
      </c>
      <c r="M4675" s="2"/>
      <c r="N4675" s="8">
        <v>40864.101226851853</v>
      </c>
      <c r="O4675" s="4"/>
      <c r="P4675" s="3" t="s">
        <v>3336</v>
      </c>
      <c r="Q4675" s="4"/>
      <c r="R4675" s="4"/>
      <c r="S4675" s="9" t="str">
        <f>HYPERLINK("https://pbs.twimg.com/profile_images/619107514630561792/Qe51h3Wl.jpg","View")</f>
        <v>View</v>
      </c>
    </row>
    <row r="4676" spans="1:19" ht="20">
      <c r="A4676" s="8">
        <v>43340.987349537041</v>
      </c>
      <c r="B4676" s="11" t="str">
        <f>HYPERLINK("https://twitter.com/SalavatiAlireza","@SalavatiAlireza")</f>
        <v>@SalavatiAlireza</v>
      </c>
      <c r="C4676" s="6" t="s">
        <v>4314</v>
      </c>
      <c r="D4676" s="5" t="s">
        <v>4313</v>
      </c>
      <c r="E4676" s="9" t="str">
        <f>HYPERLINK("https://twitter.com/SalavatiAlireza/status/1034518925827080193","1034518925827080193")</f>
        <v>1034518925827080193</v>
      </c>
      <c r="F4676" s="4"/>
      <c r="G4676" s="4"/>
      <c r="H4676" s="4"/>
      <c r="I4676" s="10" t="str">
        <f>HYPERLINK("http://twitter.com/download/android","Twitter for Android")</f>
        <v>Twitter for Android</v>
      </c>
      <c r="J4676" s="2">
        <v>372</v>
      </c>
      <c r="K4676" s="2">
        <v>116</v>
      </c>
      <c r="L4676" s="2">
        <v>2</v>
      </c>
      <c r="M4676" s="2"/>
      <c r="N4676" s="8">
        <v>40976.810219907406</v>
      </c>
      <c r="O4676" s="4" t="s">
        <v>460</v>
      </c>
      <c r="P4676" s="3" t="s">
        <v>4312</v>
      </c>
      <c r="Q4676" s="10" t="s">
        <v>4311</v>
      </c>
      <c r="R4676" s="4"/>
      <c r="S4676" s="9" t="str">
        <f>HYPERLINK("https://pbs.twimg.com/profile_images/1033389623978991616/swE62Zz4.jpg","View")</f>
        <v>View</v>
      </c>
    </row>
    <row r="4677" spans="1:19" ht="20">
      <c r="A4677" s="8">
        <v>43340.987303240741</v>
      </c>
      <c r="B4677" s="11" t="str">
        <f>HYPERLINK("https://twitter.com/Wiktor1177","@Wiktor1177")</f>
        <v>@Wiktor1177</v>
      </c>
      <c r="C4677" s="6" t="s">
        <v>4310</v>
      </c>
      <c r="D4677" s="5" t="s">
        <v>4309</v>
      </c>
      <c r="E4677" s="9" t="str">
        <f>HYPERLINK("https://twitter.com/Wiktor1177/status/1034518912719892481","1034518912719892481")</f>
        <v>1034518912719892481</v>
      </c>
      <c r="F4677" s="4"/>
      <c r="G4677" s="4"/>
      <c r="H4677" s="4"/>
      <c r="I4677" s="10" t="str">
        <f>HYPERLINK("https://mobile.twitter.com","Twitter Lite")</f>
        <v>Twitter Lite</v>
      </c>
      <c r="J4677" s="2">
        <v>1132</v>
      </c>
      <c r="K4677" s="2">
        <v>763</v>
      </c>
      <c r="L4677" s="2">
        <v>2</v>
      </c>
      <c r="M4677" s="2"/>
      <c r="N4677" s="8">
        <v>42362.172731481478</v>
      </c>
      <c r="O4677" s="4" t="s">
        <v>4308</v>
      </c>
      <c r="P4677" s="3"/>
      <c r="Q4677" s="4"/>
      <c r="R4677" s="4"/>
      <c r="S4677" s="9" t="str">
        <f>HYPERLINK("https://pbs.twimg.com/profile_images/973885386895380481/Ii_DkPlp.jpg","View")</f>
        <v>View</v>
      </c>
    </row>
    <row r="4678" spans="1:19" ht="12.5">
      <c r="A4678" s="8">
        <v>43340.987210648149</v>
      </c>
      <c r="B4678" s="11" t="str">
        <f>HYPERLINK("https://twitter.com/VARES_ZAMIN","@VARES_ZAMIN")</f>
        <v>@VARES_ZAMIN</v>
      </c>
      <c r="C4678" s="6" t="s">
        <v>3905</v>
      </c>
      <c r="D4678" s="5" t="s">
        <v>4307</v>
      </c>
      <c r="E4678" s="9" t="str">
        <f>HYPERLINK("https://twitter.com/VARES_ZAMIN/status/1034518878267887616","1034518878267887616")</f>
        <v>1034518878267887616</v>
      </c>
      <c r="F4678" s="4"/>
      <c r="G4678" s="10" t="s">
        <v>4306</v>
      </c>
      <c r="H4678" s="4"/>
      <c r="I4678" s="10" t="str">
        <f>HYPERLINK("http://twitter.com/download/android","Twitter for Android")</f>
        <v>Twitter for Android</v>
      </c>
      <c r="J4678" s="2">
        <v>2221</v>
      </c>
      <c r="K4678" s="2">
        <v>1932</v>
      </c>
      <c r="L4678" s="2">
        <v>1</v>
      </c>
      <c r="M4678" s="2"/>
      <c r="N4678" s="8">
        <v>43107.059293981481</v>
      </c>
      <c r="O4678" s="4" t="s">
        <v>3902</v>
      </c>
      <c r="P4678" s="3" t="s">
        <v>3901</v>
      </c>
      <c r="Q4678" s="4"/>
      <c r="R4678" s="4"/>
      <c r="S4678" s="9" t="str">
        <f>HYPERLINK("https://pbs.twimg.com/profile_images/1014285803227369472/_OugsMxd.jpg","View")</f>
        <v>View</v>
      </c>
    </row>
    <row r="4679" spans="1:19" ht="30">
      <c r="A4679" s="8">
        <v>43340.986747685187</v>
      </c>
      <c r="B4679" s="11" t="str">
        <f>HYPERLINK("https://twitter.com/TirdadBonakdar","@TirdadBonakdar")</f>
        <v>@TirdadBonakdar</v>
      </c>
      <c r="C4679" s="6" t="s">
        <v>4305</v>
      </c>
      <c r="D4679" s="5" t="s">
        <v>4304</v>
      </c>
      <c r="E4679" s="9" t="str">
        <f>HYPERLINK("https://twitter.com/TirdadBonakdar/status/1034518709967233024","1034518709967233024")</f>
        <v>1034518709967233024</v>
      </c>
      <c r="F4679" s="4"/>
      <c r="G4679" s="10" t="s">
        <v>4303</v>
      </c>
      <c r="H4679" s="4"/>
      <c r="I4679" s="10" t="str">
        <f>HYPERLINK("https://mobile.twitter.com","Twitter Lite")</f>
        <v>Twitter Lite</v>
      </c>
      <c r="J4679" s="2">
        <v>131</v>
      </c>
      <c r="K4679" s="2">
        <v>119</v>
      </c>
      <c r="L4679" s="2">
        <v>0</v>
      </c>
      <c r="M4679" s="2"/>
      <c r="N4679" s="8">
        <v>42706.672442129631</v>
      </c>
      <c r="O4679" s="4" t="s">
        <v>894</v>
      </c>
      <c r="P4679" s="3" t="s">
        <v>4302</v>
      </c>
      <c r="Q4679" s="4"/>
      <c r="R4679" s="4"/>
      <c r="S4679" s="9" t="str">
        <f>HYPERLINK("https://pbs.twimg.com/profile_images/854227944239226880/9U99Lh26.jpg","View")</f>
        <v>View</v>
      </c>
    </row>
    <row r="4680" spans="1:19" ht="40">
      <c r="A4680" s="8">
        <v>43340.98574074074</v>
      </c>
      <c r="B4680" s="11" t="str">
        <f>HYPERLINK("https://twitter.com/Mrezaa1211","@Mrezaa1211")</f>
        <v>@Mrezaa1211</v>
      </c>
      <c r="C4680" s="6" t="s">
        <v>3993</v>
      </c>
      <c r="D4680" s="5" t="s">
        <v>4301</v>
      </c>
      <c r="E4680" s="9" t="str">
        <f>HYPERLINK("https://twitter.com/Mrezaa1211/status/1034518346090340352","1034518346090340352")</f>
        <v>1034518346090340352</v>
      </c>
      <c r="F4680" s="4"/>
      <c r="G4680" s="4"/>
      <c r="H4680" s="4"/>
      <c r="I4680" s="10" t="str">
        <f>HYPERLINK("http://twitter.com/download/android","Twitter for Android")</f>
        <v>Twitter for Android</v>
      </c>
      <c r="J4680" s="2">
        <v>95</v>
      </c>
      <c r="K4680" s="2">
        <v>181</v>
      </c>
      <c r="L4680" s="2">
        <v>1</v>
      </c>
      <c r="M4680" s="2"/>
      <c r="N4680" s="8">
        <v>42828.01457175926</v>
      </c>
      <c r="O4680" s="4" t="s">
        <v>894</v>
      </c>
      <c r="P4680" s="3" t="s">
        <v>3991</v>
      </c>
      <c r="Q4680" s="10" t="s">
        <v>3990</v>
      </c>
      <c r="R4680" s="4"/>
      <c r="S4680" s="9" t="str">
        <f>HYPERLINK("https://pbs.twimg.com/profile_images/953044560887930881/Ox8zj6kG.jpg","View")</f>
        <v>View</v>
      </c>
    </row>
    <row r="4681" spans="1:19" ht="30">
      <c r="A4681" s="8">
        <v>43340.985613425924</v>
      </c>
      <c r="B4681" s="11" t="str">
        <f>HYPERLINK("https://twitter.com/khorshidi_rad","@khorshidi_rad")</f>
        <v>@khorshidi_rad</v>
      </c>
      <c r="C4681" s="6" t="s">
        <v>4300</v>
      </c>
      <c r="D4681" s="5" t="s">
        <v>4299</v>
      </c>
      <c r="E4681" s="9" t="str">
        <f>HYPERLINK("https://twitter.com/khorshidi_rad/status/1034518298254368769","1034518298254368769")</f>
        <v>1034518298254368769</v>
      </c>
      <c r="F4681" s="4"/>
      <c r="G4681" s="4"/>
      <c r="H4681" s="4"/>
      <c r="I4681" s="10" t="str">
        <f>HYPERLINK("https://mobile.twitter.com","Twitter Lite")</f>
        <v>Twitter Lite</v>
      </c>
      <c r="J4681" s="2">
        <v>176</v>
      </c>
      <c r="K4681" s="2">
        <v>157</v>
      </c>
      <c r="L4681" s="2">
        <v>0</v>
      </c>
      <c r="M4681" s="2"/>
      <c r="N4681" s="8">
        <v>42799.993564814809</v>
      </c>
      <c r="O4681" s="4"/>
      <c r="P4681" s="3" t="s">
        <v>4298</v>
      </c>
      <c r="Q4681" s="4"/>
      <c r="R4681" s="4"/>
      <c r="S4681" s="9" t="str">
        <f>HYPERLINK("https://pbs.twimg.com/profile_images/1034523964985536514/rO14FqbC.jpg","View")</f>
        <v>View</v>
      </c>
    </row>
    <row r="4682" spans="1:19" ht="20">
      <c r="A4682" s="8">
        <v>43340.985520833332</v>
      </c>
      <c r="B4682" s="11" t="str">
        <f>HYPERLINK("https://twitter.com/AliYounesi6","@AliYounesi6")</f>
        <v>@AliYounesi6</v>
      </c>
      <c r="C4682" s="6" t="s">
        <v>4297</v>
      </c>
      <c r="D4682" s="5" t="s">
        <v>4296</v>
      </c>
      <c r="E4682" s="9" t="str">
        <f>HYPERLINK("https://twitter.com/AliYounesi6/status/1034518266218209281","1034518266218209281")</f>
        <v>1034518266218209281</v>
      </c>
      <c r="F4682" s="4"/>
      <c r="G4682" s="4"/>
      <c r="H4682" s="4"/>
      <c r="I4682" s="10" t="str">
        <f>HYPERLINK("http://twitter.com/download/android","Twitter for Android")</f>
        <v>Twitter for Android</v>
      </c>
      <c r="J4682" s="2">
        <v>0</v>
      </c>
      <c r="K4682" s="2">
        <v>10</v>
      </c>
      <c r="L4682" s="2">
        <v>0</v>
      </c>
      <c r="M4682" s="2"/>
      <c r="N4682" s="8">
        <v>43340.690821759257</v>
      </c>
      <c r="O4682" s="4"/>
      <c r="P4682" s="3"/>
      <c r="Q4682" s="4"/>
      <c r="R4682" s="4"/>
      <c r="S4682" s="9" t="str">
        <f>HYPERLINK("https://pbs.twimg.com/profile_images/1034412014179942401/zn6-1nzw.jpg","View")</f>
        <v>View</v>
      </c>
    </row>
    <row r="4683" spans="1:19" ht="30">
      <c r="A4683" s="8">
        <v>43340.985312500001</v>
      </c>
      <c r="B4683" s="11" t="str">
        <f>HYPERLINK("https://twitter.com/nafas_y_m","@nafas_y_m")</f>
        <v>@nafas_y_m</v>
      </c>
      <c r="C4683" s="6" t="s">
        <v>4295</v>
      </c>
      <c r="D4683" s="5" t="s">
        <v>4294</v>
      </c>
      <c r="E4683" s="9" t="str">
        <f>HYPERLINK("https://twitter.com/nafas_y_m/status/1034518191442198530","1034518191442198530")</f>
        <v>1034518191442198530</v>
      </c>
      <c r="F4683" s="4"/>
      <c r="G4683" s="4"/>
      <c r="H4683" s="4"/>
      <c r="I4683" s="10" t="str">
        <f>HYPERLINK("http://twitter.com/download/android","Twitter for Android")</f>
        <v>Twitter for Android</v>
      </c>
      <c r="J4683" s="2">
        <v>950</v>
      </c>
      <c r="K4683" s="2">
        <v>959</v>
      </c>
      <c r="L4683" s="2">
        <v>0</v>
      </c>
      <c r="M4683" s="2"/>
      <c r="N4683" s="8">
        <v>43300.002326388887</v>
      </c>
      <c r="O4683" s="4" t="s">
        <v>4293</v>
      </c>
      <c r="P4683" s="3" t="s">
        <v>4292</v>
      </c>
      <c r="Q4683" s="4"/>
      <c r="R4683" s="4"/>
      <c r="S4683" s="9" t="str">
        <f>HYPERLINK("https://pbs.twimg.com/profile_images/1029783243686666240/b3lW3SOd.jpg","View")</f>
        <v>View</v>
      </c>
    </row>
    <row r="4684" spans="1:19" ht="20">
      <c r="A4684" s="8">
        <v>43340.985289351855</v>
      </c>
      <c r="B4684" s="11" t="str">
        <f>HYPERLINK("https://twitter.com/el_petron95","@el_petron95")</f>
        <v>@el_petron95</v>
      </c>
      <c r="C4684" s="6" t="s">
        <v>4291</v>
      </c>
      <c r="D4684" s="5" t="s">
        <v>4290</v>
      </c>
      <c r="E4684" s="9" t="str">
        <f>HYPERLINK("https://twitter.com/el_petron95/status/1034518181799440384","1034518181799440384")</f>
        <v>1034518181799440384</v>
      </c>
      <c r="F4684" s="4"/>
      <c r="G4684" s="4"/>
      <c r="H4684" s="4"/>
      <c r="I4684" s="10" t="str">
        <f>HYPERLINK("http://twitter.com/download/android","Twitter for Android")</f>
        <v>Twitter for Android</v>
      </c>
      <c r="J4684" s="2">
        <v>1361</v>
      </c>
      <c r="K4684" s="2">
        <v>1211</v>
      </c>
      <c r="L4684" s="2">
        <v>1</v>
      </c>
      <c r="M4684" s="2"/>
      <c r="N4684" s="8">
        <v>42899.54310185185</v>
      </c>
      <c r="O4684" s="4" t="s">
        <v>4289</v>
      </c>
      <c r="P4684" s="3" t="s">
        <v>4288</v>
      </c>
      <c r="Q4684" s="4"/>
      <c r="R4684" s="4"/>
      <c r="S4684" s="9" t="str">
        <f>HYPERLINK("https://pbs.twimg.com/profile_images/1029090477029695488/5a6WDyPa.jpg","View")</f>
        <v>View</v>
      </c>
    </row>
    <row r="4685" spans="1:19" ht="20">
      <c r="A4685" s="8">
        <v>43340.985092592593</v>
      </c>
      <c r="B4685" s="11" t="str">
        <f>HYPERLINK("https://twitter.com/TahaAfshin","@TahaAfshin")</f>
        <v>@TahaAfshin</v>
      </c>
      <c r="C4685" s="6" t="s">
        <v>4287</v>
      </c>
      <c r="D4685" s="5" t="s">
        <v>4286</v>
      </c>
      <c r="E4685" s="9" t="str">
        <f>HYPERLINK("https://twitter.com/TahaAfshin/status/1034518108898242562","1034518108898242562")</f>
        <v>1034518108898242562</v>
      </c>
      <c r="F4685" s="4"/>
      <c r="G4685" s="4"/>
      <c r="H4685" s="4"/>
      <c r="I4685" s="10" t="str">
        <f>HYPERLINK("http://twitter.com/download/iphone","Twitter for iPhone")</f>
        <v>Twitter for iPhone</v>
      </c>
      <c r="J4685" s="2">
        <v>41</v>
      </c>
      <c r="K4685" s="2">
        <v>111</v>
      </c>
      <c r="L4685" s="2">
        <v>0</v>
      </c>
      <c r="M4685" s="2"/>
      <c r="N4685" s="8">
        <v>41138.970289351855</v>
      </c>
      <c r="O4685" s="4" t="s">
        <v>133</v>
      </c>
      <c r="P4685" s="3" t="s">
        <v>3379</v>
      </c>
      <c r="Q4685" s="4"/>
      <c r="R4685" s="4"/>
      <c r="S4685" s="9" t="str">
        <f>HYPERLINK("https://pbs.twimg.com/profile_images/766744242811244544/wnXYtmrt.jpg","View")</f>
        <v>View</v>
      </c>
    </row>
    <row r="4686" spans="1:19" ht="30">
      <c r="A4686" s="8">
        <v>43340.983530092592</v>
      </c>
      <c r="B4686" s="11" t="str">
        <f>HYPERLINK("https://twitter.com/mohsen_kamjoo1","@mohsen_kamjoo1")</f>
        <v>@mohsen_kamjoo1</v>
      </c>
      <c r="C4686" s="6" t="s">
        <v>4285</v>
      </c>
      <c r="D4686" s="5" t="s">
        <v>4284</v>
      </c>
      <c r="E4686" s="9" t="str">
        <f>HYPERLINK("https://twitter.com/mohsen_kamjoo1/status/1034517543095033866","1034517543095033866")</f>
        <v>1034517543095033866</v>
      </c>
      <c r="F4686" s="4"/>
      <c r="G4686" s="4"/>
      <c r="H4686" s="4"/>
      <c r="I4686" s="10" t="str">
        <f>HYPERLINK("http://twitter.com/download/android","Twitter for Android")</f>
        <v>Twitter for Android</v>
      </c>
      <c r="J4686" s="2">
        <v>211</v>
      </c>
      <c r="K4686" s="2">
        <v>318</v>
      </c>
      <c r="L4686" s="2">
        <v>0</v>
      </c>
      <c r="M4686" s="2"/>
      <c r="N4686" s="8">
        <v>43309.972245370373</v>
      </c>
      <c r="O4686" s="4" t="s">
        <v>4283</v>
      </c>
      <c r="P4686" s="3" t="s">
        <v>4282</v>
      </c>
      <c r="Q4686" s="4"/>
      <c r="R4686" s="4"/>
      <c r="S4686" s="9" t="str">
        <f>HYPERLINK("https://pbs.twimg.com/profile_images/1023287037015863296/hlp7Qaxe.jpg","View")</f>
        <v>View</v>
      </c>
    </row>
    <row r="4687" spans="1:19" ht="20">
      <c r="A4687" s="8">
        <v>43340.983391203699</v>
      </c>
      <c r="B4687" s="11" t="str">
        <f>HYPERLINK("https://twitter.com/mahdi97s","@mahdi97s")</f>
        <v>@mahdi97s</v>
      </c>
      <c r="C4687" s="6" t="s">
        <v>4281</v>
      </c>
      <c r="D4687" s="5" t="s">
        <v>4280</v>
      </c>
      <c r="E4687" s="9" t="str">
        <f>HYPERLINK("https://twitter.com/mahdi97s/status/1034517492532695040","1034517492532695040")</f>
        <v>1034517492532695040</v>
      </c>
      <c r="F4687" s="4"/>
      <c r="G4687" s="4"/>
      <c r="H4687" s="4"/>
      <c r="I4687" s="10" t="str">
        <f>HYPERLINK("http://twitter.com/download/android","Twitter for Android")</f>
        <v>Twitter for Android</v>
      </c>
      <c r="J4687" s="2">
        <v>34</v>
      </c>
      <c r="K4687" s="2">
        <v>115</v>
      </c>
      <c r="L4687" s="2">
        <v>0</v>
      </c>
      <c r="M4687" s="2"/>
      <c r="N4687" s="8">
        <v>43084.648414351846</v>
      </c>
      <c r="O4687" s="4"/>
      <c r="P4687" s="3" t="s">
        <v>4279</v>
      </c>
      <c r="Q4687" s="4"/>
      <c r="R4687" s="4"/>
      <c r="S4687" s="9" t="str">
        <f>HYPERLINK("https://pbs.twimg.com/profile_images/1003190389057220608/MqhPJGpi.jpg","View")</f>
        <v>View</v>
      </c>
    </row>
    <row r="4688" spans="1:19" ht="30">
      <c r="A4688" s="8">
        <v>43340.98337962963</v>
      </c>
      <c r="B4688" s="11" t="str">
        <f>HYPERLINK("https://twitter.com/lq8s9lARgIAzzMr","@lq8s9lARgIAzzMr")</f>
        <v>@lq8s9lARgIAzzMr</v>
      </c>
      <c r="C4688" s="6" t="s">
        <v>4278</v>
      </c>
      <c r="D4688" s="5" t="s">
        <v>4277</v>
      </c>
      <c r="E4688" s="9" t="str">
        <f>HYPERLINK("https://twitter.com/lq8s9lARgIAzzMr/status/1034517490355847169","1034517490355847169")</f>
        <v>1034517490355847169</v>
      </c>
      <c r="F4688" s="4"/>
      <c r="G4688" s="4"/>
      <c r="H4688" s="4"/>
      <c r="I4688" s="10" t="str">
        <f>HYPERLINK("http://twitter.com/download/android","Twitter for Android")</f>
        <v>Twitter for Android</v>
      </c>
      <c r="J4688" s="2">
        <v>38</v>
      </c>
      <c r="K4688" s="2">
        <v>69</v>
      </c>
      <c r="L4688" s="2">
        <v>0</v>
      </c>
      <c r="M4688" s="2"/>
      <c r="N4688" s="8">
        <v>43340.818900462968</v>
      </c>
      <c r="O4688" s="4"/>
      <c r="P4688" s="3"/>
      <c r="Q4688" s="4"/>
      <c r="R4688" s="4"/>
      <c r="S4688" s="9" t="str">
        <f>HYPERLINK("https://pbs.twimg.com/profile_images/1034503630362222593/zPdnqT47.jpg","View")</f>
        <v>View</v>
      </c>
    </row>
    <row r="4689" spans="1:19" ht="12.5">
      <c r="A4689" s="8">
        <v>43340.983101851853</v>
      </c>
      <c r="B4689" s="11" t="str">
        <f>HYPERLINK("https://twitter.com/Mohsenkeyani","@Mohsenkeyani")</f>
        <v>@Mohsenkeyani</v>
      </c>
      <c r="C4689" s="6" t="s">
        <v>4276</v>
      </c>
      <c r="D4689" s="5" t="s">
        <v>4275</v>
      </c>
      <c r="E4689" s="9" t="str">
        <f>HYPERLINK("https://twitter.com/Mohsenkeyani/status/1034517387914235905","1034517387914235905")</f>
        <v>1034517387914235905</v>
      </c>
      <c r="F4689" s="4"/>
      <c r="G4689" s="4"/>
      <c r="H4689" s="4"/>
      <c r="I4689" s="10" t="str">
        <f>HYPERLINK("http://twitter.com/download/android","Twitter for Android")</f>
        <v>Twitter for Android</v>
      </c>
      <c r="J4689" s="2">
        <v>380</v>
      </c>
      <c r="K4689" s="2">
        <v>297</v>
      </c>
      <c r="L4689" s="2">
        <v>2</v>
      </c>
      <c r="M4689" s="2"/>
      <c r="N4689" s="8">
        <v>41635.627789351856</v>
      </c>
      <c r="O4689" s="4" t="s">
        <v>324</v>
      </c>
      <c r="P4689" s="3" t="s">
        <v>4274</v>
      </c>
      <c r="Q4689" s="4"/>
      <c r="R4689" s="4"/>
      <c r="S4689" s="9" t="str">
        <f>HYPERLINK("https://pbs.twimg.com/profile_images/934097774718734336/1eHwt7zg.jpg","View")</f>
        <v>View</v>
      </c>
    </row>
    <row r="4690" spans="1:19" ht="20">
      <c r="A4690" s="8">
        <v>43340.982997685191</v>
      </c>
      <c r="B4690" s="11" t="str">
        <f>HYPERLINK("https://twitter.com/mas_ser43","@mas_ser43")</f>
        <v>@mas_ser43</v>
      </c>
      <c r="C4690" s="6" t="s">
        <v>1978</v>
      </c>
      <c r="D4690" s="5" t="s">
        <v>4273</v>
      </c>
      <c r="E4690" s="9" t="str">
        <f>HYPERLINK("https://twitter.com/mas_ser43/status/1034517351474057217","1034517351474057217")</f>
        <v>1034517351474057217</v>
      </c>
      <c r="F4690" s="4"/>
      <c r="G4690" s="4"/>
      <c r="H4690" s="4"/>
      <c r="I4690" s="10" t="str">
        <f>HYPERLINK("http://twitter.com/download/android","Twitter for Android")</f>
        <v>Twitter for Android</v>
      </c>
      <c r="J4690" s="2">
        <v>1231</v>
      </c>
      <c r="K4690" s="2">
        <v>95</v>
      </c>
      <c r="L4690" s="2">
        <v>21</v>
      </c>
      <c r="M4690" s="2"/>
      <c r="N4690" s="8">
        <v>42285.958530092597</v>
      </c>
      <c r="O4690" s="4"/>
      <c r="P4690" s="3"/>
      <c r="Q4690" s="4"/>
      <c r="R4690" s="4"/>
      <c r="S4690" s="9" t="str">
        <f>HYPERLINK("https://pbs.twimg.com/profile_images/1025017682150584320/qSEOgPi6.jpg","View")</f>
        <v>View</v>
      </c>
    </row>
    <row r="4691" spans="1:19" ht="20">
      <c r="A4691" s="8">
        <v>43340.982881944445</v>
      </c>
      <c r="B4691" s="11" t="str">
        <f>HYPERLINK("https://twitter.com/hra_news","@hra_news")</f>
        <v>@hra_news</v>
      </c>
      <c r="C4691" s="6" t="s">
        <v>4272</v>
      </c>
      <c r="D4691" s="5" t="s">
        <v>4271</v>
      </c>
      <c r="E4691" s="9" t="str">
        <f>HYPERLINK("https://twitter.com/hra_news/status/1034517308688003072","1034517308688003072")</f>
        <v>1034517308688003072</v>
      </c>
      <c r="F4691" s="10" t="s">
        <v>4270</v>
      </c>
      <c r="G4691" s="10" t="s">
        <v>4269</v>
      </c>
      <c r="H4691" s="4"/>
      <c r="I4691" s="10" t="str">
        <f>HYPERLINK("http://twitter.com","Twitter Web Client")</f>
        <v>Twitter Web Client</v>
      </c>
      <c r="J4691" s="2">
        <v>5737</v>
      </c>
      <c r="K4691" s="2">
        <v>24</v>
      </c>
      <c r="L4691" s="2">
        <v>130</v>
      </c>
      <c r="M4691" s="2"/>
      <c r="N4691" s="8">
        <v>40166.766736111109</v>
      </c>
      <c r="O4691" s="4" t="s">
        <v>1415</v>
      </c>
      <c r="P4691" s="3" t="s">
        <v>4268</v>
      </c>
      <c r="Q4691" s="10" t="s">
        <v>4267</v>
      </c>
      <c r="R4691" s="4"/>
      <c r="S4691" s="9" t="str">
        <f>HYPERLINK("https://pbs.twimg.com/profile_images/1020299248456253441/3S_8IvTU.jpg","View")</f>
        <v>View</v>
      </c>
    </row>
    <row r="4692" spans="1:19" ht="40">
      <c r="A4692" s="8">
        <v>43340.982858796298</v>
      </c>
      <c r="B4692" s="11" t="str">
        <f>HYPERLINK("https://twitter.com/amirhos68812408","@amirhos68812408")</f>
        <v>@amirhos68812408</v>
      </c>
      <c r="C4692" s="6" t="s">
        <v>4266</v>
      </c>
      <c r="D4692" s="5" t="s">
        <v>4265</v>
      </c>
      <c r="E4692" s="9" t="str">
        <f>HYPERLINK("https://twitter.com/amirhos68812408/status/1034517300743786497","1034517300743786497")</f>
        <v>1034517300743786497</v>
      </c>
      <c r="F4692" s="4"/>
      <c r="G4692" s="4"/>
      <c r="H4692" s="4"/>
      <c r="I4692" s="10" t="str">
        <f>HYPERLINK("http://twitter.com/download/android","Twitter for Android")</f>
        <v>Twitter for Android</v>
      </c>
      <c r="J4692" s="2">
        <v>40</v>
      </c>
      <c r="K4692" s="2">
        <v>38</v>
      </c>
      <c r="L4692" s="2">
        <v>0</v>
      </c>
      <c r="M4692" s="2"/>
      <c r="N4692" s="8">
        <v>41169.878530092596</v>
      </c>
      <c r="O4692" s="4" t="s">
        <v>282</v>
      </c>
      <c r="P4692" s="3" t="s">
        <v>324</v>
      </c>
      <c r="Q4692" s="4"/>
      <c r="R4692" s="4"/>
      <c r="S4692" s="9" t="str">
        <f>HYPERLINK("https://pbs.twimg.com/profile_images/1010265907946577926/0szWEgIr.jpg","View")</f>
        <v>View</v>
      </c>
    </row>
    <row r="4693" spans="1:19" ht="40">
      <c r="A4693" s="8">
        <v>43340.982210648144</v>
      </c>
      <c r="B4693" s="11" t="str">
        <f>HYPERLINK("https://twitter.com/DaeeHassan","@DaeeHassan")</f>
        <v>@DaeeHassan</v>
      </c>
      <c r="C4693" s="6" t="s">
        <v>3374</v>
      </c>
      <c r="D4693" s="5" t="s">
        <v>4264</v>
      </c>
      <c r="E4693" s="9" t="str">
        <f>HYPERLINK("https://twitter.com/DaeeHassan/status/1034517067712659456","1034517067712659456")</f>
        <v>1034517067712659456</v>
      </c>
      <c r="F4693" s="4"/>
      <c r="G4693" s="4"/>
      <c r="H4693" s="4"/>
      <c r="I4693" s="10" t="str">
        <f>HYPERLINK("http://twitter.com/download/android","Twitter for Android")</f>
        <v>Twitter for Android</v>
      </c>
      <c r="J4693" s="2">
        <v>1394</v>
      </c>
      <c r="K4693" s="2">
        <v>1062</v>
      </c>
      <c r="L4693" s="2">
        <v>1</v>
      </c>
      <c r="M4693" s="2"/>
      <c r="N4693" s="8">
        <v>42773.082974537036</v>
      </c>
      <c r="O4693" s="4" t="s">
        <v>2440</v>
      </c>
      <c r="P4693" s="3" t="s">
        <v>3372</v>
      </c>
      <c r="Q4693" s="4"/>
      <c r="R4693" s="4"/>
      <c r="S4693" s="9" t="str">
        <f>HYPERLINK("https://pbs.twimg.com/profile_images/943173983079424000/nkx3mVMx.jpg","View")</f>
        <v>View</v>
      </c>
    </row>
    <row r="4694" spans="1:19" ht="12.5">
      <c r="A4694" s="8">
        <v>43340.982071759259</v>
      </c>
      <c r="B4694" s="11" t="str">
        <f>HYPERLINK("https://twitter.com/aminpm110","@aminpm110")</f>
        <v>@aminpm110</v>
      </c>
      <c r="C4694" s="6" t="s">
        <v>4263</v>
      </c>
      <c r="D4694" s="5" t="s">
        <v>4262</v>
      </c>
      <c r="E4694" s="9" t="str">
        <f>HYPERLINK("https://twitter.com/aminpm110/status/1034517016823181313","1034517016823181313")</f>
        <v>1034517016823181313</v>
      </c>
      <c r="F4694" s="4"/>
      <c r="G4694" s="10" t="s">
        <v>4261</v>
      </c>
      <c r="H4694" s="4"/>
      <c r="I4694" s="10" t="str">
        <f>HYPERLINK("http://twitter.com/download/iphone","Twitter for iPhone")</f>
        <v>Twitter for iPhone</v>
      </c>
      <c r="J4694" s="2">
        <v>6</v>
      </c>
      <c r="K4694" s="2">
        <v>34</v>
      </c>
      <c r="L4694" s="2">
        <v>0</v>
      </c>
      <c r="M4694" s="2"/>
      <c r="N4694" s="8">
        <v>42875.515115740738</v>
      </c>
      <c r="O4694" s="4"/>
      <c r="P4694" s="3" t="s">
        <v>4260</v>
      </c>
      <c r="Q4694" s="4"/>
      <c r="R4694" s="4"/>
      <c r="S4694" s="9" t="str">
        <f>HYPERLINK("https://pbs.twimg.com/profile_images/1013748082830401536/F5lMN1rJ.jpg","View")</f>
        <v>View</v>
      </c>
    </row>
    <row r="4695" spans="1:19" ht="40">
      <c r="A4695" s="8">
        <v>43340.981030092589</v>
      </c>
      <c r="B4695" s="11" t="str">
        <f>HYPERLINK("https://twitter.com/news365_online","@news365_online")</f>
        <v>@news365_online</v>
      </c>
      <c r="C4695" s="6" t="s">
        <v>2325</v>
      </c>
      <c r="D4695" s="5" t="s">
        <v>4259</v>
      </c>
      <c r="E4695" s="9" t="str">
        <f>HYPERLINK("https://twitter.com/news365_online/status/1034516637611950083","1034516637611950083")</f>
        <v>1034516637611950083</v>
      </c>
      <c r="F4695" s="4"/>
      <c r="G4695" s="10" t="s">
        <v>4258</v>
      </c>
      <c r="H4695" s="4"/>
      <c r="I4695" s="10" t="str">
        <f>HYPERLINK("http://twitter.com/download/android","Twitter for Android")</f>
        <v>Twitter for Android</v>
      </c>
      <c r="J4695" s="2">
        <v>802</v>
      </c>
      <c r="K4695" s="2">
        <v>333</v>
      </c>
      <c r="L4695" s="2">
        <v>7</v>
      </c>
      <c r="M4695" s="2"/>
      <c r="N4695" s="8">
        <v>42809.003078703703</v>
      </c>
      <c r="O4695" s="4" t="s">
        <v>34</v>
      </c>
      <c r="P4695" s="3" t="s">
        <v>2322</v>
      </c>
      <c r="Q4695" s="10" t="s">
        <v>2321</v>
      </c>
      <c r="R4695" s="4"/>
      <c r="S4695" s="9" t="str">
        <f>HYPERLINK("https://pbs.twimg.com/profile_images/923199727667220480/A0Mv4a_i.jpg","View")</f>
        <v>View</v>
      </c>
    </row>
    <row r="4696" spans="1:19" ht="40">
      <c r="A4696" s="8">
        <v>43340.980798611112</v>
      </c>
      <c r="B4696" s="11" t="str">
        <f>HYPERLINK("https://twitter.com/mohsen46vr","@mohsen46vr")</f>
        <v>@mohsen46vr</v>
      </c>
      <c r="C4696" s="6" t="s">
        <v>4257</v>
      </c>
      <c r="D4696" s="5" t="s">
        <v>4256</v>
      </c>
      <c r="E4696" s="9" t="str">
        <f>HYPERLINK("https://twitter.com/mohsen46vr/status/1034516555600723973","1034516555600723973")</f>
        <v>1034516555600723973</v>
      </c>
      <c r="F4696" s="4"/>
      <c r="G4696" s="4"/>
      <c r="H4696" s="4"/>
      <c r="I4696" s="10" t="str">
        <f>HYPERLINK("http://twitter.com","Twitter Web Client")</f>
        <v>Twitter Web Client</v>
      </c>
      <c r="J4696" s="2">
        <v>24</v>
      </c>
      <c r="K4696" s="2">
        <v>25</v>
      </c>
      <c r="L4696" s="2">
        <v>0</v>
      </c>
      <c r="M4696" s="2"/>
      <c r="N4696" s="8">
        <v>42392.071759259255</v>
      </c>
      <c r="O4696" s="4"/>
      <c r="P4696" s="3"/>
      <c r="Q4696" s="4"/>
      <c r="R4696" s="4"/>
      <c r="S4696" s="9" t="str">
        <f>HYPERLINK("https://pbs.twimg.com/profile_images/1020776864829378560/O_MSE15I.jpg","View")</f>
        <v>View</v>
      </c>
    </row>
    <row r="4697" spans="1:19" ht="30">
      <c r="A4697" s="8">
        <v>43340.980775462958</v>
      </c>
      <c r="B4697" s="11" t="str">
        <f>HYPERLINK("https://twitter.com/_mirza313_","@_mirza313_")</f>
        <v>@_mirza313_</v>
      </c>
      <c r="C4697" s="6" t="s">
        <v>4255</v>
      </c>
      <c r="D4697" s="5" t="s">
        <v>4254</v>
      </c>
      <c r="E4697" s="9" t="str">
        <f>HYPERLINK("https://twitter.com/_mirza313_/status/1034516544527757312","1034516544527757312")</f>
        <v>1034516544527757312</v>
      </c>
      <c r="F4697" s="4"/>
      <c r="G4697" s="4"/>
      <c r="H4697" s="4"/>
      <c r="I4697" s="10" t="str">
        <f>HYPERLINK("http://twitter.com/download/android","Twitter for Android")</f>
        <v>Twitter for Android</v>
      </c>
      <c r="J4697" s="2">
        <v>3465</v>
      </c>
      <c r="K4697" s="2">
        <v>5001</v>
      </c>
      <c r="L4697" s="2">
        <v>5</v>
      </c>
      <c r="M4697" s="2"/>
      <c r="N4697" s="8">
        <v>42957.930601851855</v>
      </c>
      <c r="O4697" s="4" t="s">
        <v>4253</v>
      </c>
      <c r="P4697" s="3" t="s">
        <v>4252</v>
      </c>
      <c r="Q4697" s="4"/>
      <c r="R4697" s="4"/>
      <c r="S4697" s="9" t="str">
        <f>HYPERLINK("https://pbs.twimg.com/profile_images/997905293748076544/Ly1yLono.jpg","View")</f>
        <v>View</v>
      </c>
    </row>
    <row r="4698" spans="1:19" ht="30">
      <c r="A4698" s="8">
        <v>43340.980520833335</v>
      </c>
      <c r="B4698" s="11" t="str">
        <f>HYPERLINK("https://twitter.com/MehdiXr","@MehdiXr")</f>
        <v>@MehdiXr</v>
      </c>
      <c r="C4698" s="6" t="s">
        <v>4251</v>
      </c>
      <c r="D4698" s="5" t="s">
        <v>4250</v>
      </c>
      <c r="E4698" s="9" t="str">
        <f>HYPERLINK("https://twitter.com/MehdiXr/status/1034516455029698561","1034516455029698561")</f>
        <v>1034516455029698561</v>
      </c>
      <c r="F4698" s="4"/>
      <c r="G4698" s="4"/>
      <c r="H4698" s="4"/>
      <c r="I4698" s="10" t="str">
        <f>HYPERLINK("http://twitter.com/download/iphone","Twitter for iPhone")</f>
        <v>Twitter for iPhone</v>
      </c>
      <c r="J4698" s="2">
        <v>310</v>
      </c>
      <c r="K4698" s="2">
        <v>184</v>
      </c>
      <c r="L4698" s="2">
        <v>10</v>
      </c>
      <c r="M4698" s="2"/>
      <c r="N4698" s="8">
        <v>39937.576874999999</v>
      </c>
      <c r="O4698" s="4" t="s">
        <v>4249</v>
      </c>
      <c r="P4698" s="3" t="s">
        <v>4248</v>
      </c>
      <c r="Q4698" s="4"/>
      <c r="R4698" s="4"/>
      <c r="S4698" s="9" t="str">
        <f>HYPERLINK("https://pbs.twimg.com/profile_images/918492189910556673/OqzRhy2u.jpg","View")</f>
        <v>View</v>
      </c>
    </row>
    <row r="4699" spans="1:19" ht="30">
      <c r="A4699" s="8">
        <v>43340.971342592587</v>
      </c>
      <c r="B4699" s="11" t="str">
        <f>HYPERLINK("https://twitter.com/Myasin677","@Myasin677")</f>
        <v>@Myasin677</v>
      </c>
      <c r="C4699" s="6" t="s">
        <v>4247</v>
      </c>
      <c r="D4699" s="5" t="s">
        <v>4246</v>
      </c>
      <c r="E4699" s="9" t="str">
        <f>HYPERLINK("https://twitter.com/Myasin677/status/1034513128061640705","1034513128061640705")</f>
        <v>1034513128061640705</v>
      </c>
      <c r="F4699" s="4"/>
      <c r="G4699" s="4"/>
      <c r="H4699" s="4"/>
      <c r="I4699" s="10" t="str">
        <f>HYPERLINK("http://twitter.com/download/android","Twitter for Android")</f>
        <v>Twitter for Android</v>
      </c>
      <c r="J4699" s="2">
        <v>1246</v>
      </c>
      <c r="K4699" s="2">
        <v>1321</v>
      </c>
      <c r="L4699" s="2">
        <v>3</v>
      </c>
      <c r="M4699" s="2"/>
      <c r="N4699" s="8">
        <v>43220.579351851848</v>
      </c>
      <c r="O4699" s="4" t="s">
        <v>34</v>
      </c>
      <c r="P4699" s="3" t="s">
        <v>4245</v>
      </c>
      <c r="Q4699" s="4"/>
      <c r="R4699" s="4"/>
      <c r="S4699" s="9" t="str">
        <f>HYPERLINK("https://pbs.twimg.com/profile_images/1004803034986229762/LzHRYvbv.jpg","View")</f>
        <v>View</v>
      </c>
    </row>
    <row r="4700" spans="1:19" ht="40">
      <c r="A4700" s="8">
        <v>43340.971250000002</v>
      </c>
      <c r="B4700" s="11" t="str">
        <f>HYPERLINK("https://twitter.com/atash_be_ekhtia","@atash_be_ekhtia")</f>
        <v>@atash_be_ekhtia</v>
      </c>
      <c r="C4700" s="6" t="s">
        <v>2644</v>
      </c>
      <c r="D4700" s="5" t="s">
        <v>4244</v>
      </c>
      <c r="E4700" s="9" t="str">
        <f>HYPERLINK("https://twitter.com/atash_be_ekhtia/status/1034513093760610306","1034513093760610306")</f>
        <v>1034513093760610306</v>
      </c>
      <c r="F4700" s="4"/>
      <c r="G4700" s="4"/>
      <c r="H4700" s="4"/>
      <c r="I4700" s="10" t="str">
        <f>HYPERLINK("http://twitter.com/download/android","Twitter for Android")</f>
        <v>Twitter for Android</v>
      </c>
      <c r="J4700" s="2">
        <v>254</v>
      </c>
      <c r="K4700" s="2">
        <v>354</v>
      </c>
      <c r="L4700" s="2">
        <v>0</v>
      </c>
      <c r="M4700" s="2"/>
      <c r="N4700" s="8">
        <v>43119.420775462961</v>
      </c>
      <c r="O4700" s="4" t="s">
        <v>2642</v>
      </c>
      <c r="P4700" s="3" t="s">
        <v>2641</v>
      </c>
      <c r="Q4700" s="4"/>
      <c r="R4700" s="4"/>
      <c r="S4700" s="9" t="str">
        <f>HYPERLINK("https://pbs.twimg.com/profile_images/993226038669971459/JZpaImb6.jpg","View")</f>
        <v>View</v>
      </c>
    </row>
    <row r="4701" spans="1:19" ht="20">
      <c r="A4701" s="8">
        <v>43340.971006944441</v>
      </c>
      <c r="B4701" s="11" t="str">
        <f>HYPERLINK("https://twitter.com/journalistirani","@journalistirani")</f>
        <v>@journalistirani</v>
      </c>
      <c r="C4701" s="6" t="s">
        <v>4243</v>
      </c>
      <c r="D4701" s="5" t="s">
        <v>4242</v>
      </c>
      <c r="E4701" s="9" t="str">
        <f>HYPERLINK("https://twitter.com/journalistirani/status/1034513003759194112","1034513003759194112")</f>
        <v>1034513003759194112</v>
      </c>
      <c r="F4701" s="4"/>
      <c r="G4701" s="4"/>
      <c r="H4701" s="4"/>
      <c r="I4701" s="10" t="str">
        <f>HYPERLINK("http://twitter.com/download/android","Twitter for Android")</f>
        <v>Twitter for Android</v>
      </c>
      <c r="J4701" s="2">
        <v>226</v>
      </c>
      <c r="K4701" s="2">
        <v>126</v>
      </c>
      <c r="L4701" s="2">
        <v>0</v>
      </c>
      <c r="M4701" s="2"/>
      <c r="N4701" s="8">
        <v>42889.23883101852</v>
      </c>
      <c r="O4701" s="4" t="s">
        <v>104</v>
      </c>
      <c r="P4701" s="3" t="s">
        <v>4241</v>
      </c>
      <c r="Q4701" s="4"/>
      <c r="R4701" s="4"/>
      <c r="S4701" s="9" t="str">
        <f>HYPERLINK("https://pbs.twimg.com/profile_images/1030794328602537984/rOEUD0pb.jpg","View")</f>
        <v>View</v>
      </c>
    </row>
    <row r="4702" spans="1:19" ht="40">
      <c r="A4702" s="8">
        <v>43340.970648148148</v>
      </c>
      <c r="B4702" s="11" t="str">
        <f>HYPERLINK("https://twitter.com/AA171410","@AA171410")</f>
        <v>@AA171410</v>
      </c>
      <c r="C4702" s="6" t="s">
        <v>3997</v>
      </c>
      <c r="D4702" s="5" t="s">
        <v>4240</v>
      </c>
      <c r="E4702" s="9" t="str">
        <f>HYPERLINK("https://twitter.com/AA171410/status/1034512876923494401","1034512876923494401")</f>
        <v>1034512876923494401</v>
      </c>
      <c r="F4702" s="4"/>
      <c r="G4702" s="4"/>
      <c r="H4702" s="4"/>
      <c r="I4702" s="10" t="str">
        <f>HYPERLINK("http://twitter.com/download/android","Twitter for Android")</f>
        <v>Twitter for Android</v>
      </c>
      <c r="J4702" s="2">
        <v>1161</v>
      </c>
      <c r="K4702" s="2">
        <v>1548</v>
      </c>
      <c r="L4702" s="2">
        <v>2</v>
      </c>
      <c r="M4702" s="2"/>
      <c r="N4702" s="8">
        <v>41269.732812499999</v>
      </c>
      <c r="O4702" s="4" t="s">
        <v>3995</v>
      </c>
      <c r="P4702" s="3" t="s">
        <v>3994</v>
      </c>
      <c r="Q4702" s="4"/>
      <c r="R4702" s="4"/>
      <c r="S4702" s="9" t="str">
        <f>HYPERLINK("https://pbs.twimg.com/profile_images/1026004594852286465/jtIqzPIr.jpg","View")</f>
        <v>View</v>
      </c>
    </row>
    <row r="4703" spans="1:19" ht="40">
      <c r="A4703" s="8">
        <v>43340.970601851848</v>
      </c>
      <c r="B4703" s="11" t="str">
        <f>HYPERLINK("https://twitter.com/AlirezawatsonAw","@AlirezawatsonAw")</f>
        <v>@AlirezawatsonAw</v>
      </c>
      <c r="C4703" s="6" t="s">
        <v>4239</v>
      </c>
      <c r="D4703" s="5" t="s">
        <v>4238</v>
      </c>
      <c r="E4703" s="9" t="str">
        <f>HYPERLINK("https://twitter.com/AlirezawatsonAw/status/1034512858179100672","1034512858179100672")</f>
        <v>1034512858179100672</v>
      </c>
      <c r="F4703" s="4"/>
      <c r="G4703" s="4"/>
      <c r="H4703" s="4"/>
      <c r="I4703" s="10" t="str">
        <f>HYPERLINK("http://twitter.com/download/android","Twitter for Android")</f>
        <v>Twitter for Android</v>
      </c>
      <c r="J4703" s="2">
        <v>562</v>
      </c>
      <c r="K4703" s="2">
        <v>963</v>
      </c>
      <c r="L4703" s="2">
        <v>2</v>
      </c>
      <c r="M4703" s="2"/>
      <c r="N4703" s="8">
        <v>41091.477280092593</v>
      </c>
      <c r="O4703" s="4" t="s">
        <v>34</v>
      </c>
      <c r="P4703" s="3" t="s">
        <v>4237</v>
      </c>
      <c r="Q4703" s="10" t="s">
        <v>4236</v>
      </c>
      <c r="R4703" s="4"/>
      <c r="S4703" s="9" t="str">
        <f>HYPERLINK("https://pbs.twimg.com/profile_images/1024377410509328384/2K-92L89.jpg","View")</f>
        <v>View</v>
      </c>
    </row>
    <row r="4704" spans="1:19" ht="20">
      <c r="A4704" s="8">
        <v>43340.96943287037</v>
      </c>
      <c r="B4704" s="11" t="str">
        <f>HYPERLINK("https://twitter.com/mostafash32","@mostafash32")</f>
        <v>@mostafash32</v>
      </c>
      <c r="C4704" s="6" t="s">
        <v>4235</v>
      </c>
      <c r="D4704" s="5" t="s">
        <v>4234</v>
      </c>
      <c r="E4704" s="9" t="str">
        <f>HYPERLINK("https://twitter.com/mostafash32/status/1034512434365706240","1034512434365706240")</f>
        <v>1034512434365706240</v>
      </c>
      <c r="F4704" s="4"/>
      <c r="G4704" s="4"/>
      <c r="H4704" s="4"/>
      <c r="I4704" s="10" t="str">
        <f>HYPERLINK("http://twitter.com/download/android","Twitter for Android")</f>
        <v>Twitter for Android</v>
      </c>
      <c r="J4704" s="2">
        <v>3371</v>
      </c>
      <c r="K4704" s="2">
        <v>4482</v>
      </c>
      <c r="L4704" s="2">
        <v>4</v>
      </c>
      <c r="M4704" s="2"/>
      <c r="N4704" s="8">
        <v>43047.742372685185</v>
      </c>
      <c r="O4704" s="4" t="s">
        <v>4233</v>
      </c>
      <c r="P4704" s="3" t="s">
        <v>4232</v>
      </c>
      <c r="Q4704" s="4"/>
      <c r="R4704" s="4"/>
      <c r="S4704" s="9" t="str">
        <f>HYPERLINK("https://pbs.twimg.com/profile_images/1031561113387851776/xCLJ-LaV.jpg","View")</f>
        <v>View</v>
      </c>
    </row>
    <row r="4705" spans="1:19" ht="30">
      <c r="A4705" s="8">
        <v>43340.9690625</v>
      </c>
      <c r="B4705" s="11" t="str">
        <f>HYPERLINK("https://twitter.com/saeedmaaleki","@saeedmaaleki")</f>
        <v>@saeedmaaleki</v>
      </c>
      <c r="C4705" s="6" t="s">
        <v>4231</v>
      </c>
      <c r="D4705" s="5" t="s">
        <v>4230</v>
      </c>
      <c r="E4705" s="9" t="str">
        <f>HYPERLINK("https://twitter.com/saeedmaaleki/status/1034512299996917761","1034512299996917761")</f>
        <v>1034512299996917761</v>
      </c>
      <c r="F4705" s="4"/>
      <c r="G4705" s="4"/>
      <c r="H4705" s="4"/>
      <c r="I4705" s="10" t="str">
        <f>HYPERLINK("http://twitter.com/download/android","Twitter for Android")</f>
        <v>Twitter for Android</v>
      </c>
      <c r="J4705" s="2">
        <v>329</v>
      </c>
      <c r="K4705" s="2">
        <v>628</v>
      </c>
      <c r="L4705" s="2">
        <v>0</v>
      </c>
      <c r="M4705" s="2"/>
      <c r="N4705" s="8">
        <v>43104.887372685189</v>
      </c>
      <c r="O4705" s="4" t="s">
        <v>4229</v>
      </c>
      <c r="P4705" s="3" t="s">
        <v>4228</v>
      </c>
      <c r="Q4705" s="4"/>
      <c r="R4705" s="4"/>
      <c r="S4705" s="9" t="str">
        <f>HYPERLINK("https://pbs.twimg.com/profile_images/948985484637765633/Hd90JAIx.jpg","View")</f>
        <v>View</v>
      </c>
    </row>
    <row r="4706" spans="1:19" ht="40">
      <c r="A4706" s="8">
        <v>43340.968993055554</v>
      </c>
      <c r="B4706" s="11" t="str">
        <f>HYPERLINK("https://twitter.com/SushiansH","@SushiansH")</f>
        <v>@SushiansH</v>
      </c>
      <c r="C4706" s="6" t="s">
        <v>2231</v>
      </c>
      <c r="D4706" s="5" t="s">
        <v>4227</v>
      </c>
      <c r="E4706" s="9" t="str">
        <f>HYPERLINK("https://twitter.com/SushiansH/status/1034512276139769856","1034512276139769856")</f>
        <v>1034512276139769856</v>
      </c>
      <c r="F4706" s="4"/>
      <c r="G4706" s="4"/>
      <c r="H4706" s="4"/>
      <c r="I4706" s="10" t="str">
        <f>HYPERLINK("http://twitter.com/download/android","Twitter for Android")</f>
        <v>Twitter for Android</v>
      </c>
      <c r="J4706" s="2">
        <v>56</v>
      </c>
      <c r="K4706" s="2">
        <v>142</v>
      </c>
      <c r="L4706" s="2">
        <v>0</v>
      </c>
      <c r="M4706" s="2"/>
      <c r="N4706" s="8">
        <v>43261.064687499995</v>
      </c>
      <c r="O4706" s="4" t="s">
        <v>34</v>
      </c>
      <c r="P4706" s="3" t="s">
        <v>2229</v>
      </c>
      <c r="Q4706" s="4"/>
      <c r="R4706" s="4"/>
      <c r="S4706" s="9" t="str">
        <f>HYPERLINK("https://pbs.twimg.com/profile_images/1005558117738926080/jT-GBMIX.jpg","View")</f>
        <v>View</v>
      </c>
    </row>
    <row r="4707" spans="1:19" ht="30">
      <c r="A4707" s="8">
        <v>43340.968564814815</v>
      </c>
      <c r="B4707" s="11" t="str">
        <f>HYPERLINK("https://twitter.com/Rahmat8697","@Rahmat8697")</f>
        <v>@Rahmat8697</v>
      </c>
      <c r="C4707" s="6" t="s">
        <v>4226</v>
      </c>
      <c r="D4707" s="5" t="s">
        <v>4225</v>
      </c>
      <c r="E4707" s="9" t="str">
        <f>HYPERLINK("https://twitter.com/Rahmat8697/status/1034512121588064256","1034512121588064256")</f>
        <v>1034512121588064256</v>
      </c>
      <c r="F4707" s="4"/>
      <c r="G4707" s="10" t="s">
        <v>4224</v>
      </c>
      <c r="H4707" s="4"/>
      <c r="I4707" s="10" t="str">
        <f>HYPERLINK("http://twitter.com/download/android","Twitter for Android")</f>
        <v>Twitter for Android</v>
      </c>
      <c r="J4707" s="2">
        <v>1052</v>
      </c>
      <c r="K4707" s="2">
        <v>1323</v>
      </c>
      <c r="L4707" s="2">
        <v>1</v>
      </c>
      <c r="M4707" s="2"/>
      <c r="N4707" s="8">
        <v>43180.504131944443</v>
      </c>
      <c r="O4707" s="4" t="s">
        <v>4223</v>
      </c>
      <c r="P4707" s="3" t="s">
        <v>4222</v>
      </c>
      <c r="Q4707" s="4"/>
      <c r="R4707" s="4"/>
      <c r="S4707" s="9" t="str">
        <f>HYPERLINK("https://pbs.twimg.com/profile_images/976378619638566912/FDYJr0L8.jpg","View")</f>
        <v>View</v>
      </c>
    </row>
    <row r="4708" spans="1:19" ht="40">
      <c r="A4708" s="8">
        <v>43340.968495370369</v>
      </c>
      <c r="B4708" s="11" t="str">
        <f>HYPERLINK("https://twitter.com/Maloomolhaal","@Maloomolhaal")</f>
        <v>@Maloomolhaal</v>
      </c>
      <c r="C4708" s="6" t="s">
        <v>4221</v>
      </c>
      <c r="D4708" s="5" t="s">
        <v>4220</v>
      </c>
      <c r="E4708" s="9" t="str">
        <f>HYPERLINK("https://twitter.com/Maloomolhaal/status/1034512096220741632","1034512096220741632")</f>
        <v>1034512096220741632</v>
      </c>
      <c r="F4708" s="4"/>
      <c r="G4708" s="4"/>
      <c r="H4708" s="4"/>
      <c r="I4708" s="10" t="str">
        <f>HYPERLINK("http://twitter.com","Twitter Web Client")</f>
        <v>Twitter Web Client</v>
      </c>
      <c r="J4708" s="2">
        <v>138</v>
      </c>
      <c r="K4708" s="2">
        <v>370</v>
      </c>
      <c r="L4708" s="2">
        <v>1</v>
      </c>
      <c r="M4708" s="2"/>
      <c r="N4708" s="8">
        <v>42998.214201388888</v>
      </c>
      <c r="O4708" s="4" t="s">
        <v>4219</v>
      </c>
      <c r="P4708" s="3" t="s">
        <v>4218</v>
      </c>
      <c r="Q4708" s="4"/>
      <c r="R4708" s="4"/>
      <c r="S4708" s="9" t="str">
        <f>HYPERLINK("https://pbs.twimg.com/profile_images/992192010676154369/9s_vE7tI.jpg","View")</f>
        <v>View</v>
      </c>
    </row>
    <row r="4709" spans="1:19" ht="20">
      <c r="A4709" s="8">
        <v>43340.968368055561</v>
      </c>
      <c r="B4709" s="11" t="str">
        <f>HYPERLINK("https://twitter.com/Alireza66902809","@Alireza66902809")</f>
        <v>@Alireza66902809</v>
      </c>
      <c r="C4709" s="6" t="s">
        <v>4034</v>
      </c>
      <c r="D4709" s="5" t="s">
        <v>4217</v>
      </c>
      <c r="E4709" s="9" t="str">
        <f>HYPERLINK("https://twitter.com/Alireza66902809/status/1034512048116453377","1034512048116453377")</f>
        <v>1034512048116453377</v>
      </c>
      <c r="F4709" s="4"/>
      <c r="G4709" s="10" t="s">
        <v>4216</v>
      </c>
      <c r="H4709" s="4"/>
      <c r="I4709" s="10" t="str">
        <f>HYPERLINK("http://twitter.com/download/android","Twitter for Android")</f>
        <v>Twitter for Android</v>
      </c>
      <c r="J4709" s="2">
        <v>114</v>
      </c>
      <c r="K4709" s="2">
        <v>212</v>
      </c>
      <c r="L4709" s="2">
        <v>0</v>
      </c>
      <c r="M4709" s="2"/>
      <c r="N4709" s="8">
        <v>43229.029131944444</v>
      </c>
      <c r="O4709" s="4" t="s">
        <v>17</v>
      </c>
      <c r="P4709" s="3" t="s">
        <v>4032</v>
      </c>
      <c r="Q4709" s="4"/>
      <c r="R4709" s="4"/>
      <c r="S4709" s="9" t="str">
        <f>HYPERLINK("https://pbs.twimg.com/profile_images/993947228208320512/yGYYVxF7.jpg","View")</f>
        <v>View</v>
      </c>
    </row>
    <row r="4710" spans="1:19" ht="40">
      <c r="A4710" s="8">
        <v>43340.968124999999</v>
      </c>
      <c r="B4710" s="11" t="str">
        <f>HYPERLINK("https://twitter.com/forestgump70","@forestgump70")</f>
        <v>@forestgump70</v>
      </c>
      <c r="C4710" s="6" t="s">
        <v>4133</v>
      </c>
      <c r="D4710" s="5" t="s">
        <v>4215</v>
      </c>
      <c r="E4710" s="9" t="str">
        <f>HYPERLINK("https://twitter.com/forestgump70/status/1034511959108935680","1034511959108935680")</f>
        <v>1034511959108935680</v>
      </c>
      <c r="F4710" s="4"/>
      <c r="G4710" s="4"/>
      <c r="H4710" s="4"/>
      <c r="I4710" s="10" t="str">
        <f>HYPERLINK("https://mobile.twitter.com","Twitter Lite")</f>
        <v>Twitter Lite</v>
      </c>
      <c r="J4710" s="2">
        <v>3</v>
      </c>
      <c r="K4710" s="2">
        <v>3</v>
      </c>
      <c r="L4710" s="2">
        <v>0</v>
      </c>
      <c r="M4710" s="2"/>
      <c r="N4710" s="8">
        <v>43243.016018518523</v>
      </c>
      <c r="O4710" s="4"/>
      <c r="P4710" s="3" t="s">
        <v>4131</v>
      </c>
      <c r="Q4710" s="4"/>
      <c r="R4710" s="4"/>
      <c r="S4710" s="9" t="str">
        <f>HYPERLINK("https://pbs.twimg.com/profile_images/1014943359117529088/2wQnaJSj.jpg","View")</f>
        <v>View</v>
      </c>
    </row>
    <row r="4711" spans="1:19" ht="30">
      <c r="A4711" s="8">
        <v>43340.967928240745</v>
      </c>
      <c r="B4711" s="11" t="str">
        <f>HYPERLINK("https://twitter.com/eye_illusion","@eye_illusion")</f>
        <v>@eye_illusion</v>
      </c>
      <c r="C4711" s="6" t="s">
        <v>2191</v>
      </c>
      <c r="D4711" s="5" t="s">
        <v>4214</v>
      </c>
      <c r="E4711" s="9" t="str">
        <f>HYPERLINK("https://twitter.com/eye_illusion/status/1034511888460070912","1034511888460070912")</f>
        <v>1034511888460070912</v>
      </c>
      <c r="F4711" s="4"/>
      <c r="G4711" s="4"/>
      <c r="H4711" s="4"/>
      <c r="I4711" s="10" t="str">
        <f>HYPERLINK("https://mobile.twitter.com","Twitter Lite")</f>
        <v>Twitter Lite</v>
      </c>
      <c r="J4711" s="2">
        <v>60</v>
      </c>
      <c r="K4711" s="2">
        <v>160</v>
      </c>
      <c r="L4711" s="2">
        <v>0</v>
      </c>
      <c r="M4711" s="2"/>
      <c r="N4711" s="8">
        <v>43262.562557870369</v>
      </c>
      <c r="O4711" s="4"/>
      <c r="P4711" s="3"/>
      <c r="Q4711" s="4"/>
      <c r="R4711" s="4"/>
      <c r="S4711" s="9" t="str">
        <f>HYPERLINK("https://pbs.twimg.com/profile_images/1006262501011542016/MHOaNIkG.jpg","View")</f>
        <v>View</v>
      </c>
    </row>
    <row r="4712" spans="1:19" ht="40">
      <c r="A4712" s="8">
        <v>43340.967916666668</v>
      </c>
      <c r="B4712" s="11" t="str">
        <f>HYPERLINK("https://twitter.com/Big_BangF","@Big_BangF")</f>
        <v>@Big_BangF</v>
      </c>
      <c r="C4712" s="6" t="s">
        <v>4213</v>
      </c>
      <c r="D4712" s="5" t="s">
        <v>4212</v>
      </c>
      <c r="E4712" s="9" t="str">
        <f>HYPERLINK("https://twitter.com/Big_BangF/status/1034511887168364551","1034511887168364551")</f>
        <v>1034511887168364551</v>
      </c>
      <c r="F4712" s="4"/>
      <c r="G4712" s="4"/>
      <c r="H4712" s="4"/>
      <c r="I4712" s="10" t="str">
        <f>HYPERLINK("http://twitter.com/download/android","Twitter for Android")</f>
        <v>Twitter for Android</v>
      </c>
      <c r="J4712" s="2">
        <v>2037</v>
      </c>
      <c r="K4712" s="2">
        <v>332</v>
      </c>
      <c r="L4712" s="2">
        <v>5</v>
      </c>
      <c r="M4712" s="2"/>
      <c r="N4712" s="8">
        <v>41504.401689814811</v>
      </c>
      <c r="O4712" s="4" t="s">
        <v>4211</v>
      </c>
      <c r="P4712" s="3" t="s">
        <v>4210</v>
      </c>
      <c r="Q4712" s="4"/>
      <c r="R4712" s="4"/>
      <c r="S4712" s="9" t="str">
        <f>HYPERLINK("https://pbs.twimg.com/profile_images/1012994136062988288/73g3LBlB.jpg","View")</f>
        <v>View</v>
      </c>
    </row>
    <row r="4713" spans="1:19" ht="50">
      <c r="A4713" s="8">
        <v>43340.967824074076</v>
      </c>
      <c r="B4713" s="11" t="str">
        <f>HYPERLINK("https://twitter.com/restart_0ho0","@restart_0ho0")</f>
        <v>@restart_0ho0</v>
      </c>
      <c r="C4713" s="6" t="s">
        <v>1889</v>
      </c>
      <c r="D4713" s="5" t="s">
        <v>4209</v>
      </c>
      <c r="E4713" s="9" t="str">
        <f>HYPERLINK("https://twitter.com/restart_0ho0/status/1034511853236432898","1034511853236432898")</f>
        <v>1034511853236432898</v>
      </c>
      <c r="F4713" s="4"/>
      <c r="G4713" s="4"/>
      <c r="H4713" s="4"/>
      <c r="I4713" s="10" t="str">
        <f>HYPERLINK("http://twitter.com/download/android","Twitter for Android")</f>
        <v>Twitter for Android</v>
      </c>
      <c r="J4713" s="2">
        <v>359</v>
      </c>
      <c r="K4713" s="2">
        <v>115</v>
      </c>
      <c r="L4713" s="2">
        <v>1</v>
      </c>
      <c r="M4713" s="2"/>
      <c r="N4713" s="8">
        <v>43135.789837962962</v>
      </c>
      <c r="O4713" s="4"/>
      <c r="P4713" s="3" t="s">
        <v>1887</v>
      </c>
      <c r="Q4713" s="10" t="s">
        <v>1886</v>
      </c>
      <c r="R4713" s="4"/>
      <c r="S4713" s="9" t="str">
        <f>HYPERLINK("https://pbs.twimg.com/profile_images/1018264481938460672/Z4-ZxVhg.jpg","View")</f>
        <v>View</v>
      </c>
    </row>
    <row r="4714" spans="1:19" ht="40">
      <c r="A4714" s="8">
        <v>43340.967777777776</v>
      </c>
      <c r="B4714" s="11" t="str">
        <f>HYPERLINK("https://twitter.com/taqioqati","@taqioqati")</f>
        <v>@taqioqati</v>
      </c>
      <c r="C4714" s="6" t="s">
        <v>4208</v>
      </c>
      <c r="D4714" s="5" t="s">
        <v>4207</v>
      </c>
      <c r="E4714" s="9" t="str">
        <f>HYPERLINK("https://twitter.com/taqioqati/status/1034511833908924418","1034511833908924418")</f>
        <v>1034511833908924418</v>
      </c>
      <c r="F4714" s="4"/>
      <c r="G4714" s="4"/>
      <c r="H4714" s="4"/>
      <c r="I4714" s="10" t="str">
        <f>HYPERLINK("http://twitter.com/download/android","Twitter for Android")</f>
        <v>Twitter for Android</v>
      </c>
      <c r="J4714" s="2">
        <v>16</v>
      </c>
      <c r="K4714" s="2">
        <v>52</v>
      </c>
      <c r="L4714" s="2">
        <v>0</v>
      </c>
      <c r="M4714" s="2"/>
      <c r="N4714" s="8">
        <v>43229.979131944448</v>
      </c>
      <c r="O4714" s="4"/>
      <c r="P4714" s="3" t="s">
        <v>4206</v>
      </c>
      <c r="Q4714" s="4"/>
      <c r="R4714" s="4"/>
      <c r="S4714" s="9" t="str">
        <f>HYPERLINK("https://pbs.twimg.com/profile_images/1029669836408999937/DIQI-Xzo.jpg","View")</f>
        <v>View</v>
      </c>
    </row>
    <row r="4715" spans="1:19" ht="12.5">
      <c r="A4715" s="8">
        <v>43340.967627314814</v>
      </c>
      <c r="B4715" s="11" t="str">
        <f>HYPERLINK("https://twitter.com/Maya_Ozborn","@Maya_Ozborn")</f>
        <v>@Maya_Ozborn</v>
      </c>
      <c r="C4715" s="6" t="s">
        <v>3922</v>
      </c>
      <c r="D4715" s="5" t="s">
        <v>4205</v>
      </c>
      <c r="E4715" s="9" t="str">
        <f>HYPERLINK("https://twitter.com/Maya_Ozborn/status/1034511779114700800","1034511779114700800")</f>
        <v>1034511779114700800</v>
      </c>
      <c r="F4715" s="4"/>
      <c r="G4715" s="10" t="s">
        <v>4204</v>
      </c>
      <c r="H4715" s="4"/>
      <c r="I4715" s="10" t="str">
        <f>HYPERLINK("http://twitter.com/download/iphone","Twitter for iPhone")</f>
        <v>Twitter for iPhone</v>
      </c>
      <c r="J4715" s="2">
        <v>195</v>
      </c>
      <c r="K4715" s="2">
        <v>199</v>
      </c>
      <c r="L4715" s="2">
        <v>7</v>
      </c>
      <c r="M4715" s="2"/>
      <c r="N4715" s="8">
        <v>40662.696238425924</v>
      </c>
      <c r="O4715" s="4" t="s">
        <v>3919</v>
      </c>
      <c r="P4715" s="3" t="s">
        <v>3918</v>
      </c>
      <c r="Q4715" s="4"/>
      <c r="R4715" s="4"/>
      <c r="S4715" s="9" t="str">
        <f>HYPERLINK("https://pbs.twimg.com/profile_images/1015451742278995968/FmhRml24.jpg","View")</f>
        <v>View</v>
      </c>
    </row>
    <row r="4716" spans="1:19" ht="30">
      <c r="A4716" s="8">
        <v>43340.967256944445</v>
      </c>
      <c r="B4716" s="11" t="str">
        <f>HYPERLINK("https://twitter.com/s_hasan_hoseini","@s_hasan_hoseini")</f>
        <v>@s_hasan_hoseini</v>
      </c>
      <c r="C4716" s="6" t="s">
        <v>4203</v>
      </c>
      <c r="D4716" s="5" t="s">
        <v>4202</v>
      </c>
      <c r="E4716" s="9" t="str">
        <f>HYPERLINK("https://twitter.com/s_hasan_hoseini/status/1034511648378171392","1034511648378171392")</f>
        <v>1034511648378171392</v>
      </c>
      <c r="F4716" s="4"/>
      <c r="G4716" s="4"/>
      <c r="H4716" s="4"/>
      <c r="I4716" s="10" t="str">
        <f>HYPERLINK("http://twitter.com/download/android","Twitter for Android")</f>
        <v>Twitter for Android</v>
      </c>
      <c r="J4716" s="2">
        <v>125</v>
      </c>
      <c r="K4716" s="2">
        <v>120</v>
      </c>
      <c r="L4716" s="2">
        <v>0</v>
      </c>
      <c r="M4716" s="2"/>
      <c r="N4716" s="8">
        <v>43216.648159722223</v>
      </c>
      <c r="O4716" s="4" t="s">
        <v>17</v>
      </c>
      <c r="P4716" s="3" t="s">
        <v>4201</v>
      </c>
      <c r="Q4716" s="4"/>
      <c r="R4716" s="4"/>
      <c r="S4716" s="9" t="str">
        <f>HYPERLINK("https://pbs.twimg.com/profile_images/990637989847031809/FSzxqO9U.jpg","View")</f>
        <v>View</v>
      </c>
    </row>
    <row r="4717" spans="1:19" ht="12.5">
      <c r="A4717" s="8">
        <v>43340.966782407406</v>
      </c>
      <c r="B4717" s="11" t="str">
        <f>HYPERLINK("https://twitter.com/SeyedAli_1992","@SeyedAli_1992")</f>
        <v>@SeyedAli_1992</v>
      </c>
      <c r="C4717" s="6" t="s">
        <v>4200</v>
      </c>
      <c r="D4717" s="5" t="s">
        <v>4199</v>
      </c>
      <c r="E4717" s="9" t="str">
        <f>HYPERLINK("https://twitter.com/SeyedAli_1992/status/1034511475145146369","1034511475145146369")</f>
        <v>1034511475145146369</v>
      </c>
      <c r="F4717" s="4"/>
      <c r="G4717" s="4"/>
      <c r="H4717" s="4"/>
      <c r="I4717" s="10" t="str">
        <f>HYPERLINK("http://twitter.com/download/android","Twitter for Android")</f>
        <v>Twitter for Android</v>
      </c>
      <c r="J4717" s="2">
        <v>313</v>
      </c>
      <c r="K4717" s="2">
        <v>311</v>
      </c>
      <c r="L4717" s="2">
        <v>1</v>
      </c>
      <c r="M4717" s="2"/>
      <c r="N4717" s="8">
        <v>43175.711261574077</v>
      </c>
      <c r="O4717" s="4" t="s">
        <v>4198</v>
      </c>
      <c r="P4717" s="3" t="s">
        <v>4197</v>
      </c>
      <c r="Q4717" s="4"/>
      <c r="R4717" s="4"/>
      <c r="S4717" s="9" t="str">
        <f>HYPERLINK("https://pbs.twimg.com/profile_images/994963828168384512/bA_KwOkE.jpg","View")</f>
        <v>View</v>
      </c>
    </row>
    <row r="4718" spans="1:19" ht="40">
      <c r="A4718" s="8">
        <v>43340.966724537036</v>
      </c>
      <c r="B4718" s="11" t="str">
        <f>HYPERLINK("https://twitter.com/tG9wnjVdQ6GVQ8L","@tG9wnjVdQ6GVQ8L")</f>
        <v>@tG9wnjVdQ6GVQ8L</v>
      </c>
      <c r="C4718" s="6" t="s">
        <v>3607</v>
      </c>
      <c r="D4718" s="5" t="s">
        <v>4196</v>
      </c>
      <c r="E4718" s="9" t="str">
        <f>HYPERLINK("https://twitter.com/tG9wnjVdQ6GVQ8L/status/1034511453276053505","1034511453276053505")</f>
        <v>1034511453276053505</v>
      </c>
      <c r="F4718" s="4"/>
      <c r="G4718" s="10" t="s">
        <v>4195</v>
      </c>
      <c r="H4718" s="4"/>
      <c r="I4718" s="10" t="str">
        <f>HYPERLINK("http://twitter.com/download/android","Twitter for Android")</f>
        <v>Twitter for Android</v>
      </c>
      <c r="J4718" s="2">
        <v>2192</v>
      </c>
      <c r="K4718" s="2">
        <v>3991</v>
      </c>
      <c r="L4718" s="2">
        <v>0</v>
      </c>
      <c r="M4718" s="2"/>
      <c r="N4718" s="8">
        <v>43261.000208333338</v>
      </c>
      <c r="O4718" s="4"/>
      <c r="P4718" s="3" t="s">
        <v>3665</v>
      </c>
      <c r="Q4718" s="4"/>
      <c r="R4718" s="4"/>
      <c r="S4718" s="9" t="str">
        <f>HYPERLINK("https://pbs.twimg.com/profile_images/1007545992835686400/ROiyS3R2.jpg","View")</f>
        <v>View</v>
      </c>
    </row>
    <row r="4719" spans="1:19" ht="20">
      <c r="A4719" s="8">
        <v>43340.965995370367</v>
      </c>
      <c r="B4719" s="11" t="str">
        <f>HYPERLINK("https://twitter.com/ehsannamazizade","@ehsannamazizade")</f>
        <v>@ehsannamazizade</v>
      </c>
      <c r="C4719" s="6" t="s">
        <v>4194</v>
      </c>
      <c r="D4719" s="5" t="s">
        <v>4193</v>
      </c>
      <c r="E4719" s="9" t="str">
        <f>HYPERLINK("https://twitter.com/ehsannamazizade/status/1034511188749680640","1034511188749680640")</f>
        <v>1034511188749680640</v>
      </c>
      <c r="F4719" s="4"/>
      <c r="G4719" s="4"/>
      <c r="H4719" s="4"/>
      <c r="I4719" s="10" t="str">
        <f>HYPERLINK("http://twitter.com/download/android","Twitter for Android")</f>
        <v>Twitter for Android</v>
      </c>
      <c r="J4719" s="2">
        <v>70</v>
      </c>
      <c r="K4719" s="2">
        <v>106</v>
      </c>
      <c r="L4719" s="2">
        <v>1</v>
      </c>
      <c r="M4719" s="2"/>
      <c r="N4719" s="8">
        <v>43316.393483796295</v>
      </c>
      <c r="O4719" s="4"/>
      <c r="P4719" s="3" t="s">
        <v>4192</v>
      </c>
      <c r="Q4719" s="4"/>
      <c r="R4719" s="4"/>
      <c r="S4719" s="9" t="str">
        <f>HYPERLINK("https://pbs.twimg.com/profile_images/1025608533218394112/9UxVLU9o.jpg","View")</f>
        <v>View</v>
      </c>
    </row>
    <row r="4720" spans="1:19" ht="30">
      <c r="A4720" s="8">
        <v>43340.96575231482</v>
      </c>
      <c r="B4720" s="11" t="str">
        <f>HYPERLINK("https://twitter.com/Sarbaz_Montazer","@Sarbaz_Montazer")</f>
        <v>@Sarbaz_Montazer</v>
      </c>
      <c r="C4720" s="6" t="s">
        <v>4191</v>
      </c>
      <c r="D4720" s="5" t="s">
        <v>4190</v>
      </c>
      <c r="E4720" s="9" t="str">
        <f>HYPERLINK("https://twitter.com/Sarbaz_Montazer/status/1034511100946067456","1034511100946067456")</f>
        <v>1034511100946067456</v>
      </c>
      <c r="F4720" s="4"/>
      <c r="G4720" s="4"/>
      <c r="H4720" s="4"/>
      <c r="I4720" s="10" t="str">
        <f>HYPERLINK("http://twitter.com/download/android","Twitter for Android")</f>
        <v>Twitter for Android</v>
      </c>
      <c r="J4720" s="2">
        <v>776</v>
      </c>
      <c r="K4720" s="2">
        <v>933</v>
      </c>
      <c r="L4720" s="2">
        <v>2</v>
      </c>
      <c r="M4720" s="2"/>
      <c r="N4720" s="8">
        <v>43209.553217592591</v>
      </c>
      <c r="O4720" s="4"/>
      <c r="P4720" s="3" t="s">
        <v>4189</v>
      </c>
      <c r="Q4720" s="4"/>
      <c r="R4720" s="4"/>
      <c r="S4720" s="9" t="str">
        <f>HYPERLINK("https://pbs.twimg.com/profile_images/1007033263020494848/0znn784K.jpg","View")</f>
        <v>View</v>
      </c>
    </row>
    <row r="4721" spans="1:19" ht="30">
      <c r="A4721" s="8">
        <v>43340.965405092589</v>
      </c>
      <c r="B4721" s="11" t="str">
        <f>HYPERLINK("https://twitter.com/Arminnst","@Arminnst")</f>
        <v>@Arminnst</v>
      </c>
      <c r="C4721" s="6" t="s">
        <v>4188</v>
      </c>
      <c r="D4721" s="5" t="s">
        <v>4187</v>
      </c>
      <c r="E4721" s="9" t="str">
        <f>HYPERLINK("https://twitter.com/Arminnst/status/1034510976710860800","1034510976710860800")</f>
        <v>1034510976710860800</v>
      </c>
      <c r="F4721" s="4"/>
      <c r="G4721" s="4"/>
      <c r="H4721" s="4"/>
      <c r="I4721" s="10" t="str">
        <f>HYPERLINK("http://twitter.com/download/iphone","Twitter for iPhone")</f>
        <v>Twitter for iPhone</v>
      </c>
      <c r="J4721" s="2">
        <v>1441</v>
      </c>
      <c r="K4721" s="2">
        <v>3232</v>
      </c>
      <c r="L4721" s="2">
        <v>3</v>
      </c>
      <c r="M4721" s="2"/>
      <c r="N4721" s="8">
        <v>42454.455740740741</v>
      </c>
      <c r="O4721" s="4" t="s">
        <v>4186</v>
      </c>
      <c r="P4721" s="3"/>
      <c r="Q4721" s="4"/>
      <c r="R4721" s="4"/>
      <c r="S4721" s="9" t="str">
        <f>HYPERLINK("https://pbs.twimg.com/profile_images/989956573480079361/dxKIxKuP.jpg","View")</f>
        <v>View</v>
      </c>
    </row>
    <row r="4722" spans="1:19" ht="20">
      <c r="A4722" s="8">
        <v>43340.96502314815</v>
      </c>
      <c r="B4722" s="11" t="str">
        <f>HYPERLINK("https://twitter.com/sobhe_no","@sobhe_no")</f>
        <v>@sobhe_no</v>
      </c>
      <c r="C4722" s="6" t="s">
        <v>4185</v>
      </c>
      <c r="D4722" s="5" t="s">
        <v>4184</v>
      </c>
      <c r="E4722" s="9" t="str">
        <f>HYPERLINK("https://twitter.com/sobhe_no/status/1034510835694161921","1034510835694161921")</f>
        <v>1034510835694161921</v>
      </c>
      <c r="F4722" s="4"/>
      <c r="G4722" s="10" t="s">
        <v>4183</v>
      </c>
      <c r="H4722" s="4"/>
      <c r="I4722" s="10" t="str">
        <f>HYPERLINK("http://twitter.com/download/iphone","Twitter for iPhone")</f>
        <v>Twitter for iPhone</v>
      </c>
      <c r="J4722" s="2">
        <v>10626</v>
      </c>
      <c r="K4722" s="2">
        <v>31</v>
      </c>
      <c r="L4722" s="2">
        <v>71</v>
      </c>
      <c r="M4722" s="2"/>
      <c r="N4722" s="8">
        <v>42471.601400462961</v>
      </c>
      <c r="O4722" s="4" t="s">
        <v>34</v>
      </c>
      <c r="P4722" s="3" t="s">
        <v>4182</v>
      </c>
      <c r="Q4722" s="10" t="s">
        <v>4181</v>
      </c>
      <c r="R4722" s="4"/>
      <c r="S4722" s="9" t="str">
        <f>HYPERLINK("https://pbs.twimg.com/profile_images/737719828429963265/nghJhp_N.jpg","View")</f>
        <v>View</v>
      </c>
    </row>
    <row r="4723" spans="1:19" ht="12.5">
      <c r="A4723" s="8">
        <v>43340.963622685187</v>
      </c>
      <c r="B4723" s="11" t="str">
        <f>HYPERLINK("https://twitter.com/mimjeh","@mimjeh")</f>
        <v>@mimjeh</v>
      </c>
      <c r="C4723" s="6" t="s">
        <v>4180</v>
      </c>
      <c r="D4723" s="5" t="s">
        <v>4179</v>
      </c>
      <c r="E4723" s="9" t="str">
        <f>HYPERLINK("https://twitter.com/mimjeh/status/1034510329110294528","1034510329110294528")</f>
        <v>1034510329110294528</v>
      </c>
      <c r="F4723" s="4"/>
      <c r="G4723" s="4"/>
      <c r="H4723" s="4"/>
      <c r="I4723" s="10" t="str">
        <f>HYPERLINK("http://twitter.com/download/iphone","Twitter for iPhone")</f>
        <v>Twitter for iPhone</v>
      </c>
      <c r="J4723" s="2">
        <v>626</v>
      </c>
      <c r="K4723" s="2">
        <v>312</v>
      </c>
      <c r="L4723" s="2">
        <v>10</v>
      </c>
      <c r="M4723" s="2"/>
      <c r="N4723" s="8">
        <v>39713.521435185183</v>
      </c>
      <c r="O4723" s="4" t="s">
        <v>4178</v>
      </c>
      <c r="P4723" s="3" t="s">
        <v>4177</v>
      </c>
      <c r="Q4723" s="10" t="s">
        <v>4176</v>
      </c>
      <c r="R4723" s="4"/>
      <c r="S4723" s="9" t="str">
        <f>HYPERLINK("https://pbs.twimg.com/profile_images/1017707099093192704/XaPezUyr.jpg","View")</f>
        <v>View</v>
      </c>
    </row>
    <row r="4724" spans="1:19" ht="40">
      <c r="A4724" s="8">
        <v>43340.963333333333</v>
      </c>
      <c r="B4724" s="11" t="str">
        <f>HYPERLINK("https://twitter.com/Enghelabi_1357","@Enghelabi_1357")</f>
        <v>@Enghelabi_1357</v>
      </c>
      <c r="C4724" s="6" t="s">
        <v>4175</v>
      </c>
      <c r="D4724" s="5" t="s">
        <v>4174</v>
      </c>
      <c r="E4724" s="9" t="str">
        <f>HYPERLINK("https://twitter.com/Enghelabi_1357/status/1034510223254466560","1034510223254466560")</f>
        <v>1034510223254466560</v>
      </c>
      <c r="F4724" s="4"/>
      <c r="G4724" s="10" t="s">
        <v>4173</v>
      </c>
      <c r="H4724" s="4"/>
      <c r="I4724" s="10" t="str">
        <f>HYPERLINK("http://twitter.com/download/android","Twitter for Android")</f>
        <v>Twitter for Android</v>
      </c>
      <c r="J4724" s="2">
        <v>234</v>
      </c>
      <c r="K4724" s="2">
        <v>153</v>
      </c>
      <c r="L4724" s="2">
        <v>3</v>
      </c>
      <c r="M4724" s="2"/>
      <c r="N4724" s="8">
        <v>43091.109814814816</v>
      </c>
      <c r="O4724" s="4"/>
      <c r="P4724" s="3" t="s">
        <v>4172</v>
      </c>
      <c r="Q4724" s="10" t="s">
        <v>4171</v>
      </c>
      <c r="R4724" s="4"/>
      <c r="S4724" s="9" t="str">
        <f>HYPERLINK("https://pbs.twimg.com/profile_images/956203941116760065/C0KR4aRw.jpg","View")</f>
        <v>View</v>
      </c>
    </row>
    <row r="4725" spans="1:19" ht="20">
      <c r="A4725" s="8">
        <v>43340.96329861111</v>
      </c>
      <c r="B4725" s="11" t="str">
        <f>HYPERLINK("https://twitter.com/Masoudzare5","@Masoudzare5")</f>
        <v>@Masoudzare5</v>
      </c>
      <c r="C4725" s="6" t="s">
        <v>4170</v>
      </c>
      <c r="D4725" s="5" t="s">
        <v>4169</v>
      </c>
      <c r="E4725" s="9" t="str">
        <f>HYPERLINK("https://twitter.com/Masoudzare5/status/1034510211342643202","1034510211342643202")</f>
        <v>1034510211342643202</v>
      </c>
      <c r="F4725" s="4"/>
      <c r="G4725" s="10" t="s">
        <v>4168</v>
      </c>
      <c r="H4725" s="4"/>
      <c r="I4725" s="10" t="str">
        <f>HYPERLINK("http://twitter.com/download/android","Twitter for Android")</f>
        <v>Twitter for Android</v>
      </c>
      <c r="J4725" s="2">
        <v>19</v>
      </c>
      <c r="K4725" s="2">
        <v>199</v>
      </c>
      <c r="L4725" s="2">
        <v>0</v>
      </c>
      <c r="M4725" s="2"/>
      <c r="N4725" s="8">
        <v>42959.620995370366</v>
      </c>
      <c r="O4725" s="4"/>
      <c r="P4725" s="3" t="s">
        <v>4167</v>
      </c>
      <c r="Q4725" s="4"/>
      <c r="R4725" s="4"/>
      <c r="S4725" s="9" t="str">
        <f>HYPERLINK("https://pbs.twimg.com/profile_images/970351633392717829/iiVOZzZ1.jpg","View")</f>
        <v>View</v>
      </c>
    </row>
    <row r="4726" spans="1:19" ht="40">
      <c r="A4726" s="8">
        <v>43340.963229166664</v>
      </c>
      <c r="B4726" s="11" t="str">
        <f>HYPERLINK("https://twitter.com/__Meshkat__","@__Meshkat__")</f>
        <v>@__Meshkat__</v>
      </c>
      <c r="C4726" s="6" t="s">
        <v>4166</v>
      </c>
      <c r="D4726" s="5" t="s">
        <v>4165</v>
      </c>
      <c r="E4726" s="9" t="str">
        <f>HYPERLINK("https://twitter.com/__Meshkat__/status/1034510187460218881","1034510187460218881")</f>
        <v>1034510187460218881</v>
      </c>
      <c r="F4726" s="10" t="s">
        <v>4164</v>
      </c>
      <c r="G4726" s="4"/>
      <c r="H4726" s="4"/>
      <c r="I4726" s="10" t="str">
        <f>HYPERLINK("http://twitter.com/download/android","Twitter for Android")</f>
        <v>Twitter for Android</v>
      </c>
      <c r="J4726" s="2">
        <v>830</v>
      </c>
      <c r="K4726" s="2">
        <v>1303</v>
      </c>
      <c r="L4726" s="2">
        <v>2</v>
      </c>
      <c r="M4726" s="2"/>
      <c r="N4726" s="8">
        <v>43299.653506944444</v>
      </c>
      <c r="O4726" s="4" t="s">
        <v>4163</v>
      </c>
      <c r="P4726" s="3" t="s">
        <v>4162</v>
      </c>
      <c r="Q4726" s="4"/>
      <c r="R4726" s="4"/>
      <c r="S4726" s="9" t="str">
        <f>HYPERLINK("https://pbs.twimg.com/profile_images/1019557429518970880/nMfqbQR4.jpg","View")</f>
        <v>View</v>
      </c>
    </row>
    <row r="4727" spans="1:19" ht="30">
      <c r="A4727" s="8">
        <v>43340.962847222225</v>
      </c>
      <c r="B4727" s="11" t="str">
        <f>HYPERLINK("https://twitter.com/Kadkhodaee_ir","@Kadkhodaee_ir")</f>
        <v>@Kadkhodaee_ir</v>
      </c>
      <c r="C4727" s="6" t="s">
        <v>4161</v>
      </c>
      <c r="D4727" s="5" t="s">
        <v>4160</v>
      </c>
      <c r="E4727" s="9" t="str">
        <f>HYPERLINK("https://twitter.com/Kadkhodaee_ir/status/1034510048809156608","1034510048809156608")</f>
        <v>1034510048809156608</v>
      </c>
      <c r="F4727" s="4"/>
      <c r="G4727" s="4"/>
      <c r="H4727" s="4"/>
      <c r="I4727" s="10" t="str">
        <f>HYPERLINK("http://twitter.com/download/android","Twitter for Android")</f>
        <v>Twitter for Android</v>
      </c>
      <c r="J4727" s="2">
        <v>1851</v>
      </c>
      <c r="K4727" s="2">
        <v>16</v>
      </c>
      <c r="L4727" s="2">
        <v>20</v>
      </c>
      <c r="M4727" s="2"/>
      <c r="N4727" s="8">
        <v>43301.906550925924</v>
      </c>
      <c r="O4727" s="4" t="s">
        <v>4159</v>
      </c>
      <c r="P4727" s="3" t="s">
        <v>4158</v>
      </c>
      <c r="Q4727" s="10" t="s">
        <v>4157</v>
      </c>
      <c r="R4727" s="4"/>
      <c r="S4727" s="9" t="str">
        <f>HYPERLINK("https://pbs.twimg.com/profile_images/1024591771752382464/1nEJfxed.jpg","View")</f>
        <v>View</v>
      </c>
    </row>
    <row r="4728" spans="1:19" ht="30">
      <c r="A4728" s="8">
        <v>43340.96266203704</v>
      </c>
      <c r="B4728" s="11" t="str">
        <f>HYPERLINK("https://twitter.com/sazandegii","@sazandegii")</f>
        <v>@sazandegii</v>
      </c>
      <c r="C4728" s="6" t="s">
        <v>4156</v>
      </c>
      <c r="D4728" s="5" t="s">
        <v>4155</v>
      </c>
      <c r="E4728" s="9" t="str">
        <f>HYPERLINK("https://twitter.com/sazandegii/status/1034509981394055168","1034509981394055168")</f>
        <v>1034509981394055168</v>
      </c>
      <c r="F4728" s="4"/>
      <c r="G4728" s="10" t="s">
        <v>4154</v>
      </c>
      <c r="H4728" s="4"/>
      <c r="I4728" s="10" t="str">
        <f>HYPERLINK("http://twitter.com/download/iphone","Twitter for iPhone")</f>
        <v>Twitter for iPhone</v>
      </c>
      <c r="J4728" s="2">
        <v>758</v>
      </c>
      <c r="K4728" s="2">
        <v>74</v>
      </c>
      <c r="L4728" s="2">
        <v>14</v>
      </c>
      <c r="M4728" s="2"/>
      <c r="N4728" s="8">
        <v>43144.881296296298</v>
      </c>
      <c r="O4728" s="4" t="s">
        <v>104</v>
      </c>
      <c r="P4728" s="3" t="s">
        <v>4153</v>
      </c>
      <c r="Q4728" s="4"/>
      <c r="R4728" s="4"/>
      <c r="S4728" s="9" t="str">
        <f>HYPERLINK("https://pbs.twimg.com/profile_images/970996181366202368/iBGYCP3F.jpg","View")</f>
        <v>View</v>
      </c>
    </row>
    <row r="4729" spans="1:19" ht="20">
      <c r="A4729" s="8">
        <v>43340.962592592594</v>
      </c>
      <c r="B4729" s="11" t="str">
        <f>HYPERLINK("https://twitter.com/Yaserhosseini6","@Yaserhosseini6")</f>
        <v>@Yaserhosseini6</v>
      </c>
      <c r="C4729" s="6" t="s">
        <v>4152</v>
      </c>
      <c r="D4729" s="5" t="s">
        <v>4151</v>
      </c>
      <c r="E4729" s="9" t="str">
        <f>HYPERLINK("https://twitter.com/Yaserhosseini6/status/1034509958027591680","1034509958027591680")</f>
        <v>1034509958027591680</v>
      </c>
      <c r="F4729" s="4"/>
      <c r="G4729" s="4"/>
      <c r="H4729" s="4"/>
      <c r="I4729" s="10" t="str">
        <f>HYPERLINK("http://twitter.com/download/iphone","Twitter for iPhone")</f>
        <v>Twitter for iPhone</v>
      </c>
      <c r="J4729" s="2">
        <v>14</v>
      </c>
      <c r="K4729" s="2">
        <v>42</v>
      </c>
      <c r="L4729" s="2">
        <v>0</v>
      </c>
      <c r="M4729" s="2"/>
      <c r="N4729" s="8">
        <v>42841.805949074071</v>
      </c>
      <c r="O4729" s="4"/>
      <c r="P4729" s="3" t="s">
        <v>4150</v>
      </c>
      <c r="Q4729" s="4"/>
      <c r="R4729" s="4"/>
      <c r="S4729" s="9" t="str">
        <f>HYPERLINK("https://pbs.twimg.com/profile_images/1023898900388868097/bpOPFXIl.jpg","View")</f>
        <v>View</v>
      </c>
    </row>
    <row r="4730" spans="1:19" ht="40">
      <c r="A4730" s="8">
        <v>43340.962581018517</v>
      </c>
      <c r="B4730" s="11" t="str">
        <f>HYPERLINK("https://twitter.com/s_m_abtahi","@s_m_abtahi")</f>
        <v>@s_m_abtahi</v>
      </c>
      <c r="C4730" s="6" t="s">
        <v>4149</v>
      </c>
      <c r="D4730" s="5" t="s">
        <v>4148</v>
      </c>
      <c r="E4730" s="9" t="str">
        <f>HYPERLINK("https://twitter.com/s_m_abtahi/status/1034509953380360192","1034509953380360192")</f>
        <v>1034509953380360192</v>
      </c>
      <c r="F4730" s="4"/>
      <c r="G4730" s="4"/>
      <c r="H4730" s="4"/>
      <c r="I4730" s="10" t="str">
        <f>HYPERLINK("http://twitter.com/download/android","Twitter for Android")</f>
        <v>Twitter for Android</v>
      </c>
      <c r="J4730" s="2">
        <v>2610</v>
      </c>
      <c r="K4730" s="2">
        <v>2262</v>
      </c>
      <c r="L4730" s="2">
        <v>5</v>
      </c>
      <c r="M4730" s="2"/>
      <c r="N4730" s="8">
        <v>43082.516585648147</v>
      </c>
      <c r="O4730" s="4" t="s">
        <v>4147</v>
      </c>
      <c r="P4730" s="3" t="s">
        <v>4146</v>
      </c>
      <c r="Q4730" s="4"/>
      <c r="R4730" s="4"/>
      <c r="S4730" s="9" t="str">
        <f>HYPERLINK("https://pbs.twimg.com/profile_images/1031080625581608960/wR5Swf_s.jpg","View")</f>
        <v>View</v>
      </c>
    </row>
    <row r="4731" spans="1:19" ht="30">
      <c r="A4731" s="8">
        <v>43340.962314814809</v>
      </c>
      <c r="B4731" s="11" t="str">
        <f>HYPERLINK("https://twitter.com/SAHK_24","@SAHK_24")</f>
        <v>@SAHK_24</v>
      </c>
      <c r="C4731" s="6" t="s">
        <v>3968</v>
      </c>
      <c r="D4731" s="5" t="s">
        <v>4145</v>
      </c>
      <c r="E4731" s="9" t="str">
        <f>HYPERLINK("https://twitter.com/SAHK_24/status/1034509855330066433","1034509855330066433")</f>
        <v>1034509855330066433</v>
      </c>
      <c r="F4731" s="4"/>
      <c r="G4731" s="4"/>
      <c r="H4731" s="4"/>
      <c r="I4731" s="10" t="str">
        <f>HYPERLINK("http://twitter.com/download/android","Twitter for Android")</f>
        <v>Twitter for Android</v>
      </c>
      <c r="J4731" s="2">
        <v>170</v>
      </c>
      <c r="K4731" s="2">
        <v>242</v>
      </c>
      <c r="L4731" s="2">
        <v>0</v>
      </c>
      <c r="M4731" s="2"/>
      <c r="N4731" s="8">
        <v>43098.046446759261</v>
      </c>
      <c r="O4731" s="4" t="s">
        <v>34</v>
      </c>
      <c r="P4731" s="3" t="s">
        <v>3965</v>
      </c>
      <c r="Q4731" s="4"/>
      <c r="R4731" s="4"/>
      <c r="S4731" s="9" t="str">
        <f>HYPERLINK("https://pbs.twimg.com/profile_images/953467773598027776/nNf2HO2O.jpg","View")</f>
        <v>View</v>
      </c>
    </row>
    <row r="4732" spans="1:19" ht="30">
      <c r="A4732" s="8">
        <v>43340.961377314816</v>
      </c>
      <c r="B4732" s="11" t="str">
        <f>HYPERLINK("https://twitter.com/pasgahemarzi","@pasgahemarzi")</f>
        <v>@pasgahemarzi</v>
      </c>
      <c r="C4732" s="6" t="s">
        <v>4136</v>
      </c>
      <c r="D4732" s="5" t="s">
        <v>4144</v>
      </c>
      <c r="E4732" s="9" t="str">
        <f>HYPERLINK("https://twitter.com/pasgahemarzi/status/1034509517843783680","1034509517843783680")</f>
        <v>1034509517843783680</v>
      </c>
      <c r="F4732" s="4"/>
      <c r="G4732" s="4"/>
      <c r="H4732" s="4"/>
      <c r="I4732" s="10" t="str">
        <f>HYPERLINK("http://twitter.com/download/android","Twitter for Android")</f>
        <v>Twitter for Android</v>
      </c>
      <c r="J4732" s="2">
        <v>1642</v>
      </c>
      <c r="K4732" s="2">
        <v>4255</v>
      </c>
      <c r="L4732" s="2">
        <v>0</v>
      </c>
      <c r="M4732" s="2"/>
      <c r="N4732" s="8">
        <v>43257.238888888889</v>
      </c>
      <c r="O4732" s="4"/>
      <c r="P4732" s="3" t="s">
        <v>4134</v>
      </c>
      <c r="Q4732" s="4"/>
      <c r="R4732" s="4"/>
      <c r="S4732" s="9" t="str">
        <f>HYPERLINK("https://pbs.twimg.com/profile_images/1004175711958196226/6zCfdXb4.jpg","View")</f>
        <v>View</v>
      </c>
    </row>
    <row r="4733" spans="1:19" ht="20">
      <c r="A4733" s="8">
        <v>43340.961134259254</v>
      </c>
      <c r="B4733" s="11" t="str">
        <f>HYPERLINK("https://twitter.com/BAwleaz","@BAwleaz")</f>
        <v>@BAwleaz</v>
      </c>
      <c r="C4733" s="6" t="s">
        <v>4077</v>
      </c>
      <c r="D4733" s="5" t="s">
        <v>4143</v>
      </c>
      <c r="E4733" s="9" t="str">
        <f>HYPERLINK("https://twitter.com/BAwleaz/status/1034509428672876546","1034509428672876546")</f>
        <v>1034509428672876546</v>
      </c>
      <c r="F4733" s="4"/>
      <c r="G4733" s="4"/>
      <c r="H4733" s="4"/>
      <c r="I4733" s="10" t="str">
        <f>HYPERLINK("https://mobile.twitter.com","Mobile Web (M2)")</f>
        <v>Mobile Web (M2)</v>
      </c>
      <c r="J4733" s="2">
        <v>77</v>
      </c>
      <c r="K4733" s="2">
        <v>149</v>
      </c>
      <c r="L4733" s="2">
        <v>0</v>
      </c>
      <c r="M4733" s="2"/>
      <c r="N4733" s="8">
        <v>42837.555798611109</v>
      </c>
      <c r="O4733" s="4" t="s">
        <v>324</v>
      </c>
      <c r="P4733" s="3"/>
      <c r="Q4733" s="4"/>
      <c r="R4733" s="4"/>
      <c r="S4733" s="2" t="s">
        <v>155</v>
      </c>
    </row>
    <row r="4734" spans="1:19" ht="30">
      <c r="A4734" s="8">
        <v>43340.960891203707</v>
      </c>
      <c r="B4734" s="11" t="str">
        <f>HYPERLINK("https://twitter.com/hajfathiir","@hajfathiir")</f>
        <v>@hajfathiir</v>
      </c>
      <c r="C4734" s="6" t="s">
        <v>1327</v>
      </c>
      <c r="D4734" s="5" t="s">
        <v>4142</v>
      </c>
      <c r="E4734" s="9" t="str">
        <f>HYPERLINK("https://twitter.com/hajfathiir/status/1034509338482827264","1034509338482827264")</f>
        <v>1034509338482827264</v>
      </c>
      <c r="F4734" s="4"/>
      <c r="G4734" s="4"/>
      <c r="H4734" s="4"/>
      <c r="I4734" s="10" t="str">
        <f>HYPERLINK("http://twitter.com/download/android","Twitter for Android")</f>
        <v>Twitter for Android</v>
      </c>
      <c r="J4734" s="2">
        <v>484</v>
      </c>
      <c r="K4734" s="2">
        <v>409</v>
      </c>
      <c r="L4734" s="2">
        <v>6</v>
      </c>
      <c r="M4734" s="2"/>
      <c r="N4734" s="8">
        <v>42640.430520833332</v>
      </c>
      <c r="O4734" s="4" t="s">
        <v>1325</v>
      </c>
      <c r="P4734" s="3" t="s">
        <v>1324</v>
      </c>
      <c r="Q4734" s="10" t="s">
        <v>1323</v>
      </c>
      <c r="R4734" s="4"/>
      <c r="S4734" s="9" t="str">
        <f>HYPERLINK("https://pbs.twimg.com/profile_images/1004377757177073665/t80o9yVp.jpg","View")</f>
        <v>View</v>
      </c>
    </row>
    <row r="4735" spans="1:19" ht="30">
      <c r="A4735" s="8">
        <v>43340.960613425923</v>
      </c>
      <c r="B4735" s="11" t="str">
        <f>HYPERLINK("https://twitter.com/koman2_rezi","@koman2_rezi")</f>
        <v>@koman2_rezi</v>
      </c>
      <c r="C4735" s="6" t="s">
        <v>4141</v>
      </c>
      <c r="D4735" s="5" t="s">
        <v>4140</v>
      </c>
      <c r="E4735" s="9" t="str">
        <f>HYPERLINK("https://twitter.com/koman2_rezi/status/1034509240201826306","1034509240201826306")</f>
        <v>1034509240201826306</v>
      </c>
      <c r="F4735" s="4"/>
      <c r="G4735" s="10" t="s">
        <v>4139</v>
      </c>
      <c r="H4735" s="4"/>
      <c r="I4735" s="10" t="str">
        <f>HYPERLINK("http://twitter.com/download/android","Twitter for Android")</f>
        <v>Twitter for Android</v>
      </c>
      <c r="J4735" s="2">
        <v>376</v>
      </c>
      <c r="K4735" s="2">
        <v>171</v>
      </c>
      <c r="L4735" s="2">
        <v>1</v>
      </c>
      <c r="M4735" s="2"/>
      <c r="N4735" s="8">
        <v>43075.028240740736</v>
      </c>
      <c r="O4735" s="4" t="s">
        <v>17</v>
      </c>
      <c r="P4735" s="3" t="s">
        <v>4138</v>
      </c>
      <c r="Q4735" s="10" t="s">
        <v>4137</v>
      </c>
      <c r="R4735" s="4"/>
      <c r="S4735" s="9" t="str">
        <f>HYPERLINK("https://pbs.twimg.com/profile_images/1034453016554995716/f8-L_xE9.jpg","View")</f>
        <v>View</v>
      </c>
    </row>
    <row r="4736" spans="1:19" ht="40">
      <c r="A4736" s="8">
        <v>43340.960509259261</v>
      </c>
      <c r="B4736" s="11" t="str">
        <f>HYPERLINK("https://twitter.com/pasgahemarzi","@pasgahemarzi")</f>
        <v>@pasgahemarzi</v>
      </c>
      <c r="C4736" s="6" t="s">
        <v>4136</v>
      </c>
      <c r="D4736" s="5" t="s">
        <v>4135</v>
      </c>
      <c r="E4736" s="9" t="str">
        <f>HYPERLINK("https://twitter.com/pasgahemarzi/status/1034509199701667841","1034509199701667841")</f>
        <v>1034509199701667841</v>
      </c>
      <c r="F4736" s="4"/>
      <c r="G4736" s="4"/>
      <c r="H4736" s="4"/>
      <c r="I4736" s="10" t="str">
        <f>HYPERLINK("http://twitter.com/download/android","Twitter for Android")</f>
        <v>Twitter for Android</v>
      </c>
      <c r="J4736" s="2">
        <v>1642</v>
      </c>
      <c r="K4736" s="2">
        <v>4255</v>
      </c>
      <c r="L4736" s="2">
        <v>0</v>
      </c>
      <c r="M4736" s="2"/>
      <c r="N4736" s="8">
        <v>43257.238888888889</v>
      </c>
      <c r="O4736" s="4"/>
      <c r="P4736" s="3" t="s">
        <v>4134</v>
      </c>
      <c r="Q4736" s="4"/>
      <c r="R4736" s="4"/>
      <c r="S4736" s="9" t="str">
        <f>HYPERLINK("https://pbs.twimg.com/profile_images/1004175711958196226/6zCfdXb4.jpg","View")</f>
        <v>View</v>
      </c>
    </row>
    <row r="4737" spans="1:19" ht="20">
      <c r="A4737" s="8">
        <v>43340.96020833333</v>
      </c>
      <c r="B4737" s="11" t="str">
        <f>HYPERLINK("https://twitter.com/forestgump70","@forestgump70")</f>
        <v>@forestgump70</v>
      </c>
      <c r="C4737" s="6" t="s">
        <v>4133</v>
      </c>
      <c r="D4737" s="5" t="s">
        <v>4132</v>
      </c>
      <c r="E4737" s="9" t="str">
        <f>HYPERLINK("https://twitter.com/forestgump70/status/1034509093254262784","1034509093254262784")</f>
        <v>1034509093254262784</v>
      </c>
      <c r="F4737" s="4"/>
      <c r="G4737" s="4"/>
      <c r="H4737" s="4"/>
      <c r="I4737" s="10" t="str">
        <f>HYPERLINK("https://mobile.twitter.com","Twitter Lite")</f>
        <v>Twitter Lite</v>
      </c>
      <c r="J4737" s="2">
        <v>3</v>
      </c>
      <c r="K4737" s="2">
        <v>3</v>
      </c>
      <c r="L4737" s="2">
        <v>0</v>
      </c>
      <c r="M4737" s="2"/>
      <c r="N4737" s="8">
        <v>43243.016018518523</v>
      </c>
      <c r="O4737" s="4"/>
      <c r="P4737" s="3" t="s">
        <v>4131</v>
      </c>
      <c r="Q4737" s="4"/>
      <c r="R4737" s="4"/>
      <c r="S4737" s="9" t="str">
        <f>HYPERLINK("https://pbs.twimg.com/profile_images/1014943359117529088/2wQnaJSj.jpg","View")</f>
        <v>View</v>
      </c>
    </row>
    <row r="4738" spans="1:19" ht="20">
      <c r="A4738" s="8">
        <v>43340.959976851853</v>
      </c>
      <c r="B4738" s="11" t="str">
        <f>HYPERLINK("https://twitter.com/TaxiTahlil","@TaxiTahlil")</f>
        <v>@TaxiTahlil</v>
      </c>
      <c r="C4738" s="6" t="s">
        <v>4130</v>
      </c>
      <c r="D4738" s="5" t="s">
        <v>4129</v>
      </c>
      <c r="E4738" s="9" t="str">
        <f>HYPERLINK("https://twitter.com/TaxiTahlil/status/1034509008370065418","1034509008370065418")</f>
        <v>1034509008370065418</v>
      </c>
      <c r="F4738" s="4"/>
      <c r="G4738" s="4"/>
      <c r="H4738" s="4"/>
      <c r="I4738" s="10" t="str">
        <f>HYPERLINK("http://twitter.com/download/android","Twitter for Android")</f>
        <v>Twitter for Android</v>
      </c>
      <c r="J4738" s="2">
        <v>27</v>
      </c>
      <c r="K4738" s="2">
        <v>0</v>
      </c>
      <c r="L4738" s="2">
        <v>0</v>
      </c>
      <c r="M4738" s="2"/>
      <c r="N4738" s="8">
        <v>43199.404108796298</v>
      </c>
      <c r="O4738" s="4" t="s">
        <v>4128</v>
      </c>
      <c r="P4738" s="3" t="s">
        <v>4127</v>
      </c>
      <c r="Q4738" s="4"/>
      <c r="R4738" s="4"/>
      <c r="S4738" s="9" t="str">
        <f>HYPERLINK("https://pbs.twimg.com/profile_images/983218392051183616/HjGacIH_.jpg","View")</f>
        <v>View</v>
      </c>
    </row>
    <row r="4739" spans="1:19" ht="60">
      <c r="A4739" s="8">
        <v>43340.959861111114</v>
      </c>
      <c r="B4739" s="11" t="str">
        <f>HYPERLINK("https://twitter.com/reza3712","@reza3712")</f>
        <v>@reza3712</v>
      </c>
      <c r="C4739" s="6" t="s">
        <v>4049</v>
      </c>
      <c r="D4739" s="5" t="s">
        <v>4126</v>
      </c>
      <c r="E4739" s="9" t="str">
        <f>HYPERLINK("https://twitter.com/reza3712/status/1034508967907606528","1034508967907606528")</f>
        <v>1034508967907606528</v>
      </c>
      <c r="F4739" s="10" t="s">
        <v>4125</v>
      </c>
      <c r="G4739" s="4"/>
      <c r="H4739" s="4"/>
      <c r="I4739" s="10" t="str">
        <f>HYPERLINK("http://twitter.com/download/android","Twitter for Android")</f>
        <v>Twitter for Android</v>
      </c>
      <c r="J4739" s="2">
        <v>727</v>
      </c>
      <c r="K4739" s="2">
        <v>977</v>
      </c>
      <c r="L4739" s="2">
        <v>3</v>
      </c>
      <c r="M4739" s="2"/>
      <c r="N4739" s="8">
        <v>41546.455104166671</v>
      </c>
      <c r="O4739" s="4"/>
      <c r="P4739" s="3" t="s">
        <v>4046</v>
      </c>
      <c r="Q4739" s="4"/>
      <c r="R4739" s="4"/>
      <c r="S4739" s="9" t="str">
        <f>HYPERLINK("https://pbs.twimg.com/profile_images/952076795158941696/z1HgjP6H.jpg","View")</f>
        <v>View</v>
      </c>
    </row>
    <row r="4740" spans="1:19" ht="20">
      <c r="A4740" s="8">
        <v>43340.959664351853</v>
      </c>
      <c r="B4740" s="11" t="str">
        <f>HYPERLINK("https://twitter.com/marmoollak_ir","@marmoollak_ir")</f>
        <v>@marmoollak_ir</v>
      </c>
      <c r="C4740" s="6" t="s">
        <v>4124</v>
      </c>
      <c r="D4740" s="5" t="s">
        <v>4123</v>
      </c>
      <c r="E4740" s="9" t="str">
        <f>HYPERLINK("https://twitter.com/marmoollak_ir/status/1034508893903368192","1034508893903368192")</f>
        <v>1034508893903368192</v>
      </c>
      <c r="F4740" s="4"/>
      <c r="G4740" s="4"/>
      <c r="H4740" s="4"/>
      <c r="I4740" s="10" t="str">
        <f>HYPERLINK("http://twitter.com/download/android","Twitter for Android")</f>
        <v>Twitter for Android</v>
      </c>
      <c r="J4740" s="2">
        <v>2202</v>
      </c>
      <c r="K4740" s="2">
        <v>152</v>
      </c>
      <c r="L4740" s="2">
        <v>22</v>
      </c>
      <c r="M4740" s="2"/>
      <c r="N4740" s="8">
        <v>42189.506967592592</v>
      </c>
      <c r="O4740" s="4" t="s">
        <v>2250</v>
      </c>
      <c r="P4740" s="3" t="s">
        <v>4122</v>
      </c>
      <c r="Q4740" s="4"/>
      <c r="R4740" s="4"/>
      <c r="S4740" s="9" t="str">
        <f>HYPERLINK("https://pbs.twimg.com/profile_images/951105932817203200/MN5arYdk.jpg","View")</f>
        <v>View</v>
      </c>
    </row>
    <row r="4741" spans="1:19" ht="20">
      <c r="A4741" s="8">
        <v>43340.959594907406</v>
      </c>
      <c r="B4741" s="11" t="str">
        <f>HYPERLINK("https://twitter.com/yaa_zahra_213","@yaa_zahra_213")</f>
        <v>@yaa_zahra_213</v>
      </c>
      <c r="C4741" s="6" t="s">
        <v>4121</v>
      </c>
      <c r="D4741" s="5" t="s">
        <v>4120</v>
      </c>
      <c r="E4741" s="9" t="str">
        <f>HYPERLINK("https://twitter.com/yaa_zahra_213/status/1034508869597384704","1034508869597384704")</f>
        <v>1034508869597384704</v>
      </c>
      <c r="F4741" s="4"/>
      <c r="G4741" s="4"/>
      <c r="H4741" s="4"/>
      <c r="I4741" s="10" t="str">
        <f>HYPERLINK("http://twitter.com/download/android","Twitter for Android")</f>
        <v>Twitter for Android</v>
      </c>
      <c r="J4741" s="2">
        <v>99</v>
      </c>
      <c r="K4741" s="2">
        <v>153</v>
      </c>
      <c r="L4741" s="2">
        <v>0</v>
      </c>
      <c r="M4741" s="2"/>
      <c r="N4741" s="8">
        <v>43328.360590277778</v>
      </c>
      <c r="O4741" s="4" t="s">
        <v>4119</v>
      </c>
      <c r="P4741" s="3" t="s">
        <v>4118</v>
      </c>
      <c r="Q4741" s="4"/>
      <c r="R4741" s="4"/>
      <c r="S4741" s="9" t="str">
        <f>HYPERLINK("https://pbs.twimg.com/profile_images/1029947065110077440/1kmwYA2k.jpg","View")</f>
        <v>View</v>
      </c>
    </row>
    <row r="4742" spans="1:19" ht="40">
      <c r="A4742" s="8">
        <v>43340.959386574075</v>
      </c>
      <c r="B4742" s="11" t="str">
        <f>HYPERLINK("https://twitter.com/hashtagban","@hashtagban")</f>
        <v>@hashtagban</v>
      </c>
      <c r="C4742" s="6" t="s">
        <v>4117</v>
      </c>
      <c r="D4742" s="5" t="s">
        <v>4116</v>
      </c>
      <c r="E4742" s="9" t="str">
        <f>HYPERLINK("https://twitter.com/hashtagban/status/1034508794020200448","1034508794020200448")</f>
        <v>1034508794020200448</v>
      </c>
      <c r="F4742" s="10" t="s">
        <v>4115</v>
      </c>
      <c r="G4742" s="10" t="s">
        <v>4114</v>
      </c>
      <c r="H4742" s="4"/>
      <c r="I4742" s="10" t="str">
        <f>HYPERLINK("https://hashtagban.com","hashtagban")</f>
        <v>hashtagban</v>
      </c>
      <c r="J4742" s="2">
        <v>580</v>
      </c>
      <c r="K4742" s="2">
        <v>0</v>
      </c>
      <c r="L4742" s="2">
        <v>6</v>
      </c>
      <c r="M4742" s="2"/>
      <c r="N4742" s="8">
        <v>43289.498113425929</v>
      </c>
      <c r="O4742" s="4"/>
      <c r="P4742" s="3" t="s">
        <v>4113</v>
      </c>
      <c r="Q4742" s="10" t="s">
        <v>4112</v>
      </c>
      <c r="R4742" s="4"/>
      <c r="S4742" s="9" t="str">
        <f>HYPERLINK("https://pbs.twimg.com/profile_images/1015960463132254208/jzT-0yUe.jpg","View")</f>
        <v>View</v>
      </c>
    </row>
    <row r="4743" spans="1:19" ht="30">
      <c r="A4743" s="8">
        <v>43340.959374999999</v>
      </c>
      <c r="B4743" s="11" t="str">
        <f>HYPERLINK("https://twitter.com/mfa_1374","@mfa_1374")</f>
        <v>@mfa_1374</v>
      </c>
      <c r="C4743" s="6" t="s">
        <v>4111</v>
      </c>
      <c r="D4743" s="5" t="s">
        <v>4110</v>
      </c>
      <c r="E4743" s="9" t="str">
        <f>HYPERLINK("https://twitter.com/mfa_1374/status/1034508790778028033","1034508790778028033")</f>
        <v>1034508790778028033</v>
      </c>
      <c r="F4743" s="4"/>
      <c r="G4743" s="4"/>
      <c r="H4743" s="4"/>
      <c r="I4743" s="10" t="str">
        <f>HYPERLINK("https://mobile.twitter.com","Twitter Lite")</f>
        <v>Twitter Lite</v>
      </c>
      <c r="J4743" s="2">
        <v>239</v>
      </c>
      <c r="K4743" s="2">
        <v>835</v>
      </c>
      <c r="L4743" s="2">
        <v>0</v>
      </c>
      <c r="M4743" s="2"/>
      <c r="N4743" s="8">
        <v>43064.951284722221</v>
      </c>
      <c r="O4743" s="4"/>
      <c r="P4743" s="3" t="s">
        <v>4109</v>
      </c>
      <c r="Q4743" s="4"/>
      <c r="R4743" s="4"/>
      <c r="S4743" s="9" t="str">
        <f>HYPERLINK("https://pbs.twimg.com/profile_images/934504605773217792/ZExaFjgL.jpg","View")</f>
        <v>View</v>
      </c>
    </row>
    <row r="4744" spans="1:19" ht="20">
      <c r="A4744" s="8">
        <v>43340.959224537037</v>
      </c>
      <c r="B4744" s="11" t="str">
        <f>HYPERLINK("https://twitter.com/a_great_teacher","@a_great_teacher")</f>
        <v>@a_great_teacher</v>
      </c>
      <c r="C4744" s="6" t="s">
        <v>4108</v>
      </c>
      <c r="D4744" s="5" t="s">
        <v>4107</v>
      </c>
      <c r="E4744" s="9" t="str">
        <f>HYPERLINK("https://twitter.com/a_great_teacher/status/1034508735962652673","1034508735962652673")</f>
        <v>1034508735962652673</v>
      </c>
      <c r="F4744" s="4"/>
      <c r="G4744" s="4"/>
      <c r="H4744" s="4"/>
      <c r="I4744" s="10" t="str">
        <f>HYPERLINK("http://twitter.com","Twitter Web Client")</f>
        <v>Twitter Web Client</v>
      </c>
      <c r="J4744" s="2">
        <v>760</v>
      </c>
      <c r="K4744" s="2">
        <v>330</v>
      </c>
      <c r="L4744" s="2">
        <v>3</v>
      </c>
      <c r="M4744" s="2"/>
      <c r="N4744" s="8">
        <v>42943.854224537034</v>
      </c>
      <c r="O4744" s="4" t="s">
        <v>2221</v>
      </c>
      <c r="P4744" s="3" t="s">
        <v>4106</v>
      </c>
      <c r="Q4744" s="4"/>
      <c r="R4744" s="4"/>
      <c r="S4744" s="9" t="str">
        <f>HYPERLINK("https://pbs.twimg.com/profile_images/1005171739859484672/YbTtzXxL.jpg","View")</f>
        <v>View</v>
      </c>
    </row>
    <row r="4745" spans="1:19" ht="20">
      <c r="A4745" s="8">
        <v>43340.958923611106</v>
      </c>
      <c r="B4745" s="11" t="str">
        <f>HYPERLINK("https://twitter.com/Cilavy_75","@Cilavy_75")</f>
        <v>@Cilavy_75</v>
      </c>
      <c r="C4745" s="6" t="s">
        <v>4105</v>
      </c>
      <c r="D4745" s="5" t="s">
        <v>4104</v>
      </c>
      <c r="E4745" s="9" t="str">
        <f>HYPERLINK("https://twitter.com/Cilavy_75/status/1034508627002974208","1034508627002974208")</f>
        <v>1034508627002974208</v>
      </c>
      <c r="F4745" s="4"/>
      <c r="G4745" s="10" t="s">
        <v>4103</v>
      </c>
      <c r="H4745" s="4"/>
      <c r="I4745" s="10" t="str">
        <f>HYPERLINK("http://twitter.com/download/android","Twitter for Android")</f>
        <v>Twitter for Android</v>
      </c>
      <c r="J4745" s="2">
        <v>738</v>
      </c>
      <c r="K4745" s="2">
        <v>752</v>
      </c>
      <c r="L4745" s="2">
        <v>1</v>
      </c>
      <c r="M4745" s="2"/>
      <c r="N4745" s="8">
        <v>42941.012129629627</v>
      </c>
      <c r="O4745" s="4" t="s">
        <v>4102</v>
      </c>
      <c r="P4745" s="3" t="s">
        <v>4101</v>
      </c>
      <c r="Q4745" s="4"/>
      <c r="R4745" s="4"/>
      <c r="S4745" s="9" t="str">
        <f>HYPERLINK("https://pbs.twimg.com/profile_images/991955509619183616/Qp8OK-z3.jpg","View")</f>
        <v>View</v>
      </c>
    </row>
    <row r="4746" spans="1:19" ht="70">
      <c r="A4746" s="8">
        <v>43340.958865740744</v>
      </c>
      <c r="B4746" s="11" t="str">
        <f>HYPERLINK("https://twitter.com/omidiaanhossein","@omidiaanhossein")</f>
        <v>@omidiaanhossein</v>
      </c>
      <c r="C4746" s="6" t="s">
        <v>4100</v>
      </c>
      <c r="D4746" s="5" t="s">
        <v>4099</v>
      </c>
      <c r="E4746" s="9" t="str">
        <f>HYPERLINK("https://twitter.com/omidiaanhossein/status/1034508605427466240","1034508605427466240")</f>
        <v>1034508605427466240</v>
      </c>
      <c r="F4746" s="10" t="s">
        <v>4098</v>
      </c>
      <c r="G4746" s="10" t="s">
        <v>4097</v>
      </c>
      <c r="H4746" s="4"/>
      <c r="I4746" s="10" t="str">
        <f>HYPERLINK("http://twitter.com/download/android","Twitter for Android")</f>
        <v>Twitter for Android</v>
      </c>
      <c r="J4746" s="2">
        <v>827</v>
      </c>
      <c r="K4746" s="2">
        <v>125</v>
      </c>
      <c r="L4746" s="2">
        <v>2</v>
      </c>
      <c r="M4746" s="2"/>
      <c r="N4746" s="8">
        <v>42861.451238425929</v>
      </c>
      <c r="O4746" s="4" t="s">
        <v>4096</v>
      </c>
      <c r="P4746" s="3" t="s">
        <v>4095</v>
      </c>
      <c r="Q4746" s="4"/>
      <c r="R4746" s="4"/>
      <c r="S4746" s="9" t="str">
        <f>HYPERLINK("https://pbs.twimg.com/profile_images/990529862145277953/6-7gESqw.jpg","View")</f>
        <v>View</v>
      </c>
    </row>
    <row r="4747" spans="1:19" ht="20">
      <c r="A4747" s="8">
        <v>43340.958506944444</v>
      </c>
      <c r="B4747" s="11" t="str">
        <f>HYPERLINK("https://twitter.com/dr_jeb12","@dr_jeb12")</f>
        <v>@dr_jeb12</v>
      </c>
      <c r="C4747" s="6" t="s">
        <v>4063</v>
      </c>
      <c r="D4747" s="5" t="s">
        <v>4094</v>
      </c>
      <c r="E4747" s="9" t="str">
        <f>HYPERLINK("https://twitter.com/dr_jeb12/status/1034508477220220928","1034508477220220928")</f>
        <v>1034508477220220928</v>
      </c>
      <c r="F4747" s="4"/>
      <c r="G4747" s="4"/>
      <c r="H4747" s="4"/>
      <c r="I4747" s="10" t="str">
        <f>HYPERLINK("http://twitter.com/download/android","Twitter for Android")</f>
        <v>Twitter for Android</v>
      </c>
      <c r="J4747" s="2">
        <v>255</v>
      </c>
      <c r="K4747" s="2">
        <v>282</v>
      </c>
      <c r="L4747" s="2">
        <v>1</v>
      </c>
      <c r="M4747" s="2"/>
      <c r="N4747" s="8">
        <v>41756.831655092596</v>
      </c>
      <c r="O4747" s="4" t="s">
        <v>4061</v>
      </c>
      <c r="P4747" s="3" t="s">
        <v>4060</v>
      </c>
      <c r="Q4747" s="4"/>
      <c r="R4747" s="4"/>
      <c r="S4747" s="9" t="str">
        <f>HYPERLINK("https://pbs.twimg.com/profile_images/947113714557358080/GlZ2uLbn.jpg","View")</f>
        <v>View</v>
      </c>
    </row>
    <row r="4748" spans="1:19" ht="12.5">
      <c r="A4748" s="8">
        <v>43340.958460648151</v>
      </c>
      <c r="B4748" s="11" t="str">
        <f>HYPERLINK("https://twitter.com/Downnwithlsrael","@Downnwithlsrael")</f>
        <v>@Downnwithlsrael</v>
      </c>
      <c r="C4748" s="6" t="s">
        <v>4093</v>
      </c>
      <c r="D4748" s="5" t="s">
        <v>4092</v>
      </c>
      <c r="E4748" s="9" t="str">
        <f>HYPERLINK("https://twitter.com/Downnwithlsrael/status/1034508460426227712","1034508460426227712")</f>
        <v>1034508460426227712</v>
      </c>
      <c r="F4748" s="4"/>
      <c r="G4748" s="10" t="s">
        <v>4091</v>
      </c>
      <c r="H4748" s="4"/>
      <c r="I4748" s="10" t="str">
        <f>HYPERLINK("http://twitter.com/download/android","Twitter for Android")</f>
        <v>Twitter for Android</v>
      </c>
      <c r="J4748" s="2">
        <v>1021</v>
      </c>
      <c r="K4748" s="2">
        <v>1612</v>
      </c>
      <c r="L4748" s="2">
        <v>0</v>
      </c>
      <c r="M4748" s="2"/>
      <c r="N4748" s="8">
        <v>43282.19940972222</v>
      </c>
      <c r="O4748" s="4"/>
      <c r="P4748" s="3" t="s">
        <v>4090</v>
      </c>
      <c r="Q4748" s="4"/>
      <c r="R4748" s="4"/>
      <c r="S4748" s="9" t="str">
        <f>HYPERLINK("https://pbs.twimg.com/profile_images/1030417435852197888/tk3ITlUn.jpg","View")</f>
        <v>View</v>
      </c>
    </row>
    <row r="4749" spans="1:19" ht="30">
      <c r="A4749" s="8">
        <v>43340.958240740743</v>
      </c>
      <c r="B4749" s="11" t="str">
        <f>HYPERLINK("https://twitter.com/peyman_mojarrad","@peyman_mojarrad")</f>
        <v>@peyman_mojarrad</v>
      </c>
      <c r="C4749" s="6" t="s">
        <v>4089</v>
      </c>
      <c r="D4749" s="5" t="s">
        <v>4088</v>
      </c>
      <c r="E4749" s="9" t="str">
        <f>HYPERLINK("https://twitter.com/peyman_mojarrad/status/1034508377194422274","1034508377194422274")</f>
        <v>1034508377194422274</v>
      </c>
      <c r="F4749" s="4"/>
      <c r="G4749" s="4"/>
      <c r="H4749" s="4"/>
      <c r="I4749" s="10" t="str">
        <f>HYPERLINK("http://twitter.com/download/android","Twitter for Android")</f>
        <v>Twitter for Android</v>
      </c>
      <c r="J4749" s="2">
        <v>34</v>
      </c>
      <c r="K4749" s="2">
        <v>102</v>
      </c>
      <c r="L4749" s="2">
        <v>0</v>
      </c>
      <c r="M4749" s="2"/>
      <c r="N4749" s="8">
        <v>43338.493379629625</v>
      </c>
      <c r="O4749" s="4" t="s">
        <v>17</v>
      </c>
      <c r="P4749" s="3" t="s">
        <v>4087</v>
      </c>
      <c r="Q4749" s="4"/>
      <c r="R4749" s="4"/>
      <c r="S4749" s="9" t="str">
        <f>HYPERLINK("https://pbs.twimg.com/profile_images/1033618392459227136/1OoyQlje.jpg","View")</f>
        <v>View</v>
      </c>
    </row>
    <row r="4750" spans="1:19" ht="20">
      <c r="A4750" s="8">
        <v>43340.957986111112</v>
      </c>
      <c r="B4750" s="11" t="str">
        <f>HYPERLINK("https://twitter.com/Alireza66902809","@Alireza66902809")</f>
        <v>@Alireza66902809</v>
      </c>
      <c r="C4750" s="6" t="s">
        <v>4034</v>
      </c>
      <c r="D4750" s="5" t="s">
        <v>4086</v>
      </c>
      <c r="E4750" s="9" t="str">
        <f>HYPERLINK("https://twitter.com/Alireza66902809/status/1034508288904376322","1034508288904376322")</f>
        <v>1034508288904376322</v>
      </c>
      <c r="F4750" s="4"/>
      <c r="G4750" s="4"/>
      <c r="H4750" s="4"/>
      <c r="I4750" s="10" t="str">
        <f>HYPERLINK("http://twitter.com/download/android","Twitter for Android")</f>
        <v>Twitter for Android</v>
      </c>
      <c r="J4750" s="2">
        <v>114</v>
      </c>
      <c r="K4750" s="2">
        <v>212</v>
      </c>
      <c r="L4750" s="2">
        <v>0</v>
      </c>
      <c r="M4750" s="2"/>
      <c r="N4750" s="8">
        <v>43229.029131944444</v>
      </c>
      <c r="O4750" s="4" t="s">
        <v>17</v>
      </c>
      <c r="P4750" s="3" t="s">
        <v>4032</v>
      </c>
      <c r="Q4750" s="4"/>
      <c r="R4750" s="4"/>
      <c r="S4750" s="9" t="str">
        <f>HYPERLINK("https://pbs.twimg.com/profile_images/993947228208320512/yGYYVxF7.jpg","View")</f>
        <v>View</v>
      </c>
    </row>
    <row r="4751" spans="1:19" ht="80">
      <c r="A4751" s="8">
        <v>43340.957870370374</v>
      </c>
      <c r="B4751" s="11" t="str">
        <f>HYPERLINK("https://twitter.com/pooriya_fazel68","@pooriya_fazel68")</f>
        <v>@pooriya_fazel68</v>
      </c>
      <c r="C4751" s="6" t="s">
        <v>1125</v>
      </c>
      <c r="D4751" s="5" t="s">
        <v>4085</v>
      </c>
      <c r="E4751" s="9" t="str">
        <f>HYPERLINK("https://twitter.com/pooriya_fazel68/status/1034508243068964864","1034508243068964864")</f>
        <v>1034508243068964864</v>
      </c>
      <c r="F4751" s="10" t="s">
        <v>4084</v>
      </c>
      <c r="G4751" s="10" t="s">
        <v>4083</v>
      </c>
      <c r="H4751" s="4"/>
      <c r="I4751" s="10" t="str">
        <f>HYPERLINK("http://twitter.com/download/android","Twitter for Android")</f>
        <v>Twitter for Android</v>
      </c>
      <c r="J4751" s="2">
        <v>250</v>
      </c>
      <c r="K4751" s="2">
        <v>303</v>
      </c>
      <c r="L4751" s="2">
        <v>0</v>
      </c>
      <c r="M4751" s="2"/>
      <c r="N4751" s="8">
        <v>41809.918877314813</v>
      </c>
      <c r="O4751" s="4"/>
      <c r="P4751" s="3" t="s">
        <v>1123</v>
      </c>
      <c r="Q4751" s="4"/>
      <c r="R4751" s="4"/>
      <c r="S4751" s="9" t="str">
        <f>HYPERLINK("https://pbs.twimg.com/profile_images/1034134829367996422/-Pcn-2zq.jpg","View")</f>
        <v>View</v>
      </c>
    </row>
    <row r="4752" spans="1:19" ht="20">
      <c r="A4752" s="8">
        <v>43340.957777777774</v>
      </c>
      <c r="B4752" s="11" t="str">
        <f>HYPERLINK("https://twitter.com/rezasedaghattt","@rezasedaghattt")</f>
        <v>@rezasedaghattt</v>
      </c>
      <c r="C4752" s="6" t="s">
        <v>4082</v>
      </c>
      <c r="D4752" s="5" t="s">
        <v>4081</v>
      </c>
      <c r="E4752" s="9" t="str">
        <f>HYPERLINK("https://twitter.com/rezasedaghattt/status/1034508209950810113","1034508209950810113")</f>
        <v>1034508209950810113</v>
      </c>
      <c r="F4752" s="4"/>
      <c r="G4752" s="4"/>
      <c r="H4752" s="4"/>
      <c r="I4752" s="10" t="str">
        <f>HYPERLINK("http://twitter.com/download/android","Twitter for Android")</f>
        <v>Twitter for Android</v>
      </c>
      <c r="J4752" s="2">
        <v>5252</v>
      </c>
      <c r="K4752" s="2">
        <v>5364</v>
      </c>
      <c r="L4752" s="2">
        <v>7</v>
      </c>
      <c r="M4752" s="2"/>
      <c r="N4752" s="8">
        <v>42760.839872685188</v>
      </c>
      <c r="O4752" s="4" t="s">
        <v>4080</v>
      </c>
      <c r="P4752" s="3" t="s">
        <v>4079</v>
      </c>
      <c r="Q4752" s="4"/>
      <c r="R4752" s="4"/>
      <c r="S4752" s="9" t="str">
        <f>HYPERLINK("https://pbs.twimg.com/profile_images/1024155447622811653/9VEvRfFL.jpg","View")</f>
        <v>View</v>
      </c>
    </row>
    <row r="4753" spans="1:19" ht="40">
      <c r="A4753" s="8">
        <v>43340.957743055551</v>
      </c>
      <c r="B4753" s="11" t="str">
        <f>HYPERLINK("https://twitter.com/mersadnews_ir","@mersadnews_ir")</f>
        <v>@mersadnews_ir</v>
      </c>
      <c r="C4753" s="6" t="s">
        <v>3586</v>
      </c>
      <c r="D4753" s="5" t="s">
        <v>4078</v>
      </c>
      <c r="E4753" s="9" t="str">
        <f>HYPERLINK("https://twitter.com/mersadnews_ir/status/1034508198840082433","1034508198840082433")</f>
        <v>1034508198840082433</v>
      </c>
      <c r="F4753" s="4"/>
      <c r="G4753" s="4"/>
      <c r="H4753" s="4"/>
      <c r="I4753" s="10" t="str">
        <f>HYPERLINK("http://twitter.com/download/android","Twitter for Android")</f>
        <v>Twitter for Android</v>
      </c>
      <c r="J4753" s="2">
        <v>1576</v>
      </c>
      <c r="K4753" s="2">
        <v>835</v>
      </c>
      <c r="L4753" s="2">
        <v>12</v>
      </c>
      <c r="M4753" s="2"/>
      <c r="N4753" s="8">
        <v>42248.572592592594</v>
      </c>
      <c r="O4753" s="4"/>
      <c r="P4753" s="3" t="s">
        <v>3584</v>
      </c>
      <c r="Q4753" s="4"/>
      <c r="R4753" s="4"/>
      <c r="S4753" s="9" t="str">
        <f>HYPERLINK("https://pbs.twimg.com/profile_images/951372057123741696/1KwF8zUA.jpg","View")</f>
        <v>View</v>
      </c>
    </row>
    <row r="4754" spans="1:19" ht="30">
      <c r="A4754" s="8">
        <v>43340.957743055551</v>
      </c>
      <c r="B4754" s="11" t="str">
        <f>HYPERLINK("https://twitter.com/BAwleaz","@BAwleaz")</f>
        <v>@BAwleaz</v>
      </c>
      <c r="C4754" s="6" t="s">
        <v>4077</v>
      </c>
      <c r="D4754" s="5" t="s">
        <v>4076</v>
      </c>
      <c r="E4754" s="9" t="str">
        <f>HYPERLINK("https://twitter.com/BAwleaz/status/1034508198017941504","1034508198017941504")</f>
        <v>1034508198017941504</v>
      </c>
      <c r="F4754" s="4"/>
      <c r="G4754" s="4"/>
      <c r="H4754" s="4"/>
      <c r="I4754" s="10" t="str">
        <f>HYPERLINK("https://mobile.twitter.com","Mobile Web (M2)")</f>
        <v>Mobile Web (M2)</v>
      </c>
      <c r="J4754" s="2">
        <v>77</v>
      </c>
      <c r="K4754" s="2">
        <v>149</v>
      </c>
      <c r="L4754" s="2">
        <v>0</v>
      </c>
      <c r="M4754" s="2"/>
      <c r="N4754" s="8">
        <v>42837.555798611109</v>
      </c>
      <c r="O4754" s="4" t="s">
        <v>324</v>
      </c>
      <c r="P4754" s="3"/>
      <c r="Q4754" s="4"/>
      <c r="R4754" s="4"/>
      <c r="S4754" s="2" t="s">
        <v>155</v>
      </c>
    </row>
    <row r="4755" spans="1:19" ht="20">
      <c r="A4755" s="8">
        <v>43340.957604166666</v>
      </c>
      <c r="B4755" s="11" t="str">
        <f>HYPERLINK("https://twitter.com/ardeshiramiri","@ardeshiramiri")</f>
        <v>@ardeshiramiri</v>
      </c>
      <c r="C4755" s="6" t="s">
        <v>3554</v>
      </c>
      <c r="D4755" s="5" t="s">
        <v>4075</v>
      </c>
      <c r="E4755" s="9" t="str">
        <f>HYPERLINK("https://twitter.com/ardeshiramiri/status/1034508148634251265","1034508148634251265")</f>
        <v>1034508148634251265</v>
      </c>
      <c r="F4755" s="4"/>
      <c r="G4755" s="4"/>
      <c r="H4755" s="4"/>
      <c r="I4755" s="10" t="str">
        <f>HYPERLINK("http://twitter.com/download/android","Twitter for Android")</f>
        <v>Twitter for Android</v>
      </c>
      <c r="J4755" s="2">
        <v>5642</v>
      </c>
      <c r="K4755" s="2">
        <v>27</v>
      </c>
      <c r="L4755" s="2">
        <v>27</v>
      </c>
      <c r="M4755" s="2"/>
      <c r="N4755" s="8">
        <v>42410.438009259262</v>
      </c>
      <c r="O4755" s="4" t="s">
        <v>3552</v>
      </c>
      <c r="P4755" s="3" t="s">
        <v>3551</v>
      </c>
      <c r="Q4755" s="4"/>
      <c r="R4755" s="4"/>
      <c r="S4755" s="9" t="str">
        <f>HYPERLINK("https://pbs.twimg.com/profile_images/799275337993650181/1Dganc4g.jpg","View")</f>
        <v>View</v>
      </c>
    </row>
    <row r="4756" spans="1:19" ht="30">
      <c r="A4756" s="8">
        <v>43340.957488425927</v>
      </c>
      <c r="B4756" s="11" t="str">
        <f>HYPERLINK("https://twitter.com/DavoodiShahin","@DavoodiShahin")</f>
        <v>@DavoodiShahin</v>
      </c>
      <c r="C4756" s="6" t="s">
        <v>4074</v>
      </c>
      <c r="D4756" s="5" t="s">
        <v>4073</v>
      </c>
      <c r="E4756" s="9" t="str">
        <f>HYPERLINK("https://twitter.com/DavoodiShahin/status/1034508107601330177","1034508107601330177")</f>
        <v>1034508107601330177</v>
      </c>
      <c r="F4756" s="4"/>
      <c r="G4756" s="4"/>
      <c r="H4756" s="4"/>
      <c r="I4756" s="10" t="str">
        <f>HYPERLINK("http://twitter.com/download/android","Twitter for Android")</f>
        <v>Twitter for Android</v>
      </c>
      <c r="J4756" s="2">
        <v>793</v>
      </c>
      <c r="K4756" s="2">
        <v>504</v>
      </c>
      <c r="L4756" s="2">
        <v>4</v>
      </c>
      <c r="M4756" s="2"/>
      <c r="N4756" s="8">
        <v>43077.357268518521</v>
      </c>
      <c r="O4756" s="4" t="s">
        <v>4072</v>
      </c>
      <c r="P4756" s="3" t="s">
        <v>4071</v>
      </c>
      <c r="Q4756" s="10" t="s">
        <v>4070</v>
      </c>
      <c r="R4756" s="4"/>
      <c r="S4756" s="9" t="str">
        <f>HYPERLINK("https://pbs.twimg.com/profile_images/947365309396250624/aQGphinI.jpg","View")</f>
        <v>View</v>
      </c>
    </row>
    <row r="4757" spans="1:19" ht="20">
      <c r="A4757" s="8">
        <v>43340.957418981481</v>
      </c>
      <c r="B4757" s="11" t="str">
        <f>HYPERLINK("https://twitter.com/moosa_hasanvand","@moosa_hasanvand")</f>
        <v>@moosa_hasanvand</v>
      </c>
      <c r="C4757" s="6" t="s">
        <v>4069</v>
      </c>
      <c r="D4757" s="5" t="s">
        <v>4068</v>
      </c>
      <c r="E4757" s="9" t="str">
        <f>HYPERLINK("https://twitter.com/moosa_hasanvand/status/1034508080086700038","1034508080086700038")</f>
        <v>1034508080086700038</v>
      </c>
      <c r="F4757" s="4"/>
      <c r="G4757" s="4"/>
      <c r="H4757" s="4"/>
      <c r="I4757" s="10" t="str">
        <f>HYPERLINK("http://twitter.com","Twitter Web Client")</f>
        <v>Twitter Web Client</v>
      </c>
      <c r="J4757" s="2">
        <v>124</v>
      </c>
      <c r="K4757" s="2">
        <v>484</v>
      </c>
      <c r="L4757" s="2">
        <v>0</v>
      </c>
      <c r="M4757" s="2"/>
      <c r="N4757" s="8">
        <v>42150.750706018516</v>
      </c>
      <c r="O4757" s="4" t="s">
        <v>682</v>
      </c>
      <c r="P4757" s="3" t="s">
        <v>4067</v>
      </c>
      <c r="Q4757" s="10" t="s">
        <v>4066</v>
      </c>
      <c r="R4757" s="4"/>
      <c r="S4757" s="9" t="str">
        <f>HYPERLINK("https://pbs.twimg.com/profile_images/954037515530448896/GzOjsEou.jpg","View")</f>
        <v>View</v>
      </c>
    </row>
    <row r="4758" spans="1:19" ht="40">
      <c r="A4758" s="8">
        <v>43340.957037037035</v>
      </c>
      <c r="B4758" s="11" t="str">
        <f>HYPERLINK("https://twitter.com/reza3712","@reza3712")</f>
        <v>@reza3712</v>
      </c>
      <c r="C4758" s="6" t="s">
        <v>4049</v>
      </c>
      <c r="D4758" s="5" t="s">
        <v>4065</v>
      </c>
      <c r="E4758" s="9" t="str">
        <f>HYPERLINK("https://twitter.com/reza3712/status/1034507941032939520","1034507941032939520")</f>
        <v>1034507941032939520</v>
      </c>
      <c r="F4758" s="10" t="s">
        <v>4064</v>
      </c>
      <c r="G4758" s="4"/>
      <c r="H4758" s="4"/>
      <c r="I4758" s="10" t="str">
        <f>HYPERLINK("http://twitter.com/download/android","Twitter for Android")</f>
        <v>Twitter for Android</v>
      </c>
      <c r="J4758" s="2">
        <v>727</v>
      </c>
      <c r="K4758" s="2">
        <v>977</v>
      </c>
      <c r="L4758" s="2">
        <v>3</v>
      </c>
      <c r="M4758" s="2"/>
      <c r="N4758" s="8">
        <v>41546.455104166671</v>
      </c>
      <c r="O4758" s="4"/>
      <c r="P4758" s="3" t="s">
        <v>4046</v>
      </c>
      <c r="Q4758" s="4"/>
      <c r="R4758" s="4"/>
      <c r="S4758" s="9" t="str">
        <f>HYPERLINK("https://pbs.twimg.com/profile_images/952076795158941696/z1HgjP6H.jpg","View")</f>
        <v>View</v>
      </c>
    </row>
    <row r="4759" spans="1:19" ht="20">
      <c r="A4759" s="8">
        <v>43340.956921296296</v>
      </c>
      <c r="B4759" s="11" t="str">
        <f>HYPERLINK("https://twitter.com/dr_jeb12","@dr_jeb12")</f>
        <v>@dr_jeb12</v>
      </c>
      <c r="C4759" s="6" t="s">
        <v>4063</v>
      </c>
      <c r="D4759" s="5" t="s">
        <v>4062</v>
      </c>
      <c r="E4759" s="9" t="str">
        <f>HYPERLINK("https://twitter.com/dr_jeb12/status/1034507900578934784","1034507900578934784")</f>
        <v>1034507900578934784</v>
      </c>
      <c r="F4759" s="4"/>
      <c r="G4759" s="4"/>
      <c r="H4759" s="4"/>
      <c r="I4759" s="10" t="str">
        <f>HYPERLINK("http://twitter.com/download/android","Twitter for Android")</f>
        <v>Twitter for Android</v>
      </c>
      <c r="J4759" s="2">
        <v>255</v>
      </c>
      <c r="K4759" s="2">
        <v>282</v>
      </c>
      <c r="L4759" s="2">
        <v>1</v>
      </c>
      <c r="M4759" s="2"/>
      <c r="N4759" s="8">
        <v>41756.831655092596</v>
      </c>
      <c r="O4759" s="4" t="s">
        <v>4061</v>
      </c>
      <c r="P4759" s="3" t="s">
        <v>4060</v>
      </c>
      <c r="Q4759" s="4"/>
      <c r="R4759" s="4"/>
      <c r="S4759" s="9" t="str">
        <f>HYPERLINK("https://pbs.twimg.com/profile_images/947113714557358080/GlZ2uLbn.jpg","View")</f>
        <v>View</v>
      </c>
    </row>
    <row r="4760" spans="1:19" ht="12.5">
      <c r="A4760" s="8">
        <v>43340.956516203703</v>
      </c>
      <c r="B4760" s="11" t="str">
        <f>HYPERLINK("https://twitter.com/akkas_bashiii","@akkas_bashiii")</f>
        <v>@akkas_bashiii</v>
      </c>
      <c r="C4760" s="6" t="s">
        <v>4059</v>
      </c>
      <c r="D4760" s="5" t="s">
        <v>4058</v>
      </c>
      <c r="E4760" s="9" t="str">
        <f>HYPERLINK("https://twitter.com/akkas_bashiii/status/1034507754935930883","1034507754935930883")</f>
        <v>1034507754935930883</v>
      </c>
      <c r="F4760" s="4"/>
      <c r="G4760" s="10" t="s">
        <v>4057</v>
      </c>
      <c r="H4760" s="4"/>
      <c r="I4760" s="10" t="str">
        <f>HYPERLINK("http://twitter.com/download/iphone","Twitter for iPhone")</f>
        <v>Twitter for iPhone</v>
      </c>
      <c r="J4760" s="2">
        <v>16</v>
      </c>
      <c r="K4760" s="2">
        <v>237</v>
      </c>
      <c r="L4760" s="2">
        <v>0</v>
      </c>
      <c r="M4760" s="2"/>
      <c r="N4760" s="8">
        <v>41580.659479166665</v>
      </c>
      <c r="O4760" s="4"/>
      <c r="P4760" s="3"/>
      <c r="Q4760" s="4"/>
      <c r="R4760" s="4"/>
      <c r="S4760" s="9" t="str">
        <f>HYPERLINK("https://pbs.twimg.com/profile_images/1020678408395804674/nvHPlOF1.jpg","View")</f>
        <v>View</v>
      </c>
    </row>
    <row r="4761" spans="1:19" ht="30">
      <c r="A4761" s="8">
        <v>43340.956203703703</v>
      </c>
      <c r="B4761" s="11" t="str">
        <f>HYPERLINK("https://twitter.com/mhamzeali","@mhamzeali")</f>
        <v>@mhamzeali</v>
      </c>
      <c r="C4761" s="6" t="s">
        <v>4056</v>
      </c>
      <c r="D4761" s="5" t="s">
        <v>4055</v>
      </c>
      <c r="E4761" s="9" t="str">
        <f>HYPERLINK("https://twitter.com/mhamzeali/status/1034507641152782337","1034507641152782337")</f>
        <v>1034507641152782337</v>
      </c>
      <c r="F4761" s="4"/>
      <c r="G4761" s="4"/>
      <c r="H4761" s="4"/>
      <c r="I4761" s="10" t="str">
        <f>HYPERLINK("http://twitter.com/download/android","Twitter for Android")</f>
        <v>Twitter for Android</v>
      </c>
      <c r="J4761" s="2">
        <v>1796</v>
      </c>
      <c r="K4761" s="2">
        <v>1490</v>
      </c>
      <c r="L4761" s="2">
        <v>13</v>
      </c>
      <c r="M4761" s="2"/>
      <c r="N4761" s="8">
        <v>42443.731689814813</v>
      </c>
      <c r="O4761" s="4" t="s">
        <v>682</v>
      </c>
      <c r="P4761" s="3" t="s">
        <v>4054</v>
      </c>
      <c r="Q4761" s="10" t="s">
        <v>4053</v>
      </c>
      <c r="R4761" s="4"/>
      <c r="S4761" s="9" t="str">
        <f>HYPERLINK("https://pbs.twimg.com/profile_images/1025795820401160192/MMfJtebF.jpg","View")</f>
        <v>View</v>
      </c>
    </row>
    <row r="4762" spans="1:19" ht="20">
      <c r="A4762" s="8">
        <v>43340.955925925926</v>
      </c>
      <c r="B4762" s="11" t="str">
        <f>HYPERLINK("https://twitter.com/mohandeseiran","@mohandeseiran")</f>
        <v>@mohandeseiran</v>
      </c>
      <c r="C4762" s="6" t="s">
        <v>4052</v>
      </c>
      <c r="D4762" s="5" t="s">
        <v>4051</v>
      </c>
      <c r="E4762" s="9" t="str">
        <f>HYPERLINK("https://twitter.com/mohandeseiran/status/1034507540631941120","1034507540631941120")</f>
        <v>1034507540631941120</v>
      </c>
      <c r="F4762" s="4"/>
      <c r="G4762" s="4"/>
      <c r="H4762" s="4"/>
      <c r="I4762" s="10" t="str">
        <f>HYPERLINK("http://twitter.com/download/android","Twitter for Android")</f>
        <v>Twitter for Android</v>
      </c>
      <c r="J4762" s="2">
        <v>2241</v>
      </c>
      <c r="K4762" s="2">
        <v>2216</v>
      </c>
      <c r="L4762" s="2">
        <v>4</v>
      </c>
      <c r="M4762" s="2"/>
      <c r="N4762" s="8">
        <v>42963.15424768519</v>
      </c>
      <c r="O4762" s="4" t="s">
        <v>34</v>
      </c>
      <c r="P4762" s="3" t="s">
        <v>4050</v>
      </c>
      <c r="Q4762" s="4"/>
      <c r="R4762" s="4"/>
      <c r="S4762" s="9" t="str">
        <f>HYPERLINK("https://pbs.twimg.com/profile_images/1030536358081646592/AF3e74tG.jpg","View")</f>
        <v>View</v>
      </c>
    </row>
    <row r="4763" spans="1:19" ht="60">
      <c r="A4763" s="8">
        <v>43340.955706018518</v>
      </c>
      <c r="B4763" s="11" t="str">
        <f>HYPERLINK("https://twitter.com/reza3712","@reza3712")</f>
        <v>@reza3712</v>
      </c>
      <c r="C4763" s="6" t="s">
        <v>4049</v>
      </c>
      <c r="D4763" s="5" t="s">
        <v>4048</v>
      </c>
      <c r="E4763" s="9" t="str">
        <f>HYPERLINK("https://twitter.com/reza3712/status/1034507462328635393","1034507462328635393")</f>
        <v>1034507462328635393</v>
      </c>
      <c r="F4763" s="10" t="s">
        <v>4047</v>
      </c>
      <c r="G4763" s="4"/>
      <c r="H4763" s="4"/>
      <c r="I4763" s="10" t="str">
        <f>HYPERLINK("http://twitter.com/download/android","Twitter for Android")</f>
        <v>Twitter for Android</v>
      </c>
      <c r="J4763" s="2">
        <v>727</v>
      </c>
      <c r="K4763" s="2">
        <v>977</v>
      </c>
      <c r="L4763" s="2">
        <v>3</v>
      </c>
      <c r="M4763" s="2"/>
      <c r="N4763" s="8">
        <v>41546.455104166671</v>
      </c>
      <c r="O4763" s="4"/>
      <c r="P4763" s="3" t="s">
        <v>4046</v>
      </c>
      <c r="Q4763" s="4"/>
      <c r="R4763" s="4"/>
      <c r="S4763" s="9" t="str">
        <f>HYPERLINK("https://pbs.twimg.com/profile_images/952076795158941696/z1HgjP6H.jpg","View")</f>
        <v>View</v>
      </c>
    </row>
    <row r="4764" spans="1:19" ht="30">
      <c r="A4764" s="8">
        <v>43340.955671296295</v>
      </c>
      <c r="B4764" s="11" t="str">
        <f>HYPERLINK("https://twitter.com/PersianPatriotX","@PersianPatriotX")</f>
        <v>@PersianPatriotX</v>
      </c>
      <c r="C4764" s="6" t="s">
        <v>3989</v>
      </c>
      <c r="D4764" s="5" t="s">
        <v>4045</v>
      </c>
      <c r="E4764" s="9" t="str">
        <f>HYPERLINK("https://twitter.com/PersianPatriotX/status/1034507449540247553","1034507449540247553")</f>
        <v>1034507449540247553</v>
      </c>
      <c r="F4764" s="4"/>
      <c r="G4764" s="10" t="s">
        <v>4044</v>
      </c>
      <c r="H4764" s="4"/>
      <c r="I4764" s="10" t="str">
        <f>HYPERLINK("http://twitter.com/download/android","Twitter for Android")</f>
        <v>Twitter for Android</v>
      </c>
      <c r="J4764" s="2">
        <v>149</v>
      </c>
      <c r="K4764" s="2">
        <v>210</v>
      </c>
      <c r="L4764" s="2">
        <v>2</v>
      </c>
      <c r="M4764" s="2"/>
      <c r="N4764" s="8">
        <v>41221.075960648144</v>
      </c>
      <c r="O4764" s="4" t="s">
        <v>1770</v>
      </c>
      <c r="P4764" s="3" t="s">
        <v>3986</v>
      </c>
      <c r="Q4764" s="10" t="s">
        <v>3985</v>
      </c>
      <c r="R4764" s="4"/>
      <c r="S4764" s="9" t="str">
        <f>HYPERLINK("https://pbs.twimg.com/profile_images/866280480181600258/aThE99ua.jpg","View")</f>
        <v>View</v>
      </c>
    </row>
    <row r="4765" spans="1:19" ht="30">
      <c r="A4765" s="8">
        <v>43340.955532407403</v>
      </c>
      <c r="B4765" s="11" t="str">
        <f>HYPERLINK("https://twitter.com/nasimegonoob","@nasimegonoob")</f>
        <v>@nasimegonoob</v>
      </c>
      <c r="C4765" s="6" t="s">
        <v>4043</v>
      </c>
      <c r="D4765" s="5" t="s">
        <v>4042</v>
      </c>
      <c r="E4765" s="9" t="str">
        <f>HYPERLINK("https://twitter.com/nasimegonoob/status/1034507398352920576","1034507398352920576")</f>
        <v>1034507398352920576</v>
      </c>
      <c r="F4765" s="4"/>
      <c r="G4765" s="10" t="s">
        <v>4041</v>
      </c>
      <c r="H4765" s="4"/>
      <c r="I4765" s="10" t="str">
        <f>HYPERLINK("http://twitter.com/download/android","Twitter for Android")</f>
        <v>Twitter for Android</v>
      </c>
      <c r="J4765" s="2">
        <v>2865</v>
      </c>
      <c r="K4765" s="2">
        <v>3742</v>
      </c>
      <c r="L4765" s="2">
        <v>5</v>
      </c>
      <c r="M4765" s="2"/>
      <c r="N4765" s="8">
        <v>43227.970277777778</v>
      </c>
      <c r="O4765" s="4"/>
      <c r="P4765" s="3" t="s">
        <v>4040</v>
      </c>
      <c r="Q4765" s="4"/>
      <c r="R4765" s="4"/>
      <c r="S4765" s="9" t="str">
        <f>HYPERLINK("https://pbs.twimg.com/profile_images/1000147359119085569/Nc9iAcO9.jpg","View")</f>
        <v>View</v>
      </c>
    </row>
    <row r="4766" spans="1:19" ht="30">
      <c r="A4766" s="8">
        <v>43340.955509259264</v>
      </c>
      <c r="B4766" s="11" t="str">
        <f>HYPERLINK("https://twitter.com/AkhbarFori","@AkhbarFori")</f>
        <v>@AkhbarFori</v>
      </c>
      <c r="C4766" s="6" t="s">
        <v>703</v>
      </c>
      <c r="D4766" s="5" t="s">
        <v>4039</v>
      </c>
      <c r="E4766" s="9" t="str">
        <f>HYPERLINK("https://twitter.com/AkhbarFori/status/1034507387565232130","1034507387565232130")</f>
        <v>1034507387565232130</v>
      </c>
      <c r="F4766" s="10" t="s">
        <v>4038</v>
      </c>
      <c r="G4766" s="4"/>
      <c r="H4766" s="4"/>
      <c r="I4766" s="10" t="str">
        <f>HYPERLINK("http://twitter.com/download/android","Twitter for Android")</f>
        <v>Twitter for Android</v>
      </c>
      <c r="J4766" s="2">
        <v>2270</v>
      </c>
      <c r="K4766" s="2">
        <v>56</v>
      </c>
      <c r="L4766" s="2">
        <v>10</v>
      </c>
      <c r="M4766" s="2"/>
      <c r="N4766" s="8">
        <v>42681.433865740742</v>
      </c>
      <c r="O4766" s="4" t="s">
        <v>34</v>
      </c>
      <c r="P4766" s="3" t="s">
        <v>700</v>
      </c>
      <c r="Q4766" s="10" t="s">
        <v>699</v>
      </c>
      <c r="R4766" s="4"/>
      <c r="S4766" s="9" t="str">
        <f>HYPERLINK("https://pbs.twimg.com/profile_images/966310274599964674/M_bW7CfD.jpg","View")</f>
        <v>View</v>
      </c>
    </row>
    <row r="4767" spans="1:19" ht="20">
      <c r="A4767" s="8">
        <v>43340.955451388887</v>
      </c>
      <c r="B4767" s="11" t="str">
        <f>HYPERLINK("https://twitter.com/yaghoobjan","@yaghoobjan")</f>
        <v>@yaghoobjan</v>
      </c>
      <c r="C4767" s="6" t="s">
        <v>4037</v>
      </c>
      <c r="D4767" s="5" t="s">
        <v>4036</v>
      </c>
      <c r="E4767" s="9" t="str">
        <f>HYPERLINK("https://twitter.com/yaghoobjan/status/1034507368229494784","1034507368229494784")</f>
        <v>1034507368229494784</v>
      </c>
      <c r="F4767" s="4"/>
      <c r="G4767" s="4"/>
      <c r="H4767" s="4"/>
      <c r="I4767" s="10" t="str">
        <f>HYPERLINK("http://twitter.com/download/android","Twitter for Android")</f>
        <v>Twitter for Android</v>
      </c>
      <c r="J4767" s="2">
        <v>13</v>
      </c>
      <c r="K4767" s="2">
        <v>11</v>
      </c>
      <c r="L4767" s="2">
        <v>0</v>
      </c>
      <c r="M4767" s="2"/>
      <c r="N4767" s="8">
        <v>43054.989421296297</v>
      </c>
      <c r="O4767" s="4" t="s">
        <v>17</v>
      </c>
      <c r="P4767" s="3" t="s">
        <v>4035</v>
      </c>
      <c r="Q4767" s="4"/>
      <c r="R4767" s="4"/>
      <c r="S4767" s="9" t="str">
        <f>HYPERLINK("https://pbs.twimg.com/profile_images/1032027951100035082/2eVKQgag.jpg","View")</f>
        <v>View</v>
      </c>
    </row>
    <row r="4768" spans="1:19" ht="30">
      <c r="A4768" s="8">
        <v>43340.955057870371</v>
      </c>
      <c r="B4768" s="11" t="str">
        <f>HYPERLINK("https://twitter.com/Alireza66902809","@Alireza66902809")</f>
        <v>@Alireza66902809</v>
      </c>
      <c r="C4768" s="6" t="s">
        <v>4034</v>
      </c>
      <c r="D4768" s="5" t="s">
        <v>4033</v>
      </c>
      <c r="E4768" s="9" t="str">
        <f>HYPERLINK("https://twitter.com/Alireza66902809/status/1034507224050225156","1034507224050225156")</f>
        <v>1034507224050225156</v>
      </c>
      <c r="F4768" s="4"/>
      <c r="G4768" s="4"/>
      <c r="H4768" s="4"/>
      <c r="I4768" s="10" t="str">
        <f>HYPERLINK("http://twitter.com/download/android","Twitter for Android")</f>
        <v>Twitter for Android</v>
      </c>
      <c r="J4768" s="2">
        <v>114</v>
      </c>
      <c r="K4768" s="2">
        <v>212</v>
      </c>
      <c r="L4768" s="2">
        <v>0</v>
      </c>
      <c r="M4768" s="2"/>
      <c r="N4768" s="8">
        <v>43229.029131944444</v>
      </c>
      <c r="O4768" s="4" t="s">
        <v>17</v>
      </c>
      <c r="P4768" s="3" t="s">
        <v>4032</v>
      </c>
      <c r="Q4768" s="4"/>
      <c r="R4768" s="4"/>
      <c r="S4768" s="9" t="str">
        <f>HYPERLINK("https://pbs.twimg.com/profile_images/993947228208320512/yGYYVxF7.jpg","View")</f>
        <v>View</v>
      </c>
    </row>
    <row r="4769" spans="1:19" ht="30">
      <c r="A4769" s="8">
        <v>43340.955011574071</v>
      </c>
      <c r="B4769" s="11" t="str">
        <f>HYPERLINK("https://twitter.com/atash_be_ekhtia","@atash_be_ekhtia")</f>
        <v>@atash_be_ekhtia</v>
      </c>
      <c r="C4769" s="6" t="s">
        <v>2644</v>
      </c>
      <c r="D4769" s="5" t="s">
        <v>4031</v>
      </c>
      <c r="E4769" s="9" t="str">
        <f>HYPERLINK("https://twitter.com/atash_be_ekhtia/status/1034507210724986881","1034507210724986881")</f>
        <v>1034507210724986881</v>
      </c>
      <c r="F4769" s="4"/>
      <c r="G4769" s="4"/>
      <c r="H4769" s="4"/>
      <c r="I4769" s="10" t="str">
        <f>HYPERLINK("http://twitter.com/download/android","Twitter for Android")</f>
        <v>Twitter for Android</v>
      </c>
      <c r="J4769" s="2">
        <v>254</v>
      </c>
      <c r="K4769" s="2">
        <v>354</v>
      </c>
      <c r="L4769" s="2">
        <v>0</v>
      </c>
      <c r="M4769" s="2"/>
      <c r="N4769" s="8">
        <v>43119.420775462961</v>
      </c>
      <c r="O4769" s="4" t="s">
        <v>2642</v>
      </c>
      <c r="P4769" s="3" t="s">
        <v>2641</v>
      </c>
      <c r="Q4769" s="4"/>
      <c r="R4769" s="4"/>
      <c r="S4769" s="9" t="str">
        <f>HYPERLINK("https://pbs.twimg.com/profile_images/993226038669971459/JZpaImb6.jpg","View")</f>
        <v>View</v>
      </c>
    </row>
    <row r="4770" spans="1:19" ht="30">
      <c r="A4770" s="8">
        <v>43340.954918981486</v>
      </c>
      <c r="B4770" s="11" t="str">
        <f>HYPERLINK("https://twitter.com/mohsen_pirhadi","@mohsen_pirhadi")</f>
        <v>@mohsen_pirhadi</v>
      </c>
      <c r="C4770" s="6" t="s">
        <v>4030</v>
      </c>
      <c r="D4770" s="5" t="s">
        <v>4029</v>
      </c>
      <c r="E4770" s="9" t="str">
        <f>HYPERLINK("https://twitter.com/mohsen_pirhadi/status/1034507173966045184","1034507173966045184")</f>
        <v>1034507173966045184</v>
      </c>
      <c r="F4770" s="4"/>
      <c r="G4770" s="4"/>
      <c r="H4770" s="4"/>
      <c r="I4770" s="10" t="str">
        <f>HYPERLINK("http://twitter.com/download/android","Twitter for Android")</f>
        <v>Twitter for Android</v>
      </c>
      <c r="J4770" s="2">
        <v>4288</v>
      </c>
      <c r="K4770" s="2">
        <v>219</v>
      </c>
      <c r="L4770" s="2">
        <v>43</v>
      </c>
      <c r="M4770" s="2"/>
      <c r="N4770" s="8">
        <v>42700.56722222222</v>
      </c>
      <c r="O4770" s="4" t="s">
        <v>310</v>
      </c>
      <c r="P4770" s="3" t="s">
        <v>4028</v>
      </c>
      <c r="Q4770" s="4"/>
      <c r="R4770" s="4"/>
      <c r="S4770" s="9" t="str">
        <f>HYPERLINK("https://pbs.twimg.com/profile_images/802510562227843073/GUi1HOM1.jpg","View")</f>
        <v>View</v>
      </c>
    </row>
    <row r="4771" spans="1:19" ht="40">
      <c r="A4771" s="8">
        <v>43340.954814814817</v>
      </c>
      <c r="B4771" s="11" t="str">
        <f>HYPERLINK("https://twitter.com/AfarinNikoo","@AfarinNikoo")</f>
        <v>@AfarinNikoo</v>
      </c>
      <c r="C4771" s="6" t="s">
        <v>4027</v>
      </c>
      <c r="D4771" s="5" t="s">
        <v>4026</v>
      </c>
      <c r="E4771" s="9" t="str">
        <f>HYPERLINK("https://twitter.com/AfarinNikoo/status/1034507135680491522","1034507135680491522")</f>
        <v>1034507135680491522</v>
      </c>
      <c r="F4771" s="4"/>
      <c r="G4771" s="10" t="s">
        <v>4025</v>
      </c>
      <c r="H4771" s="4"/>
      <c r="I4771" s="10" t="str">
        <f>HYPERLINK("http://twitter.com/download/android","Twitter for Android")</f>
        <v>Twitter for Android</v>
      </c>
      <c r="J4771" s="2">
        <v>13</v>
      </c>
      <c r="K4771" s="2">
        <v>18</v>
      </c>
      <c r="L4771" s="2">
        <v>0</v>
      </c>
      <c r="M4771" s="2"/>
      <c r="N4771" s="8">
        <v>43319.743900462963</v>
      </c>
      <c r="O4771" s="4"/>
      <c r="P4771" s="3"/>
      <c r="Q4771" s="4"/>
      <c r="R4771" s="4"/>
      <c r="S4771" s="9" t="str">
        <f>HYPERLINK("https://pbs.twimg.com/profile_images/1029053940367806464/N52E1yzv.jpg","View")</f>
        <v>View</v>
      </c>
    </row>
    <row r="4772" spans="1:19" ht="40">
      <c r="A4772" s="8">
        <v>43340.95480324074</v>
      </c>
      <c r="B4772" s="11" t="str">
        <f>HYPERLINK("https://twitter.com/MAHDI04709122","@MAHDI04709122")</f>
        <v>@MAHDI04709122</v>
      </c>
      <c r="C4772" s="6" t="s">
        <v>4024</v>
      </c>
      <c r="D4772" s="5" t="s">
        <v>4023</v>
      </c>
      <c r="E4772" s="9" t="str">
        <f>HYPERLINK("https://twitter.com/MAHDI04709122/status/1034507131892977666","1034507131892977666")</f>
        <v>1034507131892977666</v>
      </c>
      <c r="F4772" s="4"/>
      <c r="G4772" s="4"/>
      <c r="H4772" s="4"/>
      <c r="I4772" s="10" t="str">
        <f>HYPERLINK("http://twitter.com/download/android","Twitter for Android")</f>
        <v>Twitter for Android</v>
      </c>
      <c r="J4772" s="2">
        <v>32</v>
      </c>
      <c r="K4772" s="2">
        <v>46</v>
      </c>
      <c r="L4772" s="2">
        <v>0</v>
      </c>
      <c r="M4772" s="2"/>
      <c r="N4772" s="8">
        <v>43284.136226851857</v>
      </c>
      <c r="O4772" s="4" t="s">
        <v>17</v>
      </c>
      <c r="P4772" s="3" t="s">
        <v>4022</v>
      </c>
      <c r="Q4772" s="4"/>
      <c r="R4772" s="4"/>
      <c r="S4772" s="9" t="str">
        <f>HYPERLINK("https://pbs.twimg.com/profile_images/1031996008652304384/V_hxNDiP.jpg","View")</f>
        <v>View</v>
      </c>
    </row>
    <row r="4773" spans="1:19" ht="30">
      <c r="A4773" s="8">
        <v>43340.954733796301</v>
      </c>
      <c r="B4773" s="11" t="str">
        <f>HYPERLINK("https://twitter.com/demokracy","@demokracy")</f>
        <v>@demokracy</v>
      </c>
      <c r="C4773" s="6" t="s">
        <v>4021</v>
      </c>
      <c r="D4773" s="5" t="s">
        <v>4020</v>
      </c>
      <c r="E4773" s="9" t="str">
        <f>HYPERLINK("https://twitter.com/demokracy/status/1034507107998093319","1034507107998093319")</f>
        <v>1034507107998093319</v>
      </c>
      <c r="F4773" s="4"/>
      <c r="G4773" s="4"/>
      <c r="H4773" s="4"/>
      <c r="I4773" s="10" t="str">
        <f>HYPERLINK("http://twitter.com/download/iphone","Twitter for iPhone")</f>
        <v>Twitter for iPhone</v>
      </c>
      <c r="J4773" s="2">
        <v>2157</v>
      </c>
      <c r="K4773" s="2">
        <v>829</v>
      </c>
      <c r="L4773" s="2">
        <v>13</v>
      </c>
      <c r="M4773" s="2"/>
      <c r="N4773" s="8">
        <v>39852.540347222224</v>
      </c>
      <c r="O4773" s="4" t="s">
        <v>324</v>
      </c>
      <c r="P4773" s="3" t="s">
        <v>4019</v>
      </c>
      <c r="Q4773" s="4"/>
      <c r="R4773" s="4"/>
      <c r="S4773" s="9" t="str">
        <f>HYPERLINK("https://pbs.twimg.com/profile_images/972720470641598464/k64X46SR.jpg","View")</f>
        <v>View</v>
      </c>
    </row>
    <row r="4774" spans="1:19" ht="30">
      <c r="A4774" s="8">
        <v>43340.954675925925</v>
      </c>
      <c r="B4774" s="11" t="str">
        <f>HYPERLINK("https://twitter.com/shahinshayea","@shahinshayea")</f>
        <v>@shahinshayea</v>
      </c>
      <c r="C4774" s="6" t="s">
        <v>4018</v>
      </c>
      <c r="D4774" s="5" t="s">
        <v>4017</v>
      </c>
      <c r="E4774" s="9" t="str">
        <f>HYPERLINK("https://twitter.com/shahinshayea/status/1034507086804205568","1034507086804205568")</f>
        <v>1034507086804205568</v>
      </c>
      <c r="F4774" s="4"/>
      <c r="G4774" s="4"/>
      <c r="H4774" s="4"/>
      <c r="I4774" s="10" t="str">
        <f>HYPERLINK("http://twitter.com/download/android","Twitter for Android")</f>
        <v>Twitter for Android</v>
      </c>
      <c r="J4774" s="2">
        <v>2111</v>
      </c>
      <c r="K4774" s="2">
        <v>2421</v>
      </c>
      <c r="L4774" s="2">
        <v>1</v>
      </c>
      <c r="M4774" s="2"/>
      <c r="N4774" s="8">
        <v>43305.017557870371</v>
      </c>
      <c r="O4774" s="4" t="s">
        <v>4016</v>
      </c>
      <c r="P4774" s="3" t="s">
        <v>4015</v>
      </c>
      <c r="Q4774" s="4"/>
      <c r="R4774" s="4"/>
      <c r="S4774" s="9" t="str">
        <f>HYPERLINK("https://pbs.twimg.com/profile_images/1031152226956390400/4NwL2VTk.jpg","View")</f>
        <v>View</v>
      </c>
    </row>
    <row r="4775" spans="1:19" ht="30">
      <c r="A4775" s="8">
        <v>43340.954340277778</v>
      </c>
      <c r="B4775" s="11" t="str">
        <f>HYPERLINK("https://twitter.com/gordafa31686555","@gordafa31686555")</f>
        <v>@gordafa31686555</v>
      </c>
      <c r="C4775" s="6" t="s">
        <v>4014</v>
      </c>
      <c r="D4775" s="5" t="s">
        <v>4013</v>
      </c>
      <c r="E4775" s="9" t="str">
        <f>HYPERLINK("https://twitter.com/gordafa31686555/status/1034506965160996864","1034506965160996864")</f>
        <v>1034506965160996864</v>
      </c>
      <c r="F4775" s="4"/>
      <c r="G4775" s="10" t="s">
        <v>4012</v>
      </c>
      <c r="H4775" s="4"/>
      <c r="I4775" s="10" t="str">
        <f>HYPERLINK("http://twitter.com/download/android","Twitter for Android")</f>
        <v>Twitter for Android</v>
      </c>
      <c r="J4775" s="2">
        <v>245</v>
      </c>
      <c r="K4775" s="2">
        <v>159</v>
      </c>
      <c r="L4775" s="2">
        <v>0</v>
      </c>
      <c r="M4775" s="2"/>
      <c r="N4775" s="8">
        <v>43295.715254629627</v>
      </c>
      <c r="O4775" s="4"/>
      <c r="P4775" s="3" t="s">
        <v>4011</v>
      </c>
      <c r="Q4775" s="4"/>
      <c r="R4775" s="4"/>
      <c r="S4775" s="9" t="str">
        <f>HYPERLINK("https://pbs.twimg.com/profile_images/1019904983196733446/BsCfNPhl.jpg","View")</f>
        <v>View</v>
      </c>
    </row>
    <row r="4776" spans="1:19" ht="30">
      <c r="A4776" s="8">
        <v>43340.953773148147</v>
      </c>
      <c r="B4776" s="11" t="str">
        <f>HYPERLINK("https://twitter.com/alishaeri89","@alishaeri89")</f>
        <v>@alishaeri89</v>
      </c>
      <c r="C4776" s="6" t="s">
        <v>1787</v>
      </c>
      <c r="D4776" s="5" t="s">
        <v>4010</v>
      </c>
      <c r="E4776" s="9" t="str">
        <f>HYPERLINK("https://twitter.com/alishaeri89/status/1034506761061974016","1034506761061974016")</f>
        <v>1034506761061974016</v>
      </c>
      <c r="F4776" s="4"/>
      <c r="G4776" s="4"/>
      <c r="H4776" s="4"/>
      <c r="I4776" s="10" t="str">
        <f>HYPERLINK("http://twitter.com/download/android","Twitter for Android")</f>
        <v>Twitter for Android</v>
      </c>
      <c r="J4776" s="2">
        <v>1179</v>
      </c>
      <c r="K4776" s="2">
        <v>1164</v>
      </c>
      <c r="L4776" s="2">
        <v>2</v>
      </c>
      <c r="M4776" s="2"/>
      <c r="N4776" s="8">
        <v>43248.747106481482</v>
      </c>
      <c r="O4776" s="4" t="s">
        <v>17</v>
      </c>
      <c r="P4776" s="3" t="s">
        <v>1784</v>
      </c>
      <c r="Q4776" s="4"/>
      <c r="R4776" s="4"/>
      <c r="S4776" s="9" t="str">
        <f>HYPERLINK("https://pbs.twimg.com/profile_images/1019917938999070720/VqHRCseB.jpg","View")</f>
        <v>View</v>
      </c>
    </row>
    <row r="4777" spans="1:19" ht="30">
      <c r="A4777" s="8">
        <v>43340.953680555554</v>
      </c>
      <c r="B4777" s="11" t="str">
        <f>HYPERLINK("https://twitter.com/PersianPatriotX","@PersianPatriotX")</f>
        <v>@PersianPatriotX</v>
      </c>
      <c r="C4777" s="6" t="s">
        <v>3989</v>
      </c>
      <c r="D4777" s="5" t="s">
        <v>4009</v>
      </c>
      <c r="E4777" s="9" t="str">
        <f>HYPERLINK("https://twitter.com/PersianPatriotX/status/1034506725645271041","1034506725645271041")</f>
        <v>1034506725645271041</v>
      </c>
      <c r="F4777" s="4"/>
      <c r="G4777" s="10" t="s">
        <v>4008</v>
      </c>
      <c r="H4777" s="4"/>
      <c r="I4777" s="10" t="str">
        <f>HYPERLINK("http://twitter.com/download/android","Twitter for Android")</f>
        <v>Twitter for Android</v>
      </c>
      <c r="J4777" s="2">
        <v>149</v>
      </c>
      <c r="K4777" s="2">
        <v>210</v>
      </c>
      <c r="L4777" s="2">
        <v>2</v>
      </c>
      <c r="M4777" s="2"/>
      <c r="N4777" s="8">
        <v>41221.075960648144</v>
      </c>
      <c r="O4777" s="4" t="s">
        <v>1770</v>
      </c>
      <c r="P4777" s="3" t="s">
        <v>3986</v>
      </c>
      <c r="Q4777" s="10" t="s">
        <v>3985</v>
      </c>
      <c r="R4777" s="4"/>
      <c r="S4777" s="9" t="str">
        <f>HYPERLINK("https://pbs.twimg.com/profile_images/866280480181600258/aThE99ua.jpg","View")</f>
        <v>View</v>
      </c>
    </row>
    <row r="4778" spans="1:19" ht="20">
      <c r="A4778" s="8">
        <v>43340.953171296293</v>
      </c>
      <c r="B4778" s="11" t="str">
        <f>HYPERLINK("https://twitter.com/proffBaltazar","@proffBaltazar")</f>
        <v>@proffBaltazar</v>
      </c>
      <c r="C4778" s="6" t="s">
        <v>4007</v>
      </c>
      <c r="D4778" s="5" t="s">
        <v>4006</v>
      </c>
      <c r="E4778" s="9" t="str">
        <f>HYPERLINK("https://twitter.com/proffBaltazar/status/1034506543444762624","1034506543444762624")</f>
        <v>1034506543444762624</v>
      </c>
      <c r="F4778" s="4"/>
      <c r="G4778" s="4"/>
      <c r="H4778" s="4"/>
      <c r="I4778" s="10" t="str">
        <f>HYPERLINK("http://twitter.com","Twitter Web Client")</f>
        <v>Twitter Web Client</v>
      </c>
      <c r="J4778" s="2">
        <v>18</v>
      </c>
      <c r="K4778" s="2">
        <v>6</v>
      </c>
      <c r="L4778" s="2">
        <v>0</v>
      </c>
      <c r="M4778" s="2"/>
      <c r="N4778" s="8">
        <v>40073.657372685186</v>
      </c>
      <c r="O4778" s="4"/>
      <c r="P4778" s="3" t="s">
        <v>4005</v>
      </c>
      <c r="Q4778" s="4"/>
      <c r="R4778" s="4"/>
      <c r="S4778" s="9" t="str">
        <f>HYPERLINK("https://pbs.twimg.com/profile_images/1030921099209408513/g5KGRo9A.jpg","View")</f>
        <v>View</v>
      </c>
    </row>
    <row r="4779" spans="1:19" ht="30">
      <c r="A4779" s="8">
        <v>43340.952939814815</v>
      </c>
      <c r="B4779" s="11" t="str">
        <f>HYPERLINK("https://twitter.com/h_abdolmanafi","@h_abdolmanafi")</f>
        <v>@h_abdolmanafi</v>
      </c>
      <c r="C4779" s="6" t="s">
        <v>1257</v>
      </c>
      <c r="D4779" s="5" t="s">
        <v>4004</v>
      </c>
      <c r="E4779" s="9" t="str">
        <f>HYPERLINK("https://twitter.com/h_abdolmanafi/status/1034506456492658689","1034506456492658689")</f>
        <v>1034506456492658689</v>
      </c>
      <c r="F4779" s="4"/>
      <c r="G4779" s="4"/>
      <c r="H4779" s="4"/>
      <c r="I4779" s="10" t="str">
        <f>HYPERLINK("http://twitter.com/download/android","Twitter for Android")</f>
        <v>Twitter for Android</v>
      </c>
      <c r="J4779" s="2">
        <v>2315</v>
      </c>
      <c r="K4779" s="2">
        <v>1985</v>
      </c>
      <c r="L4779" s="2">
        <v>9</v>
      </c>
      <c r="M4779" s="2"/>
      <c r="N4779" s="8">
        <v>42744.643518518518</v>
      </c>
      <c r="O4779" s="4" t="s">
        <v>17</v>
      </c>
      <c r="P4779" s="3" t="s">
        <v>1255</v>
      </c>
      <c r="Q4779" s="4"/>
      <c r="R4779" s="4"/>
      <c r="S4779" s="9" t="str">
        <f>HYPERLINK("https://pbs.twimg.com/profile_images/1034273035132563458/5cIwQ75C.jpg","View")</f>
        <v>View</v>
      </c>
    </row>
    <row r="4780" spans="1:19" ht="20">
      <c r="A4780" s="8">
        <v>43340.952800925923</v>
      </c>
      <c r="B4780" s="11" t="str">
        <f>HYPERLINK("https://twitter.com/ShamimeSobh","@ShamimeSobh")</f>
        <v>@ShamimeSobh</v>
      </c>
      <c r="C4780" s="6" t="s">
        <v>4003</v>
      </c>
      <c r="D4780" s="5" t="s">
        <v>4002</v>
      </c>
      <c r="E4780" s="9" t="str">
        <f>HYPERLINK("https://twitter.com/ShamimeSobh/status/1034506409902260224","1034506409902260224")</f>
        <v>1034506409902260224</v>
      </c>
      <c r="F4780" s="4"/>
      <c r="G4780" s="4"/>
      <c r="H4780" s="4"/>
      <c r="I4780" s="10" t="str">
        <f>HYPERLINK("http://twitter.com/download/android","Twitter for Android")</f>
        <v>Twitter for Android</v>
      </c>
      <c r="J4780" s="2">
        <v>289</v>
      </c>
      <c r="K4780" s="2">
        <v>274</v>
      </c>
      <c r="L4780" s="2">
        <v>1</v>
      </c>
      <c r="M4780" s="2"/>
      <c r="N4780" s="8">
        <v>43305.441562499997</v>
      </c>
      <c r="O4780" s="4" t="s">
        <v>4001</v>
      </c>
      <c r="P4780" s="3"/>
      <c r="Q4780" s="4"/>
      <c r="R4780" s="4"/>
      <c r="S4780" s="9" t="str">
        <f>HYPERLINK("https://pbs.twimg.com/profile_images/1022085883498037249/PTRjVWOj.jpg","View")</f>
        <v>View</v>
      </c>
    </row>
    <row r="4781" spans="1:19" ht="40">
      <c r="A4781" s="8">
        <v>43340.952349537038</v>
      </c>
      <c r="B4781" s="11" t="str">
        <f>HYPERLINK("https://twitter.com/Amin_GHobadi","@Amin_GHobadi")</f>
        <v>@Amin_GHobadi</v>
      </c>
      <c r="C4781" s="6" t="s">
        <v>4000</v>
      </c>
      <c r="D4781" s="5" t="s">
        <v>3999</v>
      </c>
      <c r="E4781" s="9" t="str">
        <f>HYPERLINK("https://twitter.com/Amin_GHobadi/status/1034506245623955456","1034506245623955456")</f>
        <v>1034506245623955456</v>
      </c>
      <c r="F4781" s="4"/>
      <c r="G4781" s="4"/>
      <c r="H4781" s="4"/>
      <c r="I4781" s="10" t="str">
        <f>HYPERLINK("http://twitter.com/download/iphone","Twitter for iPhone")</f>
        <v>Twitter for iPhone</v>
      </c>
      <c r="J4781" s="2">
        <v>232</v>
      </c>
      <c r="K4781" s="2">
        <v>789</v>
      </c>
      <c r="L4781" s="2">
        <v>0</v>
      </c>
      <c r="M4781" s="2"/>
      <c r="N4781" s="8">
        <v>43117.11273148148</v>
      </c>
      <c r="O4781" s="4" t="s">
        <v>1415</v>
      </c>
      <c r="P4781" s="3" t="s">
        <v>3998</v>
      </c>
      <c r="Q4781" s="4"/>
      <c r="R4781" s="4"/>
      <c r="S4781" s="9" t="str">
        <f>HYPERLINK("https://pbs.twimg.com/profile_images/953408170977890307/TO8tvUEh.jpg","View")</f>
        <v>View</v>
      </c>
    </row>
    <row r="4782" spans="1:19" ht="30">
      <c r="A4782" s="8">
        <v>43340.952337962968</v>
      </c>
      <c r="B4782" s="11" t="str">
        <f>HYPERLINK("https://twitter.com/AA171410","@AA171410")</f>
        <v>@AA171410</v>
      </c>
      <c r="C4782" s="6" t="s">
        <v>3997</v>
      </c>
      <c r="D4782" s="5" t="s">
        <v>3996</v>
      </c>
      <c r="E4782" s="9" t="str">
        <f>HYPERLINK("https://twitter.com/AA171410/status/1034506241765195777","1034506241765195777")</f>
        <v>1034506241765195777</v>
      </c>
      <c r="F4782" s="4"/>
      <c r="G4782" s="4"/>
      <c r="H4782" s="4"/>
      <c r="I4782" s="10" t="str">
        <f>HYPERLINK("http://twitter.com/download/android","Twitter for Android")</f>
        <v>Twitter for Android</v>
      </c>
      <c r="J4782" s="2">
        <v>1161</v>
      </c>
      <c r="K4782" s="2">
        <v>1548</v>
      </c>
      <c r="L4782" s="2">
        <v>2</v>
      </c>
      <c r="M4782" s="2"/>
      <c r="N4782" s="8">
        <v>41269.732812499999</v>
      </c>
      <c r="O4782" s="4" t="s">
        <v>3995</v>
      </c>
      <c r="P4782" s="3" t="s">
        <v>3994</v>
      </c>
      <c r="Q4782" s="4"/>
      <c r="R4782" s="4"/>
      <c r="S4782" s="9" t="str">
        <f>HYPERLINK("https://pbs.twimg.com/profile_images/1026004594852286465/jtIqzPIr.jpg","View")</f>
        <v>View</v>
      </c>
    </row>
    <row r="4783" spans="1:19" ht="40">
      <c r="A4783" s="8">
        <v>43340.951689814814</v>
      </c>
      <c r="B4783" s="11" t="str">
        <f>HYPERLINK("https://twitter.com/Mrezaa1211","@Mrezaa1211")</f>
        <v>@Mrezaa1211</v>
      </c>
      <c r="C4783" s="6" t="s">
        <v>3993</v>
      </c>
      <c r="D4783" s="5" t="s">
        <v>3992</v>
      </c>
      <c r="E4783" s="9" t="str">
        <f>HYPERLINK("https://twitter.com/Mrezaa1211/status/1034506004883533824","1034506004883533824")</f>
        <v>1034506004883533824</v>
      </c>
      <c r="F4783" s="4"/>
      <c r="G4783" s="4"/>
      <c r="H4783" s="4"/>
      <c r="I4783" s="10" t="str">
        <f>HYPERLINK("http://twitter.com/download/android","Twitter for Android")</f>
        <v>Twitter for Android</v>
      </c>
      <c r="J4783" s="2">
        <v>95</v>
      </c>
      <c r="K4783" s="2">
        <v>180</v>
      </c>
      <c r="L4783" s="2">
        <v>1</v>
      </c>
      <c r="M4783" s="2"/>
      <c r="N4783" s="8">
        <v>42828.01457175926</v>
      </c>
      <c r="O4783" s="4" t="s">
        <v>894</v>
      </c>
      <c r="P4783" s="3" t="s">
        <v>3991</v>
      </c>
      <c r="Q4783" s="10" t="s">
        <v>3990</v>
      </c>
      <c r="R4783" s="4"/>
      <c r="S4783" s="9" t="str">
        <f>HYPERLINK("https://pbs.twimg.com/profile_images/953044560887930881/Ox8zj6kG.jpg","View")</f>
        <v>View</v>
      </c>
    </row>
    <row r="4784" spans="1:19" ht="40">
      <c r="A4784" s="8">
        <v>43340.950960648144</v>
      </c>
      <c r="B4784" s="11" t="str">
        <f>HYPERLINK("https://twitter.com/PersianPatriotX","@PersianPatriotX")</f>
        <v>@PersianPatriotX</v>
      </c>
      <c r="C4784" s="6" t="s">
        <v>3989</v>
      </c>
      <c r="D4784" s="5" t="s">
        <v>3988</v>
      </c>
      <c r="E4784" s="9" t="str">
        <f>HYPERLINK("https://twitter.com/PersianPatriotX/status/1034505741070217216","1034505741070217216")</f>
        <v>1034505741070217216</v>
      </c>
      <c r="F4784" s="4"/>
      <c r="G4784" s="10" t="s">
        <v>3987</v>
      </c>
      <c r="H4784" s="4"/>
      <c r="I4784" s="10" t="str">
        <f>HYPERLINK("http://twitter.com/download/android","Twitter for Android")</f>
        <v>Twitter for Android</v>
      </c>
      <c r="J4784" s="2">
        <v>149</v>
      </c>
      <c r="K4784" s="2">
        <v>210</v>
      </c>
      <c r="L4784" s="2">
        <v>2</v>
      </c>
      <c r="M4784" s="2"/>
      <c r="N4784" s="8">
        <v>41221.075960648144</v>
      </c>
      <c r="O4784" s="4" t="s">
        <v>1770</v>
      </c>
      <c r="P4784" s="3" t="s">
        <v>3986</v>
      </c>
      <c r="Q4784" s="10" t="s">
        <v>3985</v>
      </c>
      <c r="R4784" s="4"/>
      <c r="S4784" s="9" t="str">
        <f>HYPERLINK("https://pbs.twimg.com/profile_images/866280480181600258/aThE99ua.jpg","View")</f>
        <v>View</v>
      </c>
    </row>
    <row r="4785" spans="1:19" ht="20">
      <c r="A4785" s="8">
        <v>43340.950856481482</v>
      </c>
      <c r="B4785" s="11" t="str">
        <f>HYPERLINK("https://twitter.com/teclamachenko","@teclamachenko")</f>
        <v>@teclamachenko</v>
      </c>
      <c r="C4785" s="6" t="s">
        <v>3984</v>
      </c>
      <c r="D4785" s="5" t="s">
        <v>3983</v>
      </c>
      <c r="E4785" s="9" t="str">
        <f>HYPERLINK("https://twitter.com/teclamachenko/status/1034505702948196352","1034505702948196352")</f>
        <v>1034505702948196352</v>
      </c>
      <c r="F4785" s="4"/>
      <c r="G4785" s="4"/>
      <c r="H4785" s="4"/>
      <c r="I4785" s="10" t="str">
        <f>HYPERLINK("http://twitter.com/download/android","Twitter for Android")</f>
        <v>Twitter for Android</v>
      </c>
      <c r="J4785" s="2">
        <v>3755</v>
      </c>
      <c r="K4785" s="2">
        <v>936</v>
      </c>
      <c r="L4785" s="2">
        <v>16</v>
      </c>
      <c r="M4785" s="2"/>
      <c r="N4785" s="8">
        <v>42912.16878472222</v>
      </c>
      <c r="O4785" s="4" t="s">
        <v>3982</v>
      </c>
      <c r="P4785" s="3" t="s">
        <v>3981</v>
      </c>
      <c r="Q4785" s="4"/>
      <c r="R4785" s="4"/>
      <c r="S4785" s="9" t="str">
        <f>HYPERLINK("https://pbs.twimg.com/profile_images/994479360253063170/6rT51vV9.jpg","View")</f>
        <v>View</v>
      </c>
    </row>
    <row r="4786" spans="1:19" ht="70">
      <c r="A4786" s="8">
        <v>43340.950798611113</v>
      </c>
      <c r="B4786" s="11" t="str">
        <f>HYPERLINK("https://twitter.com/Hadi_167","@Hadi_167")</f>
        <v>@Hadi_167</v>
      </c>
      <c r="C4786" s="6" t="s">
        <v>3980</v>
      </c>
      <c r="D4786" s="5" t="s">
        <v>3979</v>
      </c>
      <c r="E4786" s="9" t="str">
        <f>HYPERLINK("https://twitter.com/Hadi_167/status/1034505681527820293","1034505681527820293")</f>
        <v>1034505681527820293</v>
      </c>
      <c r="F4786" s="10" t="s">
        <v>3978</v>
      </c>
      <c r="G4786" s="4"/>
      <c r="H4786" s="4"/>
      <c r="I4786" s="10" t="str">
        <f>HYPERLINK("http://twitter.com/download/android","Twitter for Android")</f>
        <v>Twitter for Android</v>
      </c>
      <c r="J4786" s="2">
        <v>47</v>
      </c>
      <c r="K4786" s="2">
        <v>45</v>
      </c>
      <c r="L4786" s="2">
        <v>0</v>
      </c>
      <c r="M4786" s="2"/>
      <c r="N4786" s="8">
        <v>43320.320034722223</v>
      </c>
      <c r="O4786" s="4" t="s">
        <v>324</v>
      </c>
      <c r="P4786" s="3" t="s">
        <v>3977</v>
      </c>
      <c r="Q4786" s="4"/>
      <c r="R4786" s="4"/>
      <c r="S4786" s="9" t="str">
        <f>HYPERLINK("https://pbs.twimg.com/profile_images/1027031814018400256/Uea5hPM7.jpg","View")</f>
        <v>View</v>
      </c>
    </row>
    <row r="4787" spans="1:19" ht="20">
      <c r="A4787" s="8">
        <v>43340.950231481482</v>
      </c>
      <c r="B4787" s="11" t="str">
        <f>HYPERLINK("https://twitter.com/sepehr_tsco","@sepehr_tsco")</f>
        <v>@sepehr_tsco</v>
      </c>
      <c r="C4787" s="6" t="s">
        <v>3976</v>
      </c>
      <c r="D4787" s="5" t="s">
        <v>3975</v>
      </c>
      <c r="E4787" s="9" t="str">
        <f>HYPERLINK("https://twitter.com/sepehr_tsco/status/1034505475381977088","1034505475381977088")</f>
        <v>1034505475381977088</v>
      </c>
      <c r="F4787" s="4"/>
      <c r="G4787" s="4"/>
      <c r="H4787" s="4"/>
      <c r="I4787" s="10" t="str">
        <f>HYPERLINK("https://mobile.twitter.com","Twitter Lite")</f>
        <v>Twitter Lite</v>
      </c>
      <c r="J4787" s="2">
        <v>68</v>
      </c>
      <c r="K4787" s="2">
        <v>104</v>
      </c>
      <c r="L4787" s="2">
        <v>0</v>
      </c>
      <c r="M4787" s="2"/>
      <c r="N4787" s="8">
        <v>42181.109537037039</v>
      </c>
      <c r="O4787" s="4" t="s">
        <v>25</v>
      </c>
      <c r="P4787" s="3" t="s">
        <v>3974</v>
      </c>
      <c r="Q4787" s="10" t="s">
        <v>3973</v>
      </c>
      <c r="R4787" s="4"/>
      <c r="S4787" s="9" t="str">
        <f>HYPERLINK("https://pbs.twimg.com/profile_images/782205611249377281/7ITtvOBm.jpg","View")</f>
        <v>View</v>
      </c>
    </row>
    <row r="4788" spans="1:19" ht="40">
      <c r="A4788" s="8">
        <v>43340.950057870374</v>
      </c>
      <c r="B4788" s="11" t="str">
        <f>HYPERLINK("https://twitter.com/ricard_azab","@ricard_azab")</f>
        <v>@ricard_azab</v>
      </c>
      <c r="C4788" s="6" t="s">
        <v>3972</v>
      </c>
      <c r="D4788" s="5" t="s">
        <v>3971</v>
      </c>
      <c r="E4788" s="9" t="str">
        <f>HYPERLINK("https://twitter.com/ricard_azab/status/1034505413130158081","1034505413130158081")</f>
        <v>1034505413130158081</v>
      </c>
      <c r="F4788" s="4"/>
      <c r="G4788" s="4"/>
      <c r="H4788" s="4"/>
      <c r="I4788" s="10" t="str">
        <f>HYPERLINK("http://twitter.com/download/android","Twitter for Android")</f>
        <v>Twitter for Android</v>
      </c>
      <c r="J4788" s="2">
        <v>359</v>
      </c>
      <c r="K4788" s="2">
        <v>346</v>
      </c>
      <c r="L4788" s="2">
        <v>2</v>
      </c>
      <c r="M4788" s="2"/>
      <c r="N4788" s="8">
        <v>42176.145324074074</v>
      </c>
      <c r="O4788" s="4" t="s">
        <v>3970</v>
      </c>
      <c r="P4788" s="3" t="s">
        <v>3969</v>
      </c>
      <c r="Q4788" s="4"/>
      <c r="R4788" s="4"/>
      <c r="S4788" s="9" t="str">
        <f>HYPERLINK("https://pbs.twimg.com/profile_images/1031550798436728832/dY12OzL_.jpg","View")</f>
        <v>View</v>
      </c>
    </row>
    <row r="4789" spans="1:19" ht="40">
      <c r="A4789" s="8">
        <v>43340.950046296297</v>
      </c>
      <c r="B4789" s="11" t="str">
        <f>HYPERLINK("https://twitter.com/SAHK_24","@SAHK_24")</f>
        <v>@SAHK_24</v>
      </c>
      <c r="C4789" s="6" t="s">
        <v>3968</v>
      </c>
      <c r="D4789" s="5" t="s">
        <v>3967</v>
      </c>
      <c r="E4789" s="9" t="str">
        <f>HYPERLINK("https://twitter.com/SAHK_24/status/1034505411053977602","1034505411053977602")</f>
        <v>1034505411053977602</v>
      </c>
      <c r="F4789" s="10" t="s">
        <v>3966</v>
      </c>
      <c r="G4789" s="4"/>
      <c r="H4789" s="4"/>
      <c r="I4789" s="10" t="str">
        <f>HYPERLINK("http://twitter.com/download/android","Twitter for Android")</f>
        <v>Twitter for Android</v>
      </c>
      <c r="J4789" s="2">
        <v>170</v>
      </c>
      <c r="K4789" s="2">
        <v>242</v>
      </c>
      <c r="L4789" s="2">
        <v>0</v>
      </c>
      <c r="M4789" s="2"/>
      <c r="N4789" s="8">
        <v>43098.046446759261</v>
      </c>
      <c r="O4789" s="4" t="s">
        <v>34</v>
      </c>
      <c r="P4789" s="3" t="s">
        <v>3965</v>
      </c>
      <c r="Q4789" s="4"/>
      <c r="R4789" s="4"/>
      <c r="S4789" s="9" t="str">
        <f>HYPERLINK("https://pbs.twimg.com/profile_images/953467773598027776/nNf2HO2O.jpg","View")</f>
        <v>View</v>
      </c>
    </row>
    <row r="4790" spans="1:19" ht="40">
      <c r="A4790" s="8">
        <v>43340.950011574074</v>
      </c>
      <c r="B4790" s="11" t="str">
        <f>HYPERLINK("https://twitter.com/QMoein","@QMoein")</f>
        <v>@QMoein</v>
      </c>
      <c r="C4790" s="6" t="s">
        <v>3964</v>
      </c>
      <c r="D4790" s="5" t="s">
        <v>3963</v>
      </c>
      <c r="E4790" s="9" t="str">
        <f>HYPERLINK("https://twitter.com/QMoein/status/1034505398248775681","1034505398248775681")</f>
        <v>1034505398248775681</v>
      </c>
      <c r="F4790" s="4"/>
      <c r="G4790" s="4"/>
      <c r="H4790" s="4"/>
      <c r="I4790" s="10" t="str">
        <f>HYPERLINK("http://twitter.com","Twitter Web Client")</f>
        <v>Twitter Web Client</v>
      </c>
      <c r="J4790" s="2">
        <v>300</v>
      </c>
      <c r="K4790" s="2">
        <v>331</v>
      </c>
      <c r="L4790" s="2">
        <v>4</v>
      </c>
      <c r="M4790" s="2"/>
      <c r="N4790" s="8">
        <v>42216.777314814812</v>
      </c>
      <c r="O4790" s="4" t="s">
        <v>324</v>
      </c>
      <c r="P4790" s="3" t="s">
        <v>3962</v>
      </c>
      <c r="Q4790" s="10" t="s">
        <v>3961</v>
      </c>
      <c r="R4790" s="4"/>
      <c r="S4790" s="9" t="str">
        <f>HYPERLINK("https://pbs.twimg.com/profile_images/979828825260519424/WP-mlhyu.jpg","View")</f>
        <v>View</v>
      </c>
    </row>
    <row r="4791" spans="1:19" ht="20">
      <c r="A4791" s="8">
        <v>43340.949618055558</v>
      </c>
      <c r="B4791" s="11" t="str">
        <f>HYPERLINK("https://twitter.com/mr_banafsh","@mr_banafsh")</f>
        <v>@mr_banafsh</v>
      </c>
      <c r="C4791" s="6" t="s">
        <v>1267</v>
      </c>
      <c r="D4791" s="5" t="s">
        <v>3960</v>
      </c>
      <c r="E4791" s="9" t="str">
        <f>HYPERLINK("https://twitter.com/mr_banafsh/status/1034505256053469184","1034505256053469184")</f>
        <v>1034505256053469184</v>
      </c>
      <c r="F4791" s="4"/>
      <c r="G4791" s="10" t="s">
        <v>3959</v>
      </c>
      <c r="H4791" s="4"/>
      <c r="I4791" s="10" t="str">
        <f>HYPERLINK("http://twitter.com","Twitter Web Client")</f>
        <v>Twitter Web Client</v>
      </c>
      <c r="J4791" s="2">
        <v>1268</v>
      </c>
      <c r="K4791" s="2">
        <v>134</v>
      </c>
      <c r="L4791" s="2">
        <v>17</v>
      </c>
      <c r="M4791" s="2"/>
      <c r="N4791" s="8">
        <v>41550.757592592592</v>
      </c>
      <c r="O4791" s="4"/>
      <c r="P4791" s="3" t="s">
        <v>1265</v>
      </c>
      <c r="Q4791" s="4"/>
      <c r="R4791" s="4"/>
      <c r="S4791" s="9" t="str">
        <f>HYPERLINK("https://pbs.twimg.com/profile_images/1031662037036875777/UsE92XAi.jpg","View")</f>
        <v>View</v>
      </c>
    </row>
    <row r="4792" spans="1:19" ht="20">
      <c r="A4792" s="8">
        <v>43340.949548611112</v>
      </c>
      <c r="B4792" s="11" t="str">
        <f>HYPERLINK("https://twitter.com/ardeshiramiri","@ardeshiramiri")</f>
        <v>@ardeshiramiri</v>
      </c>
      <c r="C4792" s="6" t="s">
        <v>3554</v>
      </c>
      <c r="D4792" s="5" t="s">
        <v>3958</v>
      </c>
      <c r="E4792" s="9" t="str">
        <f>HYPERLINK("https://twitter.com/ardeshiramiri/status/1034505227326693378","1034505227326693378")</f>
        <v>1034505227326693378</v>
      </c>
      <c r="F4792" s="4"/>
      <c r="G4792" s="4"/>
      <c r="H4792" s="4"/>
      <c r="I4792" s="10" t="str">
        <f>HYPERLINK("http://twitter.com/download/android","Twitter for Android")</f>
        <v>Twitter for Android</v>
      </c>
      <c r="J4792" s="2">
        <v>5642</v>
      </c>
      <c r="K4792" s="2">
        <v>27</v>
      </c>
      <c r="L4792" s="2">
        <v>27</v>
      </c>
      <c r="M4792" s="2"/>
      <c r="N4792" s="8">
        <v>42410.438009259262</v>
      </c>
      <c r="O4792" s="4" t="s">
        <v>3552</v>
      </c>
      <c r="P4792" s="3" t="s">
        <v>3551</v>
      </c>
      <c r="Q4792" s="4"/>
      <c r="R4792" s="4"/>
      <c r="S4792" s="9" t="str">
        <f>HYPERLINK("https://pbs.twimg.com/profile_images/799275337993650181/1Dganc4g.jpg","View")</f>
        <v>View</v>
      </c>
    </row>
    <row r="4793" spans="1:19" ht="30">
      <c r="A4793" s="8">
        <v>43340.949386574073</v>
      </c>
      <c r="B4793" s="11" t="str">
        <f>HYPERLINK("https://twitter.com/Ayatolahsiyaf","@Ayatolahsiyaf")</f>
        <v>@Ayatolahsiyaf</v>
      </c>
      <c r="C4793" s="6" t="s">
        <v>3957</v>
      </c>
      <c r="D4793" s="5" t="s">
        <v>3956</v>
      </c>
      <c r="E4793" s="9" t="str">
        <f>HYPERLINK("https://twitter.com/Ayatolahsiyaf/status/1034505169042657281","1034505169042657281")</f>
        <v>1034505169042657281</v>
      </c>
      <c r="F4793" s="4"/>
      <c r="G4793" s="4"/>
      <c r="H4793" s="4"/>
      <c r="I4793" s="10" t="str">
        <f>HYPERLINK("https://mobile.twitter.com","Twitter Lite")</f>
        <v>Twitter Lite</v>
      </c>
      <c r="J4793" s="2">
        <v>88</v>
      </c>
      <c r="K4793" s="2">
        <v>91</v>
      </c>
      <c r="L4793" s="2">
        <v>0</v>
      </c>
      <c r="M4793" s="2"/>
      <c r="N4793" s="8">
        <v>43303.333391203705</v>
      </c>
      <c r="O4793" s="4"/>
      <c r="P4793" s="3" t="s">
        <v>3955</v>
      </c>
      <c r="Q4793" s="4"/>
      <c r="R4793" s="4"/>
      <c r="S4793" s="9" t="str">
        <f>HYPERLINK("https://pbs.twimg.com/profile_images/1028672000036728832/jqtS8wmQ.jpg","View")</f>
        <v>View</v>
      </c>
    </row>
    <row r="4794" spans="1:19" ht="30">
      <c r="A4794" s="8">
        <v>43340.94930555555</v>
      </c>
      <c r="B4794" s="11" t="str">
        <f>HYPERLINK("https://twitter.com/sajadkhadem1","@sajadkhadem1")</f>
        <v>@sajadkhadem1</v>
      </c>
      <c r="C4794" s="6" t="s">
        <v>2256</v>
      </c>
      <c r="D4794" s="5" t="s">
        <v>3954</v>
      </c>
      <c r="E4794" s="9" t="str">
        <f>HYPERLINK("https://twitter.com/sajadkhadem1/status/1034505140366139392","1034505140366139392")</f>
        <v>1034505140366139392</v>
      </c>
      <c r="F4794" s="4"/>
      <c r="G4794" s="10" t="s">
        <v>3953</v>
      </c>
      <c r="H4794" s="4"/>
      <c r="I4794" s="10" t="str">
        <f>HYPERLINK("http://twitter.com/download/android","Twitter for Android")</f>
        <v>Twitter for Android</v>
      </c>
      <c r="J4794" s="2">
        <v>2156</v>
      </c>
      <c r="K4794" s="2">
        <v>2127</v>
      </c>
      <c r="L4794" s="2">
        <v>7</v>
      </c>
      <c r="M4794" s="2"/>
      <c r="N4794" s="8">
        <v>42756.436874999999</v>
      </c>
      <c r="O4794" s="4" t="s">
        <v>17</v>
      </c>
      <c r="P4794" s="3" t="s">
        <v>2254</v>
      </c>
      <c r="Q4794" s="4"/>
      <c r="R4794" s="4"/>
      <c r="S4794" s="9" t="str">
        <f>HYPERLINK("https://pbs.twimg.com/profile_images/986120569627205632/j-82nERP.jpg","View")</f>
        <v>View</v>
      </c>
    </row>
    <row r="4795" spans="1:19" ht="20">
      <c r="A4795" s="8">
        <v>43340.948425925926</v>
      </c>
      <c r="B4795" s="11" t="str">
        <f>HYPERLINK("https://twitter.com/leilaiebidel","@leilaiebidel")</f>
        <v>@leilaiebidel</v>
      </c>
      <c r="C4795" s="6" t="s">
        <v>1194</v>
      </c>
      <c r="D4795" s="5" t="s">
        <v>3952</v>
      </c>
      <c r="E4795" s="9" t="str">
        <f>HYPERLINK("https://twitter.com/leilaiebidel/status/1034504821074747392","1034504821074747392")</f>
        <v>1034504821074747392</v>
      </c>
      <c r="F4795" s="4"/>
      <c r="G4795" s="10" t="s">
        <v>3951</v>
      </c>
      <c r="H4795" s="4"/>
      <c r="I4795" s="10" t="str">
        <f>HYPERLINK("http://twitter.com/download/android","Twitter for Android")</f>
        <v>Twitter for Android</v>
      </c>
      <c r="J4795" s="2">
        <v>232</v>
      </c>
      <c r="K4795" s="2">
        <v>714</v>
      </c>
      <c r="L4795" s="2">
        <v>0</v>
      </c>
      <c r="M4795" s="2"/>
      <c r="N4795" s="8">
        <v>43339.463252314818</v>
      </c>
      <c r="O4795" s="4"/>
      <c r="P4795" s="3" t="s">
        <v>1191</v>
      </c>
      <c r="Q4795" s="4"/>
      <c r="R4795" s="4"/>
      <c r="S4795" s="9" t="str">
        <f>HYPERLINK("https://pbs.twimg.com/profile_images/1034021289298669568/jgu25V9U.jpg","View")</f>
        <v>View</v>
      </c>
    </row>
    <row r="4796" spans="1:19" ht="20">
      <c r="A4796" s="8">
        <v>43340.94831018518</v>
      </c>
      <c r="B4796" s="11" t="str">
        <f>HYPERLINK("https://twitter.com/gagooolgg","@gagooolgg")</f>
        <v>@gagooolgg</v>
      </c>
      <c r="C4796" s="6" t="s">
        <v>228</v>
      </c>
      <c r="D4796" s="5" t="s">
        <v>3950</v>
      </c>
      <c r="E4796" s="9" t="str">
        <f>HYPERLINK("https://twitter.com/gagooolgg/status/1034504780746551298","1034504780746551298")</f>
        <v>1034504780746551298</v>
      </c>
      <c r="F4796" s="4"/>
      <c r="G4796" s="10" t="s">
        <v>3949</v>
      </c>
      <c r="H4796" s="4"/>
      <c r="I4796" s="10" t="str">
        <f>HYPERLINK("http://twitter.com","Twitter Web Client")</f>
        <v>Twitter Web Client</v>
      </c>
      <c r="J4796" s="2">
        <v>23</v>
      </c>
      <c r="K4796" s="2">
        <v>132</v>
      </c>
      <c r="L4796" s="2">
        <v>0</v>
      </c>
      <c r="M4796" s="2"/>
      <c r="N4796" s="8">
        <v>43316.534629629634</v>
      </c>
      <c r="O4796" s="4"/>
      <c r="P4796" s="3" t="s">
        <v>226</v>
      </c>
      <c r="Q4796" s="4"/>
      <c r="R4796" s="4"/>
      <c r="S4796" s="9" t="str">
        <f>HYPERLINK("https://pbs.twimg.com/profile_images/1025662369668595713/IM1OqcbX.jpg","View")</f>
        <v>View</v>
      </c>
    </row>
    <row r="4797" spans="1:19" ht="40">
      <c r="A4797" s="8">
        <v>43340.947719907403</v>
      </c>
      <c r="B4797" s="11" t="str">
        <f>HYPERLINK("https://twitter.com/rajanewstwt","@rajanewstwt")</f>
        <v>@rajanewstwt</v>
      </c>
      <c r="C4797" s="6" t="s">
        <v>2812</v>
      </c>
      <c r="D4797" s="5" t="s">
        <v>3948</v>
      </c>
      <c r="E4797" s="9" t="str">
        <f>HYPERLINK("https://twitter.com/rajanewstwt/status/1034504567835254785","1034504567835254785")</f>
        <v>1034504567835254785</v>
      </c>
      <c r="F4797" s="4"/>
      <c r="G4797" s="4"/>
      <c r="H4797" s="4"/>
      <c r="I4797" s="10" t="str">
        <f>HYPERLINK("http://twitter.com/download/iphone","Twitter for iPhone")</f>
        <v>Twitter for iPhone</v>
      </c>
      <c r="J4797" s="2">
        <v>4599</v>
      </c>
      <c r="K4797" s="2">
        <v>24</v>
      </c>
      <c r="L4797" s="2">
        <v>41</v>
      </c>
      <c r="M4797" s="2"/>
      <c r="N4797" s="8">
        <v>40685.675682870373</v>
      </c>
      <c r="O4797" s="4" t="s">
        <v>34</v>
      </c>
      <c r="P4797" s="3" t="s">
        <v>2809</v>
      </c>
      <c r="Q4797" s="10" t="s">
        <v>2808</v>
      </c>
      <c r="R4797" s="4"/>
      <c r="S4797" s="9" t="str">
        <f>HYPERLINK("https://pbs.twimg.com/profile_images/1031293449725779978/iFHGrw7F.jpg","View")</f>
        <v>View</v>
      </c>
    </row>
    <row r="4798" spans="1:19" ht="20">
      <c r="A4798" s="8">
        <v>43340.947222222225</v>
      </c>
      <c r="B4798" s="11" t="str">
        <f>HYPERLINK("https://twitter.com/Khesht_e_Avval","@Khesht_e_Avval")</f>
        <v>@Khesht_e_Avval</v>
      </c>
      <c r="C4798" s="6" t="s">
        <v>3947</v>
      </c>
      <c r="D4798" s="5" t="s">
        <v>3946</v>
      </c>
      <c r="E4798" s="9" t="str">
        <f>HYPERLINK("https://twitter.com/Khesht_e_Avval/status/1034504388331675648","1034504388331675648")</f>
        <v>1034504388331675648</v>
      </c>
      <c r="F4798" s="4"/>
      <c r="G4798" s="4"/>
      <c r="H4798" s="4"/>
      <c r="I4798" s="10" t="str">
        <f>HYPERLINK("http://twitter.com/download/android","Twitter for Android")</f>
        <v>Twitter for Android</v>
      </c>
      <c r="J4798" s="2">
        <v>13</v>
      </c>
      <c r="K4798" s="2">
        <v>30</v>
      </c>
      <c r="L4798" s="2">
        <v>0</v>
      </c>
      <c r="M4798" s="2"/>
      <c r="N4798" s="8">
        <v>43308.2033912037</v>
      </c>
      <c r="O4798" s="4" t="s">
        <v>34</v>
      </c>
      <c r="P4798" s="3"/>
      <c r="Q4798" s="4"/>
      <c r="R4798" s="4"/>
      <c r="S4798" s="9" t="str">
        <f>HYPERLINK("https://pbs.twimg.com/profile_images/1022650396131639296/zG4OHbdv.jpg","View")</f>
        <v>View</v>
      </c>
    </row>
    <row r="4799" spans="1:19" ht="30">
      <c r="A4799" s="8">
        <v>43340.929791666669</v>
      </c>
      <c r="B4799" s="11" t="str">
        <f>HYPERLINK("https://twitter.com/reza_rhm","@reza_rhm")</f>
        <v>@reza_rhm</v>
      </c>
      <c r="C4799" s="6" t="s">
        <v>3945</v>
      </c>
      <c r="D4799" s="5" t="s">
        <v>3944</v>
      </c>
      <c r="E4799" s="9" t="str">
        <f>HYPERLINK("https://twitter.com/reza_rhm/status/1034498069541339136","1034498069541339136")</f>
        <v>1034498069541339136</v>
      </c>
      <c r="F4799" s="4"/>
      <c r="G4799" s="4"/>
      <c r="H4799" s="4"/>
      <c r="I4799" s="10" t="str">
        <f>HYPERLINK("http://twitter.com/download/android","Twitter for Android")</f>
        <v>Twitter for Android</v>
      </c>
      <c r="J4799" s="2">
        <v>241</v>
      </c>
      <c r="K4799" s="2">
        <v>291</v>
      </c>
      <c r="L4799" s="2">
        <v>1</v>
      </c>
      <c r="M4799" s="2"/>
      <c r="N4799" s="8">
        <v>42832.520173611112</v>
      </c>
      <c r="O4799" s="4" t="s">
        <v>34</v>
      </c>
      <c r="P4799" s="3" t="s">
        <v>3943</v>
      </c>
      <c r="Q4799" s="10" t="s">
        <v>3942</v>
      </c>
      <c r="R4799" s="4"/>
      <c r="S4799" s="9" t="str">
        <f>HYPERLINK("https://pbs.twimg.com/profile_images/976741780149407745/_NkwP7Ns.jpg","View")</f>
        <v>View</v>
      </c>
    </row>
    <row r="4800" spans="1:19" ht="40">
      <c r="A4800" s="8">
        <v>43340.929479166662</v>
      </c>
      <c r="B4800" s="11" t="str">
        <f>HYPERLINK("https://twitter.com/mobinkhosrozad1","@mobinkhosrozad1")</f>
        <v>@mobinkhosrozad1</v>
      </c>
      <c r="C4800" s="6" t="s">
        <v>3941</v>
      </c>
      <c r="D4800" s="5" t="s">
        <v>3940</v>
      </c>
      <c r="E4800" s="9" t="str">
        <f>HYPERLINK("https://twitter.com/mobinkhosrozad1/status/1034497956475490304","1034497956475490304")</f>
        <v>1034497956475490304</v>
      </c>
      <c r="F4800" s="4"/>
      <c r="G4800" s="4"/>
      <c r="H4800" s="4"/>
      <c r="I4800" s="10" t="str">
        <f>HYPERLINK("https://mobile.twitter.com","Twitter Lite")</f>
        <v>Twitter Lite</v>
      </c>
      <c r="J4800" s="2">
        <v>24</v>
      </c>
      <c r="K4800" s="2">
        <v>99</v>
      </c>
      <c r="L4800" s="2">
        <v>0</v>
      </c>
      <c r="M4800" s="2"/>
      <c r="N4800" s="8">
        <v>42124.745208333334</v>
      </c>
      <c r="O4800" s="4" t="s">
        <v>3939</v>
      </c>
      <c r="P4800" s="3" t="s">
        <v>3938</v>
      </c>
      <c r="Q4800" s="10" t="s">
        <v>3937</v>
      </c>
      <c r="R4800" s="4"/>
      <c r="S4800" s="9" t="str">
        <f>HYPERLINK("https://pbs.twimg.com/profile_images/1017758809996046336/wOsK6pKh.jpg","View")</f>
        <v>View</v>
      </c>
    </row>
    <row r="4801" spans="1:19" ht="40">
      <c r="A4801" s="8">
        <v>43340.929363425923</v>
      </c>
      <c r="B4801" s="11" t="str">
        <f>HYPERLINK("https://twitter.com/shahabsmam","@shahabsmam")</f>
        <v>@shahabsmam</v>
      </c>
      <c r="C4801" s="6" t="s">
        <v>1939</v>
      </c>
      <c r="D4801" s="5" t="s">
        <v>3936</v>
      </c>
      <c r="E4801" s="9" t="str">
        <f>HYPERLINK("https://twitter.com/shahabsmam/status/1034497912720502784","1034497912720502784")</f>
        <v>1034497912720502784</v>
      </c>
      <c r="F4801" s="4"/>
      <c r="G4801" s="4"/>
      <c r="H4801" s="4"/>
      <c r="I4801" s="10" t="str">
        <f>HYPERLINK("http://twitter.com/download/android","Twitter for Android")</f>
        <v>Twitter for Android</v>
      </c>
      <c r="J4801" s="2">
        <v>897</v>
      </c>
      <c r="K4801" s="2">
        <v>668</v>
      </c>
      <c r="L4801" s="2">
        <v>3</v>
      </c>
      <c r="M4801" s="2"/>
      <c r="N4801" s="8">
        <v>42736.421018518522</v>
      </c>
      <c r="O4801" s="4" t="s">
        <v>1937</v>
      </c>
      <c r="P4801" s="3" t="s">
        <v>1936</v>
      </c>
      <c r="Q4801" s="4"/>
      <c r="R4801" s="4"/>
      <c r="S4801" s="9" t="str">
        <f>HYPERLINK("https://pbs.twimg.com/profile_images/906273560779513861/eGhkT1Z8.jpg","View")</f>
        <v>View</v>
      </c>
    </row>
    <row r="4802" spans="1:19" ht="20">
      <c r="A4802" s="8">
        <v>43340.929074074069</v>
      </c>
      <c r="B4802" s="11" t="str">
        <f>HYPERLINK("https://twitter.com/tokazzeban","@tokazzeban")</f>
        <v>@tokazzeban</v>
      </c>
      <c r="C4802" s="6" t="s">
        <v>3935</v>
      </c>
      <c r="D4802" s="5" t="s">
        <v>3934</v>
      </c>
      <c r="E4802" s="9" t="str">
        <f>HYPERLINK("https://twitter.com/tokazzeban/status/1034497809490173952","1034497809490173952")</f>
        <v>1034497809490173952</v>
      </c>
      <c r="F4802" s="4"/>
      <c r="G4802" s="4"/>
      <c r="H4802" s="4"/>
      <c r="I4802" s="10" t="str">
        <f>HYPERLINK("http://twitter.com/download/android","Twitter for Android")</f>
        <v>Twitter for Android</v>
      </c>
      <c r="J4802" s="2">
        <v>1649</v>
      </c>
      <c r="K4802" s="2">
        <v>1219</v>
      </c>
      <c r="L4802" s="2">
        <v>4</v>
      </c>
      <c r="M4802" s="2"/>
      <c r="N4802" s="8">
        <v>43015.809016203704</v>
      </c>
      <c r="O4802" s="4" t="s">
        <v>3933</v>
      </c>
      <c r="P4802" s="3" t="s">
        <v>3932</v>
      </c>
      <c r="Q4802" s="4"/>
      <c r="R4802" s="4"/>
      <c r="S4802" s="9" t="str">
        <f>HYPERLINK("https://pbs.twimg.com/profile_images/916702367617253377/yL-Tv2U_.jpg","View")</f>
        <v>View</v>
      </c>
    </row>
    <row r="4803" spans="1:19" ht="30">
      <c r="A4803" s="8">
        <v>43340.928900462968</v>
      </c>
      <c r="B4803" s="11" t="str">
        <f>HYPERLINK("https://twitter.com/faghih_h","@faghih_h")</f>
        <v>@faghih_h</v>
      </c>
      <c r="C4803" s="6" t="s">
        <v>3931</v>
      </c>
      <c r="D4803" s="5" t="s">
        <v>3930</v>
      </c>
      <c r="E4803" s="9" t="str">
        <f>HYPERLINK("https://twitter.com/faghih_h/status/1034497746139533312","1034497746139533312")</f>
        <v>1034497746139533312</v>
      </c>
      <c r="F4803" s="4"/>
      <c r="G4803" s="4"/>
      <c r="H4803" s="4"/>
      <c r="I4803" s="10" t="str">
        <f>HYPERLINK("http://twitter.com/download/android","Twitter for Android")</f>
        <v>Twitter for Android</v>
      </c>
      <c r="J4803" s="2">
        <v>4938</v>
      </c>
      <c r="K4803" s="2">
        <v>2994</v>
      </c>
      <c r="L4803" s="2">
        <v>11</v>
      </c>
      <c r="M4803" s="2"/>
      <c r="N4803" s="8">
        <v>42740.44059027778</v>
      </c>
      <c r="O4803" s="4" t="s">
        <v>17</v>
      </c>
      <c r="P4803" s="3" t="s">
        <v>3929</v>
      </c>
      <c r="Q4803" s="4"/>
      <c r="R4803" s="4"/>
      <c r="S4803" s="9" t="str">
        <f>HYPERLINK("https://pbs.twimg.com/profile_images/991603591851978752/0RORECgR.jpg","View")</f>
        <v>View</v>
      </c>
    </row>
    <row r="4804" spans="1:19" ht="20">
      <c r="A4804" s="8">
        <v>43340.928194444445</v>
      </c>
      <c r="B4804" s="11" t="str">
        <f>HYPERLINK("https://twitter.com/brujimosek","@brujimosek")</f>
        <v>@brujimosek</v>
      </c>
      <c r="C4804" s="6" t="s">
        <v>3928</v>
      </c>
      <c r="D4804" s="5" t="s">
        <v>3927</v>
      </c>
      <c r="E4804" s="9" t="str">
        <f>HYPERLINK("https://twitter.com/brujimosek/status/1034497489129406466","1034497489129406466")</f>
        <v>1034497489129406466</v>
      </c>
      <c r="F4804" s="4"/>
      <c r="G4804" s="4"/>
      <c r="H4804" s="4"/>
      <c r="I4804" s="10" t="str">
        <f>HYPERLINK("http://twitter.com/download/iphone","Twitter for iPhone")</f>
        <v>Twitter for iPhone</v>
      </c>
      <c r="J4804" s="2">
        <v>141</v>
      </c>
      <c r="K4804" s="2">
        <v>288</v>
      </c>
      <c r="L4804" s="2">
        <v>0</v>
      </c>
      <c r="M4804" s="2"/>
      <c r="N4804" s="8">
        <v>41522.454594907409</v>
      </c>
      <c r="O4804" s="4"/>
      <c r="P4804" s="3" t="s">
        <v>3926</v>
      </c>
      <c r="Q4804" s="4"/>
      <c r="R4804" s="4"/>
      <c r="S4804" s="9" t="str">
        <f>HYPERLINK("https://pbs.twimg.com/profile_images/378800000413900494/b12d33c96574fb1b1f015ac8807b4528.jpeg","View")</f>
        <v>View</v>
      </c>
    </row>
    <row r="4805" spans="1:19" ht="40">
      <c r="A4805" s="8">
        <v>43340.927754629629</v>
      </c>
      <c r="B4805" s="11" t="str">
        <f>HYPERLINK("https://twitter.com/t4dgnYDMs6ME24q","@t4dgnYDMs6ME24q")</f>
        <v>@t4dgnYDMs6ME24q</v>
      </c>
      <c r="C4805" s="11" t="s">
        <v>3925</v>
      </c>
      <c r="D4805" s="5" t="s">
        <v>3924</v>
      </c>
      <c r="E4805" s="9" t="str">
        <f>HYPERLINK("https://twitter.com/t4dgnYDMs6ME24q/status/1034497331528388608","1034497331528388608")</f>
        <v>1034497331528388608</v>
      </c>
      <c r="F4805" s="4"/>
      <c r="G4805" s="4"/>
      <c r="H4805" s="4"/>
      <c r="I4805" s="10" t="str">
        <f>HYPERLINK("http://twitter.com/download/android","Twitter for Android")</f>
        <v>Twitter for Android</v>
      </c>
      <c r="J4805" s="2">
        <v>85</v>
      </c>
      <c r="K4805" s="2">
        <v>42</v>
      </c>
      <c r="L4805" s="2">
        <v>0</v>
      </c>
      <c r="M4805" s="2"/>
      <c r="N4805" s="8">
        <v>43305.433599537035</v>
      </c>
      <c r="O4805" s="4" t="s">
        <v>17</v>
      </c>
      <c r="P4805" s="3" t="s">
        <v>3923</v>
      </c>
      <c r="Q4805" s="4"/>
      <c r="R4805" s="4"/>
      <c r="S4805" s="9" t="str">
        <f>HYPERLINK("https://pbs.twimg.com/profile_images/1027799605122162688/nd0tiPfp.jpg","View")</f>
        <v>View</v>
      </c>
    </row>
    <row r="4806" spans="1:19" ht="40">
      <c r="A4806" s="8">
        <v>43340.927476851852</v>
      </c>
      <c r="B4806" s="11" t="str">
        <f>HYPERLINK("https://twitter.com/Maya_Ozborn","@Maya_Ozborn")</f>
        <v>@Maya_Ozborn</v>
      </c>
      <c r="C4806" s="6" t="s">
        <v>3922</v>
      </c>
      <c r="D4806" s="5" t="s">
        <v>3921</v>
      </c>
      <c r="E4806" s="9" t="str">
        <f>HYPERLINK("https://twitter.com/Maya_Ozborn/status/1034497232387670016","1034497232387670016")</f>
        <v>1034497232387670016</v>
      </c>
      <c r="F4806" s="4"/>
      <c r="G4806" s="10" t="s">
        <v>3920</v>
      </c>
      <c r="H4806" s="4"/>
      <c r="I4806" s="10" t="str">
        <f>HYPERLINK("http://twitter.com/download/iphone","Twitter for iPhone")</f>
        <v>Twitter for iPhone</v>
      </c>
      <c r="J4806" s="2">
        <v>195</v>
      </c>
      <c r="K4806" s="2">
        <v>199</v>
      </c>
      <c r="L4806" s="2">
        <v>7</v>
      </c>
      <c r="M4806" s="2"/>
      <c r="N4806" s="8">
        <v>40662.696238425924</v>
      </c>
      <c r="O4806" s="4" t="s">
        <v>3919</v>
      </c>
      <c r="P4806" s="3" t="s">
        <v>3918</v>
      </c>
      <c r="Q4806" s="4"/>
      <c r="R4806" s="4"/>
      <c r="S4806" s="9" t="str">
        <f>HYPERLINK("https://pbs.twimg.com/profile_images/1015451742278995968/FmhRml24.jpg","View")</f>
        <v>View</v>
      </c>
    </row>
    <row r="4807" spans="1:19" ht="20">
      <c r="A4807" s="8">
        <v>43340.927337962959</v>
      </c>
      <c r="B4807" s="11" t="str">
        <f>HYPERLINK("https://twitter.com/isfahan_sa","@isfahan_sa")</f>
        <v>@isfahan_sa</v>
      </c>
      <c r="C4807" s="6" t="s">
        <v>3917</v>
      </c>
      <c r="D4807" s="5" t="s">
        <v>3916</v>
      </c>
      <c r="E4807" s="9" t="str">
        <f>HYPERLINK("https://twitter.com/isfahan_sa/status/1034497178788679680","1034497178788679680")</f>
        <v>1034497178788679680</v>
      </c>
      <c r="F4807" s="4"/>
      <c r="G4807" s="10" t="s">
        <v>3915</v>
      </c>
      <c r="H4807" s="4"/>
      <c r="I4807" s="10" t="str">
        <f>HYPERLINK("http://twitter.com/download/android","Twitter for Android")</f>
        <v>Twitter for Android</v>
      </c>
      <c r="J4807" s="2">
        <v>305</v>
      </c>
      <c r="K4807" s="2">
        <v>623</v>
      </c>
      <c r="L4807" s="2">
        <v>1</v>
      </c>
      <c r="M4807" s="2"/>
      <c r="N4807" s="8">
        <v>43095.515416666662</v>
      </c>
      <c r="O4807" s="4" t="s">
        <v>3914</v>
      </c>
      <c r="P4807" s="3" t="s">
        <v>3913</v>
      </c>
      <c r="Q4807" s="4"/>
      <c r="R4807" s="4"/>
      <c r="S4807" s="9" t="str">
        <f>HYPERLINK("https://pbs.twimg.com/profile_images/945580155841466368/CgulLtTZ.jpg","View")</f>
        <v>View</v>
      </c>
    </row>
    <row r="4808" spans="1:19" ht="40">
      <c r="A4808" s="8">
        <v>43340.92732638889</v>
      </c>
      <c r="B4808" s="11" t="str">
        <f>HYPERLINK("https://twitter.com/jhtcoyote","@jhtcoyote")</f>
        <v>@jhtcoyote</v>
      </c>
      <c r="C4808" s="6" t="s">
        <v>3912</v>
      </c>
      <c r="D4808" s="5" t="s">
        <v>3911</v>
      </c>
      <c r="E4808" s="9" t="str">
        <f>HYPERLINK("https://twitter.com/jhtcoyote/status/1034497175647145984","1034497175647145984")</f>
        <v>1034497175647145984</v>
      </c>
      <c r="F4808" s="4"/>
      <c r="G4808" s="4"/>
      <c r="H4808" s="4"/>
      <c r="I4808" s="10" t="str">
        <f>HYPERLINK("http://twitter.com/download/android","Twitter for Android")</f>
        <v>Twitter for Android</v>
      </c>
      <c r="J4808" s="2">
        <v>12</v>
      </c>
      <c r="K4808" s="2">
        <v>17</v>
      </c>
      <c r="L4808" s="2">
        <v>0</v>
      </c>
      <c r="M4808" s="2"/>
      <c r="N4808" s="8">
        <v>43208.573182870372</v>
      </c>
      <c r="O4808" s="4"/>
      <c r="P4808" s="3"/>
      <c r="Q4808" s="4"/>
      <c r="R4808" s="4"/>
      <c r="S4808" s="9" t="str">
        <f>HYPERLINK("https://pbs.twimg.com/profile_images/1023655011186814976/E1dtDoTw.jpg","View")</f>
        <v>View</v>
      </c>
    </row>
    <row r="4809" spans="1:19" ht="40">
      <c r="A4809" s="8">
        <v>43340.927256944444</v>
      </c>
      <c r="B4809" s="11" t="str">
        <f>HYPERLINK("https://twitter.com/ELTEMASTAFAKKOR","@ELTEMASTAFAKKOR")</f>
        <v>@ELTEMASTAFAKKOR</v>
      </c>
      <c r="C4809" s="6" t="s">
        <v>3910</v>
      </c>
      <c r="D4809" s="5" t="s">
        <v>3909</v>
      </c>
      <c r="E4809" s="9" t="str">
        <f>HYPERLINK("https://twitter.com/ELTEMASTAFAKKOR/status/1034497153144705024","1034497153144705024")</f>
        <v>1034497153144705024</v>
      </c>
      <c r="F4809" s="4"/>
      <c r="G4809" s="10" t="s">
        <v>3908</v>
      </c>
      <c r="H4809" s="4"/>
      <c r="I4809" s="10" t="str">
        <f>HYPERLINK("http://twitter.com/download/android","Twitter for Android")</f>
        <v>Twitter for Android</v>
      </c>
      <c r="J4809" s="2">
        <v>564</v>
      </c>
      <c r="K4809" s="2">
        <v>733</v>
      </c>
      <c r="L4809" s="2">
        <v>1</v>
      </c>
      <c r="M4809" s="2"/>
      <c r="N4809" s="8">
        <v>43183.946909722217</v>
      </c>
      <c r="O4809" s="4" t="s">
        <v>3907</v>
      </c>
      <c r="P4809" s="3" t="s">
        <v>3906</v>
      </c>
      <c r="Q4809" s="4"/>
      <c r="R4809" s="4"/>
      <c r="S4809" s="9" t="str">
        <f>HYPERLINK("https://pbs.twimg.com/profile_images/978287855138041861/oZJXuOPg.jpg","View")</f>
        <v>View</v>
      </c>
    </row>
    <row r="4810" spans="1:19" ht="20">
      <c r="A4810" s="8">
        <v>43340.927071759259</v>
      </c>
      <c r="B4810" s="11" t="str">
        <f>HYPERLINK("https://twitter.com/VARES_ZAMIN","@VARES_ZAMIN")</f>
        <v>@VARES_ZAMIN</v>
      </c>
      <c r="C4810" s="6" t="s">
        <v>3905</v>
      </c>
      <c r="D4810" s="5" t="s">
        <v>3904</v>
      </c>
      <c r="E4810" s="9" t="str">
        <f>HYPERLINK("https://twitter.com/VARES_ZAMIN/status/1034497083456348168","1034497083456348168")</f>
        <v>1034497083456348168</v>
      </c>
      <c r="F4810" s="4"/>
      <c r="G4810" s="10" t="s">
        <v>3903</v>
      </c>
      <c r="H4810" s="4"/>
      <c r="I4810" s="10" t="str">
        <f>HYPERLINK("http://twitter.com/download/android","Twitter for Android")</f>
        <v>Twitter for Android</v>
      </c>
      <c r="J4810" s="2">
        <v>2230</v>
      </c>
      <c r="K4810" s="2">
        <v>1936</v>
      </c>
      <c r="L4810" s="2">
        <v>1</v>
      </c>
      <c r="M4810" s="2"/>
      <c r="N4810" s="8">
        <v>43107.059293981481</v>
      </c>
      <c r="O4810" s="4" t="s">
        <v>3902</v>
      </c>
      <c r="P4810" s="3" t="s">
        <v>3901</v>
      </c>
      <c r="Q4810" s="4"/>
      <c r="R4810" s="4"/>
      <c r="S4810" s="9" t="str">
        <f>HYPERLINK("https://pbs.twimg.com/profile_images/1014285803227369472/_OugsMxd.jpg","View")</f>
        <v>View</v>
      </c>
    </row>
    <row r="4811" spans="1:19" ht="40">
      <c r="A4811" s="8">
        <v>43340.926990740743</v>
      </c>
      <c r="B4811" s="11" t="str">
        <f>HYPERLINK("https://twitter.com/FaAmNasa","@FaAmNasa")</f>
        <v>@FaAmNasa</v>
      </c>
      <c r="C4811" s="6" t="s">
        <v>3900</v>
      </c>
      <c r="D4811" s="5" t="s">
        <v>3899</v>
      </c>
      <c r="E4811" s="9" t="str">
        <f>HYPERLINK("https://twitter.com/FaAmNasa/status/1034497055211888640","1034497055211888640")</f>
        <v>1034497055211888640</v>
      </c>
      <c r="F4811" s="10" t="s">
        <v>3898</v>
      </c>
      <c r="G4811" s="4"/>
      <c r="H4811" s="4"/>
      <c r="I4811" s="10" t="str">
        <f>HYPERLINK("http://twitter.com/download/android","Twitter for Android")</f>
        <v>Twitter for Android</v>
      </c>
      <c r="J4811" s="2">
        <v>119</v>
      </c>
      <c r="K4811" s="2">
        <v>252</v>
      </c>
      <c r="L4811" s="2">
        <v>0</v>
      </c>
      <c r="M4811" s="2"/>
      <c r="N4811" s="8">
        <v>40999.835532407407</v>
      </c>
      <c r="O4811" s="4" t="s">
        <v>524</v>
      </c>
      <c r="P4811" s="3" t="s">
        <v>3897</v>
      </c>
      <c r="Q4811" s="4"/>
      <c r="R4811" s="4"/>
      <c r="S4811" s="9" t="str">
        <f>HYPERLINK("https://pbs.twimg.com/profile_images/1026343755069177856/bLBmV6ef.jpg","View")</f>
        <v>View</v>
      </c>
    </row>
    <row r="4812" spans="1:19" ht="20">
      <c r="A4812" s="8">
        <v>43340.926678240736</v>
      </c>
      <c r="B4812" s="11" t="str">
        <f>HYPERLINK("https://twitter.com/mahmoodgholami6","@mahmoodgholami6")</f>
        <v>@mahmoodgholami6</v>
      </c>
      <c r="C4812" s="6" t="s">
        <v>3896</v>
      </c>
      <c r="D4812" s="5" t="s">
        <v>3895</v>
      </c>
      <c r="E4812" s="9" t="str">
        <f>HYPERLINK("https://twitter.com/mahmoodgholami6/status/1034496943274307586","1034496943274307586")</f>
        <v>1034496943274307586</v>
      </c>
      <c r="F4812" s="4"/>
      <c r="G4812" s="10" t="s">
        <v>3894</v>
      </c>
      <c r="H4812" s="4"/>
      <c r="I4812" s="10" t="str">
        <f>HYPERLINK("http://twitter.com","Twitter Web Client")</f>
        <v>Twitter Web Client</v>
      </c>
      <c r="J4812" s="2">
        <v>4269</v>
      </c>
      <c r="K4812" s="2">
        <v>3462</v>
      </c>
      <c r="L4812" s="2">
        <v>4</v>
      </c>
      <c r="M4812" s="2"/>
      <c r="N4812" s="8">
        <v>42809.931446759263</v>
      </c>
      <c r="O4812" s="4" t="s">
        <v>3893</v>
      </c>
      <c r="P4812" s="3" t="s">
        <v>3892</v>
      </c>
      <c r="Q4812" s="4"/>
      <c r="R4812" s="4"/>
      <c r="S4812" s="9" t="str">
        <f>HYPERLINK("https://pbs.twimg.com/profile_images/863690682233266177/aRXcaD0i.jpg","View")</f>
        <v>View</v>
      </c>
    </row>
    <row r="4813" spans="1:19" ht="40">
      <c r="A4813" s="8">
        <v>43340.926666666666</v>
      </c>
      <c r="B4813" s="11" t="str">
        <f>HYPERLINK("https://twitter.com/kafka1300","@kafka1300")</f>
        <v>@kafka1300</v>
      </c>
      <c r="C4813" s="6" t="s">
        <v>2378</v>
      </c>
      <c r="D4813" s="5" t="s">
        <v>3891</v>
      </c>
      <c r="E4813" s="9" t="str">
        <f>HYPERLINK("https://twitter.com/kafka1300/status/1034496938924621824","1034496938924621824")</f>
        <v>1034496938924621824</v>
      </c>
      <c r="F4813" s="4"/>
      <c r="G4813" s="4"/>
      <c r="H4813" s="4"/>
      <c r="I4813" s="10" t="str">
        <f>HYPERLINK("http://twitter.com/download/android","Twitter for Android")</f>
        <v>Twitter for Android</v>
      </c>
      <c r="J4813" s="2">
        <v>784</v>
      </c>
      <c r="K4813" s="2">
        <v>1054</v>
      </c>
      <c r="L4813" s="2">
        <v>7</v>
      </c>
      <c r="M4813" s="2"/>
      <c r="N4813" s="8">
        <v>42452.001099537039</v>
      </c>
      <c r="O4813" s="4" t="s">
        <v>17</v>
      </c>
      <c r="P4813" s="3" t="s">
        <v>2376</v>
      </c>
      <c r="Q4813" s="4"/>
      <c r="R4813" s="4"/>
      <c r="S4813" s="9" t="str">
        <f>HYPERLINK("https://pbs.twimg.com/profile_images/713058953693933571/WDLIoeiD.jpg","View")</f>
        <v>View</v>
      </c>
    </row>
    <row r="4814" spans="1:19" ht="20">
      <c r="A4814" s="8">
        <v>43340.926527777774</v>
      </c>
      <c r="B4814" s="11" t="str">
        <f>HYPERLINK("https://twitter.com/mirza1397","@mirza1397")</f>
        <v>@mirza1397</v>
      </c>
      <c r="C4814" s="6" t="s">
        <v>3108</v>
      </c>
      <c r="D4814" s="5" t="s">
        <v>3890</v>
      </c>
      <c r="E4814" s="9" t="str">
        <f>HYPERLINK("https://twitter.com/mirza1397/status/1034496887590543360","1034496887590543360")</f>
        <v>1034496887590543360</v>
      </c>
      <c r="F4814" s="4"/>
      <c r="G4814" s="4"/>
      <c r="H4814" s="4"/>
      <c r="I4814" s="10" t="str">
        <f>HYPERLINK("http://twitter.com","Twitter Web Client")</f>
        <v>Twitter Web Client</v>
      </c>
      <c r="J4814" s="2">
        <v>1223</v>
      </c>
      <c r="K4814" s="2">
        <v>2069</v>
      </c>
      <c r="L4814" s="2">
        <v>0</v>
      </c>
      <c r="M4814" s="2"/>
      <c r="N4814" s="8">
        <v>43185.85601851852</v>
      </c>
      <c r="O4814" s="4" t="s">
        <v>3106</v>
      </c>
      <c r="P4814" s="3" t="s">
        <v>3105</v>
      </c>
      <c r="Q4814" s="10" t="s">
        <v>3104</v>
      </c>
      <c r="R4814" s="4"/>
      <c r="S4814" s="9" t="str">
        <f>HYPERLINK("https://pbs.twimg.com/profile_images/1019621726278205441/hom6QSoe.jpg","View")</f>
        <v>View</v>
      </c>
    </row>
    <row r="4815" spans="1:19" ht="30">
      <c r="A4815" s="8">
        <v>43340.925902777773</v>
      </c>
      <c r="B4815" s="11" t="str">
        <f>HYPERLINK("https://twitter.com/saeed_arefi","@saeed_arefi")</f>
        <v>@saeed_arefi</v>
      </c>
      <c r="C4815" s="6" t="s">
        <v>1148</v>
      </c>
      <c r="D4815" s="5" t="s">
        <v>3889</v>
      </c>
      <c r="E4815" s="9" t="str">
        <f>HYPERLINK("https://twitter.com/saeed_arefi/status/1034496660842455040","1034496660842455040")</f>
        <v>1034496660842455040</v>
      </c>
      <c r="F4815" s="4"/>
      <c r="G4815" s="4"/>
      <c r="H4815" s="4"/>
      <c r="I4815" s="10" t="str">
        <f>HYPERLINK("http://twitter.com/download/iphone","Twitter for iPhone")</f>
        <v>Twitter for iPhone</v>
      </c>
      <c r="J4815" s="2">
        <v>0</v>
      </c>
      <c r="K4815" s="2">
        <v>0</v>
      </c>
      <c r="L4815" s="2">
        <v>0</v>
      </c>
      <c r="M4815" s="2"/>
      <c r="N4815" s="8">
        <v>43229.558356481481</v>
      </c>
      <c r="O4815" s="4"/>
      <c r="P4815" s="3" t="s">
        <v>1146</v>
      </c>
      <c r="Q4815" s="4"/>
      <c r="R4815" s="4"/>
      <c r="S4815" s="2" t="s">
        <v>155</v>
      </c>
    </row>
    <row r="4816" spans="1:19" ht="40">
      <c r="A4816" s="8">
        <v>43340.925833333335</v>
      </c>
      <c r="B4816" s="11" t="str">
        <f>HYPERLINK("https://twitter.com/H_Ghadyani","@H_Ghadyani")</f>
        <v>@H_Ghadyani</v>
      </c>
      <c r="C4816" s="6" t="s">
        <v>3888</v>
      </c>
      <c r="D4816" s="5" t="s">
        <v>3887</v>
      </c>
      <c r="E4816" s="9" t="str">
        <f>HYPERLINK("https://twitter.com/H_Ghadyani/status/1034496633696907264","1034496633696907264")</f>
        <v>1034496633696907264</v>
      </c>
      <c r="F4816" s="4"/>
      <c r="G4816" s="4"/>
      <c r="H4816" s="4"/>
      <c r="I4816" s="10" t="str">
        <f>HYPERLINK("http://twitter.com","Twitter Web Client")</f>
        <v>Twitter Web Client</v>
      </c>
      <c r="J4816" s="2">
        <v>0</v>
      </c>
      <c r="K4816" s="2">
        <v>0</v>
      </c>
      <c r="L4816" s="2">
        <v>0</v>
      </c>
      <c r="M4816" s="2"/>
      <c r="N4816" s="8">
        <v>43339.412939814814</v>
      </c>
      <c r="O4816" s="4"/>
      <c r="P4816" s="3" t="s">
        <v>3886</v>
      </c>
      <c r="Q4816" s="4"/>
      <c r="R4816" s="4"/>
      <c r="S4816" s="9" t="str">
        <f>HYPERLINK("https://pbs.twimg.com/profile_images/1033952201805389825/Fnu6hgzX.jpg","View")</f>
        <v>View</v>
      </c>
    </row>
    <row r="4817" spans="1:19" ht="20">
      <c r="A4817" s="8">
        <v>43340.925613425927</v>
      </c>
      <c r="B4817" s="11" t="str">
        <f>HYPERLINK("https://twitter.com/Im_alik","@Im_alik")</f>
        <v>@Im_alik</v>
      </c>
      <c r="C4817" s="6" t="s">
        <v>3885</v>
      </c>
      <c r="D4817" s="5" t="s">
        <v>3884</v>
      </c>
      <c r="E4817" s="9" t="str">
        <f>HYPERLINK("https://twitter.com/Im_alik/status/1034496555057860608","1034496555057860608")</f>
        <v>1034496555057860608</v>
      </c>
      <c r="F4817" s="4"/>
      <c r="G4817" s="4"/>
      <c r="H4817" s="4"/>
      <c r="I4817" s="10" t="str">
        <f>HYPERLINK("http://twitter.com/download/android","Twitter for Android")</f>
        <v>Twitter for Android</v>
      </c>
      <c r="J4817" s="2">
        <v>433</v>
      </c>
      <c r="K4817" s="2">
        <v>250</v>
      </c>
      <c r="L4817" s="2">
        <v>2</v>
      </c>
      <c r="M4817" s="2"/>
      <c r="N4817" s="8">
        <v>42844.685277777782</v>
      </c>
      <c r="O4817" s="4" t="s">
        <v>3883</v>
      </c>
      <c r="P4817" s="3" t="s">
        <v>3882</v>
      </c>
      <c r="Q4817" s="4"/>
      <c r="R4817" s="4"/>
      <c r="S4817" s="9" t="str">
        <f>HYPERLINK("https://pbs.twimg.com/profile_images/1032558055370711040/szyPQDKv.jpg","View")</f>
        <v>View</v>
      </c>
    </row>
    <row r="4818" spans="1:19" ht="40">
      <c r="A4818" s="8">
        <v>43340.925439814819</v>
      </c>
      <c r="B4818" s="11" t="str">
        <f>HYPERLINK("https://twitter.com/etresorkh","@etresorkh")</f>
        <v>@etresorkh</v>
      </c>
      <c r="C4818" s="6" t="s">
        <v>3881</v>
      </c>
      <c r="D4818" s="5" t="s">
        <v>3880</v>
      </c>
      <c r="E4818" s="9" t="str">
        <f>HYPERLINK("https://twitter.com/etresorkh/status/1034496493074477056","1034496493074477056")</f>
        <v>1034496493074477056</v>
      </c>
      <c r="F4818" s="4"/>
      <c r="G4818" s="4"/>
      <c r="H4818" s="4"/>
      <c r="I4818" s="10" t="str">
        <f>HYPERLINK("http://twitter.com/download/android","Twitter for Android")</f>
        <v>Twitter for Android</v>
      </c>
      <c r="J4818" s="2">
        <v>98</v>
      </c>
      <c r="K4818" s="2">
        <v>63</v>
      </c>
      <c r="L4818" s="2">
        <v>1</v>
      </c>
      <c r="M4818" s="2"/>
      <c r="N4818" s="8">
        <v>42875.306863425925</v>
      </c>
      <c r="O4818" s="4"/>
      <c r="P4818" s="3" t="s">
        <v>3879</v>
      </c>
      <c r="Q4818" s="4"/>
      <c r="R4818" s="4"/>
      <c r="S4818" s="9" t="str">
        <f>HYPERLINK("https://pbs.twimg.com/profile_images/872413479357095936/GOqK21Bg.jpg","View")</f>
        <v>View</v>
      </c>
    </row>
    <row r="4819" spans="1:19" ht="20">
      <c r="A4819" s="8">
        <v>43340.925185185188</v>
      </c>
      <c r="B4819" s="11" t="str">
        <f>HYPERLINK("https://twitter.com/majidhakimikhor","@majidhakimikhor")</f>
        <v>@majidhakimikhor</v>
      </c>
      <c r="C4819" s="6" t="s">
        <v>3878</v>
      </c>
      <c r="D4819" s="5" t="s">
        <v>3877</v>
      </c>
      <c r="E4819" s="9" t="str">
        <f>HYPERLINK("https://twitter.com/majidhakimikhor/status/1034496401194070022","1034496401194070022")</f>
        <v>1034496401194070022</v>
      </c>
      <c r="F4819" s="4"/>
      <c r="G4819" s="4"/>
      <c r="H4819" s="4"/>
      <c r="I4819" s="10" t="str">
        <f>HYPERLINK("http://twitter.com/download/android","Twitter for Android")</f>
        <v>Twitter for Android</v>
      </c>
      <c r="J4819" s="2">
        <v>12</v>
      </c>
      <c r="K4819" s="2">
        <v>24</v>
      </c>
      <c r="L4819" s="2">
        <v>0</v>
      </c>
      <c r="M4819" s="2"/>
      <c r="N4819" s="8">
        <v>41695.834282407406</v>
      </c>
      <c r="O4819" s="4" t="s">
        <v>682</v>
      </c>
      <c r="P4819" s="3" t="s">
        <v>3876</v>
      </c>
      <c r="Q4819" s="4"/>
      <c r="R4819" s="4"/>
      <c r="S4819" s="9" t="str">
        <f>HYPERLINK("https://pbs.twimg.com/profile_images/549850426921607168/-GelHGjs.jpeg","View")</f>
        <v>View</v>
      </c>
    </row>
    <row r="4820" spans="1:19" ht="12.5">
      <c r="A4820" s="8">
        <v>43340.925150462965</v>
      </c>
      <c r="B4820" s="11" t="str">
        <f>HYPERLINK("https://twitter.com/hasan_nasab","@hasan_nasab")</f>
        <v>@hasan_nasab</v>
      </c>
      <c r="C4820" s="6" t="s">
        <v>3875</v>
      </c>
      <c r="D4820" s="5" t="s">
        <v>3874</v>
      </c>
      <c r="E4820" s="9" t="str">
        <f>HYPERLINK("https://twitter.com/hasan_nasab/status/1034496387457732608","1034496387457732608")</f>
        <v>1034496387457732608</v>
      </c>
      <c r="F4820" s="4"/>
      <c r="G4820" s="4"/>
      <c r="H4820" s="4"/>
      <c r="I4820" s="10" t="str">
        <f>HYPERLINK("http://twitter.com","Twitter Web Client")</f>
        <v>Twitter Web Client</v>
      </c>
      <c r="J4820" s="2">
        <v>1</v>
      </c>
      <c r="K4820" s="2">
        <v>10</v>
      </c>
      <c r="L4820" s="2">
        <v>0</v>
      </c>
      <c r="M4820" s="2"/>
      <c r="N4820" s="8">
        <v>42906.505185185189</v>
      </c>
      <c r="O4820" s="4"/>
      <c r="P4820" s="3"/>
      <c r="Q4820" s="4"/>
      <c r="R4820" s="4"/>
      <c r="S4820" s="2" t="s">
        <v>155</v>
      </c>
    </row>
    <row r="4821" spans="1:19" ht="20">
      <c r="A4821" s="8">
        <v>43340.925092592588</v>
      </c>
      <c r="B4821" s="11" t="str">
        <f>HYPERLINK("https://twitter.com/bahmanjvn","@bahmanjvn")</f>
        <v>@bahmanjvn</v>
      </c>
      <c r="C4821" s="6" t="s">
        <v>3873</v>
      </c>
      <c r="D4821" s="5" t="s">
        <v>3872</v>
      </c>
      <c r="E4821" s="9" t="str">
        <f>HYPERLINK("https://twitter.com/bahmanjvn/status/1034496368570785793","1034496368570785793")</f>
        <v>1034496368570785793</v>
      </c>
      <c r="F4821" s="4"/>
      <c r="G4821" s="4"/>
      <c r="H4821" s="4"/>
      <c r="I4821" s="10" t="str">
        <f>HYPERLINK("http://twitter.com/download/iphone","Twitter for iPhone")</f>
        <v>Twitter for iPhone</v>
      </c>
      <c r="J4821" s="2">
        <v>939</v>
      </c>
      <c r="K4821" s="2">
        <v>1819</v>
      </c>
      <c r="L4821" s="2">
        <v>4</v>
      </c>
      <c r="M4821" s="2"/>
      <c r="N4821" s="8">
        <v>41032.437997685185</v>
      </c>
      <c r="O4821" s="4" t="s">
        <v>682</v>
      </c>
      <c r="P4821" s="3" t="s">
        <v>3871</v>
      </c>
      <c r="Q4821" s="4"/>
      <c r="R4821" s="4"/>
      <c r="S4821" s="9" t="str">
        <f>HYPERLINK("https://pbs.twimg.com/profile_images/588229903276969984/SV79uiub.jpg","View")</f>
        <v>View</v>
      </c>
    </row>
    <row r="4822" spans="1:19" ht="20">
      <c r="A4822" s="8">
        <v>43340.924976851849</v>
      </c>
      <c r="B4822" s="11" t="str">
        <f>HYPERLINK("https://twitter.com/Mohsenioss","@Mohsenioss")</f>
        <v>@Mohsenioss</v>
      </c>
      <c r="C4822" s="6" t="s">
        <v>3870</v>
      </c>
      <c r="D4822" s="5" t="s">
        <v>3869</v>
      </c>
      <c r="E4822" s="9" t="str">
        <f>HYPERLINK("https://twitter.com/Mohsenioss/status/1034496326455705601","1034496326455705601")</f>
        <v>1034496326455705601</v>
      </c>
      <c r="F4822" s="4"/>
      <c r="G4822" s="4"/>
      <c r="H4822" s="4"/>
      <c r="I4822" s="10" t="str">
        <f>HYPERLINK("http://twitter.com/download/android","Twitter for Android")</f>
        <v>Twitter for Android</v>
      </c>
      <c r="J4822" s="2">
        <v>1139</v>
      </c>
      <c r="K4822" s="2">
        <v>1686</v>
      </c>
      <c r="L4822" s="2">
        <v>3</v>
      </c>
      <c r="M4822" s="2"/>
      <c r="N4822" s="8">
        <v>42698.093310185184</v>
      </c>
      <c r="O4822" s="4"/>
      <c r="P4822" s="3" t="s">
        <v>3868</v>
      </c>
      <c r="Q4822" s="4"/>
      <c r="R4822" s="4"/>
      <c r="S4822" s="9" t="str">
        <f>HYPERLINK("https://pbs.twimg.com/profile_images/992862119170334720/qiysFeOi.jpg","View")</f>
        <v>View</v>
      </c>
    </row>
    <row r="4823" spans="1:19" ht="30">
      <c r="A4823" s="8">
        <v>43340.924895833334</v>
      </c>
      <c r="B4823" s="11" t="str">
        <f>HYPERLINK("https://twitter.com/mardemashreghi","@mardemashreghi")</f>
        <v>@mardemashreghi</v>
      </c>
      <c r="C4823" s="6" t="s">
        <v>3867</v>
      </c>
      <c r="D4823" s="5" t="s">
        <v>3866</v>
      </c>
      <c r="E4823" s="9" t="str">
        <f>HYPERLINK("https://twitter.com/mardemashreghi/status/1034496294943907842","1034496294943907842")</f>
        <v>1034496294943907842</v>
      </c>
      <c r="F4823" s="4"/>
      <c r="G4823" s="4"/>
      <c r="H4823" s="4"/>
      <c r="I4823" s="10" t="str">
        <f>HYPERLINK("http://twitter.com/download/iphone","Twitter for iPhone")</f>
        <v>Twitter for iPhone</v>
      </c>
      <c r="J4823" s="2">
        <v>596</v>
      </c>
      <c r="K4823" s="2">
        <v>4016</v>
      </c>
      <c r="L4823" s="2">
        <v>1</v>
      </c>
      <c r="M4823" s="2"/>
      <c r="N4823" s="8">
        <v>39982.329837962963</v>
      </c>
      <c r="O4823" s="4" t="s">
        <v>34</v>
      </c>
      <c r="P4823" s="3" t="s">
        <v>3865</v>
      </c>
      <c r="Q4823" s="4"/>
      <c r="R4823" s="4"/>
      <c r="S4823" s="9" t="str">
        <f>HYPERLINK("https://pbs.twimg.com/profile_images/421372784803987457/3ar7vgL2.jpeg","View")</f>
        <v>View</v>
      </c>
    </row>
    <row r="4824" spans="1:19" ht="30">
      <c r="A4824" s="8">
        <v>43340.924745370372</v>
      </c>
      <c r="B4824" s="11" t="str">
        <f>HYPERLINK("https://twitter.com/faezeh_leily","@faezeh_leily")</f>
        <v>@faezeh_leily</v>
      </c>
      <c r="C4824" s="6" t="s">
        <v>3864</v>
      </c>
      <c r="D4824" s="5" t="s">
        <v>3863</v>
      </c>
      <c r="E4824" s="9" t="str">
        <f>HYPERLINK("https://twitter.com/faezeh_leily/status/1034496239193284614","1034496239193284614")</f>
        <v>1034496239193284614</v>
      </c>
      <c r="F4824" s="4"/>
      <c r="G4824" s="4"/>
      <c r="H4824" s="4"/>
      <c r="I4824" s="10" t="str">
        <f>HYPERLINK("http://twitter.com/download/android","Twitter for Android")</f>
        <v>Twitter for Android</v>
      </c>
      <c r="J4824" s="2">
        <v>122</v>
      </c>
      <c r="K4824" s="2">
        <v>108</v>
      </c>
      <c r="L4824" s="2">
        <v>0</v>
      </c>
      <c r="M4824" s="2"/>
      <c r="N4824" s="8">
        <v>43331.857928240745</v>
      </c>
      <c r="O4824" s="4" t="s">
        <v>324</v>
      </c>
      <c r="P4824" s="3" t="s">
        <v>3862</v>
      </c>
      <c r="Q4824" s="4"/>
      <c r="R4824" s="4"/>
      <c r="S4824" s="9" t="str">
        <f>HYPERLINK("https://pbs.twimg.com/profile_images/1034151460685205505/I_i3haT3.jpg","View")</f>
        <v>View</v>
      </c>
    </row>
    <row r="4825" spans="1:19" ht="30">
      <c r="A4825" s="8">
        <v>43340.924733796295</v>
      </c>
      <c r="B4825" s="11" t="str">
        <f>HYPERLINK("https://twitter.com/Majidaryanpoor","@Majidaryanpoor")</f>
        <v>@Majidaryanpoor</v>
      </c>
      <c r="C4825" s="6" t="s">
        <v>3861</v>
      </c>
      <c r="D4825" s="5" t="s">
        <v>3860</v>
      </c>
      <c r="E4825" s="9" t="str">
        <f>HYPERLINK("https://twitter.com/Majidaryanpoor/status/1034496235070210049","1034496235070210049")</f>
        <v>1034496235070210049</v>
      </c>
      <c r="F4825" s="4"/>
      <c r="G4825" s="4"/>
      <c r="H4825" s="4"/>
      <c r="I4825" s="10" t="str">
        <f>HYPERLINK("http://twitter.com/download/android","Twitter for Android")</f>
        <v>Twitter for Android</v>
      </c>
      <c r="J4825" s="2">
        <v>454</v>
      </c>
      <c r="K4825" s="2">
        <v>350</v>
      </c>
      <c r="L4825" s="2">
        <v>0</v>
      </c>
      <c r="M4825" s="2"/>
      <c r="N4825" s="8">
        <v>43222.567291666666</v>
      </c>
      <c r="O4825" s="4" t="s">
        <v>2103</v>
      </c>
      <c r="P4825" s="3" t="s">
        <v>3859</v>
      </c>
      <c r="Q4825" s="4"/>
      <c r="R4825" s="4"/>
      <c r="S4825" s="9" t="str">
        <f>HYPERLINK("https://pbs.twimg.com/profile_images/1025357336548966400/PCCxN0_G.jpg","View")</f>
        <v>View</v>
      </c>
    </row>
    <row r="4826" spans="1:19" ht="20">
      <c r="A4826" s="8">
        <v>43340.92459490741</v>
      </c>
      <c r="B4826" s="11" t="str">
        <f>HYPERLINK("https://twitter.com/_SepahSalar","@_SepahSalar")</f>
        <v>@_SepahSalar</v>
      </c>
      <c r="C4826" s="6" t="s">
        <v>3730</v>
      </c>
      <c r="D4826" s="5" t="s">
        <v>3858</v>
      </c>
      <c r="E4826" s="9" t="str">
        <f>HYPERLINK("https://twitter.com/_SepahSalar/status/1034496185938206721","1034496185938206721")</f>
        <v>1034496185938206721</v>
      </c>
      <c r="F4826" s="4"/>
      <c r="G4826" s="10" t="s">
        <v>3857</v>
      </c>
      <c r="H4826" s="4"/>
      <c r="I4826" s="10" t="str">
        <f>HYPERLINK("http://twitter.com/download/android","Twitter for Android")</f>
        <v>Twitter for Android</v>
      </c>
      <c r="J4826" s="2">
        <v>996</v>
      </c>
      <c r="K4826" s="2">
        <v>669</v>
      </c>
      <c r="L4826" s="2">
        <v>4</v>
      </c>
      <c r="M4826" s="2"/>
      <c r="N4826" s="8">
        <v>43038.902962962966</v>
      </c>
      <c r="O4826" s="4" t="s">
        <v>104</v>
      </c>
      <c r="P4826" s="3" t="s">
        <v>3728</v>
      </c>
      <c r="Q4826" s="4"/>
      <c r="R4826" s="4"/>
      <c r="S4826" s="9" t="str">
        <f>HYPERLINK("https://pbs.twimg.com/profile_images/983765135893454851/3QQtg4-I.jpg","View")</f>
        <v>View</v>
      </c>
    </row>
    <row r="4827" spans="1:19" ht="30">
      <c r="A4827" s="8">
        <v>43340.924560185187</v>
      </c>
      <c r="B4827" s="11" t="str">
        <f>HYPERLINK("https://twitter.com/Abuheyran","@Abuheyran")</f>
        <v>@Abuheyran</v>
      </c>
      <c r="C4827" s="6" t="s">
        <v>3856</v>
      </c>
      <c r="D4827" s="5" t="s">
        <v>3855</v>
      </c>
      <c r="E4827" s="9" t="str">
        <f>HYPERLINK("https://twitter.com/Abuheyran/status/1034496174563176449","1034496174563176449")</f>
        <v>1034496174563176449</v>
      </c>
      <c r="F4827" s="4"/>
      <c r="G4827" s="4"/>
      <c r="H4827" s="4"/>
      <c r="I4827" s="10" t="str">
        <f>HYPERLINK("http://twitter.com/download/android","Twitter for Android")</f>
        <v>Twitter for Android</v>
      </c>
      <c r="J4827" s="2">
        <v>9182</v>
      </c>
      <c r="K4827" s="2">
        <v>170</v>
      </c>
      <c r="L4827" s="2">
        <v>55</v>
      </c>
      <c r="M4827" s="2"/>
      <c r="N4827" s="8">
        <v>42687.078541666662</v>
      </c>
      <c r="O4827" s="4" t="s">
        <v>3854</v>
      </c>
      <c r="P4827" s="3" t="s">
        <v>3853</v>
      </c>
      <c r="Q4827" s="4"/>
      <c r="R4827" s="4"/>
      <c r="S4827" s="9" t="str">
        <f>HYPERLINK("https://pbs.twimg.com/profile_images/1022047748458196992/koDMhYw2.jpg","View")</f>
        <v>View</v>
      </c>
    </row>
    <row r="4828" spans="1:19" ht="20">
      <c r="A4828" s="8">
        <v>43340.924386574072</v>
      </c>
      <c r="B4828" s="11" t="str">
        <f>HYPERLINK("https://twitter.com/DrZarshenas","@DrZarshenas")</f>
        <v>@DrZarshenas</v>
      </c>
      <c r="C4828" s="6" t="s">
        <v>3852</v>
      </c>
      <c r="D4828" s="5" t="s">
        <v>3851</v>
      </c>
      <c r="E4828" s="9" t="str">
        <f>HYPERLINK("https://twitter.com/DrZarshenas/status/1034496110671409153","1034496110671409153")</f>
        <v>1034496110671409153</v>
      </c>
      <c r="F4828" s="4"/>
      <c r="G4828" s="4"/>
      <c r="H4828" s="4"/>
      <c r="I4828" s="10" t="str">
        <f>HYPERLINK("http://twitter.com/download/android","Twitter for Android")</f>
        <v>Twitter for Android</v>
      </c>
      <c r="J4828" s="2">
        <v>4775</v>
      </c>
      <c r="K4828" s="2">
        <v>3</v>
      </c>
      <c r="L4828" s="2">
        <v>51</v>
      </c>
      <c r="M4828" s="2"/>
      <c r="N4828" s="8">
        <v>43022.727719907409</v>
      </c>
      <c r="O4828" s="4" t="s">
        <v>17</v>
      </c>
      <c r="P4828" s="3" t="s">
        <v>3850</v>
      </c>
      <c r="Q4828" s="4"/>
      <c r="R4828" s="4"/>
      <c r="S4828" s="9" t="str">
        <f>HYPERLINK("https://pbs.twimg.com/profile_images/919202271799296001/3GYkMP8K.jpg","View")</f>
        <v>View</v>
      </c>
    </row>
    <row r="4829" spans="1:19" ht="12.5">
      <c r="A4829" s="8">
        <v>43340.924363425926</v>
      </c>
      <c r="B4829" s="11" t="str">
        <f>HYPERLINK("https://twitter.com/sh_masoomeh","@sh_masoomeh")</f>
        <v>@sh_masoomeh</v>
      </c>
      <c r="C4829" s="6" t="s">
        <v>3849</v>
      </c>
      <c r="D4829" s="5" t="s">
        <v>3848</v>
      </c>
      <c r="E4829" s="9" t="str">
        <f>HYPERLINK("https://twitter.com/sh_masoomeh/status/1034496102916087808","1034496102916087808")</f>
        <v>1034496102916087808</v>
      </c>
      <c r="F4829" s="4"/>
      <c r="G4829" s="4"/>
      <c r="H4829" s="4"/>
      <c r="I4829" s="10" t="str">
        <f>HYPERLINK("http://twitter.com/download/android","Twitter for Android")</f>
        <v>Twitter for Android</v>
      </c>
      <c r="J4829" s="2">
        <v>520</v>
      </c>
      <c r="K4829" s="2">
        <v>509</v>
      </c>
      <c r="L4829" s="2">
        <v>2</v>
      </c>
      <c r="M4829" s="2"/>
      <c r="N4829" s="8">
        <v>43203.077696759261</v>
      </c>
      <c r="O4829" s="4"/>
      <c r="P4829" s="3"/>
      <c r="Q4829" s="4"/>
      <c r="R4829" s="4"/>
      <c r="S4829" s="9" t="str">
        <f>HYPERLINK("https://pbs.twimg.com/profile_images/1032683529518374914/IA3gNWWu.jpg","View")</f>
        <v>View</v>
      </c>
    </row>
    <row r="4830" spans="1:19" ht="40">
      <c r="A4830" s="8">
        <v>43340.923900462964</v>
      </c>
      <c r="B4830" s="11" t="str">
        <f>HYPERLINK("https://twitter.com/Homayoun_Ghani","@Homayoun_Ghani")</f>
        <v>@Homayoun_Ghani</v>
      </c>
      <c r="C4830" s="6" t="s">
        <v>3847</v>
      </c>
      <c r="D4830" s="5" t="s">
        <v>3846</v>
      </c>
      <c r="E4830" s="9" t="str">
        <f>HYPERLINK("https://twitter.com/Homayoun_Ghani/status/1034495932744851459","1034495932744851459")</f>
        <v>1034495932744851459</v>
      </c>
      <c r="F4830" s="4"/>
      <c r="G4830" s="4"/>
      <c r="H4830" s="4"/>
      <c r="I4830" s="10" t="str">
        <f>HYPERLINK("http://twitter.com/download/android","Twitter for Android")</f>
        <v>Twitter for Android</v>
      </c>
      <c r="J4830" s="2">
        <v>275</v>
      </c>
      <c r="K4830" s="2">
        <v>531</v>
      </c>
      <c r="L4830" s="2">
        <v>0</v>
      </c>
      <c r="M4830" s="2"/>
      <c r="N4830" s="8">
        <v>43310.121701388889</v>
      </c>
      <c r="O4830" s="4" t="s">
        <v>324</v>
      </c>
      <c r="P4830" s="3" t="s">
        <v>3845</v>
      </c>
      <c r="Q4830" s="4"/>
      <c r="R4830" s="4"/>
      <c r="S4830" s="9" t="str">
        <f>HYPERLINK("https://pbs.twimg.com/profile_images/1023522612608229376/-2hsNWYF.jpg","View")</f>
        <v>View</v>
      </c>
    </row>
    <row r="4831" spans="1:19" ht="30">
      <c r="A4831" s="8">
        <v>43340.923888888894</v>
      </c>
      <c r="B4831" s="11" t="str">
        <f>HYPERLINK("https://twitter.com/Mnabi_Habibi","@Mnabi_Habibi")</f>
        <v>@Mnabi_Habibi</v>
      </c>
      <c r="C4831" s="6" t="s">
        <v>3844</v>
      </c>
      <c r="D4831" s="5" t="s">
        <v>3843</v>
      </c>
      <c r="E4831" s="9" t="str">
        <f>HYPERLINK("https://twitter.com/Mnabi_Habibi/status/1034495928693141504","1034495928693141504")</f>
        <v>1034495928693141504</v>
      </c>
      <c r="F4831" s="4"/>
      <c r="G4831" s="4"/>
      <c r="H4831" s="4"/>
      <c r="I4831" s="10" t="str">
        <f>HYPERLINK("http://twitter.com/download/android","Twitter for Android")</f>
        <v>Twitter for Android</v>
      </c>
      <c r="J4831" s="2">
        <v>80</v>
      </c>
      <c r="K4831" s="2">
        <v>8</v>
      </c>
      <c r="L4831" s="2">
        <v>2</v>
      </c>
      <c r="M4831" s="2"/>
      <c r="N4831" s="8">
        <v>43283.6637037037</v>
      </c>
      <c r="O4831" s="4"/>
      <c r="P4831" s="3" t="s">
        <v>3842</v>
      </c>
      <c r="Q4831" s="4"/>
      <c r="R4831" s="4"/>
      <c r="S4831" s="9" t="str">
        <f>HYPERLINK("https://pbs.twimg.com/profile_images/1013747517408739328/B4It4wTc.jpg","View")</f>
        <v>View</v>
      </c>
    </row>
    <row r="4832" spans="1:19" ht="40">
      <c r="A4832" s="8">
        <v>43340.923807870371</v>
      </c>
      <c r="B4832" s="11" t="str">
        <f>HYPERLINK("https://twitter.com/IranIntl","@IranIntl")</f>
        <v>@IranIntl</v>
      </c>
      <c r="C4832" s="6" t="s">
        <v>2253</v>
      </c>
      <c r="D4832" s="5" t="s">
        <v>3841</v>
      </c>
      <c r="E4832" s="9" t="str">
        <f>HYPERLINK("https://twitter.com/IranIntl/status/1034495901530763265","1034495901530763265")</f>
        <v>1034495901530763265</v>
      </c>
      <c r="F4832" s="10" t="s">
        <v>3840</v>
      </c>
      <c r="G4832" s="4"/>
      <c r="H4832" s="4"/>
      <c r="I4832" s="10" t="str">
        <f>HYPERLINK("http://www.falcon.io","Falcon Social Media Management ")</f>
        <v xml:space="preserve">Falcon Social Media Management </v>
      </c>
      <c r="J4832" s="2">
        <v>10266</v>
      </c>
      <c r="K4832" s="2">
        <v>37</v>
      </c>
      <c r="L4832" s="2">
        <v>71</v>
      </c>
      <c r="M4832" s="2"/>
      <c r="N4832" s="8">
        <v>42495.854155092587</v>
      </c>
      <c r="O4832" s="4" t="s">
        <v>2250</v>
      </c>
      <c r="P4832" s="3" t="s">
        <v>2249</v>
      </c>
      <c r="Q4832" s="10" t="s">
        <v>2248</v>
      </c>
      <c r="R4832" s="4"/>
      <c r="S4832" s="9" t="str">
        <f>HYPERLINK("https://pbs.twimg.com/profile_images/959109044987416576/LIHHUain.jpg","View")</f>
        <v>View</v>
      </c>
    </row>
    <row r="4833" spans="1:19" ht="30">
      <c r="A4833" s="8">
        <v>43340.923703703702</v>
      </c>
      <c r="B4833" s="11" t="str">
        <f>HYPERLINK("https://twitter.com/mockingbird_158","@mockingbird_158")</f>
        <v>@mockingbird_158</v>
      </c>
      <c r="C4833" s="6" t="s">
        <v>3839</v>
      </c>
      <c r="D4833" s="5" t="s">
        <v>3838</v>
      </c>
      <c r="E4833" s="9" t="str">
        <f>HYPERLINK("https://twitter.com/mockingbird_158/status/1034495863287173120","1034495863287173120")</f>
        <v>1034495863287173120</v>
      </c>
      <c r="F4833" s="4"/>
      <c r="G4833" s="10" t="s">
        <v>3837</v>
      </c>
      <c r="H4833" s="4"/>
      <c r="I4833" s="10" t="str">
        <f>HYPERLINK("http://twitter.com/download/android","Twitter for Android")</f>
        <v>Twitter for Android</v>
      </c>
      <c r="J4833" s="2">
        <v>170</v>
      </c>
      <c r="K4833" s="2">
        <v>211</v>
      </c>
      <c r="L4833" s="2">
        <v>0</v>
      </c>
      <c r="M4833" s="2"/>
      <c r="N4833" s="8">
        <v>40764.094004629631</v>
      </c>
      <c r="O4833" s="4" t="s">
        <v>1415</v>
      </c>
      <c r="P4833" s="3" t="s">
        <v>3836</v>
      </c>
      <c r="Q4833" s="4"/>
      <c r="R4833" s="4"/>
      <c r="S4833" s="9" t="str">
        <f>HYPERLINK("https://pbs.twimg.com/profile_images/1026100613824884736/DW-guVaH.jpg","View")</f>
        <v>View</v>
      </c>
    </row>
    <row r="4834" spans="1:19" ht="40">
      <c r="A4834" s="8">
        <v>43340.923611111109</v>
      </c>
      <c r="B4834" s="11" t="str">
        <f>HYPERLINK("https://twitter.com/Sohrab136911","@Sohrab136911")</f>
        <v>@Sohrab136911</v>
      </c>
      <c r="C4834" s="6" t="s">
        <v>3835</v>
      </c>
      <c r="D4834" s="5" t="s">
        <v>3834</v>
      </c>
      <c r="E4834" s="9" t="str">
        <f>HYPERLINK("https://twitter.com/Sohrab136911/status/1034495828801605632","1034495828801605632")</f>
        <v>1034495828801605632</v>
      </c>
      <c r="F4834" s="4"/>
      <c r="G4834" s="10" t="s">
        <v>3833</v>
      </c>
      <c r="H4834" s="4"/>
      <c r="I4834" s="10" t="str">
        <f>HYPERLINK("http://twitter.com/download/android","Twitter for Android")</f>
        <v>Twitter for Android</v>
      </c>
      <c r="J4834" s="2">
        <v>284</v>
      </c>
      <c r="K4834" s="2">
        <v>1144</v>
      </c>
      <c r="L4834" s="2">
        <v>0</v>
      </c>
      <c r="M4834" s="2"/>
      <c r="N4834" s="8">
        <v>43309.951354166667</v>
      </c>
      <c r="O4834" s="4"/>
      <c r="P4834" s="3" t="s">
        <v>3832</v>
      </c>
      <c r="Q4834" s="4"/>
      <c r="R4834" s="4"/>
      <c r="S4834" s="9" t="str">
        <f>HYPERLINK("https://pbs.twimg.com/profile_images/1023272935648157697/_12bcgm2.jpg","View")</f>
        <v>View</v>
      </c>
    </row>
    <row r="4835" spans="1:19" ht="40">
      <c r="A4835" s="8">
        <v>43340.923587962963</v>
      </c>
      <c r="B4835" s="11" t="str">
        <f>HYPERLINK("https://twitter.com/aurashi","@aurashi")</f>
        <v>@aurashi</v>
      </c>
      <c r="C4835" s="6" t="s">
        <v>3831</v>
      </c>
      <c r="D4835" s="5" t="s">
        <v>3830</v>
      </c>
      <c r="E4835" s="9" t="str">
        <f>HYPERLINK("https://twitter.com/aurashi/status/1034495820924633094","1034495820924633094")</f>
        <v>1034495820924633094</v>
      </c>
      <c r="F4835" s="4"/>
      <c r="G4835" s="4"/>
      <c r="H4835" s="4"/>
      <c r="I4835" s="10" t="str">
        <f>HYPERLINK("http://twitter.com/download/android","Twitter for Android")</f>
        <v>Twitter for Android</v>
      </c>
      <c r="J4835" s="2">
        <v>113</v>
      </c>
      <c r="K4835" s="2">
        <v>156</v>
      </c>
      <c r="L4835" s="2">
        <v>0</v>
      </c>
      <c r="M4835" s="2"/>
      <c r="N4835" s="8">
        <v>39840.155821759261</v>
      </c>
      <c r="O4835" s="4" t="s">
        <v>211</v>
      </c>
      <c r="P4835" s="3"/>
      <c r="Q4835" s="4"/>
      <c r="R4835" s="4"/>
      <c r="S4835" s="2" t="s">
        <v>155</v>
      </c>
    </row>
    <row r="4836" spans="1:19" ht="40">
      <c r="A4836" s="8">
        <v>43340.923402777778</v>
      </c>
      <c r="B4836" s="11" t="str">
        <f>HYPERLINK("https://twitter.com/_mohammadl","@_mohammadl")</f>
        <v>@_mohammadl</v>
      </c>
      <c r="C4836" s="6" t="s">
        <v>2281</v>
      </c>
      <c r="D4836" s="5" t="s">
        <v>3829</v>
      </c>
      <c r="E4836" s="9" t="str">
        <f>HYPERLINK("https://twitter.com/_mohammadl/status/1034495752544940033","1034495752544940033")</f>
        <v>1034495752544940033</v>
      </c>
      <c r="F4836" s="4"/>
      <c r="G4836" s="10" t="s">
        <v>3828</v>
      </c>
      <c r="H4836" s="4"/>
      <c r="I4836" s="10" t="str">
        <f>HYPERLINK("http://twitter.com/download/android","Twitter for Android")</f>
        <v>Twitter for Android</v>
      </c>
      <c r="J4836" s="2">
        <v>209</v>
      </c>
      <c r="K4836" s="2">
        <v>72</v>
      </c>
      <c r="L4836" s="2">
        <v>0</v>
      </c>
      <c r="M4836" s="2"/>
      <c r="N4836" s="8">
        <v>43101.782060185185</v>
      </c>
      <c r="O4836" s="4" t="s">
        <v>1415</v>
      </c>
      <c r="P4836" s="3" t="s">
        <v>2278</v>
      </c>
      <c r="Q4836" s="4"/>
      <c r="R4836" s="4"/>
      <c r="S4836" s="9" t="str">
        <f>HYPERLINK("https://pbs.twimg.com/profile_images/1028700634198016001/UemjohHq.jpg","View")</f>
        <v>View</v>
      </c>
    </row>
    <row r="4837" spans="1:19" ht="40">
      <c r="A4837" s="8">
        <v>43340.922893518524</v>
      </c>
      <c r="B4837" s="11" t="str">
        <f>HYPERLINK("https://twitter.com/Kaveh_k81","@Kaveh_k81")</f>
        <v>@Kaveh_k81</v>
      </c>
      <c r="C4837" s="6" t="s">
        <v>3827</v>
      </c>
      <c r="D4837" s="5" t="s">
        <v>3826</v>
      </c>
      <c r="E4837" s="9" t="str">
        <f>HYPERLINK("https://twitter.com/Kaveh_k81/status/1034495568368816129","1034495568368816129")</f>
        <v>1034495568368816129</v>
      </c>
      <c r="F4837" s="4"/>
      <c r="G4837" s="4"/>
      <c r="H4837" s="4"/>
      <c r="I4837" s="10" t="str">
        <f>HYPERLINK("http://twitter.com/download/android","Twitter for Android")</f>
        <v>Twitter for Android</v>
      </c>
      <c r="J4837" s="2">
        <v>14</v>
      </c>
      <c r="K4837" s="2">
        <v>97</v>
      </c>
      <c r="L4837" s="2">
        <v>0</v>
      </c>
      <c r="M4837" s="2"/>
      <c r="N4837" s="8">
        <v>41090.774756944447</v>
      </c>
      <c r="O4837" s="4" t="s">
        <v>1930</v>
      </c>
      <c r="P4837" s="3"/>
      <c r="Q4837" s="4"/>
      <c r="R4837" s="4"/>
      <c r="S4837" s="9" t="str">
        <f>HYPERLINK("https://pbs.twimg.com/profile_images/1028208996577099777/UTKSFNHo.jpg","View")</f>
        <v>View</v>
      </c>
    </row>
    <row r="4838" spans="1:19" ht="20">
      <c r="A4838" s="8">
        <v>43340.922013888892</v>
      </c>
      <c r="B4838" s="11" t="str">
        <f>HYPERLINK("https://twitter.com/jahaneghtesad","@jahaneghtesad")</f>
        <v>@jahaneghtesad</v>
      </c>
      <c r="C4838" s="6" t="s">
        <v>3825</v>
      </c>
      <c r="D4838" s="5" t="s">
        <v>3824</v>
      </c>
      <c r="E4838" s="9" t="str">
        <f>HYPERLINK("https://twitter.com/jahaneghtesad/status/1034495250025381889","1034495250025381889")</f>
        <v>1034495250025381889</v>
      </c>
      <c r="F4838" s="4"/>
      <c r="G4838" s="10" t="s">
        <v>3823</v>
      </c>
      <c r="H4838" s="4"/>
      <c r="I4838" s="10" t="str">
        <f>HYPERLINK("http://twitter.com/download/iphone","Twitter for iPhone")</f>
        <v>Twitter for iPhone</v>
      </c>
      <c r="J4838" s="2">
        <v>4833</v>
      </c>
      <c r="K4838" s="2">
        <v>786</v>
      </c>
      <c r="L4838" s="2">
        <v>28</v>
      </c>
      <c r="M4838" s="2"/>
      <c r="N4838" s="8">
        <v>41545.644293981481</v>
      </c>
      <c r="O4838" s="4" t="s">
        <v>3822</v>
      </c>
      <c r="P4838" s="3" t="s">
        <v>3821</v>
      </c>
      <c r="Q4838" s="10" t="s">
        <v>3820</v>
      </c>
      <c r="R4838" s="4"/>
      <c r="S4838" s="9" t="str">
        <f>HYPERLINK("https://pbs.twimg.com/profile_images/811481297583570944/o_qyc9Hu.jpg","View")</f>
        <v>View</v>
      </c>
    </row>
    <row r="4839" spans="1:19" ht="60">
      <c r="A4839" s="8">
        <v>43340.921967592592</v>
      </c>
      <c r="B4839" s="11" t="str">
        <f>HYPERLINK("https://twitter.com/arazmojahed","@arazmojahed")</f>
        <v>@arazmojahed</v>
      </c>
      <c r="C4839" s="6" t="s">
        <v>3819</v>
      </c>
      <c r="D4839" s="5" t="s">
        <v>3818</v>
      </c>
      <c r="E4839" s="9" t="str">
        <f>HYPERLINK("https://twitter.com/arazmojahed/status/1034495233243926528","1034495233243926528")</f>
        <v>1034495233243926528</v>
      </c>
      <c r="F4839" s="4" t="s">
        <v>3817</v>
      </c>
      <c r="G4839" s="4"/>
      <c r="H4839" s="4"/>
      <c r="I4839" s="10" t="str">
        <f>HYPERLINK("http://twitter.com","Twitter Web Client")</f>
        <v>Twitter Web Client</v>
      </c>
      <c r="J4839" s="2">
        <v>471</v>
      </c>
      <c r="K4839" s="2">
        <v>206</v>
      </c>
      <c r="L4839" s="2">
        <v>0</v>
      </c>
      <c r="M4839" s="2"/>
      <c r="N4839" s="8">
        <v>42807.933124999996</v>
      </c>
      <c r="O4839" s="10" t="s">
        <v>3816</v>
      </c>
      <c r="P4839" s="3" t="s">
        <v>3815</v>
      </c>
      <c r="Q4839" s="4"/>
      <c r="R4839" s="4"/>
      <c r="S4839" s="9" t="str">
        <f>HYPERLINK("https://pbs.twimg.com/profile_images/1018184808181223424/9GgtymWL.jpg","View")</f>
        <v>View</v>
      </c>
    </row>
    <row r="4840" spans="1:19" ht="40">
      <c r="A4840" s="8">
        <v>43340.921932870369</v>
      </c>
      <c r="B4840" s="11" t="str">
        <f>HYPERLINK("https://twitter.com/PersianHidaren","@PersianHidaren")</f>
        <v>@PersianHidaren</v>
      </c>
      <c r="C4840" s="6" t="s">
        <v>3814</v>
      </c>
      <c r="D4840" s="5" t="s">
        <v>3813</v>
      </c>
      <c r="E4840" s="9" t="str">
        <f>HYPERLINK("https://twitter.com/PersianHidaren/status/1034495219629219840","1034495219629219840")</f>
        <v>1034495219629219840</v>
      </c>
      <c r="F4840" s="4"/>
      <c r="G4840" s="4"/>
      <c r="H4840" s="4"/>
      <c r="I4840" s="10" t="str">
        <f>HYPERLINK("http://twitter.com/download/android","Twitter for Android")</f>
        <v>Twitter for Android</v>
      </c>
      <c r="J4840" s="2">
        <v>709</v>
      </c>
      <c r="K4840" s="2">
        <v>701</v>
      </c>
      <c r="L4840" s="2">
        <v>0</v>
      </c>
      <c r="M4840" s="2"/>
      <c r="N4840" s="8">
        <v>42317.999236111107</v>
      </c>
      <c r="O4840" s="4" t="s">
        <v>34</v>
      </c>
      <c r="P4840" s="3" t="s">
        <v>3812</v>
      </c>
      <c r="Q4840" s="4"/>
      <c r="R4840" s="4"/>
      <c r="S4840" s="9" t="str">
        <f>HYPERLINK("https://pbs.twimg.com/profile_images/663817931814383616/0AJqJIBV.jpg","View")</f>
        <v>View</v>
      </c>
    </row>
    <row r="4841" spans="1:19" ht="40">
      <c r="A4841" s="8">
        <v>43340.921678240746</v>
      </c>
      <c r="B4841" s="11" t="str">
        <f>HYPERLINK("https://twitter.com/peymaneh123","@peymaneh123")</f>
        <v>@peymaneh123</v>
      </c>
      <c r="C4841" s="6" t="s">
        <v>3811</v>
      </c>
      <c r="D4841" s="5" t="s">
        <v>3810</v>
      </c>
      <c r="E4841" s="9" t="str">
        <f>HYPERLINK("https://twitter.com/peymaneh123/status/1034495129954877440","1034495129954877440")</f>
        <v>1034495129954877440</v>
      </c>
      <c r="F4841" s="10" t="s">
        <v>3809</v>
      </c>
      <c r="G4841" s="4"/>
      <c r="H4841" s="4"/>
      <c r="I4841" s="10" t="str">
        <f>HYPERLINK("http://twitter.com/download/iphone","Twitter for iPhone")</f>
        <v>Twitter for iPhone</v>
      </c>
      <c r="J4841" s="2">
        <v>13252</v>
      </c>
      <c r="K4841" s="2">
        <v>7544</v>
      </c>
      <c r="L4841" s="2">
        <v>439</v>
      </c>
      <c r="M4841" s="2"/>
      <c r="N4841" s="8">
        <v>39986.244155092594</v>
      </c>
      <c r="O4841" s="4" t="s">
        <v>3808</v>
      </c>
      <c r="P4841" s="3" t="s">
        <v>3807</v>
      </c>
      <c r="Q4841" s="10" t="s">
        <v>3806</v>
      </c>
      <c r="R4841" s="4"/>
      <c r="S4841" s="9" t="str">
        <f>HYPERLINK("https://pbs.twimg.com/profile_images/940043451076296704/aS21mZBn.jpg","View")</f>
        <v>View</v>
      </c>
    </row>
    <row r="4842" spans="1:19" ht="40">
      <c r="A4842" s="8">
        <v>43340.921493055561</v>
      </c>
      <c r="B4842" s="11" t="str">
        <f>HYPERLINK("https://twitter.com/SadraMolaie","@SadraMolaie")</f>
        <v>@SadraMolaie</v>
      </c>
      <c r="C4842" s="6" t="s">
        <v>3805</v>
      </c>
      <c r="D4842" s="5" t="s">
        <v>3804</v>
      </c>
      <c r="E4842" s="9" t="str">
        <f>HYPERLINK("https://twitter.com/SadraMolaie/status/1034495061696892928","1034495061696892928")</f>
        <v>1034495061696892928</v>
      </c>
      <c r="F4842" s="4"/>
      <c r="G4842" s="4"/>
      <c r="H4842" s="4"/>
      <c r="I4842" s="10" t="str">
        <f>HYPERLINK("http://twitter.com/download/iphone","Twitter for iPhone")</f>
        <v>Twitter for iPhone</v>
      </c>
      <c r="J4842" s="2">
        <v>50</v>
      </c>
      <c r="K4842" s="2">
        <v>68</v>
      </c>
      <c r="L4842" s="2">
        <v>0</v>
      </c>
      <c r="M4842" s="2"/>
      <c r="N4842" s="8">
        <v>41551.947002314817</v>
      </c>
      <c r="O4842" s="4" t="s">
        <v>3803</v>
      </c>
      <c r="P4842" s="3" t="s">
        <v>3802</v>
      </c>
      <c r="Q4842" s="4"/>
      <c r="R4842" s="4"/>
      <c r="S4842" s="9" t="str">
        <f>HYPERLINK("https://pbs.twimg.com/profile_images/975681523675533312/PJSEpdW5.jpg","View")</f>
        <v>View</v>
      </c>
    </row>
    <row r="4843" spans="1:19" ht="20">
      <c r="A4843" s="8">
        <v>43340.921412037038</v>
      </c>
      <c r="B4843" s="11" t="str">
        <f>HYPERLINK("https://twitter.com/authanasie","@authanasie")</f>
        <v>@authanasie</v>
      </c>
      <c r="C4843" s="6" t="s">
        <v>3801</v>
      </c>
      <c r="D4843" s="5" t="s">
        <v>3800</v>
      </c>
      <c r="E4843" s="9" t="str">
        <f>HYPERLINK("https://twitter.com/authanasie/status/1034495034605948928","1034495034605948928")</f>
        <v>1034495034605948928</v>
      </c>
      <c r="F4843" s="4"/>
      <c r="G4843" s="4"/>
      <c r="H4843" s="4"/>
      <c r="I4843" s="10" t="str">
        <f>HYPERLINK("http://twitter.com/download/android","Twitter for Android")</f>
        <v>Twitter for Android</v>
      </c>
      <c r="J4843" s="2">
        <v>227</v>
      </c>
      <c r="K4843" s="2">
        <v>337</v>
      </c>
      <c r="L4843" s="2">
        <v>0</v>
      </c>
      <c r="M4843" s="2"/>
      <c r="N4843" s="8">
        <v>43101.793981481482</v>
      </c>
      <c r="O4843" s="4"/>
      <c r="P4843" s="3" t="s">
        <v>3799</v>
      </c>
      <c r="Q4843" s="4"/>
      <c r="R4843" s="4"/>
      <c r="S4843" s="9" t="str">
        <f>HYPERLINK("https://pbs.twimg.com/profile_images/1027961155346751488/24DbiHQL.jpg","View")</f>
        <v>View</v>
      </c>
    </row>
    <row r="4844" spans="1:19" ht="20">
      <c r="A4844" s="8">
        <v>43340.921377314815</v>
      </c>
      <c r="B4844" s="11" t="str">
        <f>HYPERLINK("https://twitter.com/RJ2573","@RJ2573")</f>
        <v>@RJ2573</v>
      </c>
      <c r="C4844" s="6" t="s">
        <v>3438</v>
      </c>
      <c r="D4844" s="5" t="s">
        <v>3798</v>
      </c>
      <c r="E4844" s="9" t="str">
        <f>HYPERLINK("https://twitter.com/RJ2573/status/1034495018491437056","1034495018491437056")</f>
        <v>1034495018491437056</v>
      </c>
      <c r="F4844" s="4"/>
      <c r="G4844" s="4"/>
      <c r="H4844" s="4"/>
      <c r="I4844" s="10" t="str">
        <f>HYPERLINK("http://twitter.com/download/android","Twitter for Android")</f>
        <v>Twitter for Android</v>
      </c>
      <c r="J4844" s="2">
        <v>1181</v>
      </c>
      <c r="K4844" s="2">
        <v>3755</v>
      </c>
      <c r="L4844" s="2">
        <v>2</v>
      </c>
      <c r="M4844" s="2"/>
      <c r="N4844" s="8">
        <v>41715.04074074074</v>
      </c>
      <c r="O4844" s="4"/>
      <c r="P4844" s="3" t="s">
        <v>3436</v>
      </c>
      <c r="Q4844" s="4"/>
      <c r="R4844" s="4"/>
      <c r="S4844" s="9" t="str">
        <f>HYPERLINK("https://pbs.twimg.com/profile_images/878467856987541504/Kx-MmUku.jpg","View")</f>
        <v>View</v>
      </c>
    </row>
    <row r="4845" spans="1:19" ht="40">
      <c r="A4845" s="8">
        <v>43340.920983796299</v>
      </c>
      <c r="B4845" s="11" t="str">
        <f>HYPERLINK("https://twitter.com/Alighazizade","@Alighazizade")</f>
        <v>@Alighazizade</v>
      </c>
      <c r="C4845" s="6" t="s">
        <v>3797</v>
      </c>
      <c r="D4845" s="5" t="s">
        <v>3796</v>
      </c>
      <c r="E4845" s="9" t="str">
        <f>HYPERLINK("https://twitter.com/Alighazizade/status/1034494878363910146","1034494878363910146")</f>
        <v>1034494878363910146</v>
      </c>
      <c r="F4845" s="4"/>
      <c r="G4845" s="4"/>
      <c r="H4845" s="4"/>
      <c r="I4845" s="10" t="str">
        <f>HYPERLINK("http://twitter.com/download/iphone","Twitter for iPhone")</f>
        <v>Twitter for iPhone</v>
      </c>
      <c r="J4845" s="2">
        <v>2788</v>
      </c>
      <c r="K4845" s="2">
        <v>3245</v>
      </c>
      <c r="L4845" s="2">
        <v>1</v>
      </c>
      <c r="M4845" s="2"/>
      <c r="N4845" s="8">
        <v>41590.00304398148</v>
      </c>
      <c r="O4845" s="4" t="s">
        <v>3795</v>
      </c>
      <c r="P4845" s="3" t="s">
        <v>3794</v>
      </c>
      <c r="Q4845" s="4"/>
      <c r="R4845" s="4"/>
      <c r="S4845" s="9" t="str">
        <f>HYPERLINK("https://pbs.twimg.com/profile_images/978644190304395264/ooYC8wAL.jpg","View")</f>
        <v>View</v>
      </c>
    </row>
    <row r="4846" spans="1:19" ht="40">
      <c r="A4846" s="8">
        <v>43340.920648148152</v>
      </c>
      <c r="B4846" s="11" t="str">
        <f>HYPERLINK("https://twitter.com/hesami_isu_ir","@hesami_isu_ir")</f>
        <v>@hesami_isu_ir</v>
      </c>
      <c r="C4846" s="6" t="s">
        <v>3793</v>
      </c>
      <c r="D4846" s="5" t="s">
        <v>3792</v>
      </c>
      <c r="E4846" s="9" t="str">
        <f>HYPERLINK("https://twitter.com/hesami_isu_ir/status/1034494755948908547","1034494755948908547")</f>
        <v>1034494755948908547</v>
      </c>
      <c r="F4846" s="4"/>
      <c r="G4846" s="4"/>
      <c r="H4846" s="4"/>
      <c r="I4846" s="10" t="str">
        <f>HYPERLINK("http://twitter.com/download/android","Twitter for Android")</f>
        <v>Twitter for Android</v>
      </c>
      <c r="J4846" s="2">
        <v>1810</v>
      </c>
      <c r="K4846" s="2">
        <v>1817</v>
      </c>
      <c r="L4846" s="2">
        <v>1</v>
      </c>
      <c r="M4846" s="2"/>
      <c r="N4846" s="8">
        <v>43265.251157407409</v>
      </c>
      <c r="O4846" s="4" t="s">
        <v>3791</v>
      </c>
      <c r="P4846" s="3" t="s">
        <v>3790</v>
      </c>
      <c r="Q4846" s="4"/>
      <c r="R4846" s="4"/>
      <c r="S4846" s="9" t="str">
        <f>HYPERLINK("https://pbs.twimg.com/profile_images/1023265175225421824/GYUc2cpr.jpg","View")</f>
        <v>View</v>
      </c>
    </row>
    <row r="4847" spans="1:19" ht="20">
      <c r="A4847" s="8">
        <v>43340.920636574076</v>
      </c>
      <c r="B4847" s="11" t="str">
        <f>HYPERLINK("https://twitter.com/FarshadHNoori","@FarshadHNoori")</f>
        <v>@FarshadHNoori</v>
      </c>
      <c r="C4847" s="6" t="s">
        <v>3789</v>
      </c>
      <c r="D4847" s="5" t="s">
        <v>3788</v>
      </c>
      <c r="E4847" s="9" t="str">
        <f>HYPERLINK("https://twitter.com/FarshadHNoori/status/1034494751171653634","1034494751171653634")</f>
        <v>1034494751171653634</v>
      </c>
      <c r="F4847" s="4"/>
      <c r="G4847" s="4"/>
      <c r="H4847" s="4"/>
      <c r="I4847" s="10" t="str">
        <f>HYPERLINK("http://twitter.com/download/android","Twitter for Android")</f>
        <v>Twitter for Android</v>
      </c>
      <c r="J4847" s="2">
        <v>1395</v>
      </c>
      <c r="K4847" s="2">
        <v>1347</v>
      </c>
      <c r="L4847" s="2">
        <v>4</v>
      </c>
      <c r="M4847" s="2"/>
      <c r="N4847" s="8">
        <v>42935.455150462964</v>
      </c>
      <c r="O4847" s="4" t="s">
        <v>3787</v>
      </c>
      <c r="P4847" s="3" t="s">
        <v>3786</v>
      </c>
      <c r="Q4847" s="4"/>
      <c r="R4847" s="4"/>
      <c r="S4847" s="9" t="str">
        <f>HYPERLINK("https://pbs.twimg.com/profile_images/1012327135858577408/FCx7KBfe.jpg","View")</f>
        <v>View</v>
      </c>
    </row>
    <row r="4848" spans="1:19" ht="60">
      <c r="A4848" s="8">
        <v>43340.920115740737</v>
      </c>
      <c r="B4848" s="11" t="str">
        <f>HYPERLINK("https://twitter.com/Alireza_Malekii","@Alireza_Malekii")</f>
        <v>@Alireza_Malekii</v>
      </c>
      <c r="C4848" s="6" t="s">
        <v>3785</v>
      </c>
      <c r="D4848" s="5" t="s">
        <v>3784</v>
      </c>
      <c r="E4848" s="9" t="str">
        <f>HYPERLINK("https://twitter.com/Alireza_Malekii/status/1034494562105008129","1034494562105008129")</f>
        <v>1034494562105008129</v>
      </c>
      <c r="F4848" s="10" t="s">
        <v>3783</v>
      </c>
      <c r="G4848" s="10" t="s">
        <v>3509</v>
      </c>
      <c r="H4848" s="4"/>
      <c r="I4848" s="10" t="str">
        <f>HYPERLINK("https://mobile.twitter.com","Twitter Lite")</f>
        <v>Twitter Lite</v>
      </c>
      <c r="J4848" s="2">
        <v>61</v>
      </c>
      <c r="K4848" s="2">
        <v>98</v>
      </c>
      <c r="L4848" s="2">
        <v>1</v>
      </c>
      <c r="M4848" s="2"/>
      <c r="N4848" s="8">
        <v>43225.406747685185</v>
      </c>
      <c r="O4848" s="4" t="s">
        <v>34</v>
      </c>
      <c r="P4848" s="3" t="s">
        <v>3782</v>
      </c>
      <c r="Q4848" s="4"/>
      <c r="R4848" s="4"/>
      <c r="S4848" s="9" t="str">
        <f>HYPERLINK("https://pbs.twimg.com/profile_images/997755069561946112/VsinKddP.jpg","View")</f>
        <v>View</v>
      </c>
    </row>
    <row r="4849" spans="1:19" ht="30">
      <c r="A4849" s="8">
        <v>43340.920104166667</v>
      </c>
      <c r="B4849" s="11" t="str">
        <f>HYPERLINK("https://twitter.com/rozbeh27335142","@rozbeh27335142")</f>
        <v>@rozbeh27335142</v>
      </c>
      <c r="C4849" s="6" t="s">
        <v>3740</v>
      </c>
      <c r="D4849" s="5" t="s">
        <v>3781</v>
      </c>
      <c r="E4849" s="9" t="str">
        <f>HYPERLINK("https://twitter.com/rozbeh27335142/status/1034494560876081155","1034494560876081155")</f>
        <v>1034494560876081155</v>
      </c>
      <c r="F4849" s="4"/>
      <c r="G4849" s="4"/>
      <c r="H4849" s="4"/>
      <c r="I4849" s="10" t="str">
        <f>HYPERLINK("http://twitter.com","Twitter Web Client")</f>
        <v>Twitter Web Client</v>
      </c>
      <c r="J4849" s="2">
        <v>215</v>
      </c>
      <c r="K4849" s="2">
        <v>258</v>
      </c>
      <c r="L4849" s="2">
        <v>0</v>
      </c>
      <c r="M4849" s="2"/>
      <c r="N4849" s="8">
        <v>43190.838587962964</v>
      </c>
      <c r="O4849" s="4"/>
      <c r="P4849" s="3" t="s">
        <v>3738</v>
      </c>
      <c r="Q4849" s="4"/>
      <c r="R4849" s="4"/>
      <c r="S4849" s="9" t="str">
        <f>HYPERLINK("https://pbs.twimg.com/profile_images/1026525879290216449/-or-GFKy.jpg","View")</f>
        <v>View</v>
      </c>
    </row>
    <row r="4850" spans="1:19" ht="40">
      <c r="A4850" s="8">
        <v>43340.919942129629</v>
      </c>
      <c r="B4850" s="11" t="str">
        <f>HYPERLINK("https://twitter.com/mahdimo05984496","@mahdimo05984496")</f>
        <v>@mahdimo05984496</v>
      </c>
      <c r="C4850" s="6" t="s">
        <v>3780</v>
      </c>
      <c r="D4850" s="5" t="s">
        <v>3779</v>
      </c>
      <c r="E4850" s="9" t="str">
        <f>HYPERLINK("https://twitter.com/mahdimo05984496/status/1034494499026857987","1034494499026857987")</f>
        <v>1034494499026857987</v>
      </c>
      <c r="F4850" s="4"/>
      <c r="G4850" s="4"/>
      <c r="H4850" s="4"/>
      <c r="I4850" s="10" t="str">
        <f>HYPERLINK("http://twitter.com/download/android","Twitter for Android")</f>
        <v>Twitter for Android</v>
      </c>
      <c r="J4850" s="2">
        <v>24</v>
      </c>
      <c r="K4850" s="2">
        <v>23</v>
      </c>
      <c r="L4850" s="2">
        <v>0</v>
      </c>
      <c r="M4850" s="2"/>
      <c r="N4850" s="8">
        <v>43313.959340277783</v>
      </c>
      <c r="O4850" s="4"/>
      <c r="P4850" s="3" t="s">
        <v>3778</v>
      </c>
      <c r="Q4850" s="4"/>
      <c r="R4850" s="4"/>
      <c r="S4850" s="9" t="str">
        <f>HYPERLINK("https://pbs.twimg.com/profile_images/1024755643176153093/mD7vzPhk.jpg","View")</f>
        <v>View</v>
      </c>
    </row>
    <row r="4851" spans="1:19" ht="40">
      <c r="A4851" s="8">
        <v>43340.919837962967</v>
      </c>
      <c r="B4851" s="11" t="str">
        <f>HYPERLINK("https://twitter.com/tootifarsi","@tootifarsi")</f>
        <v>@tootifarsi</v>
      </c>
      <c r="C4851" s="6" t="s">
        <v>3777</v>
      </c>
      <c r="D4851" s="5" t="s">
        <v>3776</v>
      </c>
      <c r="E4851" s="9" t="str">
        <f>HYPERLINK("https://twitter.com/tootifarsi/status/1034494462150565890","1034494462150565890")</f>
        <v>1034494462150565890</v>
      </c>
      <c r="F4851" s="4"/>
      <c r="G4851" s="4"/>
      <c r="H4851" s="4"/>
      <c r="I4851" s="10" t="str">
        <f>HYPERLINK("http://twitter.com/download/android","Twitter for Android")</f>
        <v>Twitter for Android</v>
      </c>
      <c r="J4851" s="2">
        <v>51</v>
      </c>
      <c r="K4851" s="2">
        <v>108</v>
      </c>
      <c r="L4851" s="2">
        <v>0</v>
      </c>
      <c r="M4851" s="2"/>
      <c r="N4851" s="8">
        <v>42372.727812500001</v>
      </c>
      <c r="O4851" s="4" t="s">
        <v>104</v>
      </c>
      <c r="P4851" s="3" t="s">
        <v>3775</v>
      </c>
      <c r="Q4851" s="4"/>
      <c r="R4851" s="4"/>
      <c r="S4851" s="9" t="str">
        <f>HYPERLINK("https://pbs.twimg.com/profile_images/946090228070211584/eIJH99IB.jpg","View")</f>
        <v>View</v>
      </c>
    </row>
    <row r="4852" spans="1:19" ht="20">
      <c r="A4852" s="8">
        <v>43340.919571759259</v>
      </c>
      <c r="B4852" s="11" t="str">
        <f>HYPERLINK("https://twitter.com/yasser_zns","@yasser_zns")</f>
        <v>@yasser_zns</v>
      </c>
      <c r="C4852" s="6" t="s">
        <v>3774</v>
      </c>
      <c r="D4852" s="5" t="s">
        <v>3773</v>
      </c>
      <c r="E4852" s="9" t="str">
        <f>HYPERLINK("https://twitter.com/yasser_zns/status/1034494365526241280","1034494365526241280")</f>
        <v>1034494365526241280</v>
      </c>
      <c r="F4852" s="4"/>
      <c r="G4852" s="10" t="s">
        <v>3772</v>
      </c>
      <c r="H4852" s="4"/>
      <c r="I4852" s="10" t="str">
        <f>HYPERLINK("http://twitter.com/download/android","Twitter for Android")</f>
        <v>Twitter for Android</v>
      </c>
      <c r="J4852" s="2">
        <v>833</v>
      </c>
      <c r="K4852" s="2">
        <v>926</v>
      </c>
      <c r="L4852" s="2">
        <v>2</v>
      </c>
      <c r="M4852" s="2"/>
      <c r="N4852" s="8">
        <v>43099.002210648148</v>
      </c>
      <c r="O4852" s="4" t="s">
        <v>3771</v>
      </c>
      <c r="P4852" s="3" t="s">
        <v>3770</v>
      </c>
      <c r="Q4852" s="10" t="s">
        <v>3769</v>
      </c>
      <c r="R4852" s="4"/>
      <c r="S4852" s="9" t="str">
        <f>HYPERLINK("https://pbs.twimg.com/profile_images/998729349846089728/dzaL8xk7.jpg","View")</f>
        <v>View</v>
      </c>
    </row>
    <row r="4853" spans="1:19" ht="20">
      <c r="A4853" s="8">
        <v>43340.919247685189</v>
      </c>
      <c r="B4853" s="11" t="str">
        <f>HYPERLINK("https://twitter.com/NegarGmail","@NegarGmail")</f>
        <v>@NegarGmail</v>
      </c>
      <c r="C4853" s="6" t="s">
        <v>3768</v>
      </c>
      <c r="D4853" s="5" t="s">
        <v>3767</v>
      </c>
      <c r="E4853" s="9" t="str">
        <f>HYPERLINK("https://twitter.com/NegarGmail/status/1034494250073944065","1034494250073944065")</f>
        <v>1034494250073944065</v>
      </c>
      <c r="F4853" s="4"/>
      <c r="G4853" s="4"/>
      <c r="H4853" s="4"/>
      <c r="I4853" s="10" t="str">
        <f>HYPERLINK("http://twitter.com/download/android","Twitter for Android")</f>
        <v>Twitter for Android</v>
      </c>
      <c r="J4853" s="2">
        <v>2179</v>
      </c>
      <c r="K4853" s="2">
        <v>804</v>
      </c>
      <c r="L4853" s="2">
        <v>7</v>
      </c>
      <c r="M4853" s="2"/>
      <c r="N4853" s="8">
        <v>41623.393391203703</v>
      </c>
      <c r="O4853" s="4" t="s">
        <v>2059</v>
      </c>
      <c r="P4853" s="3" t="s">
        <v>3766</v>
      </c>
      <c r="Q4853" s="10" t="s">
        <v>3765</v>
      </c>
      <c r="R4853" s="4"/>
      <c r="S4853" s="9" t="str">
        <f>HYPERLINK("https://pbs.twimg.com/profile_images/1030478346482794496/7DE8ltFN.jpg","View")</f>
        <v>View</v>
      </c>
    </row>
    <row r="4854" spans="1:19" ht="40">
      <c r="A4854" s="8">
        <v>43340.918935185182</v>
      </c>
      <c r="B4854" s="11" t="str">
        <f>HYPERLINK("https://twitter.com/rozbeh27335142","@rozbeh27335142")</f>
        <v>@rozbeh27335142</v>
      </c>
      <c r="C4854" s="6" t="s">
        <v>3740</v>
      </c>
      <c r="D4854" s="5" t="s">
        <v>3764</v>
      </c>
      <c r="E4854" s="9" t="str">
        <f>HYPERLINK("https://twitter.com/rozbeh27335142/status/1034494135384924160","1034494135384924160")</f>
        <v>1034494135384924160</v>
      </c>
      <c r="F4854" s="4"/>
      <c r="G4854" s="4"/>
      <c r="H4854" s="4"/>
      <c r="I4854" s="10" t="str">
        <f>HYPERLINK("http://twitter.com","Twitter Web Client")</f>
        <v>Twitter Web Client</v>
      </c>
      <c r="J4854" s="2">
        <v>215</v>
      </c>
      <c r="K4854" s="2">
        <v>258</v>
      </c>
      <c r="L4854" s="2">
        <v>0</v>
      </c>
      <c r="M4854" s="2"/>
      <c r="N4854" s="8">
        <v>43190.838587962964</v>
      </c>
      <c r="O4854" s="4"/>
      <c r="P4854" s="3" t="s">
        <v>3738</v>
      </c>
      <c r="Q4854" s="4"/>
      <c r="R4854" s="4"/>
      <c r="S4854" s="9" t="str">
        <f>HYPERLINK("https://pbs.twimg.com/profile_images/1026525879290216449/-or-GFKy.jpg","View")</f>
        <v>View</v>
      </c>
    </row>
    <row r="4855" spans="1:19" ht="20">
      <c r="A4855" s="8">
        <v>43340.918900462959</v>
      </c>
      <c r="B4855" s="11" t="str">
        <f>HYPERLINK("https://twitter.com/ej_hossein","@ej_hossein")</f>
        <v>@ej_hossein</v>
      </c>
      <c r="C4855" s="6" t="s">
        <v>3763</v>
      </c>
      <c r="D4855" s="5" t="s">
        <v>3762</v>
      </c>
      <c r="E4855" s="9" t="str">
        <f>HYPERLINK("https://twitter.com/ej_hossein/status/1034494124483899392","1034494124483899392")</f>
        <v>1034494124483899392</v>
      </c>
      <c r="F4855" s="4"/>
      <c r="G4855" s="4"/>
      <c r="H4855" s="4"/>
      <c r="I4855" s="10" t="str">
        <f>HYPERLINK("http://twitter.com/download/iphone","Twitter for iPhone")</f>
        <v>Twitter for iPhone</v>
      </c>
      <c r="J4855" s="2">
        <v>5</v>
      </c>
      <c r="K4855" s="2">
        <v>0</v>
      </c>
      <c r="L4855" s="2">
        <v>0</v>
      </c>
      <c r="M4855" s="2"/>
      <c r="N4855" s="8">
        <v>43294.985902777778</v>
      </c>
      <c r="O4855" s="4"/>
      <c r="P4855" s="3"/>
      <c r="Q4855" s="4"/>
      <c r="R4855" s="4"/>
      <c r="S4855" s="9" t="str">
        <f>HYPERLINK("https://pbs.twimg.com/profile_images/1017850270343147520/q1XvqI1W.jpg","View")</f>
        <v>View</v>
      </c>
    </row>
    <row r="4856" spans="1:19" ht="20">
      <c r="A4856" s="8">
        <v>43340.918611111112</v>
      </c>
      <c r="B4856" s="11" t="str">
        <f>HYPERLINK("https://twitter.com/M_khaleghiiii","@M_khaleghiiii")</f>
        <v>@M_khaleghiiii</v>
      </c>
      <c r="C4856" s="6" t="s">
        <v>1823</v>
      </c>
      <c r="D4856" s="5" t="s">
        <v>3761</v>
      </c>
      <c r="E4856" s="9" t="str">
        <f>HYPERLINK("https://twitter.com/M_khaleghiiii/status/1034494019320119296","1034494019320119296")</f>
        <v>1034494019320119296</v>
      </c>
      <c r="F4856" s="4"/>
      <c r="G4856" s="4"/>
      <c r="H4856" s="4"/>
      <c r="I4856" s="10" t="str">
        <f>HYPERLINK("http://twitter.com/download/android","Twitter for Android")</f>
        <v>Twitter for Android</v>
      </c>
      <c r="J4856" s="2">
        <v>7</v>
      </c>
      <c r="K4856" s="2">
        <v>60</v>
      </c>
      <c r="L4856" s="2">
        <v>0</v>
      </c>
      <c r="M4856" s="2"/>
      <c r="N4856" s="8">
        <v>43324.738796296297</v>
      </c>
      <c r="O4856" s="4" t="s">
        <v>34</v>
      </c>
      <c r="P4856" s="3" t="s">
        <v>1821</v>
      </c>
      <c r="Q4856" s="4"/>
      <c r="R4856" s="4"/>
      <c r="S4856" s="9" t="str">
        <f>HYPERLINK("https://pbs.twimg.com/profile_images/1028633925462241280/A9Oh4MFI.jpg","View")</f>
        <v>View</v>
      </c>
    </row>
    <row r="4857" spans="1:19" ht="20">
      <c r="A4857" s="8">
        <v>43340.917974537035</v>
      </c>
      <c r="B4857" s="11" t="str">
        <f>HYPERLINK("https://twitter.com/x_reayy","@x_reayy")</f>
        <v>@x_reayy</v>
      </c>
      <c r="C4857" s="6" t="s">
        <v>3760</v>
      </c>
      <c r="D4857" s="5" t="s">
        <v>3759</v>
      </c>
      <c r="E4857" s="9" t="str">
        <f>HYPERLINK("https://twitter.com/x_reayy/status/1034493788167852033","1034493788167852033")</f>
        <v>1034493788167852033</v>
      </c>
      <c r="F4857" s="4"/>
      <c r="G4857" s="4"/>
      <c r="H4857" s="4"/>
      <c r="I4857" s="10" t="str">
        <f>HYPERLINK("http://twitter.com/download/android","Twitter for Android")</f>
        <v>Twitter for Android</v>
      </c>
      <c r="J4857" s="2">
        <v>22</v>
      </c>
      <c r="K4857" s="2">
        <v>65</v>
      </c>
      <c r="L4857" s="2">
        <v>0</v>
      </c>
      <c r="M4857" s="2"/>
      <c r="N4857" s="8">
        <v>43318.510844907403</v>
      </c>
      <c r="O4857" s="4" t="s">
        <v>3758</v>
      </c>
      <c r="P4857" s="3" t="s">
        <v>3757</v>
      </c>
      <c r="Q4857" s="4"/>
      <c r="R4857" s="4"/>
      <c r="S4857" s="9" t="str">
        <f>HYPERLINK("https://pbs.twimg.com/profile_images/1026374236439556096/GMI_NzVd.jpg","View")</f>
        <v>View</v>
      </c>
    </row>
    <row r="4858" spans="1:19" ht="30">
      <c r="A4858" s="8">
        <v>43340.917858796296</v>
      </c>
      <c r="B4858" s="11" t="str">
        <f>HYPERLINK("https://twitter.com/rezalhamy","@rezalhamy")</f>
        <v>@rezalhamy</v>
      </c>
      <c r="C4858" s="6" t="s">
        <v>3756</v>
      </c>
      <c r="D4858" s="5" t="s">
        <v>3755</v>
      </c>
      <c r="E4858" s="9" t="str">
        <f>HYPERLINK("https://twitter.com/rezalhamy/status/1034493746249977856","1034493746249977856")</f>
        <v>1034493746249977856</v>
      </c>
      <c r="F4858" s="4"/>
      <c r="G4858" s="4"/>
      <c r="H4858" s="4"/>
      <c r="I4858" s="10" t="str">
        <f>HYPERLINK("http://twitter.com/download/android","Twitter for Android")</f>
        <v>Twitter for Android</v>
      </c>
      <c r="J4858" s="2">
        <v>4</v>
      </c>
      <c r="K4858" s="2">
        <v>15</v>
      </c>
      <c r="L4858" s="2">
        <v>0</v>
      </c>
      <c r="M4858" s="2"/>
      <c r="N4858" s="8">
        <v>41943.607986111107</v>
      </c>
      <c r="O4858" s="4" t="s">
        <v>3754</v>
      </c>
      <c r="P4858" s="3" t="s">
        <v>3753</v>
      </c>
      <c r="Q4858" s="4"/>
      <c r="R4858" s="4"/>
      <c r="S4858" s="9" t="str">
        <f>HYPERLINK("https://pbs.twimg.com/profile_images/1030384306814894080/leQabFh1.jpg","View")</f>
        <v>View</v>
      </c>
    </row>
    <row r="4859" spans="1:19" ht="30">
      <c r="A4859" s="8">
        <v>43340.917824074073</v>
      </c>
      <c r="B4859" s="11" t="str">
        <f>HYPERLINK("https://twitter.com/Lebas_Khaki","@Lebas_Khaki")</f>
        <v>@Lebas_Khaki</v>
      </c>
      <c r="C4859" s="6" t="s">
        <v>3752</v>
      </c>
      <c r="D4859" s="5" t="s">
        <v>3751</v>
      </c>
      <c r="E4859" s="9" t="str">
        <f>HYPERLINK("https://twitter.com/Lebas_Khaki/status/1034493730919788550","1034493730919788550")</f>
        <v>1034493730919788550</v>
      </c>
      <c r="F4859" s="4"/>
      <c r="G4859" s="4"/>
      <c r="H4859" s="4"/>
      <c r="I4859" s="10" t="str">
        <f>HYPERLINK("http://twitter.com/download/android","Twitter for Android")</f>
        <v>Twitter for Android</v>
      </c>
      <c r="J4859" s="2">
        <v>1203</v>
      </c>
      <c r="K4859" s="2">
        <v>946</v>
      </c>
      <c r="L4859" s="2">
        <v>3</v>
      </c>
      <c r="M4859" s="2"/>
      <c r="N4859" s="8">
        <v>42915.763425925921</v>
      </c>
      <c r="O4859" s="4" t="s">
        <v>3750</v>
      </c>
      <c r="P4859" s="3" t="s">
        <v>3749</v>
      </c>
      <c r="Q4859" s="4"/>
      <c r="R4859" s="4"/>
      <c r="S4859" s="9" t="str">
        <f>HYPERLINK("https://pbs.twimg.com/profile_images/1009684486198620160/hTY90K40.jpg","View")</f>
        <v>View</v>
      </c>
    </row>
    <row r="4860" spans="1:19" ht="20">
      <c r="A4860" s="8">
        <v>43340.916863425926</v>
      </c>
      <c r="B4860" s="11" t="str">
        <f>HYPERLINK("https://twitter.com/Bahramab","@Bahramab")</f>
        <v>@Bahramab</v>
      </c>
      <c r="C4860" s="6" t="s">
        <v>3748</v>
      </c>
      <c r="D4860" s="5" t="s">
        <v>3747</v>
      </c>
      <c r="E4860" s="9" t="str">
        <f>HYPERLINK("https://twitter.com/Bahramab/status/1034493383601991685","1034493383601991685")</f>
        <v>1034493383601991685</v>
      </c>
      <c r="F4860" s="4"/>
      <c r="G4860" s="4"/>
      <c r="H4860" s="4"/>
      <c r="I4860" s="10" t="str">
        <f>HYPERLINK("http://twitter.com","Twitter Web Client")</f>
        <v>Twitter Web Client</v>
      </c>
      <c r="J4860" s="2">
        <v>102</v>
      </c>
      <c r="K4860" s="2">
        <v>392</v>
      </c>
      <c r="L4860" s="2">
        <v>0</v>
      </c>
      <c r="M4860" s="2"/>
      <c r="N4860" s="8">
        <v>40028.49013888889</v>
      </c>
      <c r="O4860" s="4" t="s">
        <v>3746</v>
      </c>
      <c r="P4860" s="3" t="s">
        <v>3745</v>
      </c>
      <c r="Q4860" s="4"/>
      <c r="R4860" s="4"/>
      <c r="S4860" s="9" t="str">
        <f>HYPERLINK("https://pbs.twimg.com/profile_images/1032661757309927425/PlSUFQ7A.jpg","View")</f>
        <v>View</v>
      </c>
    </row>
    <row r="4861" spans="1:19" ht="50">
      <c r="A4861" s="8">
        <v>43340.91684027778</v>
      </c>
      <c r="B4861" s="11" t="str">
        <f>HYPERLINK("https://twitter.com/shahidmirzaee","@shahidmirzaee")</f>
        <v>@shahidmirzaee</v>
      </c>
      <c r="C4861" s="6" t="s">
        <v>3744</v>
      </c>
      <c r="D4861" s="5" t="s">
        <v>3743</v>
      </c>
      <c r="E4861" s="9" t="str">
        <f>HYPERLINK("https://twitter.com/shahidmirzaee/status/1034493374110330881","1034493374110330881")</f>
        <v>1034493374110330881</v>
      </c>
      <c r="F4861" s="10" t="s">
        <v>3477</v>
      </c>
      <c r="G4861" s="4"/>
      <c r="H4861" s="4"/>
      <c r="I4861" s="10" t="str">
        <f>HYPERLINK("http://twitter.com/download/android","Twitter for Android")</f>
        <v>Twitter for Android</v>
      </c>
      <c r="J4861" s="2">
        <v>3324</v>
      </c>
      <c r="K4861" s="2">
        <v>2866</v>
      </c>
      <c r="L4861" s="2">
        <v>3</v>
      </c>
      <c r="M4861" s="2"/>
      <c r="N4861" s="8">
        <v>42827.599918981483</v>
      </c>
      <c r="O4861" s="4" t="s">
        <v>3742</v>
      </c>
      <c r="P4861" s="3" t="s">
        <v>3741</v>
      </c>
      <c r="Q4861" s="4"/>
      <c r="R4861" s="4"/>
      <c r="S4861" s="9" t="str">
        <f>HYPERLINK("https://pbs.twimg.com/profile_images/1010165385268736001/kw_1FPRO.jpg","View")</f>
        <v>View</v>
      </c>
    </row>
    <row r="4862" spans="1:19" ht="30">
      <c r="A4862" s="8">
        <v>43340.915798611109</v>
      </c>
      <c r="B4862" s="11" t="str">
        <f>HYPERLINK("https://twitter.com/rozbeh27335142","@rozbeh27335142")</f>
        <v>@rozbeh27335142</v>
      </c>
      <c r="C4862" s="6" t="s">
        <v>3740</v>
      </c>
      <c r="D4862" s="5" t="s">
        <v>3739</v>
      </c>
      <c r="E4862" s="9" t="str">
        <f>HYPERLINK("https://twitter.com/rozbeh27335142/status/1034492996866240514","1034492996866240514")</f>
        <v>1034492996866240514</v>
      </c>
      <c r="F4862" s="4"/>
      <c r="G4862" s="4"/>
      <c r="H4862" s="4"/>
      <c r="I4862" s="10" t="str">
        <f>HYPERLINK("http://twitter.com","Twitter Web Client")</f>
        <v>Twitter Web Client</v>
      </c>
      <c r="J4862" s="2">
        <v>215</v>
      </c>
      <c r="K4862" s="2">
        <v>258</v>
      </c>
      <c r="L4862" s="2">
        <v>0</v>
      </c>
      <c r="M4862" s="2"/>
      <c r="N4862" s="8">
        <v>43190.838587962964</v>
      </c>
      <c r="O4862" s="4"/>
      <c r="P4862" s="3" t="s">
        <v>3738</v>
      </c>
      <c r="Q4862" s="4"/>
      <c r="R4862" s="4"/>
      <c r="S4862" s="9" t="str">
        <f>HYPERLINK("https://pbs.twimg.com/profile_images/1026525879290216449/-or-GFKy.jpg","View")</f>
        <v>View</v>
      </c>
    </row>
    <row r="4863" spans="1:19" ht="20">
      <c r="A4863" s="8">
        <v>43340.915358796294</v>
      </c>
      <c r="B4863" s="11" t="str">
        <f>HYPERLINK("https://twitter.com/mahjavad","@mahjavad")</f>
        <v>@mahjavad</v>
      </c>
      <c r="C4863" s="6" t="s">
        <v>3737</v>
      </c>
      <c r="D4863" s="5" t="s">
        <v>3736</v>
      </c>
      <c r="E4863" s="9" t="str">
        <f>HYPERLINK("https://twitter.com/mahjavad/status/1034492838887784449","1034492838887784449")</f>
        <v>1034492838887784449</v>
      </c>
      <c r="F4863" s="4"/>
      <c r="G4863" s="4"/>
      <c r="H4863" s="4"/>
      <c r="I4863" s="10" t="str">
        <f>HYPERLINK("http://twitter.com/download/android","Twitter for Android")</f>
        <v>Twitter for Android</v>
      </c>
      <c r="J4863" s="2">
        <v>793</v>
      </c>
      <c r="K4863" s="2">
        <v>790</v>
      </c>
      <c r="L4863" s="2">
        <v>1</v>
      </c>
      <c r="M4863" s="2"/>
      <c r="N4863" s="8">
        <v>43145.424097222218</v>
      </c>
      <c r="O4863" s="4" t="s">
        <v>3735</v>
      </c>
      <c r="P4863" s="3" t="s">
        <v>3734</v>
      </c>
      <c r="Q4863" s="4"/>
      <c r="R4863" s="4"/>
      <c r="S4863" s="9" t="str">
        <f>HYPERLINK("https://pbs.twimg.com/profile_images/971279225780162560/KBpebqeH.jpg","View")</f>
        <v>View</v>
      </c>
    </row>
    <row r="4864" spans="1:19" ht="40">
      <c r="A4864" s="8">
        <v>43340.915312500001</v>
      </c>
      <c r="B4864" s="11" t="str">
        <f>HYPERLINK("https://twitter.com/ruheamam","@ruheamam")</f>
        <v>@ruheamam</v>
      </c>
      <c r="C4864" s="6" t="s">
        <v>3733</v>
      </c>
      <c r="D4864" s="5" t="s">
        <v>3732</v>
      </c>
      <c r="E4864" s="9" t="str">
        <f>HYPERLINK("https://twitter.com/ruheamam/status/1034492822056067074","1034492822056067074")</f>
        <v>1034492822056067074</v>
      </c>
      <c r="F4864" s="4"/>
      <c r="G4864" s="4"/>
      <c r="H4864" s="4"/>
      <c r="I4864" s="10" t="str">
        <f>HYPERLINK("http://twitter.com","Twitter Web Client")</f>
        <v>Twitter Web Client</v>
      </c>
      <c r="J4864" s="2">
        <v>80</v>
      </c>
      <c r="K4864" s="2">
        <v>44</v>
      </c>
      <c r="L4864" s="2">
        <v>0</v>
      </c>
      <c r="M4864" s="2"/>
      <c r="N4864" s="8">
        <v>43005.752905092595</v>
      </c>
      <c r="O4864" s="4"/>
      <c r="P4864" s="3" t="s">
        <v>3731</v>
      </c>
      <c r="Q4864" s="4"/>
      <c r="R4864" s="4"/>
      <c r="S4864" s="9" t="str">
        <f>HYPERLINK("https://pbs.twimg.com/profile_images/991648595966418945/BqoKPCWj.jpg","View")</f>
        <v>View</v>
      </c>
    </row>
    <row r="4865" spans="1:19" ht="30">
      <c r="A4865" s="8">
        <v>43340.915289351848</v>
      </c>
      <c r="B4865" s="11" t="str">
        <f>HYPERLINK("https://twitter.com/_SepahSalar","@_SepahSalar")</f>
        <v>@_SepahSalar</v>
      </c>
      <c r="C4865" s="6" t="s">
        <v>3730</v>
      </c>
      <c r="D4865" s="5" t="s">
        <v>3729</v>
      </c>
      <c r="E4865" s="9" t="str">
        <f>HYPERLINK("https://twitter.com/_SepahSalar/status/1034492814128832512","1034492814128832512")</f>
        <v>1034492814128832512</v>
      </c>
      <c r="F4865" s="4"/>
      <c r="G4865" s="4"/>
      <c r="H4865" s="4"/>
      <c r="I4865" s="10" t="str">
        <f>HYPERLINK("http://twitter.com/download/android","Twitter for Android")</f>
        <v>Twitter for Android</v>
      </c>
      <c r="J4865" s="2">
        <v>996</v>
      </c>
      <c r="K4865" s="2">
        <v>669</v>
      </c>
      <c r="L4865" s="2">
        <v>4</v>
      </c>
      <c r="M4865" s="2"/>
      <c r="N4865" s="8">
        <v>43038.902962962966</v>
      </c>
      <c r="O4865" s="4" t="s">
        <v>104</v>
      </c>
      <c r="P4865" s="3" t="s">
        <v>3728</v>
      </c>
      <c r="Q4865" s="4"/>
      <c r="R4865" s="4"/>
      <c r="S4865" s="9" t="str">
        <f>HYPERLINK("https://pbs.twimg.com/profile_images/983765135893454851/3QQtg4-I.jpg","View")</f>
        <v>View</v>
      </c>
    </row>
    <row r="4866" spans="1:19" ht="30">
      <c r="A4866" s="8">
        <v>43340.914039351846</v>
      </c>
      <c r="B4866" s="11" t="str">
        <f>HYPERLINK("https://twitter.com/farhadfelahati","@farhadfelahati")</f>
        <v>@farhadfelahati</v>
      </c>
      <c r="C4866" s="6" t="s">
        <v>3727</v>
      </c>
      <c r="D4866" s="5" t="s">
        <v>3726</v>
      </c>
      <c r="E4866" s="9" t="str">
        <f>HYPERLINK("https://twitter.com/farhadfelahati/status/1034492363035607041","1034492363035607041")</f>
        <v>1034492363035607041</v>
      </c>
      <c r="F4866" s="4"/>
      <c r="G4866" s="4"/>
      <c r="H4866" s="4"/>
      <c r="I4866" s="10" t="str">
        <f>HYPERLINK("http://twitter.com/download/android","Twitter for Android")</f>
        <v>Twitter for Android</v>
      </c>
      <c r="J4866" s="2">
        <v>1785</v>
      </c>
      <c r="K4866" s="2">
        <v>2400</v>
      </c>
      <c r="L4866" s="2">
        <v>3</v>
      </c>
      <c r="M4866" s="2"/>
      <c r="N4866" s="8">
        <v>43201.985983796301</v>
      </c>
      <c r="O4866" s="4" t="s">
        <v>3725</v>
      </c>
      <c r="P4866" s="3" t="s">
        <v>3724</v>
      </c>
      <c r="Q4866" s="10" t="s">
        <v>3723</v>
      </c>
      <c r="R4866" s="4"/>
      <c r="S4866" s="9" t="str">
        <f>HYPERLINK("https://pbs.twimg.com/profile_images/1031572081622876160/5ewPc3p-.jpg","View")</f>
        <v>View</v>
      </c>
    </row>
    <row r="4867" spans="1:19" ht="30">
      <c r="A4867" s="8">
        <v>43340.914004629631</v>
      </c>
      <c r="B4867" s="11" t="str">
        <f>HYPERLINK("https://twitter.com/_seyed_abbas_","@_seyed_abbas_")</f>
        <v>@_seyed_abbas_</v>
      </c>
      <c r="C4867" s="6" t="s">
        <v>3722</v>
      </c>
      <c r="D4867" s="5" t="s">
        <v>3721</v>
      </c>
      <c r="E4867" s="9" t="str">
        <f>HYPERLINK("https://twitter.com/_seyed_abbas_/status/1034492346908532741","1034492346908532741")</f>
        <v>1034492346908532741</v>
      </c>
      <c r="F4867" s="4"/>
      <c r="G4867" s="4"/>
      <c r="H4867" s="4"/>
      <c r="I4867" s="10" t="str">
        <f>HYPERLINK("http://twitter.com/download/android","Twitter for Android")</f>
        <v>Twitter for Android</v>
      </c>
      <c r="J4867" s="2">
        <v>1185</v>
      </c>
      <c r="K4867" s="2">
        <v>2622</v>
      </c>
      <c r="L4867" s="2">
        <v>2</v>
      </c>
      <c r="M4867" s="2"/>
      <c r="N4867" s="8">
        <v>42727.258993055555</v>
      </c>
      <c r="O4867" s="4" t="s">
        <v>17</v>
      </c>
      <c r="P4867" s="3" t="s">
        <v>3720</v>
      </c>
      <c r="Q4867" s="4"/>
      <c r="R4867" s="4"/>
      <c r="S4867" s="9" t="str">
        <f>HYPERLINK("https://pbs.twimg.com/profile_images/1025636297996566528/gnwAZ7BI.jpg","View")</f>
        <v>View</v>
      </c>
    </row>
    <row r="4868" spans="1:19" ht="30">
      <c r="A4868" s="8">
        <v>43340.914004629631</v>
      </c>
      <c r="B4868" s="11" t="str">
        <f>HYPERLINK("https://twitter.com/Alireza_1148","@Alireza_1148")</f>
        <v>@Alireza_1148</v>
      </c>
      <c r="C4868" s="6" t="s">
        <v>3719</v>
      </c>
      <c r="D4868" s="5" t="s">
        <v>3718</v>
      </c>
      <c r="E4868" s="9" t="str">
        <f>HYPERLINK("https://twitter.com/Alireza_1148/status/1034492346891751424","1034492346891751424")</f>
        <v>1034492346891751424</v>
      </c>
      <c r="F4868" s="4"/>
      <c r="G4868" s="4"/>
      <c r="H4868" s="4"/>
      <c r="I4868" s="10" t="str">
        <f>HYPERLINK("http://twitter.com/download/iphone","Twitter for iPhone")</f>
        <v>Twitter for iPhone</v>
      </c>
      <c r="J4868" s="2">
        <v>1124</v>
      </c>
      <c r="K4868" s="2">
        <v>1161</v>
      </c>
      <c r="L4868" s="2">
        <v>1</v>
      </c>
      <c r="M4868" s="2"/>
      <c r="N4868" s="8">
        <v>42829.13962962963</v>
      </c>
      <c r="O4868" s="4" t="s">
        <v>34</v>
      </c>
      <c r="P4868" s="3" t="s">
        <v>3717</v>
      </c>
      <c r="Q4868" s="4"/>
      <c r="R4868" s="4"/>
      <c r="S4868" s="9" t="str">
        <f>HYPERLINK("https://pbs.twimg.com/profile_images/1033989500098240512/0LDlfGFu.jpg","View")</f>
        <v>View</v>
      </c>
    </row>
    <row r="4869" spans="1:19" ht="20">
      <c r="A4869" s="8">
        <v>43340.913391203707</v>
      </c>
      <c r="B4869" s="11" t="str">
        <f>HYPERLINK("https://twitter.com/hatamiAbbas","@hatamiAbbas")</f>
        <v>@hatamiAbbas</v>
      </c>
      <c r="C4869" s="6" t="s">
        <v>3716</v>
      </c>
      <c r="D4869" s="5" t="s">
        <v>3715</v>
      </c>
      <c r="E4869" s="9" t="str">
        <f>HYPERLINK("https://twitter.com/hatamiAbbas/status/1034492126300655618","1034492126300655618")</f>
        <v>1034492126300655618</v>
      </c>
      <c r="F4869" s="4"/>
      <c r="G4869" s="4"/>
      <c r="H4869" s="4"/>
      <c r="I4869" s="10" t="str">
        <f>HYPERLINK("http://twitter.com/download/iphone","Twitter for iPhone")</f>
        <v>Twitter for iPhone</v>
      </c>
      <c r="J4869" s="2">
        <v>245</v>
      </c>
      <c r="K4869" s="2">
        <v>149</v>
      </c>
      <c r="L4869" s="2">
        <v>0</v>
      </c>
      <c r="M4869" s="2"/>
      <c r="N4869" s="8">
        <v>42927.608749999999</v>
      </c>
      <c r="O4869" s="4" t="s">
        <v>3714</v>
      </c>
      <c r="P4869" s="3" t="s">
        <v>3713</v>
      </c>
      <c r="Q4869" s="10" t="s">
        <v>3712</v>
      </c>
      <c r="R4869" s="4"/>
      <c r="S4869" s="9" t="str">
        <f>HYPERLINK("https://pbs.twimg.com/profile_images/887775264901648384/GuyvY9eM.jpg","View")</f>
        <v>View</v>
      </c>
    </row>
    <row r="4870" spans="1:19" ht="40">
      <c r="A4870" s="8">
        <v>43340.913032407407</v>
      </c>
      <c r="B4870" s="11" t="str">
        <f>HYPERLINK("https://twitter.com/nabztabriz","@nabztabriz")</f>
        <v>@nabztabriz</v>
      </c>
      <c r="C4870" s="6" t="s">
        <v>3711</v>
      </c>
      <c r="D4870" s="5" t="s">
        <v>3710</v>
      </c>
      <c r="E4870" s="9" t="str">
        <f>HYPERLINK("https://twitter.com/nabztabriz/status/1034491995304157184","1034491995304157184")</f>
        <v>1034491995304157184</v>
      </c>
      <c r="F4870" s="4"/>
      <c r="G4870" s="10" t="s">
        <v>3709</v>
      </c>
      <c r="H4870" s="4"/>
      <c r="I4870" s="10" t="str">
        <f>HYPERLINK("http://twitter.com","Twitter Web Client")</f>
        <v>Twitter Web Client</v>
      </c>
      <c r="J4870" s="2">
        <v>2849</v>
      </c>
      <c r="K4870" s="2">
        <v>2890</v>
      </c>
      <c r="L4870" s="2">
        <v>6</v>
      </c>
      <c r="M4870" s="2"/>
      <c r="N4870" s="8">
        <v>42812.68644675926</v>
      </c>
      <c r="O4870" s="4" t="s">
        <v>3708</v>
      </c>
      <c r="P4870" s="3" t="s">
        <v>3707</v>
      </c>
      <c r="Q4870" s="10" t="s">
        <v>3706</v>
      </c>
      <c r="R4870" s="4"/>
      <c r="S4870" s="9" t="str">
        <f>HYPERLINK("https://pbs.twimg.com/profile_images/948112265814962176/99Kbe2eP.jpg","View")</f>
        <v>View</v>
      </c>
    </row>
    <row r="4871" spans="1:19" ht="40">
      <c r="A4871" s="8">
        <v>43340.912442129629</v>
      </c>
      <c r="B4871" s="11" t="str">
        <f>HYPERLINK("https://twitter.com/Vahidazimi13","@Vahidazimi13")</f>
        <v>@Vahidazimi13</v>
      </c>
      <c r="C4871" s="6" t="s">
        <v>3036</v>
      </c>
      <c r="D4871" s="5" t="s">
        <v>3705</v>
      </c>
      <c r="E4871" s="9" t="str">
        <f>HYPERLINK("https://twitter.com/Vahidazimi13/status/1034491784062226432","1034491784062226432")</f>
        <v>1034491784062226432</v>
      </c>
      <c r="F4871" s="4"/>
      <c r="G4871" s="4"/>
      <c r="H4871" s="4"/>
      <c r="I4871" s="10" t="str">
        <f>HYPERLINK("http://twitter.com/download/android","Twitter for Android")</f>
        <v>Twitter for Android</v>
      </c>
      <c r="J4871" s="2">
        <v>254</v>
      </c>
      <c r="K4871" s="2">
        <v>674</v>
      </c>
      <c r="L4871" s="2">
        <v>0</v>
      </c>
      <c r="M4871" s="2"/>
      <c r="N4871" s="8">
        <v>42916.445810185185</v>
      </c>
      <c r="O4871" s="4" t="s">
        <v>682</v>
      </c>
      <c r="P4871" s="3" t="s">
        <v>3034</v>
      </c>
      <c r="Q4871" s="4"/>
      <c r="R4871" s="4"/>
      <c r="S4871" s="9" t="str">
        <f>HYPERLINK("https://pbs.twimg.com/profile_images/1027242652893360128/gZGz2XIR.jpg","View")</f>
        <v>View</v>
      </c>
    </row>
    <row r="4872" spans="1:19" ht="40">
      <c r="A4872" s="8">
        <v>43340.912256944444</v>
      </c>
      <c r="B4872" s="11" t="str">
        <f>HYPERLINK("https://twitter.com/truthmines","@truthmines")</f>
        <v>@truthmines</v>
      </c>
      <c r="C4872" s="6" t="s">
        <v>3704</v>
      </c>
      <c r="D4872" s="5" t="s">
        <v>3703</v>
      </c>
      <c r="E4872" s="9" t="str">
        <f>HYPERLINK("https://twitter.com/truthmines/status/1034491714575118336","1034491714575118336")</f>
        <v>1034491714575118336</v>
      </c>
      <c r="F4872" s="4"/>
      <c r="G4872" s="4"/>
      <c r="H4872" s="4"/>
      <c r="I4872" s="10" t="str">
        <f>HYPERLINK("http://twitter.com/download/iphone","Twitter for iPhone")</f>
        <v>Twitter for iPhone</v>
      </c>
      <c r="J4872" s="2">
        <v>559</v>
      </c>
      <c r="K4872" s="2">
        <v>1654</v>
      </c>
      <c r="L4872" s="2">
        <v>0</v>
      </c>
      <c r="M4872" s="2"/>
      <c r="N4872" s="8">
        <v>41546.11996527778</v>
      </c>
      <c r="O4872" s="4"/>
      <c r="P4872" s="3" t="s">
        <v>3702</v>
      </c>
      <c r="Q4872" s="4"/>
      <c r="R4872" s="4"/>
      <c r="S4872" s="9" t="str">
        <f>HYPERLINK("https://pbs.twimg.com/profile_images/1029865689866072067/w1FI8TZi.jpg","View")</f>
        <v>View</v>
      </c>
    </row>
    <row r="4873" spans="1:19" ht="40">
      <c r="A4873" s="8">
        <v>43340.912233796298</v>
      </c>
      <c r="B4873" s="11" t="str">
        <f>HYPERLINK("https://twitter.com/Smr_firoozi","@Smr_firoozi")</f>
        <v>@Smr_firoozi</v>
      </c>
      <c r="C4873" s="6" t="s">
        <v>3701</v>
      </c>
      <c r="D4873" s="5" t="s">
        <v>3700</v>
      </c>
      <c r="E4873" s="9" t="str">
        <f>HYPERLINK("https://twitter.com/Smr_firoozi/status/1034491706828369920","1034491706828369920")</f>
        <v>1034491706828369920</v>
      </c>
      <c r="F4873" s="4"/>
      <c r="G4873" s="4"/>
      <c r="H4873" s="4"/>
      <c r="I4873" s="10" t="str">
        <f>HYPERLINK("http://twitter.com/download/android","Twitter for Android")</f>
        <v>Twitter for Android</v>
      </c>
      <c r="J4873" s="2">
        <v>1407</v>
      </c>
      <c r="K4873" s="2">
        <v>948</v>
      </c>
      <c r="L4873" s="2">
        <v>3</v>
      </c>
      <c r="M4873" s="2"/>
      <c r="N4873" s="8">
        <v>43104.587083333332</v>
      </c>
      <c r="O4873" s="4" t="s">
        <v>17</v>
      </c>
      <c r="P4873" s="3" t="s">
        <v>3699</v>
      </c>
      <c r="Q4873" s="4"/>
      <c r="R4873" s="4"/>
      <c r="S4873" s="9" t="str">
        <f>HYPERLINK("https://pbs.twimg.com/profile_images/1012767031022759938/9XFKkZoJ.jpg","View")</f>
        <v>View</v>
      </c>
    </row>
    <row r="4874" spans="1:19" ht="40">
      <c r="A4874" s="8">
        <v>43340.911793981482</v>
      </c>
      <c r="B4874" s="11" t="str">
        <f>HYPERLINK("https://twitter.com/turbulence132","@turbulence132")</f>
        <v>@turbulence132</v>
      </c>
      <c r="C4874" s="6" t="s">
        <v>3698</v>
      </c>
      <c r="D4874" s="5" t="s">
        <v>3697</v>
      </c>
      <c r="E4874" s="9" t="str">
        <f>HYPERLINK("https://twitter.com/turbulence132/status/1034491546933108737","1034491546933108737")</f>
        <v>1034491546933108737</v>
      </c>
      <c r="F4874" s="4"/>
      <c r="G4874" s="4"/>
      <c r="H4874" s="4"/>
      <c r="I4874" s="10" t="str">
        <f>HYPERLINK("http://twitter.com","Twitter Web Client")</f>
        <v>Twitter Web Client</v>
      </c>
      <c r="J4874" s="2">
        <v>3</v>
      </c>
      <c r="K4874" s="2">
        <v>17</v>
      </c>
      <c r="L4874" s="2">
        <v>0</v>
      </c>
      <c r="M4874" s="2"/>
      <c r="N4874" s="8">
        <v>43332.424224537041</v>
      </c>
      <c r="O4874" s="4"/>
      <c r="P4874" s="3" t="s">
        <v>3696</v>
      </c>
      <c r="Q4874" s="4"/>
      <c r="R4874" s="4"/>
      <c r="S4874" s="9" t="str">
        <f>HYPERLINK("https://pbs.twimg.com/profile_images/1032181324751224832/JgC3yBRj.jpg","View")</f>
        <v>View</v>
      </c>
    </row>
    <row r="4875" spans="1:19" ht="30">
      <c r="A4875" s="8">
        <v>43340.911736111113</v>
      </c>
      <c r="B4875" s="11" t="str">
        <f>HYPERLINK("https://twitter.com/akbaripour_h","@akbaripour_h")</f>
        <v>@akbaripour_h</v>
      </c>
      <c r="C4875" s="6" t="s">
        <v>3695</v>
      </c>
      <c r="D4875" s="5" t="s">
        <v>3694</v>
      </c>
      <c r="E4875" s="9" t="str">
        <f>HYPERLINK("https://twitter.com/akbaripour_h/status/1034491527043670016","1034491527043670016")</f>
        <v>1034491527043670016</v>
      </c>
      <c r="F4875" s="4"/>
      <c r="G4875" s="10" t="s">
        <v>3693</v>
      </c>
      <c r="H4875" s="4"/>
      <c r="I4875" s="10" t="str">
        <f>HYPERLINK("http://twitter.com/download/android","Twitter for Android")</f>
        <v>Twitter for Android</v>
      </c>
      <c r="J4875" s="2">
        <v>5177</v>
      </c>
      <c r="K4875" s="2">
        <v>5406</v>
      </c>
      <c r="L4875" s="2">
        <v>3</v>
      </c>
      <c r="M4875" s="2"/>
      <c r="N4875" s="8">
        <v>42972.517604166671</v>
      </c>
      <c r="O4875" s="4" t="s">
        <v>3692</v>
      </c>
      <c r="P4875" s="3" t="s">
        <v>3691</v>
      </c>
      <c r="Q4875" s="10" t="s">
        <v>3690</v>
      </c>
      <c r="R4875" s="4"/>
      <c r="S4875" s="9" t="str">
        <f>HYPERLINK("https://pbs.twimg.com/profile_images/984128247763013632/LV9jG_t6.jpg","View")</f>
        <v>View</v>
      </c>
    </row>
    <row r="4876" spans="1:19" ht="40">
      <c r="A4876" s="8">
        <v>43340.911319444444</v>
      </c>
      <c r="B4876" s="11" t="str">
        <f>HYPERLINK("https://twitter.com/roushan1355","@roushan1355")</f>
        <v>@roushan1355</v>
      </c>
      <c r="C4876" s="6" t="s">
        <v>3689</v>
      </c>
      <c r="D4876" s="5" t="s">
        <v>3688</v>
      </c>
      <c r="E4876" s="9" t="str">
        <f>HYPERLINK("https://twitter.com/roushan1355/status/1034491374803005440","1034491374803005440")</f>
        <v>1034491374803005440</v>
      </c>
      <c r="F4876" s="4"/>
      <c r="G4876" s="4"/>
      <c r="H4876" s="4"/>
      <c r="I4876" s="10" t="str">
        <f>HYPERLINK("http://twitter.com/download/android","Twitter for Android")</f>
        <v>Twitter for Android</v>
      </c>
      <c r="J4876" s="2">
        <v>28</v>
      </c>
      <c r="K4876" s="2">
        <v>2</v>
      </c>
      <c r="L4876" s="2">
        <v>0</v>
      </c>
      <c r="M4876" s="2"/>
      <c r="N4876" s="8">
        <v>43115.077233796299</v>
      </c>
      <c r="O4876" s="4"/>
      <c r="P4876" s="3" t="s">
        <v>3687</v>
      </c>
      <c r="Q4876" s="4"/>
      <c r="R4876" s="4"/>
      <c r="S4876" s="9" t="str">
        <f>HYPERLINK("https://pbs.twimg.com/profile_images/1011494810727911427/aE8nO6RI.jpg","View")</f>
        <v>View</v>
      </c>
    </row>
    <row r="4877" spans="1:19" ht="20">
      <c r="A4877" s="8">
        <v>43340.911099537036</v>
      </c>
      <c r="B4877" s="11" t="str">
        <f>HYPERLINK("https://twitter.com/Ho3einAyoubi","@Ho3einAyoubi")</f>
        <v>@Ho3einAyoubi</v>
      </c>
      <c r="C4877" s="6" t="s">
        <v>3686</v>
      </c>
      <c r="D4877" s="5" t="s">
        <v>3685</v>
      </c>
      <c r="E4877" s="9" t="str">
        <f>HYPERLINK("https://twitter.com/Ho3einAyoubi/status/1034491297711763460","1034491297711763460")</f>
        <v>1034491297711763460</v>
      </c>
      <c r="F4877" s="4"/>
      <c r="G4877" s="10" t="s">
        <v>3684</v>
      </c>
      <c r="H4877" s="4"/>
      <c r="I4877" s="10" t="str">
        <f>HYPERLINK("http://twitter.com/download/android","Twitter for Android")</f>
        <v>Twitter for Android</v>
      </c>
      <c r="J4877" s="2">
        <v>0</v>
      </c>
      <c r="K4877" s="2">
        <v>2</v>
      </c>
      <c r="L4877" s="2">
        <v>0</v>
      </c>
      <c r="M4877" s="2"/>
      <c r="N4877" s="8">
        <v>43340.899108796293</v>
      </c>
      <c r="O4877" s="4" t="s">
        <v>34</v>
      </c>
      <c r="P4877" s="3" t="s">
        <v>3683</v>
      </c>
      <c r="Q4877" s="4"/>
      <c r="R4877" s="4"/>
      <c r="S4877" s="9" t="str">
        <f>HYPERLINK("https://pbs.twimg.com/profile_images/1034489726949044225/nffLWgcA.jpg","View")</f>
        <v>View</v>
      </c>
    </row>
    <row r="4878" spans="1:19" ht="40">
      <c r="A4878" s="8">
        <v>43340.911041666666</v>
      </c>
      <c r="B4878" s="11" t="str">
        <f>HYPERLINK("https://twitter.com/aashariatpanah","@aashariatpanah")</f>
        <v>@aashariatpanah</v>
      </c>
      <c r="C4878" s="6" t="s">
        <v>3682</v>
      </c>
      <c r="D4878" s="5" t="s">
        <v>3681</v>
      </c>
      <c r="E4878" s="9" t="str">
        <f>HYPERLINK("https://twitter.com/aashariatpanah/status/1034491276232716288","1034491276232716288")</f>
        <v>1034491276232716288</v>
      </c>
      <c r="F4878" s="4"/>
      <c r="G4878" s="10" t="s">
        <v>3680</v>
      </c>
      <c r="H4878" s="4"/>
      <c r="I4878" s="10" t="str">
        <f>HYPERLINK("http://twitter.com/download/android","Twitter for Android")</f>
        <v>Twitter for Android</v>
      </c>
      <c r="J4878" s="2">
        <v>575</v>
      </c>
      <c r="K4878" s="2">
        <v>383</v>
      </c>
      <c r="L4878" s="2">
        <v>6</v>
      </c>
      <c r="M4878" s="2"/>
      <c r="N4878" s="8">
        <v>43178.664236111115</v>
      </c>
      <c r="O4878" s="4" t="s">
        <v>3679</v>
      </c>
      <c r="P4878" s="3" t="s">
        <v>3678</v>
      </c>
      <c r="Q4878" s="4"/>
      <c r="R4878" s="4"/>
      <c r="S4878" s="9" t="str">
        <f>HYPERLINK("https://pbs.twimg.com/profile_images/976918424281583617/Oo9pMQvh.jpg","View")</f>
        <v>View</v>
      </c>
    </row>
    <row r="4879" spans="1:19" ht="30">
      <c r="A4879" s="8">
        <v>43340.910960648151</v>
      </c>
      <c r="B4879" s="11" t="str">
        <f>HYPERLINK("https://twitter.com/Vahid_Cheriki","@Vahid_Cheriki")</f>
        <v>@Vahid_Cheriki</v>
      </c>
      <c r="C4879" s="6" t="s">
        <v>3677</v>
      </c>
      <c r="D4879" s="5" t="s">
        <v>3676</v>
      </c>
      <c r="E4879" s="9" t="str">
        <f>HYPERLINK("https://twitter.com/Vahid_Cheriki/status/1034491245568172032","1034491245568172032")</f>
        <v>1034491245568172032</v>
      </c>
      <c r="F4879" s="4"/>
      <c r="G4879" s="4"/>
      <c r="H4879" s="4"/>
      <c r="I4879" s="10" t="str">
        <f>HYPERLINK("http://twitter.com/download/android","Twitter for Android")</f>
        <v>Twitter for Android</v>
      </c>
      <c r="J4879" s="2">
        <v>1349</v>
      </c>
      <c r="K4879" s="2">
        <v>620</v>
      </c>
      <c r="L4879" s="2">
        <v>1</v>
      </c>
      <c r="M4879" s="2"/>
      <c r="N4879" s="8">
        <v>43221.596817129626</v>
      </c>
      <c r="O4879" s="4" t="s">
        <v>17</v>
      </c>
      <c r="P4879" s="3" t="s">
        <v>3675</v>
      </c>
      <c r="Q4879" s="4"/>
      <c r="R4879" s="4"/>
      <c r="S4879" s="9" t="str">
        <f>HYPERLINK("https://pbs.twimg.com/profile_images/1017773772370268160/9Bt9Q5Mp.jpg","View")</f>
        <v>View</v>
      </c>
    </row>
    <row r="4880" spans="1:19" ht="30">
      <c r="A4880" s="8">
        <v>43340.910775462966</v>
      </c>
      <c r="B4880" s="11" t="str">
        <f>HYPERLINK("https://twitter.com/dzaker","@dzaker")</f>
        <v>@dzaker</v>
      </c>
      <c r="C4880" s="6" t="s">
        <v>3674</v>
      </c>
      <c r="D4880" s="5" t="s">
        <v>3673</v>
      </c>
      <c r="E4880" s="9" t="str">
        <f>HYPERLINK("https://twitter.com/dzaker/status/1034491180195573761","1034491180195573761")</f>
        <v>1034491180195573761</v>
      </c>
      <c r="F4880" s="4"/>
      <c r="G4880" s="4"/>
      <c r="H4880" s="4"/>
      <c r="I4880" s="10" t="str">
        <f>HYPERLINK("http://twitter.com/download/iphone","Twitter for iPhone")</f>
        <v>Twitter for iPhone</v>
      </c>
      <c r="J4880" s="2">
        <v>8</v>
      </c>
      <c r="K4880" s="2">
        <v>14</v>
      </c>
      <c r="L4880" s="2">
        <v>0</v>
      </c>
      <c r="M4880" s="2"/>
      <c r="N4880" s="8">
        <v>39983.414606481485</v>
      </c>
      <c r="O4880" s="4"/>
      <c r="P4880" s="3"/>
      <c r="Q4880" s="4"/>
      <c r="R4880" s="4"/>
      <c r="S4880" s="9" t="str">
        <f>HYPERLINK("https://pbs.twimg.com/profile_images/692297076986609664/EdrH6sqO.jpg","View")</f>
        <v>View</v>
      </c>
    </row>
    <row r="4881" spans="1:19" ht="20">
      <c r="A4881" s="8">
        <v>43340.910763888889</v>
      </c>
      <c r="B4881" s="11" t="str">
        <f>HYPERLINK("https://twitter.com/ghasemaljabbari","@ghasemaljabbari")</f>
        <v>@ghasemaljabbari</v>
      </c>
      <c r="C4881" s="6" t="s">
        <v>3672</v>
      </c>
      <c r="D4881" s="5" t="s">
        <v>3671</v>
      </c>
      <c r="E4881" s="9" t="str">
        <f>HYPERLINK("https://twitter.com/ghasemaljabbari/status/1034491175795937283","1034491175795937283")</f>
        <v>1034491175795937283</v>
      </c>
      <c r="F4881" s="4"/>
      <c r="G4881" s="10" t="s">
        <v>3670</v>
      </c>
      <c r="H4881" s="4"/>
      <c r="I4881" s="10" t="str">
        <f>HYPERLINK("http://twitter.com/download/android","Twitter for Android")</f>
        <v>Twitter for Android</v>
      </c>
      <c r="J4881" s="2">
        <v>1080</v>
      </c>
      <c r="K4881" s="2">
        <v>1228</v>
      </c>
      <c r="L4881" s="2">
        <v>0</v>
      </c>
      <c r="M4881" s="2"/>
      <c r="N4881" s="8">
        <v>43211.540092592593</v>
      </c>
      <c r="O4881" s="4" t="s">
        <v>3669</v>
      </c>
      <c r="P4881" s="3" t="s">
        <v>3668</v>
      </c>
      <c r="Q4881" s="4"/>
      <c r="R4881" s="4"/>
      <c r="S4881" s="9" t="str">
        <f>HYPERLINK("https://pbs.twimg.com/profile_images/987671655026778119/p64EJu6f.jpg","View")</f>
        <v>View</v>
      </c>
    </row>
    <row r="4882" spans="1:19" ht="60">
      <c r="A4882" s="8">
        <v>43340.910740740743</v>
      </c>
      <c r="B4882" s="11" t="str">
        <f>HYPERLINK("https://twitter.com/tG9wnjVdQ6GVQ8L","@tG9wnjVdQ6GVQ8L")</f>
        <v>@tG9wnjVdQ6GVQ8L</v>
      </c>
      <c r="C4882" s="6" t="s">
        <v>3607</v>
      </c>
      <c r="D4882" s="5" t="s">
        <v>3667</v>
      </c>
      <c r="E4882" s="9" t="str">
        <f>HYPERLINK("https://twitter.com/tG9wnjVdQ6GVQ8L/status/1034491166874652678","1034491166874652678")</f>
        <v>1034491166874652678</v>
      </c>
      <c r="F4882" s="10" t="s">
        <v>3666</v>
      </c>
      <c r="G4882" s="4"/>
      <c r="H4882" s="4"/>
      <c r="I4882" s="10" t="str">
        <f>HYPERLINK("http://twitter.com/download/android","Twitter for Android")</f>
        <v>Twitter for Android</v>
      </c>
      <c r="J4882" s="2">
        <v>2193</v>
      </c>
      <c r="K4882" s="2">
        <v>3987</v>
      </c>
      <c r="L4882" s="2">
        <v>0</v>
      </c>
      <c r="M4882" s="2"/>
      <c r="N4882" s="8">
        <v>43261.000208333338</v>
      </c>
      <c r="O4882" s="4"/>
      <c r="P4882" s="3" t="s">
        <v>3665</v>
      </c>
      <c r="Q4882" s="4"/>
      <c r="R4882" s="4"/>
      <c r="S4882" s="9" t="str">
        <f>HYPERLINK("https://pbs.twimg.com/profile_images/1007545992835686400/ROiyS3R2.jpg","View")</f>
        <v>View</v>
      </c>
    </row>
    <row r="4883" spans="1:19" ht="20">
      <c r="A4883" s="8">
        <v>43340.910590277781</v>
      </c>
      <c r="B4883" s="11" t="str">
        <f>HYPERLINK("https://twitter.com/sadegh_135","@sadegh_135")</f>
        <v>@sadegh_135</v>
      </c>
      <c r="C4883" s="6" t="s">
        <v>3664</v>
      </c>
      <c r="D4883" s="5" t="s">
        <v>3663</v>
      </c>
      <c r="E4883" s="9" t="str">
        <f>HYPERLINK("https://twitter.com/sadegh_135/status/1034491111186812932","1034491111186812932")</f>
        <v>1034491111186812932</v>
      </c>
      <c r="F4883" s="4"/>
      <c r="G4883" s="4"/>
      <c r="H4883" s="4"/>
      <c r="I4883" s="10" t="str">
        <f>HYPERLINK("http://twitter.com/download/android","Twitter for Android")</f>
        <v>Twitter for Android</v>
      </c>
      <c r="J4883" s="2">
        <v>2646</v>
      </c>
      <c r="K4883" s="2">
        <v>1464</v>
      </c>
      <c r="L4883" s="2">
        <v>12</v>
      </c>
      <c r="M4883" s="2"/>
      <c r="N4883" s="8">
        <v>41331.017858796295</v>
      </c>
      <c r="O4883" s="4" t="s">
        <v>3662</v>
      </c>
      <c r="P4883" s="3" t="s">
        <v>3661</v>
      </c>
      <c r="Q4883" s="10" t="s">
        <v>3660</v>
      </c>
      <c r="R4883" s="4"/>
      <c r="S4883" s="9" t="str">
        <f>HYPERLINK("https://pbs.twimg.com/profile_images/980891477399277568/NJdhFPgZ.jpg","View")</f>
        <v>View</v>
      </c>
    </row>
    <row r="4884" spans="1:19" ht="30">
      <c r="A4884" s="8">
        <v>43340.909942129627</v>
      </c>
      <c r="B4884" s="11" t="str">
        <f>HYPERLINK("https://twitter.com/MajidBigBorn","@MajidBigBorn")</f>
        <v>@MajidBigBorn</v>
      </c>
      <c r="C4884" s="6" t="s">
        <v>3659</v>
      </c>
      <c r="D4884" s="5" t="s">
        <v>3658</v>
      </c>
      <c r="E4884" s="9" t="str">
        <f>HYPERLINK("https://twitter.com/MajidBigBorn/status/1034490875106258944","1034490875106258944")</f>
        <v>1034490875106258944</v>
      </c>
      <c r="F4884" s="4"/>
      <c r="G4884" s="4"/>
      <c r="H4884" s="4"/>
      <c r="I4884" s="10" t="str">
        <f>HYPERLINK("http://twitter.com/download/iphone","Twitter for iPhone")</f>
        <v>Twitter for iPhone</v>
      </c>
      <c r="J4884" s="2">
        <v>3688</v>
      </c>
      <c r="K4884" s="2">
        <v>2830</v>
      </c>
      <c r="L4884" s="2">
        <v>3</v>
      </c>
      <c r="M4884" s="2"/>
      <c r="N4884" s="8">
        <v>42885.441608796296</v>
      </c>
      <c r="O4884" s="4" t="s">
        <v>104</v>
      </c>
      <c r="P4884" s="3" t="s">
        <v>3657</v>
      </c>
      <c r="Q4884" s="4"/>
      <c r="R4884" s="4"/>
      <c r="S4884" s="9" t="str">
        <f>HYPERLINK("https://pbs.twimg.com/profile_images/989550931946737671/4me41kyF.jpg","View")</f>
        <v>View</v>
      </c>
    </row>
    <row r="4885" spans="1:19" ht="30">
      <c r="A4885" s="8">
        <v>43340.909907407404</v>
      </c>
      <c r="B4885" s="11" t="str">
        <f>HYPERLINK("https://twitter.com/meysamabdolahy","@meysamabdolahy")</f>
        <v>@meysamabdolahy</v>
      </c>
      <c r="C4885" s="6" t="s">
        <v>3656</v>
      </c>
      <c r="D4885" s="5" t="s">
        <v>3655</v>
      </c>
      <c r="E4885" s="9" t="str">
        <f>HYPERLINK("https://twitter.com/meysamabdolahy/status/1034490863316086784","1034490863316086784")</f>
        <v>1034490863316086784</v>
      </c>
      <c r="F4885" s="4"/>
      <c r="G4885" s="4"/>
      <c r="H4885" s="4"/>
      <c r="I4885" s="10" t="str">
        <f>HYPERLINK("http://twitter.com/download/android","Twitter for Android")</f>
        <v>Twitter for Android</v>
      </c>
      <c r="J4885" s="2">
        <v>1099</v>
      </c>
      <c r="K4885" s="2">
        <v>638</v>
      </c>
      <c r="L4885" s="2">
        <v>4</v>
      </c>
      <c r="M4885" s="2"/>
      <c r="N4885" s="8">
        <v>42922.510763888888</v>
      </c>
      <c r="O4885" s="4" t="s">
        <v>17</v>
      </c>
      <c r="P4885" s="3" t="s">
        <v>3654</v>
      </c>
      <c r="Q4885" s="4"/>
      <c r="R4885" s="4"/>
      <c r="S4885" s="9" t="str">
        <f>HYPERLINK("https://pbs.twimg.com/profile_images/1008756451668561926/JyFUGr8O.jpg","View")</f>
        <v>View</v>
      </c>
    </row>
    <row r="4886" spans="1:19" ht="12.5">
      <c r="A4886" s="8">
        <v>43340.909363425926</v>
      </c>
      <c r="B4886" s="11" t="str">
        <f>HYPERLINK("https://twitter.com/sucksiphon","@sucksiphon")</f>
        <v>@sucksiphon</v>
      </c>
      <c r="C4886" s="6" t="s">
        <v>3653</v>
      </c>
      <c r="D4886" s="5" t="s">
        <v>3652</v>
      </c>
      <c r="E4886" s="9" t="str">
        <f>HYPERLINK("https://twitter.com/sucksiphon/status/1034490664585777152","1034490664585777152")</f>
        <v>1034490664585777152</v>
      </c>
      <c r="F4886" s="4"/>
      <c r="G4886" s="4"/>
      <c r="H4886" s="4"/>
      <c r="I4886" s="10" t="str">
        <f>HYPERLINK("http://twitter.com","Twitter Web Client")</f>
        <v>Twitter Web Client</v>
      </c>
      <c r="J4886" s="2">
        <v>6</v>
      </c>
      <c r="K4886" s="2">
        <v>68</v>
      </c>
      <c r="L4886" s="2">
        <v>0</v>
      </c>
      <c r="M4886" s="2"/>
      <c r="N4886" s="8">
        <v>43322.640289351853</v>
      </c>
      <c r="O4886" s="4" t="s">
        <v>3651</v>
      </c>
      <c r="P4886" s="3" t="s">
        <v>3650</v>
      </c>
      <c r="Q4886" s="4"/>
      <c r="R4886" s="4"/>
      <c r="S4886" s="9" t="str">
        <f>HYPERLINK("https://pbs.twimg.com/profile_images/1027874975984902146/SgdDjvBY.jpg","View")</f>
        <v>View</v>
      </c>
    </row>
    <row r="4887" spans="1:19" ht="30">
      <c r="A4887" s="8">
        <v>43340.909062499995</v>
      </c>
      <c r="B4887" s="11" t="str">
        <f>HYPERLINK("https://twitter.com/radiojibi","@radiojibi")</f>
        <v>@radiojibi</v>
      </c>
      <c r="C4887" s="6" t="s">
        <v>3649</v>
      </c>
      <c r="D4887" s="5" t="s">
        <v>3648</v>
      </c>
      <c r="E4887" s="9" t="str">
        <f>HYPERLINK("https://twitter.com/radiojibi/status/1034490556729241601","1034490556729241601")</f>
        <v>1034490556729241601</v>
      </c>
      <c r="F4887" s="4"/>
      <c r="G4887" s="4"/>
      <c r="H4887" s="4"/>
      <c r="I4887" s="10" t="str">
        <f>HYPERLINK("http://twitter.com/download/iphone","Twitter for iPhone")</f>
        <v>Twitter for iPhone</v>
      </c>
      <c r="J4887" s="2">
        <v>10710</v>
      </c>
      <c r="K4887" s="2">
        <v>145</v>
      </c>
      <c r="L4887" s="2">
        <v>127</v>
      </c>
      <c r="M4887" s="2" t="s">
        <v>80</v>
      </c>
      <c r="N4887" s="8">
        <v>41558.433587962965</v>
      </c>
      <c r="O4887" s="4" t="s">
        <v>3647</v>
      </c>
      <c r="P4887" s="3" t="s">
        <v>3646</v>
      </c>
      <c r="Q4887" s="10" t="s">
        <v>3645</v>
      </c>
      <c r="R4887" s="4"/>
      <c r="S4887" s="9" t="str">
        <f>HYPERLINK("https://pbs.twimg.com/profile_images/927728726959378432/QwK61J4y.jpg","View")</f>
        <v>View</v>
      </c>
    </row>
    <row r="4888" spans="1:19" ht="12.5">
      <c r="A4888" s="8">
        <v>43340.90896990741</v>
      </c>
      <c r="B4888" s="11" t="str">
        <f>HYPERLINK("https://twitter.com/Maryamshariatm","@Maryamshariatm")</f>
        <v>@Maryamshariatm</v>
      </c>
      <c r="C4888" s="6" t="s">
        <v>3644</v>
      </c>
      <c r="D4888" s="5" t="s">
        <v>3643</v>
      </c>
      <c r="E4888" s="9" t="str">
        <f>HYPERLINK("https://twitter.com/Maryamshariatm/status/1034490522004611072","1034490522004611072")</f>
        <v>1034490522004611072</v>
      </c>
      <c r="F4888" s="4"/>
      <c r="G4888" s="4"/>
      <c r="H4888" s="4"/>
      <c r="I4888" s="10" t="str">
        <f>HYPERLINK("http://twitter.com/download/android","Twitter for Android")</f>
        <v>Twitter for Android</v>
      </c>
      <c r="J4888" s="2">
        <v>7566</v>
      </c>
      <c r="K4888" s="2">
        <v>303</v>
      </c>
      <c r="L4888" s="2">
        <v>18</v>
      </c>
      <c r="M4888" s="2"/>
      <c r="N4888" s="8">
        <v>43219.60701388889</v>
      </c>
      <c r="O4888" s="4" t="s">
        <v>3642</v>
      </c>
      <c r="P4888" s="3" t="s">
        <v>3641</v>
      </c>
      <c r="Q4888" s="4"/>
      <c r="R4888" s="4"/>
      <c r="S4888" s="9" t="str">
        <f>HYPERLINK("https://pbs.twimg.com/profile_images/1005227756148482048/Iip342lF.jpg","View")</f>
        <v>View</v>
      </c>
    </row>
    <row r="4889" spans="1:19" ht="30">
      <c r="A4889" s="8">
        <v>43340.908761574072</v>
      </c>
      <c r="B4889" s="11" t="str">
        <f>HYPERLINK("https://twitter.com/jafarpour_abbas","@jafarpour_abbas")</f>
        <v>@jafarpour_abbas</v>
      </c>
      <c r="C4889" s="6" t="s">
        <v>3640</v>
      </c>
      <c r="D4889" s="5" t="s">
        <v>3639</v>
      </c>
      <c r="E4889" s="9" t="str">
        <f>HYPERLINK("https://twitter.com/jafarpour_abbas/status/1034490450667864064","1034490450667864064")</f>
        <v>1034490450667864064</v>
      </c>
      <c r="F4889" s="4"/>
      <c r="G4889" s="4"/>
      <c r="H4889" s="4"/>
      <c r="I4889" s="10" t="str">
        <f>HYPERLINK("http://twitter.com/download/android","Twitter for Android")</f>
        <v>Twitter for Android</v>
      </c>
      <c r="J4889" s="2">
        <v>9</v>
      </c>
      <c r="K4889" s="2">
        <v>12</v>
      </c>
      <c r="L4889" s="2">
        <v>0</v>
      </c>
      <c r="M4889" s="2"/>
      <c r="N4889" s="8">
        <v>42908.326655092591</v>
      </c>
      <c r="O4889" s="4" t="s">
        <v>3490</v>
      </c>
      <c r="P4889" s="3" t="s">
        <v>3638</v>
      </c>
      <c r="Q4889" s="4"/>
      <c r="R4889" s="4"/>
      <c r="S4889" s="9" t="str">
        <f>HYPERLINK("https://pbs.twimg.com/profile_images/877729046909431809/p_ehNZ3m.jpg","View")</f>
        <v>View</v>
      </c>
    </row>
    <row r="4890" spans="1:19" ht="40">
      <c r="A4890" s="8">
        <v>43340.908645833333</v>
      </c>
      <c r="B4890" s="11" t="str">
        <f>HYPERLINK("https://twitter.com/matin_abolfazl","@matin_abolfazl")</f>
        <v>@matin_abolfazl</v>
      </c>
      <c r="C4890" s="6" t="s">
        <v>3637</v>
      </c>
      <c r="D4890" s="5" t="s">
        <v>3636</v>
      </c>
      <c r="E4890" s="9" t="str">
        <f>HYPERLINK("https://twitter.com/matin_abolfazl/status/1034490405063208961","1034490405063208961")</f>
        <v>1034490405063208961</v>
      </c>
      <c r="F4890" s="4"/>
      <c r="G4890" s="4"/>
      <c r="H4890" s="4"/>
      <c r="I4890" s="10" t="str">
        <f>HYPERLINK("http://twitter.com/download/iphone","Twitter for iPhone")</f>
        <v>Twitter for iPhone</v>
      </c>
      <c r="J4890" s="2">
        <v>75</v>
      </c>
      <c r="K4890" s="2">
        <v>538</v>
      </c>
      <c r="L4890" s="2">
        <v>0</v>
      </c>
      <c r="M4890" s="2"/>
      <c r="N4890" s="8">
        <v>42803.996851851851</v>
      </c>
      <c r="O4890" s="4" t="s">
        <v>34</v>
      </c>
      <c r="P4890" s="3" t="s">
        <v>3635</v>
      </c>
      <c r="Q4890" s="4"/>
      <c r="R4890" s="4"/>
      <c r="S4890" s="9" t="str">
        <f>HYPERLINK("https://pbs.twimg.com/profile_images/1030456820781985792/I_2HGcfD.jpg","View")</f>
        <v>View</v>
      </c>
    </row>
    <row r="4891" spans="1:19" ht="20">
      <c r="A4891" s="8">
        <v>43340.908148148148</v>
      </c>
      <c r="B4891" s="11" t="str">
        <f>HYPERLINK("https://twitter.com/sophocles226","@sophocles226")</f>
        <v>@sophocles226</v>
      </c>
      <c r="C4891" s="6" t="s">
        <v>3634</v>
      </c>
      <c r="D4891" s="5" t="s">
        <v>3633</v>
      </c>
      <c r="E4891" s="9" t="str">
        <f>HYPERLINK("https://twitter.com/sophocles226/status/1034490226226458625","1034490226226458625")</f>
        <v>1034490226226458625</v>
      </c>
      <c r="F4891" s="4"/>
      <c r="G4891" s="10" t="s">
        <v>3632</v>
      </c>
      <c r="H4891" s="4"/>
      <c r="I4891" s="10" t="str">
        <f>HYPERLINK("http://twitter.com","Twitter Web Client")</f>
        <v>Twitter Web Client</v>
      </c>
      <c r="J4891" s="2">
        <v>111</v>
      </c>
      <c r="K4891" s="2">
        <v>310</v>
      </c>
      <c r="L4891" s="2">
        <v>0</v>
      </c>
      <c r="M4891" s="2"/>
      <c r="N4891" s="8">
        <v>43331.917905092589</v>
      </c>
      <c r="O4891" s="4" t="s">
        <v>3631</v>
      </c>
      <c r="P4891" s="3" t="s">
        <v>3630</v>
      </c>
      <c r="Q4891" s="4"/>
      <c r="R4891" s="4"/>
      <c r="S4891" s="9" t="str">
        <f>HYPERLINK("https://pbs.twimg.com/profile_images/1032117907092910080/wLSaPbyn.jpg","View")</f>
        <v>View</v>
      </c>
    </row>
    <row r="4892" spans="1:19" ht="40">
      <c r="A4892" s="8">
        <v>43340.907523148147</v>
      </c>
      <c r="B4892" s="11" t="str">
        <f>HYPERLINK("https://twitter.com/Maryam9464","@Maryam9464")</f>
        <v>@Maryam9464</v>
      </c>
      <c r="C4892" s="6" t="s">
        <v>1329</v>
      </c>
      <c r="D4892" s="5" t="s">
        <v>3629</v>
      </c>
      <c r="E4892" s="9" t="str">
        <f>HYPERLINK("https://twitter.com/Maryam9464/status/1034490000509947904","1034490000509947904")</f>
        <v>1034490000509947904</v>
      </c>
      <c r="F4892" s="4"/>
      <c r="G4892" s="4"/>
      <c r="H4892" s="4"/>
      <c r="I4892" s="10" t="str">
        <f>HYPERLINK("http://twitter.com/download/android","Twitter for Android")</f>
        <v>Twitter for Android</v>
      </c>
      <c r="J4892" s="2">
        <v>177</v>
      </c>
      <c r="K4892" s="2">
        <v>57</v>
      </c>
      <c r="L4892" s="2">
        <v>0</v>
      </c>
      <c r="M4892" s="2"/>
      <c r="N4892" s="8">
        <v>43288.797800925924</v>
      </c>
      <c r="O4892" s="4" t="s">
        <v>34</v>
      </c>
      <c r="P4892" s="3"/>
      <c r="Q4892" s="4"/>
      <c r="R4892" s="4"/>
      <c r="S4892" s="9" t="str">
        <f>HYPERLINK("https://pbs.twimg.com/profile_images/1026014118606774272/dwhNwygi.jpg","View")</f>
        <v>View</v>
      </c>
    </row>
    <row r="4893" spans="1:19" ht="40">
      <c r="A4893" s="8">
        <v>43340.907511574071</v>
      </c>
      <c r="B4893" s="11" t="str">
        <f>HYPERLINK("https://twitter.com/Aqileh_313","@Aqileh_313")</f>
        <v>@Aqileh_313</v>
      </c>
      <c r="C4893" s="6" t="s">
        <v>498</v>
      </c>
      <c r="D4893" s="5" t="s">
        <v>3628</v>
      </c>
      <c r="E4893" s="9" t="str">
        <f>HYPERLINK("https://twitter.com/Aqileh_313/status/1034489995619442688","1034489995619442688")</f>
        <v>1034489995619442688</v>
      </c>
      <c r="F4893" s="4"/>
      <c r="G4893" s="4"/>
      <c r="H4893" s="4"/>
      <c r="I4893" s="10" t="str">
        <f>HYPERLINK("http://twitter.com/download/android","Twitter for Android")</f>
        <v>Twitter for Android</v>
      </c>
      <c r="J4893" s="2">
        <v>1001</v>
      </c>
      <c r="K4893" s="2">
        <v>1335</v>
      </c>
      <c r="L4893" s="2">
        <v>3</v>
      </c>
      <c r="M4893" s="2"/>
      <c r="N4893" s="8">
        <v>43229.33929398148</v>
      </c>
      <c r="O4893" s="4" t="s">
        <v>17</v>
      </c>
      <c r="P4893" s="3" t="s">
        <v>496</v>
      </c>
      <c r="Q4893" s="4"/>
      <c r="R4893" s="4"/>
      <c r="S4893" s="9" t="str">
        <f>HYPERLINK("https://pbs.twimg.com/profile_images/1030919443751284737/RDKeWBwn.jpg","View")</f>
        <v>View</v>
      </c>
    </row>
    <row r="4894" spans="1:19" ht="20">
      <c r="A4894" s="8">
        <v>43340.907106481478</v>
      </c>
      <c r="B4894" s="11" t="str">
        <f>HYPERLINK("https://twitter.com/Ramin_YP","@Ramin_YP")</f>
        <v>@Ramin_YP</v>
      </c>
      <c r="C4894" s="6" t="s">
        <v>3627</v>
      </c>
      <c r="D4894" s="5" t="s">
        <v>3626</v>
      </c>
      <c r="E4894" s="9" t="str">
        <f>HYPERLINK("https://twitter.com/Ramin_YP/status/1034489848680407041","1034489848680407041")</f>
        <v>1034489848680407041</v>
      </c>
      <c r="F4894" s="4"/>
      <c r="G4894" s="4"/>
      <c r="H4894" s="4"/>
      <c r="I4894" s="10" t="str">
        <f>HYPERLINK("http://twitter.com/download/android","Twitter for Android")</f>
        <v>Twitter for Android</v>
      </c>
      <c r="J4894" s="2">
        <v>256</v>
      </c>
      <c r="K4894" s="2">
        <v>236</v>
      </c>
      <c r="L4894" s="2">
        <v>0</v>
      </c>
      <c r="M4894" s="2"/>
      <c r="N4894" s="8">
        <v>41704.045069444444</v>
      </c>
      <c r="O4894" s="4" t="s">
        <v>34</v>
      </c>
      <c r="P4894" s="3" t="s">
        <v>3625</v>
      </c>
      <c r="Q4894" s="4"/>
      <c r="R4894" s="4"/>
      <c r="S4894" s="9" t="str">
        <f>HYPERLINK("https://pbs.twimg.com/profile_images/1017540882969649153/0yngk-lY.jpg","View")</f>
        <v>View</v>
      </c>
    </row>
    <row r="4895" spans="1:19" ht="40">
      <c r="A4895" s="8">
        <v>43340.907083333332</v>
      </c>
      <c r="B4895" s="11" t="str">
        <f>HYPERLINK("https://twitter.com/ANourbakhsh","@ANourbakhsh")</f>
        <v>@ANourbakhsh</v>
      </c>
      <c r="C4895" s="6" t="s">
        <v>3624</v>
      </c>
      <c r="D4895" s="5" t="s">
        <v>3623</v>
      </c>
      <c r="E4895" s="9" t="str">
        <f>HYPERLINK("https://twitter.com/ANourbakhsh/status/1034489838505009152","1034489838505009152")</f>
        <v>1034489838505009152</v>
      </c>
      <c r="F4895" s="4"/>
      <c r="G4895" s="4"/>
      <c r="H4895" s="4"/>
      <c r="I4895" s="10" t="str">
        <f>HYPERLINK("http://twitter.com/download/android","Twitter for Android")</f>
        <v>Twitter for Android</v>
      </c>
      <c r="J4895" s="2">
        <v>5</v>
      </c>
      <c r="K4895" s="2">
        <v>46</v>
      </c>
      <c r="L4895" s="2">
        <v>0</v>
      </c>
      <c r="M4895" s="2"/>
      <c r="N4895" s="8">
        <v>41276.867280092592</v>
      </c>
      <c r="O4895" s="4" t="s">
        <v>3622</v>
      </c>
      <c r="P4895" s="3"/>
      <c r="Q4895" s="4"/>
      <c r="R4895" s="4"/>
      <c r="S4895" s="9" t="str">
        <f>HYPERLINK("https://pbs.twimg.com/profile_images/616333446974205955/qDnKWjat.jpg","View")</f>
        <v>View</v>
      </c>
    </row>
    <row r="4896" spans="1:19" ht="20">
      <c r="A4896" s="8">
        <v>43340.90693287037</v>
      </c>
      <c r="B4896" s="11" t="str">
        <f>HYPERLINK("https://twitter.com/azarnooshsa1","@azarnooshsa1")</f>
        <v>@azarnooshsa1</v>
      </c>
      <c r="C4896" s="6" t="s">
        <v>3621</v>
      </c>
      <c r="D4896" s="5" t="s">
        <v>3620</v>
      </c>
      <c r="E4896" s="9" t="str">
        <f>HYPERLINK("https://twitter.com/azarnooshsa1/status/1034489784142626816","1034489784142626816")</f>
        <v>1034489784142626816</v>
      </c>
      <c r="F4896" s="10" t="s">
        <v>3619</v>
      </c>
      <c r="G4896" s="10" t="s">
        <v>3618</v>
      </c>
      <c r="H4896" s="4"/>
      <c r="I4896" s="10" t="str">
        <f>HYPERLINK("http://twitter.com","Twitter Web Client")</f>
        <v>Twitter Web Client</v>
      </c>
      <c r="J4896" s="2">
        <v>4420</v>
      </c>
      <c r="K4896" s="2">
        <v>4310</v>
      </c>
      <c r="L4896" s="2">
        <v>43</v>
      </c>
      <c r="M4896" s="2"/>
      <c r="N4896" s="8">
        <v>42486.004108796296</v>
      </c>
      <c r="O4896" s="4" t="s">
        <v>2876</v>
      </c>
      <c r="P4896" s="3" t="s">
        <v>3617</v>
      </c>
      <c r="Q4896" s="4"/>
      <c r="R4896" s="4"/>
      <c r="S4896" s="9" t="str">
        <f>HYPERLINK("https://pbs.twimg.com/profile_images/939048884856377344/cZGK3YaM.jpg","View")</f>
        <v>View</v>
      </c>
    </row>
    <row r="4897" spans="1:19" ht="30">
      <c r="A4897" s="8">
        <v>43340.906458333338</v>
      </c>
      <c r="B4897" s="11" t="str">
        <f>HYPERLINK("https://twitter.com/sepinoud88","@sepinoud88")</f>
        <v>@sepinoud88</v>
      </c>
      <c r="C4897" s="6" t="s">
        <v>3461</v>
      </c>
      <c r="D4897" s="5" t="s">
        <v>3616</v>
      </c>
      <c r="E4897" s="9" t="str">
        <f>HYPERLINK("https://twitter.com/sepinoud88/status/1034489615544135682","1034489615544135682")</f>
        <v>1034489615544135682</v>
      </c>
      <c r="F4897" s="4"/>
      <c r="G4897" s="4"/>
      <c r="H4897" s="4"/>
      <c r="I4897" s="10" t="str">
        <f>HYPERLINK("http://twitter.com/download/android","Twitter for Android")</f>
        <v>Twitter for Android</v>
      </c>
      <c r="J4897" s="2">
        <v>340</v>
      </c>
      <c r="K4897" s="2">
        <v>347</v>
      </c>
      <c r="L4897" s="2">
        <v>0</v>
      </c>
      <c r="M4897" s="2"/>
      <c r="N4897" s="8">
        <v>42123.956331018519</v>
      </c>
      <c r="O4897" s="4" t="s">
        <v>25</v>
      </c>
      <c r="P4897" s="3" t="s">
        <v>3458</v>
      </c>
      <c r="Q4897" s="4"/>
      <c r="R4897" s="4"/>
      <c r="S4897" s="9" t="str">
        <f>HYPERLINK("https://pbs.twimg.com/profile_images/995020131234451456/0rKmG8wG.jpg","View")</f>
        <v>View</v>
      </c>
    </row>
    <row r="4898" spans="1:19" ht="20">
      <c r="A4898" s="8">
        <v>43340.906412037039</v>
      </c>
      <c r="B4898" s="11" t="str">
        <f>HYPERLINK("https://twitter.com/nazokbin_ir","@nazokbin_ir")</f>
        <v>@nazokbin_ir</v>
      </c>
      <c r="C4898" s="6" t="s">
        <v>3320</v>
      </c>
      <c r="D4898" s="5" t="s">
        <v>3615</v>
      </c>
      <c r="E4898" s="9" t="str">
        <f>HYPERLINK("https://twitter.com/nazokbin_ir/status/1034489596481085441","1034489596481085441")</f>
        <v>1034489596481085441</v>
      </c>
      <c r="F4898" s="4"/>
      <c r="G4898" s="4"/>
      <c r="H4898" s="4"/>
      <c r="I4898" s="10" t="str">
        <f>HYPERLINK("http://twitter.com/download/android","Twitter for Android")</f>
        <v>Twitter for Android</v>
      </c>
      <c r="J4898" s="2">
        <v>1190</v>
      </c>
      <c r="K4898" s="2">
        <v>369</v>
      </c>
      <c r="L4898" s="2">
        <v>8</v>
      </c>
      <c r="M4898" s="2"/>
      <c r="N4898" s="8">
        <v>42611.051342592589</v>
      </c>
      <c r="O4898" s="4" t="s">
        <v>3318</v>
      </c>
      <c r="P4898" s="3" t="s">
        <v>3317</v>
      </c>
      <c r="Q4898" s="10" t="s">
        <v>3316</v>
      </c>
      <c r="R4898" s="4"/>
      <c r="S4898" s="9" t="str">
        <f>HYPERLINK("https://pbs.twimg.com/profile_images/1031286238190481408/PGc2v3cw.jpg","View")</f>
        <v>View</v>
      </c>
    </row>
    <row r="4899" spans="1:19" ht="20">
      <c r="A4899" s="8">
        <v>43340.887384259258</v>
      </c>
      <c r="B4899" s="11" t="str">
        <f>HYPERLINK("https://twitter.com/ali_aghababaei","@ali_aghababaei")</f>
        <v>@ali_aghababaei</v>
      </c>
      <c r="C4899" s="6" t="s">
        <v>1972</v>
      </c>
      <c r="D4899" s="5" t="s">
        <v>3614</v>
      </c>
      <c r="E4899" s="9" t="str">
        <f>HYPERLINK("https://twitter.com/ali_aghababaei/status/1034482701263400960","1034482701263400960")</f>
        <v>1034482701263400960</v>
      </c>
      <c r="F4899" s="4"/>
      <c r="G4899" s="4"/>
      <c r="H4899" s="4"/>
      <c r="I4899" s="10" t="str">
        <f>HYPERLINK("http://twitter.com/download/iphone","Twitter for iPhone")</f>
        <v>Twitter for iPhone</v>
      </c>
      <c r="J4899" s="2">
        <v>314</v>
      </c>
      <c r="K4899" s="2">
        <v>122</v>
      </c>
      <c r="L4899" s="2">
        <v>1</v>
      </c>
      <c r="M4899" s="2"/>
      <c r="N4899" s="8">
        <v>42775.972233796296</v>
      </c>
      <c r="O4899" s="4" t="s">
        <v>34</v>
      </c>
      <c r="P4899" s="3" t="s">
        <v>1970</v>
      </c>
      <c r="Q4899" s="4"/>
      <c r="R4899" s="4"/>
      <c r="S4899" s="9" t="str">
        <f>HYPERLINK("https://pbs.twimg.com/profile_images/1033653338712297472/HeFlPNrV.jpg","View")</f>
        <v>View</v>
      </c>
    </row>
    <row r="4900" spans="1:19" ht="30">
      <c r="A4900" s="8">
        <v>43340.886967592596</v>
      </c>
      <c r="B4900" s="11" t="str">
        <f>HYPERLINK("https://twitter.com/Mo_Hoseinipour","@Mo_Hoseinipour")</f>
        <v>@Mo_Hoseinipour</v>
      </c>
      <c r="C4900" s="6" t="s">
        <v>3613</v>
      </c>
      <c r="D4900" s="5" t="s">
        <v>3612</v>
      </c>
      <c r="E4900" s="9" t="str">
        <f>HYPERLINK("https://twitter.com/Mo_Hoseinipour/status/1034482551535087616","1034482551535087616")</f>
        <v>1034482551535087616</v>
      </c>
      <c r="F4900" s="4"/>
      <c r="G4900" s="4"/>
      <c r="H4900" s="4"/>
      <c r="I4900" s="10" t="str">
        <f>HYPERLINK("http://twitter.com/download/iphone","Twitter for iPhone")</f>
        <v>Twitter for iPhone</v>
      </c>
      <c r="J4900" s="2">
        <v>175</v>
      </c>
      <c r="K4900" s="2">
        <v>360</v>
      </c>
      <c r="L4900" s="2">
        <v>0</v>
      </c>
      <c r="M4900" s="2"/>
      <c r="N4900" s="8">
        <v>43264.278854166667</v>
      </c>
      <c r="O4900" s="4"/>
      <c r="P4900" s="3"/>
      <c r="Q4900" s="4"/>
      <c r="R4900" s="4"/>
      <c r="S4900" s="9" t="str">
        <f>HYPERLINK("https://pbs.twimg.com/profile_images/1013611270455603201/FydUj4eH.jpg","View")</f>
        <v>View</v>
      </c>
    </row>
    <row r="4901" spans="1:19" ht="20">
      <c r="A4901" s="8">
        <v>43340.886793981481</v>
      </c>
      <c r="B4901" s="11" t="str">
        <f>HYPERLINK("https://twitter.com/Twtybrd18","@Twtybrd18")</f>
        <v>@Twtybrd18</v>
      </c>
      <c r="C4901" s="6" t="s">
        <v>3611</v>
      </c>
      <c r="D4901" s="5" t="s">
        <v>3610</v>
      </c>
      <c r="E4901" s="9" t="str">
        <f>HYPERLINK("https://twitter.com/Twtybrd18/status/1034482487433617409","1034482487433617409")</f>
        <v>1034482487433617409</v>
      </c>
      <c r="F4901" s="4"/>
      <c r="G4901" s="4"/>
      <c r="H4901" s="4"/>
      <c r="I4901" s="10" t="str">
        <f>HYPERLINK("http://twitter.com/download/iphone","Twitter for iPhone")</f>
        <v>Twitter for iPhone</v>
      </c>
      <c r="J4901" s="2">
        <v>140</v>
      </c>
      <c r="K4901" s="2">
        <v>881</v>
      </c>
      <c r="L4901" s="2">
        <v>0</v>
      </c>
      <c r="M4901" s="2"/>
      <c r="N4901" s="8">
        <v>43102.956273148149</v>
      </c>
      <c r="O4901" s="4"/>
      <c r="P4901" s="3"/>
      <c r="Q4901" s="4"/>
      <c r="R4901" s="4"/>
      <c r="S4901" s="9" t="str">
        <f>HYPERLINK("https://pbs.twimg.com/profile_images/952439310904471552/Q0VvzIns.jpg","View")</f>
        <v>View</v>
      </c>
    </row>
    <row r="4902" spans="1:19" ht="20">
      <c r="A4902" s="8">
        <v>43340.886550925927</v>
      </c>
      <c r="B4902" s="11" t="str">
        <f>HYPERLINK("https://twitter.com/masoud1418","@masoud1418")</f>
        <v>@masoud1418</v>
      </c>
      <c r="C4902" s="6" t="s">
        <v>230</v>
      </c>
      <c r="D4902" s="5" t="s">
        <v>3609</v>
      </c>
      <c r="E4902" s="9" t="str">
        <f>HYPERLINK("https://twitter.com/masoud1418/status/1034482400586334208","1034482400586334208")</f>
        <v>1034482400586334208</v>
      </c>
      <c r="F4902" s="4"/>
      <c r="G4902" s="4"/>
      <c r="H4902" s="4"/>
      <c r="I4902" s="10" t="str">
        <f>HYPERLINK("http://twitter.com/download/android","Twitter for Android")</f>
        <v>Twitter for Android</v>
      </c>
      <c r="J4902" s="2">
        <v>22</v>
      </c>
      <c r="K4902" s="2">
        <v>59</v>
      </c>
      <c r="L4902" s="2">
        <v>0</v>
      </c>
      <c r="M4902" s="2"/>
      <c r="N4902" s="8">
        <v>43275.91002314815</v>
      </c>
      <c r="O4902" s="4" t="s">
        <v>3608</v>
      </c>
      <c r="P4902" s="3" t="s">
        <v>3379</v>
      </c>
      <c r="Q4902" s="4"/>
      <c r="R4902" s="4"/>
      <c r="S4902" s="9" t="str">
        <f>HYPERLINK("https://pbs.twimg.com/profile_images/1011322863868170242/xJcM-BHq.jpg","View")</f>
        <v>View</v>
      </c>
    </row>
    <row r="4903" spans="1:19" ht="40">
      <c r="A4903" s="8">
        <v>43340.886215277773</v>
      </c>
      <c r="B4903" s="11" t="str">
        <f>HYPERLINK("https://twitter.com/bohloleshirazi","@bohloleshirazi")</f>
        <v>@bohloleshirazi</v>
      </c>
      <c r="C4903" s="6" t="s">
        <v>3607</v>
      </c>
      <c r="D4903" s="5" t="s">
        <v>3606</v>
      </c>
      <c r="E4903" s="9" t="str">
        <f>HYPERLINK("https://twitter.com/bohloleshirazi/status/1034482278204940289","1034482278204940289")</f>
        <v>1034482278204940289</v>
      </c>
      <c r="F4903" s="4"/>
      <c r="G4903" s="4"/>
      <c r="H4903" s="4"/>
      <c r="I4903" s="10" t="str">
        <f>HYPERLINK("http://twitter.com/download/android","Twitter for Android")</f>
        <v>Twitter for Android</v>
      </c>
      <c r="J4903" s="2">
        <v>2855</v>
      </c>
      <c r="K4903" s="2">
        <v>4780</v>
      </c>
      <c r="L4903" s="2">
        <v>0</v>
      </c>
      <c r="M4903" s="2"/>
      <c r="N4903" s="8">
        <v>43113.852395833332</v>
      </c>
      <c r="O4903" s="4"/>
      <c r="P4903" s="3" t="s">
        <v>3605</v>
      </c>
      <c r="Q4903" s="4"/>
      <c r="R4903" s="4"/>
      <c r="S4903" s="9" t="str">
        <f>HYPERLINK("https://pbs.twimg.com/profile_images/994610030010826752/S_570yrQ.jpg","View")</f>
        <v>View</v>
      </c>
    </row>
    <row r="4904" spans="1:19" ht="30">
      <c r="A4904" s="8">
        <v>43340.886134259257</v>
      </c>
      <c r="B4904" s="11" t="str">
        <f>HYPERLINK("https://twitter.com/Youngwalting74","@Youngwalting74")</f>
        <v>@Youngwalting74</v>
      </c>
      <c r="C4904" s="6" t="s">
        <v>3604</v>
      </c>
      <c r="D4904" s="5" t="s">
        <v>3603</v>
      </c>
      <c r="E4904" s="9" t="str">
        <f>HYPERLINK("https://twitter.com/Youngwalting74/status/1034482249209704448","1034482249209704448")</f>
        <v>1034482249209704448</v>
      </c>
      <c r="F4904" s="4"/>
      <c r="G4904" s="4"/>
      <c r="H4904" s="4"/>
      <c r="I4904" s="10" t="str">
        <f>HYPERLINK("http://twitter.com/download/android","Twitter for Android")</f>
        <v>Twitter for Android</v>
      </c>
      <c r="J4904" s="2">
        <v>3196</v>
      </c>
      <c r="K4904" s="2">
        <v>2441</v>
      </c>
      <c r="L4904" s="2">
        <v>3</v>
      </c>
      <c r="M4904" s="2"/>
      <c r="N4904" s="8">
        <v>43109.902569444443</v>
      </c>
      <c r="O4904" s="4" t="s">
        <v>34</v>
      </c>
      <c r="P4904" s="3" t="s">
        <v>3602</v>
      </c>
      <c r="Q4904" s="4"/>
      <c r="R4904" s="4"/>
      <c r="S4904" s="9" t="str">
        <f>HYPERLINK("https://pbs.twimg.com/profile_images/1034021610724970499/j1Fw59vl.jpg","View")</f>
        <v>View</v>
      </c>
    </row>
    <row r="4905" spans="1:19" ht="40">
      <c r="A4905" s="8">
        <v>43340.885520833333</v>
      </c>
      <c r="B4905" s="11" t="str">
        <f>HYPERLINK("https://twitter.com/trenditter","@trenditter")</f>
        <v>@trenditter</v>
      </c>
      <c r="C4905" s="6" t="s">
        <v>961</v>
      </c>
      <c r="D4905" s="5" t="s">
        <v>3601</v>
      </c>
      <c r="E4905" s="9" t="str">
        <f>HYPERLINK("https://twitter.com/trenditter/status/1034482026504761351","1034482026504761351")</f>
        <v>1034482026504761351</v>
      </c>
      <c r="F4905" s="4"/>
      <c r="G4905" s="4"/>
      <c r="H4905" s="4"/>
      <c r="I4905" s="10" t="str">
        <f>HYPERLINK("https://vahedinia.me","BestOfTwitterFa")</f>
        <v>BestOfTwitterFa</v>
      </c>
      <c r="J4905" s="2">
        <v>5217</v>
      </c>
      <c r="K4905" s="2">
        <v>29</v>
      </c>
      <c r="L4905" s="2">
        <v>34</v>
      </c>
      <c r="M4905" s="2"/>
      <c r="N4905" s="8">
        <v>42824.77443287037</v>
      </c>
      <c r="O4905" s="4" t="s">
        <v>959</v>
      </c>
      <c r="P4905" s="3" t="s">
        <v>958</v>
      </c>
      <c r="Q4905" s="10" t="s">
        <v>957</v>
      </c>
      <c r="R4905" s="4"/>
      <c r="S4905" s="9" t="str">
        <f>HYPERLINK("https://pbs.twimg.com/profile_images/847507136720637953/mQCv6V9W.jpg","View")</f>
        <v>View</v>
      </c>
    </row>
    <row r="4906" spans="1:19" ht="20">
      <c r="A4906" s="8">
        <v>43340.885243055556</v>
      </c>
      <c r="B4906" s="11" t="str">
        <f>HYPERLINK("https://twitter.com/mt_taghizade","@mt_taghizade")</f>
        <v>@mt_taghizade</v>
      </c>
      <c r="C4906" s="6" t="s">
        <v>3600</v>
      </c>
      <c r="D4906" s="5" t="s">
        <v>3599</v>
      </c>
      <c r="E4906" s="9" t="str">
        <f>HYPERLINK("https://twitter.com/mt_taghizade/status/1034481924897685505","1034481924897685505")</f>
        <v>1034481924897685505</v>
      </c>
      <c r="F4906" s="4"/>
      <c r="G4906" s="10" t="s">
        <v>3598</v>
      </c>
      <c r="H4906" s="4"/>
      <c r="I4906" s="10" t="str">
        <f>HYPERLINK("http://twitter.com/download/android","Twitter for Android")</f>
        <v>Twitter for Android</v>
      </c>
      <c r="J4906" s="2">
        <v>631</v>
      </c>
      <c r="K4906" s="2">
        <v>840</v>
      </c>
      <c r="L4906" s="2">
        <v>0</v>
      </c>
      <c r="M4906" s="2"/>
      <c r="N4906" s="8">
        <v>43224.63118055556</v>
      </c>
      <c r="O4906" s="4" t="s">
        <v>17</v>
      </c>
      <c r="P4906" s="3" t="s">
        <v>3597</v>
      </c>
      <c r="Q4906" s="4"/>
      <c r="R4906" s="4"/>
      <c r="S4906" s="9" t="str">
        <f>HYPERLINK("https://pbs.twimg.com/profile_images/992354772186476544/X7xNHRBa.jpg","View")</f>
        <v>View</v>
      </c>
    </row>
    <row r="4907" spans="1:19" ht="30">
      <c r="A4907" s="8">
        <v>43340.885243055556</v>
      </c>
      <c r="B4907" s="11" t="str">
        <f>HYPERLINK("https://twitter.com/mohamaddallak","@mohamaddallak")</f>
        <v>@mohamaddallak</v>
      </c>
      <c r="C4907" s="6" t="s">
        <v>2763</v>
      </c>
      <c r="D4907" s="5" t="s">
        <v>3596</v>
      </c>
      <c r="E4907" s="9" t="str">
        <f>HYPERLINK("https://twitter.com/mohamaddallak/status/1034481924578914304","1034481924578914304")</f>
        <v>1034481924578914304</v>
      </c>
      <c r="F4907" s="4"/>
      <c r="G4907" s="4"/>
      <c r="H4907" s="4"/>
      <c r="I4907" s="10" t="str">
        <f>HYPERLINK("https://mobile.twitter.com","Twitter Lite")</f>
        <v>Twitter Lite</v>
      </c>
      <c r="J4907" s="2">
        <v>279</v>
      </c>
      <c r="K4907" s="2">
        <v>340</v>
      </c>
      <c r="L4907" s="2">
        <v>0</v>
      </c>
      <c r="M4907" s="2"/>
      <c r="N4907" s="8">
        <v>43151.850729166668</v>
      </c>
      <c r="O4907" s="4" t="s">
        <v>17</v>
      </c>
      <c r="P4907" s="3" t="s">
        <v>2761</v>
      </c>
      <c r="Q4907" s="4"/>
      <c r="R4907" s="4"/>
      <c r="S4907" s="9" t="str">
        <f>HYPERLINK("https://pbs.twimg.com/profile_images/999937688471031810/W01Zbp0c.jpg","View")</f>
        <v>View</v>
      </c>
    </row>
    <row r="4908" spans="1:19" ht="20">
      <c r="A4908" s="8">
        <v>43340.885046296295</v>
      </c>
      <c r="B4908" s="11" t="str">
        <f>HYPERLINK("https://twitter.com/M_gh_z","@M_gh_z")</f>
        <v>@M_gh_z</v>
      </c>
      <c r="C4908" s="11" t="s">
        <v>3595</v>
      </c>
      <c r="D4908" s="5" t="s">
        <v>3594</v>
      </c>
      <c r="E4908" s="9" t="str">
        <f>HYPERLINK("https://twitter.com/M_gh_z/status/1034481856312475648","1034481856312475648")</f>
        <v>1034481856312475648</v>
      </c>
      <c r="F4908" s="4"/>
      <c r="G4908" s="4"/>
      <c r="H4908" s="4"/>
      <c r="I4908" s="10" t="str">
        <f>HYPERLINK("http://twitter.com/download/android","Twitter for Android")</f>
        <v>Twitter for Android</v>
      </c>
      <c r="J4908" s="2">
        <v>83</v>
      </c>
      <c r="K4908" s="2">
        <v>64</v>
      </c>
      <c r="L4908" s="2">
        <v>1</v>
      </c>
      <c r="M4908" s="2"/>
      <c r="N4908" s="8">
        <v>43318.3903125</v>
      </c>
      <c r="O4908" s="4" t="s">
        <v>17</v>
      </c>
      <c r="P4908" s="3" t="s">
        <v>3593</v>
      </c>
      <c r="Q4908" s="4"/>
      <c r="R4908" s="4"/>
      <c r="S4908" s="9" t="str">
        <f>HYPERLINK("https://pbs.twimg.com/profile_images/1026337971367239680/sAi7k4n6.jpg","View")</f>
        <v>View</v>
      </c>
    </row>
    <row r="4909" spans="1:19" ht="20">
      <c r="A4909" s="8">
        <v>43340.884988425925</v>
      </c>
      <c r="B4909" s="11" t="str">
        <f>HYPERLINK("https://twitter.com/ata_afs","@ata_afs")</f>
        <v>@ata_afs</v>
      </c>
      <c r="C4909" s="6" t="s">
        <v>1217</v>
      </c>
      <c r="D4909" s="5" t="s">
        <v>3592</v>
      </c>
      <c r="E4909" s="9" t="str">
        <f>HYPERLINK("https://twitter.com/ata_afs/status/1034481835470802944","1034481835470802944")</f>
        <v>1034481835470802944</v>
      </c>
      <c r="F4909" s="4"/>
      <c r="G4909" s="4"/>
      <c r="H4909" s="4"/>
      <c r="I4909" s="10" t="str">
        <f>HYPERLINK("http://twitter.com/download/iphone","Twitter for iPhone")</f>
        <v>Twitter for iPhone</v>
      </c>
      <c r="J4909" s="2">
        <v>366</v>
      </c>
      <c r="K4909" s="2">
        <v>692</v>
      </c>
      <c r="L4909" s="2">
        <v>0</v>
      </c>
      <c r="M4909" s="2"/>
      <c r="N4909" s="8">
        <v>41833.536099537036</v>
      </c>
      <c r="O4909" s="4" t="s">
        <v>34</v>
      </c>
      <c r="P4909" s="3" t="s">
        <v>1213</v>
      </c>
      <c r="Q4909" s="4"/>
      <c r="R4909" s="4"/>
      <c r="S4909" s="9" t="str">
        <f>HYPERLINK("https://pbs.twimg.com/profile_images/958374868008960000/IRXSv5-C.jpg","View")</f>
        <v>View</v>
      </c>
    </row>
    <row r="4910" spans="1:19" ht="30">
      <c r="A4910" s="8">
        <v>43340.884733796294</v>
      </c>
      <c r="B4910" s="11" t="str">
        <f>HYPERLINK("https://twitter.com/HashemiVaDustan","@HashemiVaDustan")</f>
        <v>@HashemiVaDustan</v>
      </c>
      <c r="C4910" s="6" t="s">
        <v>3591</v>
      </c>
      <c r="D4910" s="5" t="s">
        <v>3590</v>
      </c>
      <c r="E4910" s="9" t="str">
        <f>HYPERLINK("https://twitter.com/HashemiVaDustan/status/1034481739652104192","1034481739652104192")</f>
        <v>1034481739652104192</v>
      </c>
      <c r="F4910" s="4"/>
      <c r="G4910" s="4"/>
      <c r="H4910" s="4"/>
      <c r="I4910" s="10" t="str">
        <f>HYPERLINK("http://twitter.com/download/android","Twitter for Android")</f>
        <v>Twitter for Android</v>
      </c>
      <c r="J4910" s="2">
        <v>105</v>
      </c>
      <c r="K4910" s="2">
        <v>113</v>
      </c>
      <c r="L4910" s="2">
        <v>0</v>
      </c>
      <c r="M4910" s="2"/>
      <c r="N4910" s="8">
        <v>43050.518969907411</v>
      </c>
      <c r="O4910" s="4" t="s">
        <v>3589</v>
      </c>
      <c r="P4910" s="3" t="s">
        <v>3588</v>
      </c>
      <c r="Q4910" s="4"/>
      <c r="R4910" s="4"/>
      <c r="S4910" s="9" t="str">
        <f>HYPERLINK("https://pbs.twimg.com/profile_images/1031827415214030849/ZPHG-OBn.jpg","View")</f>
        <v>View</v>
      </c>
    </row>
    <row r="4911" spans="1:19" ht="40">
      <c r="A4911" s="8">
        <v>43340.884618055556</v>
      </c>
      <c r="B4911" s="11" t="str">
        <f>HYPERLINK("https://twitter.com/Nikoobakht","@Nikoobakht")</f>
        <v>@Nikoobakht</v>
      </c>
      <c r="C4911" s="6" t="s">
        <v>135</v>
      </c>
      <c r="D4911" s="5" t="s">
        <v>3587</v>
      </c>
      <c r="E4911" s="9" t="str">
        <f>HYPERLINK("https://twitter.com/Nikoobakht/status/1034481700624125953","1034481700624125953")</f>
        <v>1034481700624125953</v>
      </c>
      <c r="F4911" s="4"/>
      <c r="G4911" s="4"/>
      <c r="H4911" s="4"/>
      <c r="I4911" s="10" t="str">
        <f>HYPERLINK("http://twitter.com/download/android","Twitter for Android")</f>
        <v>Twitter for Android</v>
      </c>
      <c r="J4911" s="2">
        <v>61</v>
      </c>
      <c r="K4911" s="2">
        <v>48</v>
      </c>
      <c r="L4911" s="2">
        <v>2</v>
      </c>
      <c r="M4911" s="2"/>
      <c r="N4911" s="8">
        <v>42069.570590277777</v>
      </c>
      <c r="O4911" s="4" t="s">
        <v>133</v>
      </c>
      <c r="P4911" s="3" t="s">
        <v>132</v>
      </c>
      <c r="Q4911" s="10" t="s">
        <v>131</v>
      </c>
      <c r="R4911" s="4"/>
      <c r="S4911" s="9" t="str">
        <f>HYPERLINK("https://pbs.twimg.com/profile_images/987074666538962945/YNEHmQ82.jpg","View")</f>
        <v>View</v>
      </c>
    </row>
    <row r="4912" spans="1:19" ht="40">
      <c r="A4912" s="8">
        <v>43340.884571759263</v>
      </c>
      <c r="B4912" s="11" t="str">
        <f>HYPERLINK("https://twitter.com/mersadnews_ir","@mersadnews_ir")</f>
        <v>@mersadnews_ir</v>
      </c>
      <c r="C4912" s="6" t="s">
        <v>3586</v>
      </c>
      <c r="D4912" s="5" t="s">
        <v>3585</v>
      </c>
      <c r="E4912" s="9" t="str">
        <f>HYPERLINK("https://twitter.com/mersadnews_ir/status/1034481681204502528","1034481681204502528")</f>
        <v>1034481681204502528</v>
      </c>
      <c r="F4912" s="4"/>
      <c r="G4912" s="4"/>
      <c r="H4912" s="4"/>
      <c r="I4912" s="10" t="str">
        <f>HYPERLINK("http://twitter.com/download/android","Twitter for Android")</f>
        <v>Twitter for Android</v>
      </c>
      <c r="J4912" s="2">
        <v>1584</v>
      </c>
      <c r="K4912" s="2">
        <v>836</v>
      </c>
      <c r="L4912" s="2">
        <v>11</v>
      </c>
      <c r="M4912" s="2"/>
      <c r="N4912" s="8">
        <v>42248.572592592594</v>
      </c>
      <c r="O4912" s="4"/>
      <c r="P4912" s="3" t="s">
        <v>3584</v>
      </c>
      <c r="Q4912" s="4"/>
      <c r="R4912" s="4"/>
      <c r="S4912" s="9" t="str">
        <f>HYPERLINK("https://pbs.twimg.com/profile_images/951372057123741696/1KwF8zUA.jpg","View")</f>
        <v>View</v>
      </c>
    </row>
    <row r="4913" spans="1:19" ht="20">
      <c r="A4913" s="8">
        <v>43340.884351851855</v>
      </c>
      <c r="B4913" s="11" t="str">
        <f>HYPERLINK("https://twitter.com/mahenoghree","@mahenoghree")</f>
        <v>@mahenoghree</v>
      </c>
      <c r="C4913" s="6" t="s">
        <v>3583</v>
      </c>
      <c r="D4913" s="5" t="s">
        <v>3582</v>
      </c>
      <c r="E4913" s="9" t="str">
        <f>HYPERLINK("https://twitter.com/mahenoghree/status/1034481603119144960","1034481603119144960")</f>
        <v>1034481603119144960</v>
      </c>
      <c r="F4913" s="4"/>
      <c r="G4913" s="4"/>
      <c r="H4913" s="4"/>
      <c r="I4913" s="10" t="str">
        <f>HYPERLINK("http://twitter.com/download/iphone","Twitter for iPhone")</f>
        <v>Twitter for iPhone</v>
      </c>
      <c r="J4913" s="2">
        <v>3353</v>
      </c>
      <c r="K4913" s="2">
        <v>804</v>
      </c>
      <c r="L4913" s="2">
        <v>10</v>
      </c>
      <c r="M4913" s="2"/>
      <c r="N4913" s="8">
        <v>43102.582835648151</v>
      </c>
      <c r="O4913" s="4" t="s">
        <v>3581</v>
      </c>
      <c r="P4913" s="3" t="s">
        <v>3580</v>
      </c>
      <c r="Q4913" s="4"/>
      <c r="R4913" s="4"/>
      <c r="S4913" s="9" t="str">
        <f>HYPERLINK("https://pbs.twimg.com/profile_images/1034082299124637697/aUzQEu5H.jpg","View")</f>
        <v>View</v>
      </c>
    </row>
    <row r="4914" spans="1:19" ht="40">
      <c r="A4914" s="8">
        <v>43340.884155092594</v>
      </c>
      <c r="B4914" s="11" t="str">
        <f>HYPERLINK("https://twitter.com/triple_quark","@triple_quark")</f>
        <v>@triple_quark</v>
      </c>
      <c r="C4914" s="6" t="s">
        <v>3579</v>
      </c>
      <c r="D4914" s="5" t="s">
        <v>3578</v>
      </c>
      <c r="E4914" s="9" t="str">
        <f>HYPERLINK("https://twitter.com/triple_quark/status/1034481531308462081","1034481531308462081")</f>
        <v>1034481531308462081</v>
      </c>
      <c r="F4914" s="4"/>
      <c r="G4914" s="4"/>
      <c r="H4914" s="4"/>
      <c r="I4914" s="10" t="str">
        <f>HYPERLINK("http://twitter.com/download/android","Twitter for Android")</f>
        <v>Twitter for Android</v>
      </c>
      <c r="J4914" s="2">
        <v>764</v>
      </c>
      <c r="K4914" s="2">
        <v>523</v>
      </c>
      <c r="L4914" s="2">
        <v>3</v>
      </c>
      <c r="M4914" s="2"/>
      <c r="N4914" s="8">
        <v>42741.631307870368</v>
      </c>
      <c r="O4914" s="4"/>
      <c r="P4914" s="3"/>
      <c r="Q4914" s="4"/>
      <c r="R4914" s="4"/>
      <c r="S4914" s="9" t="str">
        <f>HYPERLINK("https://pbs.twimg.com/profile_images/1026831905491169280/6f6LeeIT.jpg","View")</f>
        <v>View</v>
      </c>
    </row>
    <row r="4915" spans="1:19" ht="20">
      <c r="A4915" s="8">
        <v>43340.883796296301</v>
      </c>
      <c r="B4915" s="11" t="str">
        <f>HYPERLINK("https://twitter.com/Rezaz7197","@Rezaz7197")</f>
        <v>@Rezaz7197</v>
      </c>
      <c r="C4915" s="6" t="s">
        <v>3577</v>
      </c>
      <c r="D4915" s="5" t="s">
        <v>3576</v>
      </c>
      <c r="E4915" s="9" t="str">
        <f>HYPERLINK("https://twitter.com/Rezaz7197/status/1034481402094317573","1034481402094317573")</f>
        <v>1034481402094317573</v>
      </c>
      <c r="F4915" s="4"/>
      <c r="G4915" s="4"/>
      <c r="H4915" s="4"/>
      <c r="I4915" s="10" t="str">
        <f>HYPERLINK("http://twitter.com/download/iphone","Twitter for iPhone")</f>
        <v>Twitter for iPhone</v>
      </c>
      <c r="J4915" s="2">
        <v>105</v>
      </c>
      <c r="K4915" s="2">
        <v>133</v>
      </c>
      <c r="L4915" s="2">
        <v>0</v>
      </c>
      <c r="M4915" s="2"/>
      <c r="N4915" s="8">
        <v>43312.732569444444</v>
      </c>
      <c r="O4915" s="4"/>
      <c r="P4915" s="3" t="s">
        <v>3575</v>
      </c>
      <c r="Q4915" s="4"/>
      <c r="R4915" s="4"/>
      <c r="S4915" s="9" t="str">
        <f>HYPERLINK("https://pbs.twimg.com/profile_images/1024290322015125505/wjbMghxa.jpg","View")</f>
        <v>View</v>
      </c>
    </row>
    <row r="4916" spans="1:19" ht="40">
      <c r="A4916" s="8">
        <v>43340.883680555555</v>
      </c>
      <c r="B4916" s="11" t="str">
        <f>HYPERLINK("https://twitter.com/pasdariranshahr","@pasdariranshahr")</f>
        <v>@pasdariranshahr</v>
      </c>
      <c r="C4916" s="6" t="s">
        <v>3574</v>
      </c>
      <c r="D4916" s="5" t="s">
        <v>3573</v>
      </c>
      <c r="E4916" s="9" t="str">
        <f>HYPERLINK("https://twitter.com/pasdariranshahr/status/1034481359346122753","1034481359346122753")</f>
        <v>1034481359346122753</v>
      </c>
      <c r="F4916" s="4"/>
      <c r="G4916" s="10" t="s">
        <v>3572</v>
      </c>
      <c r="H4916" s="4"/>
      <c r="I4916" s="10" t="str">
        <f>HYPERLINK("http://twitter.com/download/android","Twitter for Android")</f>
        <v>Twitter for Android</v>
      </c>
      <c r="J4916" s="2">
        <v>43</v>
      </c>
      <c r="K4916" s="2">
        <v>10</v>
      </c>
      <c r="L4916" s="2">
        <v>2</v>
      </c>
      <c r="M4916" s="2"/>
      <c r="N4916" s="8">
        <v>42574.885347222225</v>
      </c>
      <c r="O4916" s="4" t="s">
        <v>25</v>
      </c>
      <c r="P4916" s="3" t="s">
        <v>3571</v>
      </c>
      <c r="Q4916" s="4"/>
      <c r="R4916" s="4"/>
      <c r="S4916" s="9" t="str">
        <f>HYPERLINK("https://pbs.twimg.com/profile_images/974545942090141696/nli9_hon.jpg","View")</f>
        <v>View</v>
      </c>
    </row>
    <row r="4917" spans="1:19" ht="20">
      <c r="A4917" s="8">
        <v>43340.883587962962</v>
      </c>
      <c r="B4917" s="11" t="str">
        <f>HYPERLINK("https://twitter.com/AntiEstebdad","@AntiEstebdad")</f>
        <v>@AntiEstebdad</v>
      </c>
      <c r="C4917" s="6" t="s">
        <v>3570</v>
      </c>
      <c r="D4917" s="5" t="s">
        <v>3569</v>
      </c>
      <c r="E4917" s="9" t="str">
        <f>HYPERLINK("https://twitter.com/AntiEstebdad/status/1034481326450196480","1034481326450196480")</f>
        <v>1034481326450196480</v>
      </c>
      <c r="F4917" s="4"/>
      <c r="G4917" s="4"/>
      <c r="H4917" s="4"/>
      <c r="I4917" s="10" t="str">
        <f>HYPERLINK("http://twitter.com/download/android","Twitter for Android")</f>
        <v>Twitter for Android</v>
      </c>
      <c r="J4917" s="2">
        <v>156</v>
      </c>
      <c r="K4917" s="2">
        <v>1201</v>
      </c>
      <c r="L4917" s="2">
        <v>0</v>
      </c>
      <c r="M4917" s="2"/>
      <c r="N4917" s="8">
        <v>40685.873391203706</v>
      </c>
      <c r="O4917" s="4"/>
      <c r="P4917" s="3" t="s">
        <v>3568</v>
      </c>
      <c r="Q4917" s="4"/>
      <c r="R4917" s="4"/>
      <c r="S4917" s="9" t="str">
        <f>HYPERLINK("https://pbs.twimg.com/profile_images/957614524957446144/8bXKIVyV.jpg","View")</f>
        <v>View</v>
      </c>
    </row>
    <row r="4918" spans="1:19" ht="20">
      <c r="A4918" s="8">
        <v>43340.88344907407</v>
      </c>
      <c r="B4918" s="11" t="str">
        <f>HYPERLINK("https://twitter.com/jey_land","@jey_land")</f>
        <v>@jey_land</v>
      </c>
      <c r="C4918" s="6" t="s">
        <v>3567</v>
      </c>
      <c r="D4918" s="5" t="s">
        <v>3566</v>
      </c>
      <c r="E4918" s="9" t="str">
        <f>HYPERLINK("https://twitter.com/jey_land/status/1034481274063400962","1034481274063400962")</f>
        <v>1034481274063400962</v>
      </c>
      <c r="F4918" s="4"/>
      <c r="G4918" s="4"/>
      <c r="H4918" s="4"/>
      <c r="I4918" s="10" t="str">
        <f>HYPERLINK("http://twitter.com/download/android","Twitter for Android")</f>
        <v>Twitter for Android</v>
      </c>
      <c r="J4918" s="2">
        <v>227</v>
      </c>
      <c r="K4918" s="2">
        <v>297</v>
      </c>
      <c r="L4918" s="2">
        <v>0</v>
      </c>
      <c r="M4918" s="2"/>
      <c r="N4918" s="8">
        <v>43236.299930555557</v>
      </c>
      <c r="O4918" s="4" t="s">
        <v>133</v>
      </c>
      <c r="P4918" s="3" t="s">
        <v>3565</v>
      </c>
      <c r="Q4918" s="4"/>
      <c r="R4918" s="4"/>
      <c r="S4918" s="9" t="str">
        <f>HYPERLINK("https://pbs.twimg.com/profile_images/1032936238414737408/h_dl45Dd.jpg","View")</f>
        <v>View</v>
      </c>
    </row>
    <row r="4919" spans="1:19" ht="40">
      <c r="A4919" s="8">
        <v>43340.883229166662</v>
      </c>
      <c r="B4919" s="11" t="str">
        <f>HYPERLINK("https://twitter.com/behnamgolestan1","@behnamgolestan1")</f>
        <v>@behnamgolestan1</v>
      </c>
      <c r="C4919" s="6" t="s">
        <v>3564</v>
      </c>
      <c r="D4919" s="5" t="s">
        <v>3563</v>
      </c>
      <c r="E4919" s="9" t="str">
        <f>HYPERLINK("https://twitter.com/behnamgolestan1/status/1034481196078649344","1034481196078649344")</f>
        <v>1034481196078649344</v>
      </c>
      <c r="F4919" s="4"/>
      <c r="G4919" s="4"/>
      <c r="H4919" s="4"/>
      <c r="I4919" s="10" t="str">
        <f>HYPERLINK("http://twitter.com/download/iphone","Twitter for iPhone")</f>
        <v>Twitter for iPhone</v>
      </c>
      <c r="J4919" s="2">
        <v>549</v>
      </c>
      <c r="K4919" s="2">
        <v>182</v>
      </c>
      <c r="L4919" s="2">
        <v>0</v>
      </c>
      <c r="M4919" s="2"/>
      <c r="N4919" s="8">
        <v>41354.137094907404</v>
      </c>
      <c r="O4919" s="4" t="s">
        <v>3562</v>
      </c>
      <c r="P4919" s="3" t="s">
        <v>3561</v>
      </c>
      <c r="Q4919" s="10" t="s">
        <v>3560</v>
      </c>
      <c r="R4919" s="4"/>
      <c r="S4919" s="9" t="str">
        <f>HYPERLINK("https://pbs.twimg.com/profile_images/978543605466976256/gHXLIT_6.jpg","View")</f>
        <v>View</v>
      </c>
    </row>
    <row r="4920" spans="1:19" ht="12.5">
      <c r="A4920" s="8">
        <v>43340.883136574077</v>
      </c>
      <c r="B4920" s="11" t="str">
        <f>HYPERLINK("https://twitter.com/HoseinAmeli","@HoseinAmeli")</f>
        <v>@HoseinAmeli</v>
      </c>
      <c r="C4920" s="6" t="s">
        <v>3559</v>
      </c>
      <c r="D4920" s="5" t="s">
        <v>3558</v>
      </c>
      <c r="E4920" s="9" t="str">
        <f>HYPERLINK("https://twitter.com/HoseinAmeli/status/1034481163686096899","1034481163686096899")</f>
        <v>1034481163686096899</v>
      </c>
      <c r="F4920" s="4"/>
      <c r="G4920" s="10" t="s">
        <v>3557</v>
      </c>
      <c r="H4920" s="4"/>
      <c r="I4920" s="10" t="str">
        <f>HYPERLINK("http://twitter.com/download/android","Twitter for Android")</f>
        <v>Twitter for Android</v>
      </c>
      <c r="J4920" s="2">
        <v>224</v>
      </c>
      <c r="K4920" s="2">
        <v>250</v>
      </c>
      <c r="L4920" s="2">
        <v>1</v>
      </c>
      <c r="M4920" s="2"/>
      <c r="N4920" s="8">
        <v>43105.478576388894</v>
      </c>
      <c r="O4920" s="4"/>
      <c r="P4920" s="3" t="s">
        <v>3556</v>
      </c>
      <c r="Q4920" s="4"/>
      <c r="R4920" s="4"/>
      <c r="S4920" s="9" t="str">
        <f>HYPERLINK("https://pbs.twimg.com/profile_images/949191297880895488/iHk4jHel.jpg","View")</f>
        <v>View</v>
      </c>
    </row>
    <row r="4921" spans="1:19" ht="40">
      <c r="A4921" s="8">
        <v>43340.88282407407</v>
      </c>
      <c r="B4921" s="11" t="str">
        <f>HYPERLINK("https://twitter.com/RafatiSiavash","@RafatiSiavash")</f>
        <v>@RafatiSiavash</v>
      </c>
      <c r="C4921" s="6" t="s">
        <v>3226</v>
      </c>
      <c r="D4921" s="5" t="s">
        <v>3555</v>
      </c>
      <c r="E4921" s="9" t="str">
        <f>HYPERLINK("https://twitter.com/RafatiSiavash/status/1034481048548253696","1034481048548253696")</f>
        <v>1034481048548253696</v>
      </c>
      <c r="F4921" s="4"/>
      <c r="G4921" s="4"/>
      <c r="H4921" s="4"/>
      <c r="I4921" s="10" t="str">
        <f>HYPERLINK("http://twitter.com","Twitter Web Client")</f>
        <v>Twitter Web Client</v>
      </c>
      <c r="J4921" s="2">
        <v>288</v>
      </c>
      <c r="K4921" s="2">
        <v>231</v>
      </c>
      <c r="L4921" s="2">
        <v>87</v>
      </c>
      <c r="M4921" s="2"/>
      <c r="N4921" s="8">
        <v>41050.769884259258</v>
      </c>
      <c r="O4921" s="4"/>
      <c r="P4921" s="3" t="s">
        <v>3223</v>
      </c>
      <c r="Q4921" s="10" t="s">
        <v>3222</v>
      </c>
      <c r="R4921" s="4"/>
      <c r="S4921" s="9" t="str">
        <f>HYPERLINK("https://pbs.twimg.com/profile_images/821385868690751488/Qqe0I1Bk.jpg","View")</f>
        <v>View</v>
      </c>
    </row>
    <row r="4922" spans="1:19" ht="12.5">
      <c r="A4922" s="8">
        <v>43340.882592592592</v>
      </c>
      <c r="B4922" s="11" t="str">
        <f>HYPERLINK("https://twitter.com/ardeshiramiri","@ardeshiramiri")</f>
        <v>@ardeshiramiri</v>
      </c>
      <c r="C4922" s="6" t="s">
        <v>3554</v>
      </c>
      <c r="D4922" s="5" t="s">
        <v>3553</v>
      </c>
      <c r="E4922" s="9" t="str">
        <f>HYPERLINK("https://twitter.com/ardeshiramiri/status/1034480965551370240","1034480965551370240")</f>
        <v>1034480965551370240</v>
      </c>
      <c r="F4922" s="4"/>
      <c r="G4922" s="4"/>
      <c r="H4922" s="4"/>
      <c r="I4922" s="10" t="str">
        <f>HYPERLINK("http://twitter.com/download/android","Twitter for Android")</f>
        <v>Twitter for Android</v>
      </c>
      <c r="J4922" s="2">
        <v>5648</v>
      </c>
      <c r="K4922" s="2">
        <v>26</v>
      </c>
      <c r="L4922" s="2">
        <v>27</v>
      </c>
      <c r="M4922" s="2"/>
      <c r="N4922" s="8">
        <v>42410.438009259262</v>
      </c>
      <c r="O4922" s="4" t="s">
        <v>3552</v>
      </c>
      <c r="P4922" s="3" t="s">
        <v>3551</v>
      </c>
      <c r="Q4922" s="4"/>
      <c r="R4922" s="4"/>
      <c r="S4922" s="9" t="str">
        <f>HYPERLINK("https://pbs.twimg.com/profile_images/799275337993650181/1Dganc4g.jpg","View")</f>
        <v>View</v>
      </c>
    </row>
    <row r="4923" spans="1:19" ht="30">
      <c r="A4923" s="8">
        <v>43340.88208333333</v>
      </c>
      <c r="B4923" s="11" t="str">
        <f>HYPERLINK("https://twitter.com/nejebbadi031","@nejebbadi031")</f>
        <v>@nejebbadi031</v>
      </c>
      <c r="C4923" s="6" t="s">
        <v>3550</v>
      </c>
      <c r="D4923" s="5" t="s">
        <v>3549</v>
      </c>
      <c r="E4923" s="9" t="str">
        <f>HYPERLINK("https://twitter.com/nejebbadi031/status/1034480780343496704","1034480780343496704")</f>
        <v>1034480780343496704</v>
      </c>
      <c r="F4923" s="4"/>
      <c r="G4923" s="4"/>
      <c r="H4923" s="4"/>
      <c r="I4923" s="10" t="str">
        <f>HYPERLINK("http://twitter.com/download/android","Twitter for Android")</f>
        <v>Twitter for Android</v>
      </c>
      <c r="J4923" s="2">
        <v>3816</v>
      </c>
      <c r="K4923" s="2">
        <v>1488</v>
      </c>
      <c r="L4923" s="2">
        <v>14</v>
      </c>
      <c r="M4923" s="2"/>
      <c r="N4923" s="8">
        <v>43053.441701388889</v>
      </c>
      <c r="O4923" s="4" t="s">
        <v>34</v>
      </c>
      <c r="P4923" s="3" t="s">
        <v>3548</v>
      </c>
      <c r="Q4923" s="4"/>
      <c r="R4923" s="4"/>
      <c r="S4923" s="9" t="str">
        <f>HYPERLINK("https://pbs.twimg.com/profile_images/1007369853768994817/cT7kIW2C.jpg","View")</f>
        <v>View</v>
      </c>
    </row>
    <row r="4924" spans="1:19" ht="30">
      <c r="A4924" s="8">
        <v>43340.881898148145</v>
      </c>
      <c r="B4924" s="11" t="str">
        <f>HYPERLINK("https://twitter.com/matteojalil","@matteojalil")</f>
        <v>@matteojalil</v>
      </c>
      <c r="C4924" s="6" t="s">
        <v>3547</v>
      </c>
      <c r="D4924" s="5" t="s">
        <v>3546</v>
      </c>
      <c r="E4924" s="9" t="str">
        <f>HYPERLINK("https://twitter.com/matteojalil/status/1034480711753973762","1034480711753973762")</f>
        <v>1034480711753973762</v>
      </c>
      <c r="F4924" s="4"/>
      <c r="G4924" s="4"/>
      <c r="H4924" s="4"/>
      <c r="I4924" s="10" t="str">
        <f>HYPERLINK("http://twitter.com/download/android","Twitter for Android")</f>
        <v>Twitter for Android</v>
      </c>
      <c r="J4924" s="2">
        <v>186</v>
      </c>
      <c r="K4924" s="2">
        <v>382</v>
      </c>
      <c r="L4924" s="2">
        <v>0</v>
      </c>
      <c r="M4924" s="2"/>
      <c r="N4924" s="8">
        <v>43150.994374999995</v>
      </c>
      <c r="O4924" s="4" t="s">
        <v>1363</v>
      </c>
      <c r="P4924" s="3" t="s">
        <v>3545</v>
      </c>
      <c r="Q4924" s="4"/>
      <c r="R4924" s="4"/>
      <c r="S4924" s="9" t="str">
        <f>HYPERLINK("https://pbs.twimg.com/profile_images/1014778943671623680/U-f7TU3U.jpg","View")</f>
        <v>View</v>
      </c>
    </row>
    <row r="4925" spans="1:19" ht="20">
      <c r="A4925" s="8">
        <v>43340.881678240738</v>
      </c>
      <c r="B4925" s="11" t="str">
        <f>HYPERLINK("https://twitter.com/kbehboodi","@kbehboodi")</f>
        <v>@kbehboodi</v>
      </c>
      <c r="C4925" s="6" t="s">
        <v>3544</v>
      </c>
      <c r="D4925" s="5" t="s">
        <v>3543</v>
      </c>
      <c r="E4925" s="9" t="str">
        <f>HYPERLINK("https://twitter.com/kbehboodi/status/1034480634121601026","1034480634121601026")</f>
        <v>1034480634121601026</v>
      </c>
      <c r="F4925" s="4"/>
      <c r="G4925" s="4"/>
      <c r="H4925" s="4"/>
      <c r="I4925" s="10" t="str">
        <f>HYPERLINK("http://twitter.com/download/iphone","Twitter for iPhone")</f>
        <v>Twitter for iPhone</v>
      </c>
      <c r="J4925" s="2">
        <v>13</v>
      </c>
      <c r="K4925" s="2">
        <v>21</v>
      </c>
      <c r="L4925" s="2">
        <v>0</v>
      </c>
      <c r="M4925" s="2"/>
      <c r="N4925" s="8">
        <v>41931.043437500004</v>
      </c>
      <c r="O4925" s="4" t="s">
        <v>133</v>
      </c>
      <c r="P4925" s="3"/>
      <c r="Q4925" s="4"/>
      <c r="R4925" s="4"/>
      <c r="S4925" s="9" t="str">
        <f>HYPERLINK("https://pbs.twimg.com/profile_images/733690953165332480/FRMZ5Tzt.jpg","View")</f>
        <v>View</v>
      </c>
    </row>
    <row r="4926" spans="1:19" ht="30">
      <c r="A4926" s="8">
        <v>43340.881493055553</v>
      </c>
      <c r="B4926" s="11" t="str">
        <f>HYPERLINK("https://twitter.com/rh_heydari","@rh_heydari")</f>
        <v>@rh_heydari</v>
      </c>
      <c r="C4926" s="6" t="s">
        <v>3542</v>
      </c>
      <c r="D4926" s="5" t="s">
        <v>3541</v>
      </c>
      <c r="E4926" s="9" t="str">
        <f>HYPERLINK("https://twitter.com/rh_heydari/status/1034480565276368898","1034480565276368898")</f>
        <v>1034480565276368898</v>
      </c>
      <c r="F4926" s="4"/>
      <c r="G4926" s="4"/>
      <c r="H4926" s="4"/>
      <c r="I4926" s="10" t="str">
        <f>HYPERLINK("http://twitter.com/download/android","Twitter for Android")</f>
        <v>Twitter for Android</v>
      </c>
      <c r="J4926" s="2">
        <v>2457</v>
      </c>
      <c r="K4926" s="2">
        <v>1184</v>
      </c>
      <c r="L4926" s="2">
        <v>7</v>
      </c>
      <c r="M4926" s="2"/>
      <c r="N4926" s="8">
        <v>40769.117025462961</v>
      </c>
      <c r="O4926" s="4" t="s">
        <v>17</v>
      </c>
      <c r="P4926" s="3" t="s">
        <v>3540</v>
      </c>
      <c r="Q4926" s="4"/>
      <c r="R4926" s="4"/>
      <c r="S4926" s="9" t="str">
        <f>HYPERLINK("https://pbs.twimg.com/profile_images/1033955050127810562/CVeHiY5X.jpg","View")</f>
        <v>View</v>
      </c>
    </row>
    <row r="4927" spans="1:19" ht="40">
      <c r="A4927" s="8">
        <v>43340.881111111114</v>
      </c>
      <c r="B4927" s="11" t="str">
        <f>HYPERLINK("https://twitter.com/zoljenan","@zoljenan")</f>
        <v>@zoljenan</v>
      </c>
      <c r="C4927" s="6" t="s">
        <v>1133</v>
      </c>
      <c r="D4927" s="5" t="s">
        <v>3539</v>
      </c>
      <c r="E4927" s="9" t="str">
        <f>HYPERLINK("https://twitter.com/zoljenan/status/1034480426688110592","1034480426688110592")</f>
        <v>1034480426688110592</v>
      </c>
      <c r="F4927" s="4"/>
      <c r="G4927" s="4"/>
      <c r="H4927" s="4"/>
      <c r="I4927" s="10" t="str">
        <f>HYPERLINK("http://twitter.com","Twitter Web Client")</f>
        <v>Twitter Web Client</v>
      </c>
      <c r="J4927" s="2">
        <v>1135</v>
      </c>
      <c r="K4927" s="2">
        <v>1981</v>
      </c>
      <c r="L4927" s="2">
        <v>1</v>
      </c>
      <c r="M4927" s="2"/>
      <c r="N4927" s="8">
        <v>42967.879629629635</v>
      </c>
      <c r="O4927" s="4" t="s">
        <v>34</v>
      </c>
      <c r="P4927" s="3" t="s">
        <v>1131</v>
      </c>
      <c r="Q4927" s="10" t="s">
        <v>1130</v>
      </c>
      <c r="R4927" s="4"/>
      <c r="S4927" s="9" t="str">
        <f>HYPERLINK("https://pbs.twimg.com/profile_images/998224455548612608/hWM4fqeu.jpg","View")</f>
        <v>View</v>
      </c>
    </row>
    <row r="4928" spans="1:19" ht="20">
      <c r="A4928" s="8">
        <v>43340.880868055552</v>
      </c>
      <c r="B4928" s="11" t="str">
        <f>HYPERLINK("https://twitter.com/m_sajedi","@m_sajedi")</f>
        <v>@m_sajedi</v>
      </c>
      <c r="C4928" s="6" t="s">
        <v>3538</v>
      </c>
      <c r="D4928" s="5" t="s">
        <v>3537</v>
      </c>
      <c r="E4928" s="9" t="str">
        <f>HYPERLINK("https://twitter.com/m_sajedi/status/1034480341145329664","1034480341145329664")</f>
        <v>1034480341145329664</v>
      </c>
      <c r="F4928" s="4"/>
      <c r="G4928" s="4"/>
      <c r="H4928" s="4"/>
      <c r="I4928" s="10" t="str">
        <f>HYPERLINK("http://twitter.com/download/android","Twitter for Android")</f>
        <v>Twitter for Android</v>
      </c>
      <c r="J4928" s="2">
        <v>2927</v>
      </c>
      <c r="K4928" s="2">
        <v>523</v>
      </c>
      <c r="L4928" s="2">
        <v>13</v>
      </c>
      <c r="M4928" s="2"/>
      <c r="N4928" s="8">
        <v>42778.858993055561</v>
      </c>
      <c r="O4928" s="4" t="s">
        <v>17</v>
      </c>
      <c r="P4928" s="3" t="s">
        <v>3536</v>
      </c>
      <c r="Q4928" s="4"/>
      <c r="R4928" s="4"/>
      <c r="S4928" s="9" t="str">
        <f>HYPERLINK("https://pbs.twimg.com/profile_images/984132156275544064/LYf6HIxA.jpg","View")</f>
        <v>View</v>
      </c>
    </row>
    <row r="4929" spans="1:19" ht="40">
      <c r="A4929" s="8">
        <v>43340.880625000005</v>
      </c>
      <c r="B4929" s="11" t="str">
        <f>HYPERLINK("https://twitter.com/masoudnikzadi","@masoudnikzadi")</f>
        <v>@masoudnikzadi</v>
      </c>
      <c r="C4929" s="6" t="s">
        <v>407</v>
      </c>
      <c r="D4929" s="5" t="s">
        <v>3535</v>
      </c>
      <c r="E4929" s="9" t="str">
        <f>HYPERLINK("https://twitter.com/masoudnikzadi/status/1034480253895364609","1034480253895364609")</f>
        <v>1034480253895364609</v>
      </c>
      <c r="F4929" s="4"/>
      <c r="G4929" s="4"/>
      <c r="H4929" s="4"/>
      <c r="I4929" s="10" t="str">
        <f>HYPERLINK("http://twitter.com/download/android","Twitter for Android")</f>
        <v>Twitter for Android</v>
      </c>
      <c r="J4929" s="2">
        <v>62</v>
      </c>
      <c r="K4929" s="2">
        <v>324</v>
      </c>
      <c r="L4929" s="2">
        <v>0</v>
      </c>
      <c r="M4929" s="2"/>
      <c r="N4929" s="8">
        <v>41031.658449074072</v>
      </c>
      <c r="O4929" s="4"/>
      <c r="P4929" s="3"/>
      <c r="Q4929" s="4"/>
      <c r="R4929" s="4"/>
      <c r="S4929" s="9" t="str">
        <f>HYPERLINK("https://pbs.twimg.com/profile_images/2226660529/IMG_2687.JPG","View")</f>
        <v>View</v>
      </c>
    </row>
    <row r="4930" spans="1:19" ht="20">
      <c r="A4930" s="8">
        <v>43340.880046296297</v>
      </c>
      <c r="B4930" s="11" t="str">
        <f>HYPERLINK("https://twitter.com/arash_sobhani","@arash_sobhani")</f>
        <v>@arash_sobhani</v>
      </c>
      <c r="C4930" s="6" t="s">
        <v>3534</v>
      </c>
      <c r="D4930" s="5" t="s">
        <v>3533</v>
      </c>
      <c r="E4930" s="9" t="str">
        <f>HYPERLINK("https://twitter.com/arash_sobhani/status/1034480044096143360","1034480044096143360")</f>
        <v>1034480044096143360</v>
      </c>
      <c r="F4930" s="4"/>
      <c r="G4930" s="4"/>
      <c r="H4930" s="4"/>
      <c r="I4930" s="10" t="str">
        <f>HYPERLINK("http://twitter.com/download/android","Twitter for Android")</f>
        <v>Twitter for Android</v>
      </c>
      <c r="J4930" s="2">
        <v>45788</v>
      </c>
      <c r="K4930" s="2">
        <v>1839</v>
      </c>
      <c r="L4930" s="2">
        <v>136</v>
      </c>
      <c r="M4930" s="2" t="s">
        <v>80</v>
      </c>
      <c r="N4930" s="8">
        <v>40885.965300925927</v>
      </c>
      <c r="O4930" s="4" t="s">
        <v>3532</v>
      </c>
      <c r="P4930" s="3" t="s">
        <v>3531</v>
      </c>
      <c r="Q4930" s="10" t="s">
        <v>3530</v>
      </c>
      <c r="R4930" s="4"/>
      <c r="S4930" s="9" t="str">
        <f>HYPERLINK("https://pbs.twimg.com/profile_images/1028025574059429888/EmmFBjFp.jpg","View")</f>
        <v>View</v>
      </c>
    </row>
    <row r="4931" spans="1:19" ht="40">
      <c r="A4931" s="8">
        <v>43340.879293981481</v>
      </c>
      <c r="B4931" s="11" t="str">
        <f>HYPERLINK("https://twitter.com/mh_nastaran","@mh_nastaran")</f>
        <v>@mh_nastaran</v>
      </c>
      <c r="C4931" s="6" t="s">
        <v>3529</v>
      </c>
      <c r="D4931" s="5" t="s">
        <v>3528</v>
      </c>
      <c r="E4931" s="9" t="str">
        <f>HYPERLINK("https://twitter.com/mh_nastaran/status/1034479768996073472","1034479768996073472")</f>
        <v>1034479768996073472</v>
      </c>
      <c r="F4931" s="4"/>
      <c r="G4931" s="4"/>
      <c r="H4931" s="4"/>
      <c r="I4931" s="10" t="str">
        <f>HYPERLINK("http://twitter.com/download/iphone","Twitter for iPhone")</f>
        <v>Twitter for iPhone</v>
      </c>
      <c r="J4931" s="2">
        <v>84</v>
      </c>
      <c r="K4931" s="2">
        <v>91</v>
      </c>
      <c r="L4931" s="2">
        <v>0</v>
      </c>
      <c r="M4931" s="2"/>
      <c r="N4931" s="8">
        <v>43035.528900462959</v>
      </c>
      <c r="O4931" s="4"/>
      <c r="P4931" s="3" t="s">
        <v>3527</v>
      </c>
      <c r="Q4931" s="4"/>
      <c r="R4931" s="4"/>
      <c r="S4931" s="9" t="str">
        <f>HYPERLINK("https://pbs.twimg.com/profile_images/924391507821518851/ssojlBzL.jpg","View")</f>
        <v>View</v>
      </c>
    </row>
    <row r="4932" spans="1:19" ht="12.5">
      <c r="A4932" s="8">
        <v>43340.879236111112</v>
      </c>
      <c r="B4932" s="11" t="str">
        <f>HYPERLINK("https://twitter.com/asmayegharib","@asmayegharib")</f>
        <v>@asmayegharib</v>
      </c>
      <c r="C4932" s="6" t="s">
        <v>3526</v>
      </c>
      <c r="D4932" s="5" t="s">
        <v>3525</v>
      </c>
      <c r="E4932" s="9" t="str">
        <f>HYPERLINK("https://twitter.com/asmayegharib/status/1034479747416436744","1034479747416436744")</f>
        <v>1034479747416436744</v>
      </c>
      <c r="F4932" s="10" t="s">
        <v>3524</v>
      </c>
      <c r="G4932" s="4"/>
      <c r="H4932" s="4"/>
      <c r="I4932" s="10" t="str">
        <f>HYPERLINK("http://twitter.com/download/android","Twitter for Android")</f>
        <v>Twitter for Android</v>
      </c>
      <c r="J4932" s="2">
        <v>775</v>
      </c>
      <c r="K4932" s="2">
        <v>637</v>
      </c>
      <c r="L4932" s="2">
        <v>1</v>
      </c>
      <c r="M4932" s="2"/>
      <c r="N4932" s="8">
        <v>43291.017094907409</v>
      </c>
      <c r="O4932" s="4" t="s">
        <v>3523</v>
      </c>
      <c r="P4932" s="3" t="s">
        <v>3522</v>
      </c>
      <c r="Q4932" s="4"/>
      <c r="R4932" s="4"/>
      <c r="S4932" s="9" t="str">
        <f>HYPERLINK("https://pbs.twimg.com/profile_images/1034207644683264000/eSXW1kDY.jpg","View")</f>
        <v>View</v>
      </c>
    </row>
    <row r="4933" spans="1:19" ht="40">
      <c r="A4933" s="8">
        <v>43340.879178240742</v>
      </c>
      <c r="B4933" s="11" t="str">
        <f>HYPERLINK("https://twitter.com/m_amin_rezai","@m_amin_rezai")</f>
        <v>@m_amin_rezai</v>
      </c>
      <c r="C4933" s="6" t="s">
        <v>3521</v>
      </c>
      <c r="D4933" s="5" t="s">
        <v>3520</v>
      </c>
      <c r="E4933" s="9" t="str">
        <f>HYPERLINK("https://twitter.com/m_amin_rezai/status/1034479726352576513","1034479726352576513")</f>
        <v>1034479726352576513</v>
      </c>
      <c r="F4933" s="4"/>
      <c r="G4933" s="4"/>
      <c r="H4933" s="4"/>
      <c r="I4933" s="10" t="str">
        <f>HYPERLINK("http://twitter.com","Twitter Web Client")</f>
        <v>Twitter Web Client</v>
      </c>
      <c r="J4933" s="2">
        <v>2070</v>
      </c>
      <c r="K4933" s="2">
        <v>1846</v>
      </c>
      <c r="L4933" s="2">
        <v>8</v>
      </c>
      <c r="M4933" s="2"/>
      <c r="N4933" s="8">
        <v>42941.435937499999</v>
      </c>
      <c r="O4933" s="4" t="s">
        <v>17</v>
      </c>
      <c r="P4933" s="3" t="s">
        <v>3519</v>
      </c>
      <c r="Q4933" s="4"/>
      <c r="R4933" s="4"/>
      <c r="S4933" s="9" t="str">
        <f>HYPERLINK("https://pbs.twimg.com/profile_images/889734361637158912/PPCcZuAD.jpg","View")</f>
        <v>View</v>
      </c>
    </row>
    <row r="4934" spans="1:19" ht="20">
      <c r="A4934" s="8">
        <v>43340.87871527778</v>
      </c>
      <c r="B4934" s="11" t="str">
        <f>HYPERLINK("https://twitter.com/Cj75lCtSzyfsulD","@Cj75lCtSzyfsulD")</f>
        <v>@Cj75lCtSzyfsulD</v>
      </c>
      <c r="C4934" s="6" t="s">
        <v>3518</v>
      </c>
      <c r="D4934" s="5" t="s">
        <v>3517</v>
      </c>
      <c r="E4934" s="9" t="str">
        <f>HYPERLINK("https://twitter.com/Cj75lCtSzyfsulD/status/1034479558735609856","1034479558735609856")</f>
        <v>1034479558735609856</v>
      </c>
      <c r="F4934" s="4"/>
      <c r="G4934" s="4"/>
      <c r="H4934" s="4"/>
      <c r="I4934" s="10" t="str">
        <f>HYPERLINK("http://twitter.com/download/android","Twitter for Android")</f>
        <v>Twitter for Android</v>
      </c>
      <c r="J4934" s="2">
        <v>20</v>
      </c>
      <c r="K4934" s="2">
        <v>54</v>
      </c>
      <c r="L4934" s="2">
        <v>0</v>
      </c>
      <c r="M4934" s="2"/>
      <c r="N4934" s="8">
        <v>43322.916342592594</v>
      </c>
      <c r="O4934" s="4"/>
      <c r="P4934" s="3"/>
      <c r="Q4934" s="4"/>
      <c r="R4934" s="4"/>
      <c r="S4934" s="9" t="str">
        <f>HYPERLINK("https://pbs.twimg.com/profile_images/1030886766339739649/fuQEMbU_.jpg","View")</f>
        <v>View</v>
      </c>
    </row>
    <row r="4935" spans="1:19" ht="20">
      <c r="A4935" s="8">
        <v>43340.878657407404</v>
      </c>
      <c r="B4935" s="11" t="str">
        <f>HYPERLINK("https://twitter.com/Abdullahhag1","@Abdullahhag1")</f>
        <v>@Abdullahhag1</v>
      </c>
      <c r="C4935" s="6" t="s">
        <v>3371</v>
      </c>
      <c r="D4935" s="5" t="s">
        <v>3516</v>
      </c>
      <c r="E4935" s="9" t="str">
        <f>HYPERLINK("https://twitter.com/Abdullahhag1/status/1034479538108084227","1034479538108084227")</f>
        <v>1034479538108084227</v>
      </c>
      <c r="F4935" s="4"/>
      <c r="G4935" s="4"/>
      <c r="H4935" s="4"/>
      <c r="I4935" s="10" t="str">
        <f>HYPERLINK("http://twitter.com/download/android","Twitter for Android")</f>
        <v>Twitter for Android</v>
      </c>
      <c r="J4935" s="2">
        <v>993</v>
      </c>
      <c r="K4935" s="2">
        <v>281</v>
      </c>
      <c r="L4935" s="2">
        <v>0</v>
      </c>
      <c r="M4935" s="2"/>
      <c r="N4935" s="8">
        <v>42962.819444444445</v>
      </c>
      <c r="O4935" s="4" t="s">
        <v>17</v>
      </c>
      <c r="P4935" s="3" t="s">
        <v>3369</v>
      </c>
      <c r="Q4935" s="4"/>
      <c r="R4935" s="4"/>
      <c r="S4935" s="9" t="str">
        <f>HYPERLINK("https://pbs.twimg.com/profile_images/1034005517977436161/V0vvoWiv.jpg","View")</f>
        <v>View</v>
      </c>
    </row>
    <row r="4936" spans="1:19" ht="40">
      <c r="A4936" s="8">
        <v>43340.878275462965</v>
      </c>
      <c r="B4936" s="11" t="str">
        <f>HYPERLINK("https://twitter.com/Advent_is_near","@Advent_is_near")</f>
        <v>@Advent_is_near</v>
      </c>
      <c r="C4936" s="6" t="s">
        <v>3515</v>
      </c>
      <c r="D4936" s="5" t="s">
        <v>3514</v>
      </c>
      <c r="E4936" s="9" t="str">
        <f>HYPERLINK("https://twitter.com/Advent_is_near/status/1034479401050796032","1034479401050796032")</f>
        <v>1034479401050796032</v>
      </c>
      <c r="F4936" s="4"/>
      <c r="G4936" s="10" t="s">
        <v>3513</v>
      </c>
      <c r="H4936" s="4"/>
      <c r="I4936" s="10" t="str">
        <f>HYPERLINK("http://twitter.com/download/android","Twitter for Android")</f>
        <v>Twitter for Android</v>
      </c>
      <c r="J4936" s="2">
        <v>1010</v>
      </c>
      <c r="K4936" s="2">
        <v>1722</v>
      </c>
      <c r="L4936" s="2">
        <v>2</v>
      </c>
      <c r="M4936" s="2"/>
      <c r="N4936" s="8">
        <v>43126.040844907402</v>
      </c>
      <c r="O4936" s="4"/>
      <c r="P4936" s="3" t="s">
        <v>3512</v>
      </c>
      <c r="Q4936" s="4"/>
      <c r="R4936" s="4"/>
      <c r="S4936" s="9" t="str">
        <f>HYPERLINK("https://pbs.twimg.com/profile_images/957019237628903424/w-N0bEIh.jpg","View")</f>
        <v>View</v>
      </c>
    </row>
    <row r="4937" spans="1:19" ht="40">
      <c r="A4937" s="8">
        <v>43340.878182870365</v>
      </c>
      <c r="B4937" s="11" t="str">
        <f>HYPERLINK("https://twitter.com/yjcagency","@yjcagency")</f>
        <v>@yjcagency</v>
      </c>
      <c r="C4937" s="6" t="s">
        <v>3511</v>
      </c>
      <c r="D4937" s="5" t="s">
        <v>3510</v>
      </c>
      <c r="E4937" s="9" t="str">
        <f>HYPERLINK("https://twitter.com/yjcagency/status/1034479368503021575","1034479368503021575")</f>
        <v>1034479368503021575</v>
      </c>
      <c r="F4937" s="4"/>
      <c r="G4937" s="10" t="s">
        <v>3509</v>
      </c>
      <c r="H4937" s="4"/>
      <c r="I4937" s="10" t="str">
        <f>HYPERLINK("http://twitter.com/download/android","Twitter for Android")</f>
        <v>Twitter for Android</v>
      </c>
      <c r="J4937" s="2">
        <v>10724</v>
      </c>
      <c r="K4937" s="2">
        <v>3</v>
      </c>
      <c r="L4937" s="2">
        <v>55</v>
      </c>
      <c r="M4937" s="2"/>
      <c r="N4937" s="8">
        <v>42691.645821759259</v>
      </c>
      <c r="O4937" s="4" t="s">
        <v>3508</v>
      </c>
      <c r="P4937" s="3" t="s">
        <v>3507</v>
      </c>
      <c r="Q4937" s="10" t="s">
        <v>3506</v>
      </c>
      <c r="R4937" s="4"/>
      <c r="S4937" s="9" t="str">
        <f>HYPERLINK("https://pbs.twimg.com/profile_images/1016530264250568704/lVYN9g8h.jpg","View")</f>
        <v>View</v>
      </c>
    </row>
    <row r="4938" spans="1:19" ht="30">
      <c r="A4938" s="8">
        <v>43340.878136574072</v>
      </c>
      <c r="B4938" s="11" t="str">
        <f>HYPERLINK("https://twitter.com/hawj_amir","@hawj_amir")</f>
        <v>@hawj_amir</v>
      </c>
      <c r="C4938" s="6" t="s">
        <v>3505</v>
      </c>
      <c r="D4938" s="5" t="s">
        <v>3504</v>
      </c>
      <c r="E4938" s="9" t="str">
        <f>HYPERLINK("https://twitter.com/hawj_amir/status/1034479348739387393","1034479348739387393")</f>
        <v>1034479348739387393</v>
      </c>
      <c r="F4938" s="4"/>
      <c r="G4938" s="4"/>
      <c r="H4938" s="4"/>
      <c r="I4938" s="10" t="str">
        <f>HYPERLINK("http://twitter.com","Twitter Web Client")</f>
        <v>Twitter Web Client</v>
      </c>
      <c r="J4938" s="2">
        <v>140</v>
      </c>
      <c r="K4938" s="2">
        <v>257</v>
      </c>
      <c r="L4938" s="2">
        <v>1</v>
      </c>
      <c r="M4938" s="2"/>
      <c r="N4938" s="8">
        <v>43304.00371527778</v>
      </c>
      <c r="O4938" s="4" t="s">
        <v>3503</v>
      </c>
      <c r="P4938" s="3" t="s">
        <v>3502</v>
      </c>
      <c r="Q4938" s="4"/>
      <c r="R4938" s="4"/>
      <c r="S4938" s="9" t="str">
        <f>HYPERLINK("https://pbs.twimg.com/profile_images/1021118342495723521/C-iu7me0.jpg","View")</f>
        <v>View</v>
      </c>
    </row>
    <row r="4939" spans="1:19" ht="40">
      <c r="A4939" s="8">
        <v>43340.877175925925</v>
      </c>
      <c r="B4939" s="11" t="str">
        <f>HYPERLINK("https://twitter.com/Badamchi_Media","@Badamchi_Media")</f>
        <v>@Badamchi_Media</v>
      </c>
      <c r="C4939" s="6" t="s">
        <v>3501</v>
      </c>
      <c r="D4939" s="5" t="s">
        <v>3500</v>
      </c>
      <c r="E4939" s="9" t="str">
        <f>HYPERLINK("https://twitter.com/Badamchi_Media/status/1034479004001165313","1034479004001165313")</f>
        <v>1034479004001165313</v>
      </c>
      <c r="F4939" s="4"/>
      <c r="G4939" s="4"/>
      <c r="H4939" s="4"/>
      <c r="I4939" s="10" t="str">
        <f>HYPERLINK("http://twitter.com/download/android","Twitter for Android")</f>
        <v>Twitter for Android</v>
      </c>
      <c r="J4939" s="2">
        <v>10014</v>
      </c>
      <c r="K4939" s="2">
        <v>2627</v>
      </c>
      <c r="L4939" s="2">
        <v>45</v>
      </c>
      <c r="M4939" s="2"/>
      <c r="N4939" s="8">
        <v>42664.853738425925</v>
      </c>
      <c r="O4939" s="4" t="s">
        <v>104</v>
      </c>
      <c r="P4939" s="3" t="s">
        <v>3499</v>
      </c>
      <c r="Q4939" s="4"/>
      <c r="R4939" s="4"/>
      <c r="S4939" s="9" t="str">
        <f>HYPERLINK("https://pbs.twimg.com/profile_images/943065434428932096/IqrKpcdq.jpg","View")</f>
        <v>View</v>
      </c>
    </row>
    <row r="4940" spans="1:19" ht="12.5">
      <c r="A4940" s="8">
        <v>43340.877175925925</v>
      </c>
      <c r="B4940" s="11" t="str">
        <f>HYPERLINK("https://twitter.com/monavvaralfekr","@monavvaralfekr")</f>
        <v>@monavvaralfekr</v>
      </c>
      <c r="C4940" s="6" t="s">
        <v>3498</v>
      </c>
      <c r="D4940" s="5" t="s">
        <v>3497</v>
      </c>
      <c r="E4940" s="9" t="str">
        <f>HYPERLINK("https://twitter.com/monavvaralfekr/status/1034479001073528832","1034479001073528832")</f>
        <v>1034479001073528832</v>
      </c>
      <c r="F4940" s="4"/>
      <c r="G4940" s="4"/>
      <c r="H4940" s="4"/>
      <c r="I4940" s="10" t="str">
        <f>HYPERLINK("http://twitter.com/download/android","Twitter for Android")</f>
        <v>Twitter for Android</v>
      </c>
      <c r="J4940" s="2">
        <v>158</v>
      </c>
      <c r="K4940" s="2">
        <v>399</v>
      </c>
      <c r="L4940" s="2">
        <v>1</v>
      </c>
      <c r="M4940" s="2"/>
      <c r="N4940" s="8">
        <v>43205.744166666671</v>
      </c>
      <c r="O4940" s="4"/>
      <c r="P4940" s="3"/>
      <c r="Q4940" s="4"/>
      <c r="R4940" s="4"/>
      <c r="S4940" s="9" t="str">
        <f>HYPERLINK("https://pbs.twimg.com/profile_images/1025839516173697024/lMf5IPKb.jpg","View")</f>
        <v>View</v>
      </c>
    </row>
    <row r="4941" spans="1:19" ht="20">
      <c r="A4941" s="8">
        <v>43340.87700231481</v>
      </c>
      <c r="B4941" s="11" t="str">
        <f>HYPERLINK("https://twitter.com/golbafan","@golbafan")</f>
        <v>@golbafan</v>
      </c>
      <c r="C4941" s="6" t="s">
        <v>3496</v>
      </c>
      <c r="D4941" s="5" t="s">
        <v>3495</v>
      </c>
      <c r="E4941" s="9" t="str">
        <f>HYPERLINK("https://twitter.com/golbafan/status/1034478938863624192","1034478938863624192")</f>
        <v>1034478938863624192</v>
      </c>
      <c r="F4941" s="4"/>
      <c r="G4941" s="4"/>
      <c r="H4941" s="4"/>
      <c r="I4941" s="10" t="str">
        <f>HYPERLINK("http://twitter.com/download/iphone","Twitter for iPhone")</f>
        <v>Twitter for iPhone</v>
      </c>
      <c r="J4941" s="2">
        <v>639</v>
      </c>
      <c r="K4941" s="2">
        <v>456</v>
      </c>
      <c r="L4941" s="2">
        <v>2</v>
      </c>
      <c r="M4941" s="2"/>
      <c r="N4941" s="8">
        <v>42854.359467592592</v>
      </c>
      <c r="O4941" s="4" t="s">
        <v>17</v>
      </c>
      <c r="P4941" s="3" t="s">
        <v>3494</v>
      </c>
      <c r="Q4941" s="4"/>
      <c r="R4941" s="4"/>
      <c r="S4941" s="9" t="str">
        <f>HYPERLINK("https://pbs.twimg.com/profile_images/1028613176429035522/lDjQdIGB.jpg","View")</f>
        <v>View</v>
      </c>
    </row>
    <row r="4942" spans="1:19" ht="50">
      <c r="A4942" s="8">
        <v>43340.876574074078</v>
      </c>
      <c r="B4942" s="11" t="str">
        <f>HYPERLINK("https://twitter.com/pouriarefakar","@pouriarefakar")</f>
        <v>@pouriarefakar</v>
      </c>
      <c r="C4942" s="6" t="s">
        <v>3493</v>
      </c>
      <c r="D4942" s="5" t="s">
        <v>3492</v>
      </c>
      <c r="E4942" s="9" t="str">
        <f>HYPERLINK("https://twitter.com/pouriarefakar/status/1034478784701976577","1034478784701976577")</f>
        <v>1034478784701976577</v>
      </c>
      <c r="F4942" s="10" t="s">
        <v>3491</v>
      </c>
      <c r="G4942" s="4"/>
      <c r="H4942" s="4"/>
      <c r="I4942" s="10" t="str">
        <f>HYPERLINK("http://twitter.com/download/android","Twitter for Android")</f>
        <v>Twitter for Android</v>
      </c>
      <c r="J4942" s="2">
        <v>88</v>
      </c>
      <c r="K4942" s="2">
        <v>69</v>
      </c>
      <c r="L4942" s="2">
        <v>0</v>
      </c>
      <c r="M4942" s="2"/>
      <c r="N4942" s="8">
        <v>43175.913402777776</v>
      </c>
      <c r="O4942" s="4" t="s">
        <v>3490</v>
      </c>
      <c r="P4942" s="3" t="s">
        <v>3489</v>
      </c>
      <c r="Q4942" s="4"/>
      <c r="R4942" s="4"/>
      <c r="S4942" s="9" t="str">
        <f>HYPERLINK("https://pbs.twimg.com/profile_images/1030757368014012416/0sPfUSAB.jpg","View")</f>
        <v>View</v>
      </c>
    </row>
    <row r="4943" spans="1:19" ht="20">
      <c r="A4943" s="8">
        <v>43340.876446759255</v>
      </c>
      <c r="B4943" s="11" t="str">
        <f>HYPERLINK("https://twitter.com/Azarnooshmoham2","@Azarnooshmoham2")</f>
        <v>@Azarnooshmoham2</v>
      </c>
      <c r="C4943" s="6" t="s">
        <v>3488</v>
      </c>
      <c r="D4943" s="5" t="s">
        <v>3487</v>
      </c>
      <c r="E4943" s="9" t="str">
        <f>HYPERLINK("https://twitter.com/Azarnooshmoham2/status/1034478737239228416","1034478737239228416")</f>
        <v>1034478737239228416</v>
      </c>
      <c r="F4943" s="4"/>
      <c r="G4943" s="4"/>
      <c r="H4943" s="4"/>
      <c r="I4943" s="10" t="str">
        <f>HYPERLINK("http://twitter.com/download/android","Twitter for Android")</f>
        <v>Twitter for Android</v>
      </c>
      <c r="J4943" s="2">
        <v>1452</v>
      </c>
      <c r="K4943" s="2">
        <v>910</v>
      </c>
      <c r="L4943" s="2">
        <v>7</v>
      </c>
      <c r="M4943" s="2"/>
      <c r="N4943" s="8">
        <v>42881.567476851851</v>
      </c>
      <c r="O4943" s="4"/>
      <c r="P4943" s="3"/>
      <c r="Q4943" s="4"/>
      <c r="R4943" s="4"/>
      <c r="S4943" s="9" t="str">
        <f>HYPERLINK("https://pbs.twimg.com/profile_images/1033778515068563456/XtjRLdZY.jpg","View")</f>
        <v>View</v>
      </c>
    </row>
    <row r="4944" spans="1:19" ht="20">
      <c r="A4944" s="8">
        <v>43340.876180555555</v>
      </c>
      <c r="B4944" s="11" t="str">
        <f>HYPERLINK("https://twitter.com/upsetfish","@upsetfish")</f>
        <v>@upsetfish</v>
      </c>
      <c r="C4944" s="6" t="s">
        <v>3486</v>
      </c>
      <c r="D4944" s="5" t="s">
        <v>3485</v>
      </c>
      <c r="E4944" s="9" t="str">
        <f>HYPERLINK("https://twitter.com/upsetfish/status/1034478642016018432","1034478642016018432")</f>
        <v>1034478642016018432</v>
      </c>
      <c r="F4944" s="4"/>
      <c r="G4944" s="4"/>
      <c r="H4944" s="4"/>
      <c r="I4944" s="10" t="str">
        <f>HYPERLINK("http://twitter.com/download/iphone","Twitter for iPhone")</f>
        <v>Twitter for iPhone</v>
      </c>
      <c r="J4944" s="2">
        <v>580</v>
      </c>
      <c r="K4944" s="2">
        <v>567</v>
      </c>
      <c r="L4944" s="2">
        <v>1</v>
      </c>
      <c r="M4944" s="2"/>
      <c r="N4944" s="8">
        <v>43319.917256944449</v>
      </c>
      <c r="O4944" s="4" t="s">
        <v>3484</v>
      </c>
      <c r="P4944" s="3" t="s">
        <v>3483</v>
      </c>
      <c r="Q4944" s="4"/>
      <c r="R4944" s="4"/>
      <c r="S4944" s="9" t="str">
        <f>HYPERLINK("https://pbs.twimg.com/profile_images/1026884570996793344/mTjG1C_Q.jpg","View")</f>
        <v>View</v>
      </c>
    </row>
    <row r="4945" spans="1:19" ht="20">
      <c r="A4945" s="8">
        <v>43340.875740740739</v>
      </c>
      <c r="B4945" s="11" t="str">
        <f>HYPERLINK("https://twitter.com/Trendfa","@Trendfa")</f>
        <v>@Trendfa</v>
      </c>
      <c r="C4945" s="6" t="s">
        <v>1847</v>
      </c>
      <c r="D4945" s="5" t="s">
        <v>3482</v>
      </c>
      <c r="E4945" s="9" t="str">
        <f>HYPERLINK("https://twitter.com/Trendfa/status/1034478482175057925","1034478482175057925")</f>
        <v>1034478482175057925</v>
      </c>
      <c r="F4945" s="4"/>
      <c r="G4945" s="4"/>
      <c r="H4945" s="4"/>
      <c r="I4945" s="10" t="str">
        <f>HYPERLINK("http://trendfa.mostafar.com","TrendFa")</f>
        <v>TrendFa</v>
      </c>
      <c r="J4945" s="2">
        <v>1262</v>
      </c>
      <c r="K4945" s="2">
        <v>642</v>
      </c>
      <c r="L4945" s="2">
        <v>9</v>
      </c>
      <c r="M4945" s="2"/>
      <c r="N4945" s="8">
        <v>42854.236793981487</v>
      </c>
      <c r="O4945" s="4" t="s">
        <v>1770</v>
      </c>
      <c r="P4945" s="3" t="s">
        <v>1845</v>
      </c>
      <c r="Q4945" s="4"/>
      <c r="R4945" s="4"/>
      <c r="S4945" s="9" t="str">
        <f>HYPERLINK("https://pbs.twimg.com/profile_images/861706286957682689/0zDr9duE.jpg","View")</f>
        <v>View</v>
      </c>
    </row>
    <row r="4946" spans="1:19" ht="30">
      <c r="A4946" s="8">
        <v>43340.8753125</v>
      </c>
      <c r="B4946" s="11" t="str">
        <f>HYPERLINK("https://twitter.com/Hejab43464589","@Hejab43464589")</f>
        <v>@Hejab43464589</v>
      </c>
      <c r="C4946" s="6" t="s">
        <v>3481</v>
      </c>
      <c r="D4946" s="5" t="s">
        <v>3480</v>
      </c>
      <c r="E4946" s="9" t="str">
        <f>HYPERLINK("https://twitter.com/Hejab43464589/status/1034478329104097281","1034478329104097281")</f>
        <v>1034478329104097281</v>
      </c>
      <c r="F4946" s="4"/>
      <c r="G4946" s="4"/>
      <c r="H4946" s="4"/>
      <c r="I4946" s="10" t="str">
        <f>HYPERLINK("http://twitter.com/download/android","Twitter for Android")</f>
        <v>Twitter for Android</v>
      </c>
      <c r="J4946" s="2">
        <v>3</v>
      </c>
      <c r="K4946" s="2">
        <v>5</v>
      </c>
      <c r="L4946" s="2">
        <v>0</v>
      </c>
      <c r="M4946" s="2"/>
      <c r="N4946" s="8">
        <v>43298.490659722222</v>
      </c>
      <c r="O4946" s="4"/>
      <c r="P4946" s="3"/>
      <c r="Q4946" s="4"/>
      <c r="R4946" s="4"/>
      <c r="S4946" s="2" t="s">
        <v>155</v>
      </c>
    </row>
    <row r="4947" spans="1:19" ht="50">
      <c r="A4947" s="8">
        <v>43340.875150462962</v>
      </c>
      <c r="B4947" s="11" t="str">
        <f>HYPERLINK("https://twitter.com/abdizade_mehdi","@abdizade_mehdi")</f>
        <v>@abdizade_mehdi</v>
      </c>
      <c r="C4947" s="6" t="s">
        <v>3479</v>
      </c>
      <c r="D4947" s="5" t="s">
        <v>3478</v>
      </c>
      <c r="E4947" s="9" t="str">
        <f>HYPERLINK("https://twitter.com/abdizade_mehdi/status/1034478268559310848","1034478268559310848")</f>
        <v>1034478268559310848</v>
      </c>
      <c r="F4947" s="10" t="s">
        <v>3477</v>
      </c>
      <c r="G4947" s="4"/>
      <c r="H4947" s="4"/>
      <c r="I4947" s="10" t="str">
        <f>HYPERLINK("http://twitter.com/download/android","Twitter for Android")</f>
        <v>Twitter for Android</v>
      </c>
      <c r="J4947" s="2">
        <v>514</v>
      </c>
      <c r="K4947" s="2">
        <v>764</v>
      </c>
      <c r="L4947" s="2">
        <v>2</v>
      </c>
      <c r="M4947" s="2"/>
      <c r="N4947" s="8">
        <v>42737.457627314812</v>
      </c>
      <c r="O4947" s="4" t="s">
        <v>17</v>
      </c>
      <c r="P4947" s="3" t="s">
        <v>3476</v>
      </c>
      <c r="Q4947" s="4"/>
      <c r="R4947" s="4"/>
      <c r="S4947" s="9" t="str">
        <f>HYPERLINK("https://pbs.twimg.com/profile_images/1024457718982160385/fQhCa6nH.jpg","View")</f>
        <v>View</v>
      </c>
    </row>
    <row r="4948" spans="1:19" ht="40">
      <c r="A4948" s="8">
        <v>43340.874479166669</v>
      </c>
      <c r="B4948" s="11" t="str">
        <f>HYPERLINK("https://twitter.com/mohamaddallak","@mohamaddallak")</f>
        <v>@mohamaddallak</v>
      </c>
      <c r="C4948" s="6" t="s">
        <v>2763</v>
      </c>
      <c r="D4948" s="5" t="s">
        <v>3475</v>
      </c>
      <c r="E4948" s="9" t="str">
        <f>HYPERLINK("https://twitter.com/mohamaddallak/status/1034478024832561154","1034478024832561154")</f>
        <v>1034478024832561154</v>
      </c>
      <c r="F4948" s="4"/>
      <c r="G4948" s="4"/>
      <c r="H4948" s="4"/>
      <c r="I4948" s="10" t="str">
        <f>HYPERLINK("https://mobile.twitter.com","Twitter Lite")</f>
        <v>Twitter Lite</v>
      </c>
      <c r="J4948" s="2">
        <v>279</v>
      </c>
      <c r="K4948" s="2">
        <v>340</v>
      </c>
      <c r="L4948" s="2">
        <v>0</v>
      </c>
      <c r="M4948" s="2"/>
      <c r="N4948" s="8">
        <v>43151.850729166668</v>
      </c>
      <c r="O4948" s="4" t="s">
        <v>17</v>
      </c>
      <c r="P4948" s="3" t="s">
        <v>2761</v>
      </c>
      <c r="Q4948" s="4"/>
      <c r="R4948" s="4"/>
      <c r="S4948" s="9" t="str">
        <f>HYPERLINK("https://pbs.twimg.com/profile_images/999937688471031810/W01Zbp0c.jpg","View")</f>
        <v>View</v>
      </c>
    </row>
    <row r="4949" spans="1:19" ht="40">
      <c r="A4949" s="8">
        <v>43340.87332175926</v>
      </c>
      <c r="B4949" s="11" t="str">
        <f>HYPERLINK("https://twitter.com/rahmanhosseini","@rahmanhosseini")</f>
        <v>@rahmanhosseini</v>
      </c>
      <c r="C4949" s="6" t="s">
        <v>3474</v>
      </c>
      <c r="D4949" s="5" t="s">
        <v>3473</v>
      </c>
      <c r="E4949" s="9" t="str">
        <f>HYPERLINK("https://twitter.com/rahmanhosseini/status/1034477607453159424","1034477607453159424")</f>
        <v>1034477607453159424</v>
      </c>
      <c r="F4949" s="4"/>
      <c r="G4949" s="4"/>
      <c r="H4949" s="4"/>
      <c r="I4949" s="10" t="str">
        <f>HYPERLINK("http://twitter.com/download/iphone","Twitter for iPhone")</f>
        <v>Twitter for iPhone</v>
      </c>
      <c r="J4949" s="2">
        <v>212</v>
      </c>
      <c r="K4949" s="2">
        <v>396</v>
      </c>
      <c r="L4949" s="2">
        <v>0</v>
      </c>
      <c r="M4949" s="2"/>
      <c r="N4949" s="8">
        <v>39976.157743055555</v>
      </c>
      <c r="O4949" s="4" t="s">
        <v>133</v>
      </c>
      <c r="P4949" s="3" t="s">
        <v>3472</v>
      </c>
      <c r="Q4949" s="10" t="s">
        <v>3471</v>
      </c>
      <c r="R4949" s="4"/>
      <c r="S4949" s="9" t="str">
        <f>HYPERLINK("https://pbs.twimg.com/profile_images/993324927213342726/il8ikWah.jpg","View")</f>
        <v>View</v>
      </c>
    </row>
    <row r="4950" spans="1:19" ht="12.5">
      <c r="A4950" s="8">
        <v>43340.873171296298</v>
      </c>
      <c r="B4950" s="11" t="str">
        <f>HYPERLINK("https://twitter.com/1983ms13","@1983ms13")</f>
        <v>@1983ms13</v>
      </c>
      <c r="C4950" s="6" t="s">
        <v>3470</v>
      </c>
      <c r="D4950" s="5" t="s">
        <v>3469</v>
      </c>
      <c r="E4950" s="9" t="str">
        <f>HYPERLINK("https://twitter.com/1983ms13/status/1034477551874449408","1034477551874449408")</f>
        <v>1034477551874449408</v>
      </c>
      <c r="F4950" s="4"/>
      <c r="G4950" s="10" t="s">
        <v>3468</v>
      </c>
      <c r="H4950" s="4"/>
      <c r="I4950" s="10" t="str">
        <f>HYPERLINK("http://twitter.com/download/iphone","Twitter for iPhone")</f>
        <v>Twitter for iPhone</v>
      </c>
      <c r="J4950" s="2">
        <v>46</v>
      </c>
      <c r="K4950" s="2">
        <v>272</v>
      </c>
      <c r="L4950" s="2">
        <v>0</v>
      </c>
      <c r="M4950" s="2"/>
      <c r="N4950" s="8">
        <v>43210.847372685181</v>
      </c>
      <c r="O4950" s="4"/>
      <c r="P4950" s="3"/>
      <c r="Q4950" s="4"/>
      <c r="R4950" s="4"/>
      <c r="S4950" s="9" t="str">
        <f>HYPERLINK("https://pbs.twimg.com/profile_images/1034390806977814529/nL2gbt3r.jpg","View")</f>
        <v>View</v>
      </c>
    </row>
    <row r="4951" spans="1:19" ht="20">
      <c r="A4951" s="8">
        <v>43340.873032407406</v>
      </c>
      <c r="B4951" s="11" t="str">
        <f>HYPERLINK("https://twitter.com/daghigh_a","@daghigh_a")</f>
        <v>@daghigh_a</v>
      </c>
      <c r="C4951" s="6" t="s">
        <v>3467</v>
      </c>
      <c r="D4951" s="5" t="s">
        <v>3466</v>
      </c>
      <c r="E4951" s="9" t="str">
        <f>HYPERLINK("https://twitter.com/daghigh_a/status/1034477502461165568","1034477502461165568")</f>
        <v>1034477502461165568</v>
      </c>
      <c r="F4951" s="4"/>
      <c r="G4951" s="4"/>
      <c r="H4951" s="4"/>
      <c r="I4951" s="10" t="str">
        <f>HYPERLINK("http://twitter.com/download/android","Twitter for Android")</f>
        <v>Twitter for Android</v>
      </c>
      <c r="J4951" s="2">
        <v>53</v>
      </c>
      <c r="K4951" s="2">
        <v>99</v>
      </c>
      <c r="L4951" s="2">
        <v>0</v>
      </c>
      <c r="M4951" s="2"/>
      <c r="N4951" s="8">
        <v>42715.719444444447</v>
      </c>
      <c r="O4951" s="4" t="s">
        <v>3465</v>
      </c>
      <c r="P4951" s="3" t="s">
        <v>3464</v>
      </c>
      <c r="Q4951" s="4"/>
      <c r="R4951" s="4"/>
      <c r="S4951" s="9" t="str">
        <f>HYPERLINK("https://pbs.twimg.com/profile_images/934382340478038016/2UYHSBh-.jpg","View")</f>
        <v>View</v>
      </c>
    </row>
    <row r="4952" spans="1:19" ht="30">
      <c r="A4952" s="8">
        <v>43340.87122685185</v>
      </c>
      <c r="B4952" s="11" t="str">
        <f>HYPERLINK("https://twitter.com/Davood94","@Davood94")</f>
        <v>@Davood94</v>
      </c>
      <c r="C4952" s="6" t="s">
        <v>3463</v>
      </c>
      <c r="D4952" s="5" t="s">
        <v>3462</v>
      </c>
      <c r="E4952" s="9" t="str">
        <f>HYPERLINK("https://twitter.com/Davood94/status/1034476845444550657","1034476845444550657")</f>
        <v>1034476845444550657</v>
      </c>
      <c r="F4952" s="4"/>
      <c r="G4952" s="4"/>
      <c r="H4952" s="4"/>
      <c r="I4952" s="10" t="str">
        <f>HYPERLINK("http://twitter.com/download/android","Twitter for Android")</f>
        <v>Twitter for Android</v>
      </c>
      <c r="J4952" s="2">
        <v>635</v>
      </c>
      <c r="K4952" s="2">
        <v>479</v>
      </c>
      <c r="L4952" s="2">
        <v>7</v>
      </c>
      <c r="M4952" s="2"/>
      <c r="N4952" s="8">
        <v>40595.68340277778</v>
      </c>
      <c r="O4952" s="4"/>
      <c r="P4952" s="3"/>
      <c r="Q4952" s="4"/>
      <c r="R4952" s="4"/>
      <c r="S4952" s="9" t="str">
        <f>HYPERLINK("https://pbs.twimg.com/profile_images/948899192155590658/Sj849QSr.jpg","View")</f>
        <v>View</v>
      </c>
    </row>
    <row r="4953" spans="1:19" ht="20">
      <c r="A4953" s="8">
        <v>43340.871087962965</v>
      </c>
      <c r="B4953" s="11" t="str">
        <f>HYPERLINK("https://twitter.com/sepinoud88","@sepinoud88")</f>
        <v>@sepinoud88</v>
      </c>
      <c r="C4953" s="6" t="s">
        <v>3461</v>
      </c>
      <c r="D4953" s="5" t="s">
        <v>3460</v>
      </c>
      <c r="E4953" s="9" t="str">
        <f>HYPERLINK("https://twitter.com/sepinoud88/status/1034476796257939456","1034476796257939456")</f>
        <v>1034476796257939456</v>
      </c>
      <c r="F4953" s="4"/>
      <c r="G4953" s="10" t="s">
        <v>3459</v>
      </c>
      <c r="H4953" s="4"/>
      <c r="I4953" s="10" t="str">
        <f>HYPERLINK("http://twitter.com/download/android","Twitter for Android")</f>
        <v>Twitter for Android</v>
      </c>
      <c r="J4953" s="2">
        <v>340</v>
      </c>
      <c r="K4953" s="2">
        <v>342</v>
      </c>
      <c r="L4953" s="2">
        <v>0</v>
      </c>
      <c r="M4953" s="2"/>
      <c r="N4953" s="8">
        <v>42123.956331018519</v>
      </c>
      <c r="O4953" s="4" t="s">
        <v>25</v>
      </c>
      <c r="P4953" s="3" t="s">
        <v>3458</v>
      </c>
      <c r="Q4953" s="4"/>
      <c r="R4953" s="4"/>
      <c r="S4953" s="9" t="str">
        <f>HYPERLINK("https://pbs.twimg.com/profile_images/995020131234451456/0rKmG8wG.jpg","View")</f>
        <v>View</v>
      </c>
    </row>
    <row r="4954" spans="1:19" ht="40">
      <c r="A4954" s="8">
        <v>43340.871064814812</v>
      </c>
      <c r="B4954" s="11" t="str">
        <f>HYPERLINK("https://twitter.com/OneKurdistan","@OneKurdistan")</f>
        <v>@OneKurdistan</v>
      </c>
      <c r="C4954" s="6" t="s">
        <v>3457</v>
      </c>
      <c r="D4954" s="5" t="s">
        <v>3456</v>
      </c>
      <c r="E4954" s="9" t="str">
        <f>HYPERLINK("https://twitter.com/OneKurdistan/status/1034476789232553984","1034476789232553984")</f>
        <v>1034476789232553984</v>
      </c>
      <c r="F4954" s="4"/>
      <c r="G4954" s="4"/>
      <c r="H4954" s="4"/>
      <c r="I4954" s="10" t="str">
        <f>HYPERLINK("http://twitter.com","Twitter Web Client")</f>
        <v>Twitter Web Client</v>
      </c>
      <c r="J4954" s="2">
        <v>273</v>
      </c>
      <c r="K4954" s="2">
        <v>831</v>
      </c>
      <c r="L4954" s="2">
        <v>1</v>
      </c>
      <c r="M4954" s="2"/>
      <c r="N4954" s="8">
        <v>43227.088784722218</v>
      </c>
      <c r="O4954" s="4" t="s">
        <v>3455</v>
      </c>
      <c r="P4954" s="3" t="s">
        <v>3454</v>
      </c>
      <c r="Q4954" s="4"/>
      <c r="R4954" s="4"/>
      <c r="S4954" s="9" t="str">
        <f>HYPERLINK("https://pbs.twimg.com/profile_images/994493784569401345/fSYVMdPf.jpg","View")</f>
        <v>View</v>
      </c>
    </row>
    <row r="4955" spans="1:19" ht="40">
      <c r="A4955" s="8">
        <v>43340.870300925926</v>
      </c>
      <c r="B4955" s="11" t="str">
        <f>HYPERLINK("https://twitter.com/hosseinzafari","@hosseinzafari")</f>
        <v>@hosseinzafari</v>
      </c>
      <c r="C4955" s="6" t="s">
        <v>2753</v>
      </c>
      <c r="D4955" s="5" t="s">
        <v>3453</v>
      </c>
      <c r="E4955" s="9" t="str">
        <f>HYPERLINK("https://twitter.com/hosseinzafari/status/1034476508868472832","1034476508868472832")</f>
        <v>1034476508868472832</v>
      </c>
      <c r="F4955" s="4"/>
      <c r="G4955" s="4"/>
      <c r="H4955" s="4"/>
      <c r="I4955" s="10" t="str">
        <f>HYPERLINK("http://twitter.com/download/android","Twitter for Android")</f>
        <v>Twitter for Android</v>
      </c>
      <c r="J4955" s="2">
        <v>4976</v>
      </c>
      <c r="K4955" s="2">
        <v>4376</v>
      </c>
      <c r="L4955" s="2">
        <v>7</v>
      </c>
      <c r="M4955" s="2"/>
      <c r="N4955" s="8">
        <v>41481.791145833333</v>
      </c>
      <c r="O4955" s="4"/>
      <c r="P4955" s="3" t="s">
        <v>2750</v>
      </c>
      <c r="Q4955" s="10" t="s">
        <v>2749</v>
      </c>
      <c r="R4955" s="4"/>
      <c r="S4955" s="9" t="str">
        <f>HYPERLINK("https://pbs.twimg.com/profile_images/933800295783653376/mhJWUwO7.jpg","View")</f>
        <v>View</v>
      </c>
    </row>
    <row r="4956" spans="1:19" ht="40">
      <c r="A4956" s="8">
        <v>43340.870289351849</v>
      </c>
      <c r="B4956" s="11" t="str">
        <f>HYPERLINK("https://twitter.com/AtreYaas","@AtreYaas")</f>
        <v>@AtreYaas</v>
      </c>
      <c r="C4956" s="6" t="s">
        <v>3452</v>
      </c>
      <c r="D4956" s="5" t="s">
        <v>3451</v>
      </c>
      <c r="E4956" s="9" t="str">
        <f>HYPERLINK("https://twitter.com/AtreYaas/status/1034476506293182464","1034476506293182464")</f>
        <v>1034476506293182464</v>
      </c>
      <c r="F4956" s="4"/>
      <c r="G4956" s="4"/>
      <c r="H4956" s="4"/>
      <c r="I4956" s="10" t="str">
        <f>HYPERLINK("http://twitter.com/download/android","Twitter for Android")</f>
        <v>Twitter for Android</v>
      </c>
      <c r="J4956" s="2">
        <v>1832</v>
      </c>
      <c r="K4956" s="2">
        <v>1779</v>
      </c>
      <c r="L4956" s="2">
        <v>7</v>
      </c>
      <c r="M4956" s="2"/>
      <c r="N4956" s="8">
        <v>42734.215405092589</v>
      </c>
      <c r="O4956" s="4"/>
      <c r="P4956" s="3"/>
      <c r="Q4956" s="4"/>
      <c r="R4956" s="4"/>
      <c r="S4956" s="9" t="str">
        <f>HYPERLINK("https://pbs.twimg.com/profile_images/1001527704024436737/ek8WBw04.jpg","View")</f>
        <v>View</v>
      </c>
    </row>
    <row r="4957" spans="1:19" ht="20">
      <c r="A4957" s="8">
        <v>43340.869953703703</v>
      </c>
      <c r="B4957" s="11" t="str">
        <f>HYPERLINK("https://twitter.com/homa_yoni","@homa_yoni")</f>
        <v>@homa_yoni</v>
      </c>
      <c r="C4957" s="6" t="s">
        <v>3007</v>
      </c>
      <c r="D4957" s="5" t="s">
        <v>3450</v>
      </c>
      <c r="E4957" s="9" t="str">
        <f>HYPERLINK("https://twitter.com/homa_yoni/status/1034476384339537920","1034476384339537920")</f>
        <v>1034476384339537920</v>
      </c>
      <c r="F4957" s="4"/>
      <c r="G4957" s="10" t="s">
        <v>3449</v>
      </c>
      <c r="H4957" s="4"/>
      <c r="I4957" s="10" t="str">
        <f>HYPERLINK("http://twitter.com/download/android","Twitter for Android")</f>
        <v>Twitter for Android</v>
      </c>
      <c r="J4957" s="2">
        <v>3518</v>
      </c>
      <c r="K4957" s="2">
        <v>3766</v>
      </c>
      <c r="L4957" s="2">
        <v>4</v>
      </c>
      <c r="M4957" s="2"/>
      <c r="N4957" s="8">
        <v>42986.04111111111</v>
      </c>
      <c r="O4957" s="4" t="s">
        <v>3004</v>
      </c>
      <c r="P4957" s="3" t="s">
        <v>3003</v>
      </c>
      <c r="Q4957" s="4"/>
      <c r="R4957" s="4"/>
      <c r="S4957" s="9" t="str">
        <f>HYPERLINK("https://pbs.twimg.com/profile_images/938787854137692160/kXki_9LK.jpg","View")</f>
        <v>View</v>
      </c>
    </row>
    <row r="4958" spans="1:19" ht="40">
      <c r="A4958" s="8">
        <v>43340.869803240741</v>
      </c>
      <c r="B4958" s="11" t="str">
        <f>HYPERLINK("https://twitter.com/RezaNasri1","@RezaNasri1")</f>
        <v>@RezaNasri1</v>
      </c>
      <c r="C4958" s="6" t="s">
        <v>3448</v>
      </c>
      <c r="D4958" s="5" t="s">
        <v>3447</v>
      </c>
      <c r="E4958" s="9" t="str">
        <f>HYPERLINK("https://twitter.com/RezaNasri1/status/1034476331403227136","1034476331403227136")</f>
        <v>1034476331403227136</v>
      </c>
      <c r="F4958" s="4"/>
      <c r="G4958" s="4"/>
      <c r="H4958" s="4"/>
      <c r="I4958" s="10" t="str">
        <f>HYPERLINK("https://mobile.twitter.com","Twitter Lite")</f>
        <v>Twitter Lite</v>
      </c>
      <c r="J4958" s="2">
        <v>2972</v>
      </c>
      <c r="K4958" s="2">
        <v>570</v>
      </c>
      <c r="L4958" s="2">
        <v>32</v>
      </c>
      <c r="M4958" s="2"/>
      <c r="N4958" s="8">
        <v>41066.927083333336</v>
      </c>
      <c r="O4958" s="4"/>
      <c r="P4958" s="3" t="s">
        <v>3446</v>
      </c>
      <c r="Q4958" s="10" t="s">
        <v>3445</v>
      </c>
      <c r="R4958" s="4"/>
      <c r="S4958" s="9" t="str">
        <f>HYPERLINK("https://pbs.twimg.com/profile_images/732305655722213377/wlFfedps.jpg","View")</f>
        <v>View</v>
      </c>
    </row>
    <row r="4959" spans="1:19" ht="30">
      <c r="A4959" s="8">
        <v>43340.869710648149</v>
      </c>
      <c r="B4959" s="11" t="str">
        <f>HYPERLINK("https://twitter.com/PM5531","@PM5531")</f>
        <v>@PM5531</v>
      </c>
      <c r="C4959" s="6" t="s">
        <v>3278</v>
      </c>
      <c r="D4959" s="5" t="s">
        <v>3444</v>
      </c>
      <c r="E4959" s="9" t="str">
        <f>HYPERLINK("https://twitter.com/PM5531/status/1034476295139340289","1034476295139340289")</f>
        <v>1034476295139340289</v>
      </c>
      <c r="F4959" s="4"/>
      <c r="G4959" s="4"/>
      <c r="H4959" s="4"/>
      <c r="I4959" s="10" t="str">
        <f>HYPERLINK("http://twitter.com/download/android","Twitter for Android")</f>
        <v>Twitter for Android</v>
      </c>
      <c r="J4959" s="2">
        <v>32</v>
      </c>
      <c r="K4959" s="2">
        <v>21</v>
      </c>
      <c r="L4959" s="2">
        <v>0</v>
      </c>
      <c r="M4959" s="2"/>
      <c r="N4959" s="8">
        <v>43154.491770833338</v>
      </c>
      <c r="O4959" s="4" t="s">
        <v>3443</v>
      </c>
      <c r="P4959" s="3" t="s">
        <v>3442</v>
      </c>
      <c r="Q4959" s="4"/>
      <c r="R4959" s="4"/>
      <c r="S4959" s="9" t="str">
        <f>HYPERLINK("https://pbs.twimg.com/profile_images/1025430870407217153/JHtOkhUo.jpg","View")</f>
        <v>View</v>
      </c>
    </row>
    <row r="4960" spans="1:19" ht="30">
      <c r="A4960" s="8">
        <v>43340.869328703702</v>
      </c>
      <c r="B4960" s="11" t="str">
        <f>HYPERLINK("https://twitter.com/Shooresh_A","@Shooresh_A")</f>
        <v>@Shooresh_A</v>
      </c>
      <c r="C4960" s="6" t="s">
        <v>3441</v>
      </c>
      <c r="D4960" s="5" t="s">
        <v>3440</v>
      </c>
      <c r="E4960" s="9" t="str">
        <f>HYPERLINK("https://twitter.com/Shooresh_A/status/1034476156702076928","1034476156702076928")</f>
        <v>1034476156702076928</v>
      </c>
      <c r="F4960" s="4"/>
      <c r="G4960" s="4"/>
      <c r="H4960" s="4"/>
      <c r="I4960" s="10" t="str">
        <f>HYPERLINK("https://mobile.twitter.com","Twitter Lite")</f>
        <v>Twitter Lite</v>
      </c>
      <c r="J4960" s="2">
        <v>12</v>
      </c>
      <c r="K4960" s="2">
        <v>10</v>
      </c>
      <c r="L4960" s="2">
        <v>0</v>
      </c>
      <c r="M4960" s="2"/>
      <c r="N4960" s="8">
        <v>43321.775393518517</v>
      </c>
      <c r="O4960" s="4" t="s">
        <v>25</v>
      </c>
      <c r="P4960" s="3" t="s">
        <v>3439</v>
      </c>
      <c r="Q4960" s="4"/>
      <c r="R4960" s="4"/>
      <c r="S4960" s="9" t="str">
        <f>HYPERLINK("https://pbs.twimg.com/profile_images/1028309757164232706/AhHinXpJ.jpg","View")</f>
        <v>View</v>
      </c>
    </row>
    <row r="4961" spans="1:19" ht="40">
      <c r="A4961" s="8">
        <v>43340.86917824074</v>
      </c>
      <c r="B4961" s="11" t="str">
        <f>HYPERLINK("https://twitter.com/RJ2573","@RJ2573")</f>
        <v>@RJ2573</v>
      </c>
      <c r="C4961" s="6" t="s">
        <v>3438</v>
      </c>
      <c r="D4961" s="5" t="s">
        <v>3437</v>
      </c>
      <c r="E4961" s="9" t="str">
        <f>HYPERLINK("https://twitter.com/RJ2573/status/1034476104277524480","1034476104277524480")</f>
        <v>1034476104277524480</v>
      </c>
      <c r="F4961" s="4"/>
      <c r="G4961" s="4"/>
      <c r="H4961" s="4"/>
      <c r="I4961" s="10" t="str">
        <f>HYPERLINK("http://twitter.com/download/android","Twitter for Android")</f>
        <v>Twitter for Android</v>
      </c>
      <c r="J4961" s="2">
        <v>1178</v>
      </c>
      <c r="K4961" s="2">
        <v>3750</v>
      </c>
      <c r="L4961" s="2">
        <v>2</v>
      </c>
      <c r="M4961" s="2"/>
      <c r="N4961" s="8">
        <v>41715.04074074074</v>
      </c>
      <c r="O4961" s="4"/>
      <c r="P4961" s="3" t="s">
        <v>3436</v>
      </c>
      <c r="Q4961" s="4"/>
      <c r="R4961" s="4"/>
      <c r="S4961" s="9" t="str">
        <f>HYPERLINK("https://pbs.twimg.com/profile_images/878467856987541504/Kx-MmUku.jpg","View")</f>
        <v>View</v>
      </c>
    </row>
    <row r="4962" spans="1:19" ht="20">
      <c r="A4962" s="8">
        <v>43340.869085648148</v>
      </c>
      <c r="B4962" s="11" t="str">
        <f>HYPERLINK("https://twitter.com/A_berrrr","@A_berrrr")</f>
        <v>@A_berrrr</v>
      </c>
      <c r="C4962" s="6" t="s">
        <v>3368</v>
      </c>
      <c r="D4962" s="5" t="s">
        <v>3435</v>
      </c>
      <c r="E4962" s="9" t="str">
        <f>HYPERLINK("https://twitter.com/A_berrrr/status/1034476070815391744","1034476070815391744")</f>
        <v>1034476070815391744</v>
      </c>
      <c r="F4962" s="4"/>
      <c r="G4962" s="4"/>
      <c r="H4962" s="4"/>
      <c r="I4962" s="10" t="str">
        <f>HYPERLINK("http://twitter.com/download/android","Twitter for Android")</f>
        <v>Twitter for Android</v>
      </c>
      <c r="J4962" s="2">
        <v>92</v>
      </c>
      <c r="K4962" s="2">
        <v>294</v>
      </c>
      <c r="L4962" s="2">
        <v>0</v>
      </c>
      <c r="M4962" s="2"/>
      <c r="N4962" s="8">
        <v>42409.990405092598</v>
      </c>
      <c r="O4962" s="4"/>
      <c r="P4962" s="3" t="s">
        <v>3366</v>
      </c>
      <c r="Q4962" s="4"/>
      <c r="R4962" s="4"/>
      <c r="S4962" s="9" t="str">
        <f>HYPERLINK("https://pbs.twimg.com/profile_images/1028857074287931392/mbJFb049.jpg","View")</f>
        <v>View</v>
      </c>
    </row>
    <row r="4963" spans="1:19" ht="40">
      <c r="A4963" s="8">
        <v>43340.869039351848</v>
      </c>
      <c r="B4963" s="11" t="str">
        <f>HYPERLINK("https://twitter.com/Masoudshahan13","@Masoudshahan13")</f>
        <v>@Masoudshahan13</v>
      </c>
      <c r="C4963" s="6" t="s">
        <v>546</v>
      </c>
      <c r="D4963" s="5" t="s">
        <v>3434</v>
      </c>
      <c r="E4963" s="9" t="str">
        <f>HYPERLINK("https://twitter.com/Masoudshahan13/status/1034476053518077952","1034476053518077952")</f>
        <v>1034476053518077952</v>
      </c>
      <c r="F4963" s="4"/>
      <c r="G4963" s="4"/>
      <c r="H4963" s="4"/>
      <c r="I4963" s="10" t="str">
        <f>HYPERLINK("http://twitter.com/download/android","Twitter for Android")</f>
        <v>Twitter for Android</v>
      </c>
      <c r="J4963" s="2">
        <v>195</v>
      </c>
      <c r="K4963" s="2">
        <v>63</v>
      </c>
      <c r="L4963" s="2">
        <v>1</v>
      </c>
      <c r="M4963" s="2"/>
      <c r="N4963" s="8">
        <v>42984.099363425921</v>
      </c>
      <c r="O4963" s="4"/>
      <c r="P4963" s="3" t="s">
        <v>544</v>
      </c>
      <c r="Q4963" s="4"/>
      <c r="R4963" s="4"/>
      <c r="S4963" s="9" t="str">
        <f>HYPERLINK("https://pbs.twimg.com/profile_images/1030279592001642496/k89PSRwy.jpg","View")</f>
        <v>View</v>
      </c>
    </row>
    <row r="4964" spans="1:19" ht="40">
      <c r="A4964" s="8">
        <v>43340.868657407409</v>
      </c>
      <c r="B4964" s="11" t="str">
        <f>HYPERLINK("https://twitter.com/RashidiRasoul","@RashidiRasoul")</f>
        <v>@RashidiRasoul</v>
      </c>
      <c r="C4964" s="6" t="s">
        <v>3433</v>
      </c>
      <c r="D4964" s="5" t="s">
        <v>3432</v>
      </c>
      <c r="E4964" s="9" t="str">
        <f>HYPERLINK("https://twitter.com/RashidiRasoul/status/1034475916993458177","1034475916993458177")</f>
        <v>1034475916993458177</v>
      </c>
      <c r="F4964" s="4"/>
      <c r="G4964" s="4"/>
      <c r="H4964" s="4"/>
      <c r="I4964" s="10" t="str">
        <f>HYPERLINK("http://twitter.com/download/iphone","Twitter for iPhone")</f>
        <v>Twitter for iPhone</v>
      </c>
      <c r="J4964" s="2">
        <v>3</v>
      </c>
      <c r="K4964" s="2">
        <v>50</v>
      </c>
      <c r="L4964" s="2">
        <v>0</v>
      </c>
      <c r="M4964" s="2"/>
      <c r="N4964" s="8">
        <v>43022.917199074072</v>
      </c>
      <c r="O4964" s="4"/>
      <c r="P4964" s="3" t="s">
        <v>3431</v>
      </c>
      <c r="Q4964" s="4"/>
      <c r="R4964" s="4"/>
      <c r="S4964" s="9" t="str">
        <f>HYPERLINK("https://pbs.twimg.com/profile_images/1023154708968562688/TOyz2Lr_.jpg","View")</f>
        <v>View</v>
      </c>
    </row>
    <row r="4965" spans="1:19" ht="20">
      <c r="A4965" s="8">
        <v>43340.868379629625</v>
      </c>
      <c r="B4965" s="11" t="str">
        <f>HYPERLINK("https://twitter.com/MKhosravi62","@MKhosravi62")</f>
        <v>@MKhosravi62</v>
      </c>
      <c r="C4965" s="6" t="s">
        <v>3430</v>
      </c>
      <c r="D4965" s="5" t="s">
        <v>3429</v>
      </c>
      <c r="E4965" s="9" t="str">
        <f>HYPERLINK("https://twitter.com/MKhosravi62/status/1034475815713554432","1034475815713554432")</f>
        <v>1034475815713554432</v>
      </c>
      <c r="F4965" s="4"/>
      <c r="G4965" s="4"/>
      <c r="H4965" s="4"/>
      <c r="I4965" s="10" t="str">
        <f>HYPERLINK("http://twitter.com/download/android","Twitter for Android")</f>
        <v>Twitter for Android</v>
      </c>
      <c r="J4965" s="2">
        <v>117</v>
      </c>
      <c r="K4965" s="2">
        <v>205</v>
      </c>
      <c r="L4965" s="2">
        <v>0</v>
      </c>
      <c r="M4965" s="2"/>
      <c r="N4965" s="8">
        <v>43176.688321759255</v>
      </c>
      <c r="O4965" s="4"/>
      <c r="P4965" s="3" t="s">
        <v>3428</v>
      </c>
      <c r="Q4965" s="4"/>
      <c r="R4965" s="4"/>
      <c r="S4965" s="9" t="str">
        <f>HYPERLINK("https://pbs.twimg.com/profile_images/1026465586795171841/SXH0IF8a.jpg","View")</f>
        <v>View</v>
      </c>
    </row>
    <row r="4966" spans="1:19" ht="20">
      <c r="A4966" s="8">
        <v>43340.868344907409</v>
      </c>
      <c r="B4966" s="11" t="str">
        <f>HYPERLINK("https://twitter.com/del_aghl","@del_aghl")</f>
        <v>@del_aghl</v>
      </c>
      <c r="C4966" s="6" t="s">
        <v>3427</v>
      </c>
      <c r="D4966" s="5" t="s">
        <v>3426</v>
      </c>
      <c r="E4966" s="9" t="str">
        <f>HYPERLINK("https://twitter.com/del_aghl/status/1034475800903471106","1034475800903471106")</f>
        <v>1034475800903471106</v>
      </c>
      <c r="F4966" s="4"/>
      <c r="G4966" s="4"/>
      <c r="H4966" s="4"/>
      <c r="I4966" s="10" t="str">
        <f>HYPERLINK("http://twitter.com/download/android","Twitter for Android")</f>
        <v>Twitter for Android</v>
      </c>
      <c r="J4966" s="2">
        <v>365</v>
      </c>
      <c r="K4966" s="2">
        <v>360</v>
      </c>
      <c r="L4966" s="2">
        <v>4</v>
      </c>
      <c r="M4966" s="2"/>
      <c r="N4966" s="8">
        <v>43102.409583333334</v>
      </c>
      <c r="O4966" s="4" t="s">
        <v>3425</v>
      </c>
      <c r="P4966" s="3" t="s">
        <v>3424</v>
      </c>
      <c r="Q4966" s="4"/>
      <c r="R4966" s="4"/>
      <c r="S4966" s="9" t="str">
        <f>HYPERLINK("https://pbs.twimg.com/profile_images/999973931254796288/O-appY0G.jpg","View")</f>
        <v>View</v>
      </c>
    </row>
    <row r="4967" spans="1:19" ht="20">
      <c r="A4967" s="8">
        <v>43340.867384259254</v>
      </c>
      <c r="B4967" s="11" t="str">
        <f>HYPERLINK("https://twitter.com/sh_ebhadi","@sh_ebhadi")</f>
        <v>@sh_ebhadi</v>
      </c>
      <c r="C4967" s="6" t="s">
        <v>3103</v>
      </c>
      <c r="D4967" s="5" t="s">
        <v>3423</v>
      </c>
      <c r="E4967" s="9" t="str">
        <f>HYPERLINK("https://twitter.com/sh_ebhadi/status/1034475454797766656","1034475454797766656")</f>
        <v>1034475454797766656</v>
      </c>
      <c r="F4967" s="4"/>
      <c r="G4967" s="4"/>
      <c r="H4967" s="4"/>
      <c r="I4967" s="10" t="str">
        <f>HYPERLINK("http://twitter.com/download/android","Twitter for Android")</f>
        <v>Twitter for Android</v>
      </c>
      <c r="J4967" s="2">
        <v>178</v>
      </c>
      <c r="K4967" s="2">
        <v>103</v>
      </c>
      <c r="L4967" s="2">
        <v>1</v>
      </c>
      <c r="M4967" s="2"/>
      <c r="N4967" s="8">
        <v>43000.300034722226</v>
      </c>
      <c r="O4967" s="4" t="s">
        <v>3101</v>
      </c>
      <c r="P4967" s="3"/>
      <c r="Q4967" s="4"/>
      <c r="R4967" s="4"/>
      <c r="S4967" s="9" t="str">
        <f>HYPERLINK("https://pbs.twimg.com/profile_images/1032362534932832257/9Za9nxr2.jpg","View")</f>
        <v>View</v>
      </c>
    </row>
    <row r="4968" spans="1:19" ht="40">
      <c r="A4968" s="8">
        <v>43340.866851851853</v>
      </c>
      <c r="B4968" s="11" t="str">
        <f>HYPERLINK("https://twitter.com/mansooroola","@mansooroola")</f>
        <v>@mansooroola</v>
      </c>
      <c r="C4968" s="6" t="s">
        <v>620</v>
      </c>
      <c r="D4968" s="5" t="s">
        <v>3422</v>
      </c>
      <c r="E4968" s="9" t="str">
        <f>HYPERLINK("https://twitter.com/mansooroola/status/1034475260542955520","1034475260542955520")</f>
        <v>1034475260542955520</v>
      </c>
      <c r="F4968" s="4"/>
      <c r="G4968" s="4"/>
      <c r="H4968" s="4"/>
      <c r="I4968" s="10" t="str">
        <f>HYPERLINK("http://twitter.com/download/android","Twitter for Android")</f>
        <v>Twitter for Android</v>
      </c>
      <c r="J4968" s="2">
        <v>2106</v>
      </c>
      <c r="K4968" s="2">
        <v>1975</v>
      </c>
      <c r="L4968" s="2">
        <v>21</v>
      </c>
      <c r="M4968" s="2"/>
      <c r="N4968" s="8">
        <v>42213.823923611111</v>
      </c>
      <c r="O4968" s="4"/>
      <c r="P4968" s="3" t="s">
        <v>618</v>
      </c>
      <c r="Q4968" s="4"/>
      <c r="R4968" s="4"/>
      <c r="S4968" s="9" t="str">
        <f>HYPERLINK("https://pbs.twimg.com/profile_images/856157384066072577/GmKN4v8j.jpg","View")</f>
        <v>View</v>
      </c>
    </row>
    <row r="4969" spans="1:19" ht="12.5">
      <c r="A4969" s="8">
        <v>43340.866539351853</v>
      </c>
      <c r="B4969" s="11" t="str">
        <f>HYPERLINK("https://twitter.com/AvaSabaghi","@AvaSabaghi")</f>
        <v>@AvaSabaghi</v>
      </c>
      <c r="C4969" s="6" t="s">
        <v>3421</v>
      </c>
      <c r="D4969" s="5" t="s">
        <v>3420</v>
      </c>
      <c r="E4969" s="9" t="str">
        <f>HYPERLINK("https://twitter.com/AvaSabaghi/status/1034475148244643840","1034475148244643840")</f>
        <v>1034475148244643840</v>
      </c>
      <c r="F4969" s="4"/>
      <c r="G4969" s="4"/>
      <c r="H4969" s="4"/>
      <c r="I4969" s="10" t="str">
        <f>HYPERLINK("http://twitter.com/download/android","Twitter for Android")</f>
        <v>Twitter for Android</v>
      </c>
      <c r="J4969" s="2">
        <v>40</v>
      </c>
      <c r="K4969" s="2">
        <v>71</v>
      </c>
      <c r="L4969" s="2">
        <v>0</v>
      </c>
      <c r="M4969" s="2"/>
      <c r="N4969" s="8">
        <v>42943.884224537032</v>
      </c>
      <c r="O4969" s="4" t="s">
        <v>34</v>
      </c>
      <c r="P4969" s="3" t="s">
        <v>3419</v>
      </c>
      <c r="Q4969" s="4"/>
      <c r="R4969" s="4"/>
      <c r="S4969" s="9" t="str">
        <f>HYPERLINK("https://pbs.twimg.com/profile_images/890617587075358721/kisVVJnd.jpg","View")</f>
        <v>View</v>
      </c>
    </row>
    <row r="4970" spans="1:19" ht="30">
      <c r="A4970" s="8">
        <v>43340.865856481483</v>
      </c>
      <c r="B4970" s="11" t="str">
        <f>HYPERLINK("https://twitter.com/m_ghaedi","@m_ghaedi")</f>
        <v>@m_ghaedi</v>
      </c>
      <c r="C4970" s="6" t="s">
        <v>3418</v>
      </c>
      <c r="D4970" s="5" t="s">
        <v>3417</v>
      </c>
      <c r="E4970" s="9" t="str">
        <f>HYPERLINK("https://twitter.com/m_ghaedi/status/1034474900650713089","1034474900650713089")</f>
        <v>1034474900650713089</v>
      </c>
      <c r="F4970" s="4"/>
      <c r="G4970" s="4"/>
      <c r="H4970" s="4"/>
      <c r="I4970" s="10" t="str">
        <f>HYPERLINK("http://twitter.com/download/android","Twitter for Android")</f>
        <v>Twitter for Android</v>
      </c>
      <c r="J4970" s="2">
        <v>5109</v>
      </c>
      <c r="K4970" s="2">
        <v>3063</v>
      </c>
      <c r="L4970" s="2">
        <v>13</v>
      </c>
      <c r="M4970" s="2"/>
      <c r="N4970" s="8">
        <v>42742.733136574076</v>
      </c>
      <c r="O4970" s="4" t="s">
        <v>310</v>
      </c>
      <c r="P4970" s="3" t="s">
        <v>3416</v>
      </c>
      <c r="Q4970" s="4"/>
      <c r="R4970" s="4"/>
      <c r="S4970" s="9" t="str">
        <f>HYPERLINK("https://pbs.twimg.com/profile_images/1021356154029518848/T8pKb5xe.jpg","View")</f>
        <v>View</v>
      </c>
    </row>
    <row r="4971" spans="1:19" ht="12.5">
      <c r="A4971" s="8">
        <v>43340.865497685183</v>
      </c>
      <c r="B4971" s="11" t="str">
        <f>HYPERLINK("https://twitter.com/rezaeimajid1","@rezaeimajid1")</f>
        <v>@rezaeimajid1</v>
      </c>
      <c r="C4971" s="6" t="s">
        <v>3415</v>
      </c>
      <c r="D4971" s="5" t="s">
        <v>3414</v>
      </c>
      <c r="E4971" s="9" t="str">
        <f>HYPERLINK("https://twitter.com/rezaeimajid1/status/1034474770291515392","1034474770291515392")</f>
        <v>1034474770291515392</v>
      </c>
      <c r="F4971" s="4"/>
      <c r="G4971" s="4"/>
      <c r="H4971" s="4"/>
      <c r="I4971" s="10" t="str">
        <f>HYPERLINK("http://twitter.com/download/android","Twitter for Android")</f>
        <v>Twitter for Android</v>
      </c>
      <c r="J4971" s="2">
        <v>60</v>
      </c>
      <c r="K4971" s="2">
        <v>74</v>
      </c>
      <c r="L4971" s="2">
        <v>0</v>
      </c>
      <c r="M4971" s="2"/>
      <c r="N4971" s="8">
        <v>41166.609988425924</v>
      </c>
      <c r="O4971" s="4" t="s">
        <v>324</v>
      </c>
      <c r="P4971" s="14" t="s">
        <v>3413</v>
      </c>
      <c r="Q4971" s="10" t="s">
        <v>3412</v>
      </c>
      <c r="R4971" s="4"/>
      <c r="S4971" s="9" t="str">
        <f>HYPERLINK("https://pbs.twimg.com/profile_images/1007023994044854276/NNnUrBCu.jpg","View")</f>
        <v>View</v>
      </c>
    </row>
    <row r="4972" spans="1:19" ht="12.5">
      <c r="A4972" s="8">
        <v>43340.865208333329</v>
      </c>
      <c r="B4972" s="11" t="str">
        <f>HYPERLINK("https://twitter.com/MeythaM_","@MeythaM_")</f>
        <v>@MeythaM_</v>
      </c>
      <c r="C4972" s="6" t="s">
        <v>3411</v>
      </c>
      <c r="D4972" s="5" t="s">
        <v>3410</v>
      </c>
      <c r="E4972" s="9" t="str">
        <f>HYPERLINK("https://twitter.com/MeythaM_/status/1034474664591077377","1034474664591077377")</f>
        <v>1034474664591077377</v>
      </c>
      <c r="F4972" s="4"/>
      <c r="G4972" s="4"/>
      <c r="H4972" s="4"/>
      <c r="I4972" s="10" t="str">
        <f>HYPERLINK("http://twitter.com/download/android","Twitter for Android")</f>
        <v>Twitter for Android</v>
      </c>
      <c r="J4972" s="2">
        <v>1506</v>
      </c>
      <c r="K4972" s="2">
        <v>2151</v>
      </c>
      <c r="L4972" s="2">
        <v>2</v>
      </c>
      <c r="M4972" s="2"/>
      <c r="N4972" s="8">
        <v>42772.897349537037</v>
      </c>
      <c r="O4972" s="4" t="s">
        <v>431</v>
      </c>
      <c r="P4972" s="3" t="s">
        <v>3409</v>
      </c>
      <c r="Q4972" s="4"/>
      <c r="R4972" s="4"/>
      <c r="S4972" s="9" t="str">
        <f>HYPERLINK("https://pbs.twimg.com/profile_images/986158947986845696/GZPbZzwS.jpg","View")</f>
        <v>View</v>
      </c>
    </row>
    <row r="4973" spans="1:19" ht="20">
      <c r="A4973" s="8">
        <v>43340.86513888889</v>
      </c>
      <c r="B4973" s="11" t="str">
        <f>HYPERLINK("https://twitter.com/HoseinySaeed","@HoseinySaeed")</f>
        <v>@HoseinySaeed</v>
      </c>
      <c r="C4973" s="6" t="s">
        <v>3408</v>
      </c>
      <c r="D4973" s="5" t="s">
        <v>3407</v>
      </c>
      <c r="E4973" s="9" t="str">
        <f>HYPERLINK("https://twitter.com/HoseinySaeed/status/1034474638468730881","1034474638468730881")</f>
        <v>1034474638468730881</v>
      </c>
      <c r="F4973" s="4"/>
      <c r="G4973" s="10" t="s">
        <v>3406</v>
      </c>
      <c r="H4973" s="4"/>
      <c r="I4973" s="10" t="str">
        <f>HYPERLINK("http://twitter.com/download/iphone","Twitter for iPhone")</f>
        <v>Twitter for iPhone</v>
      </c>
      <c r="J4973" s="2">
        <v>15</v>
      </c>
      <c r="K4973" s="2">
        <v>34</v>
      </c>
      <c r="L4973" s="2">
        <v>0</v>
      </c>
      <c r="M4973" s="2"/>
      <c r="N4973" s="8">
        <v>42483.8127662037</v>
      </c>
      <c r="O4973" s="4" t="s">
        <v>3405</v>
      </c>
      <c r="P4973" s="3" t="s">
        <v>3404</v>
      </c>
      <c r="Q4973" s="4"/>
      <c r="R4973" s="4"/>
      <c r="S4973" s="9" t="str">
        <f>HYPERLINK("https://pbs.twimg.com/profile_images/927495532121149441/oC_yeNob.jpg","View")</f>
        <v>View</v>
      </c>
    </row>
    <row r="4974" spans="1:19" ht="20">
      <c r="A4974" s="8">
        <v>43340.865127314813</v>
      </c>
      <c r="B4974" s="11" t="str">
        <f>HYPERLINK("https://twitter.com/A_berrrr","@A_berrrr")</f>
        <v>@A_berrrr</v>
      </c>
      <c r="C4974" s="6" t="s">
        <v>3368</v>
      </c>
      <c r="D4974" s="5" t="s">
        <v>3403</v>
      </c>
      <c r="E4974" s="9" t="str">
        <f>HYPERLINK("https://twitter.com/A_berrrr/status/1034474638112419842","1034474638112419842")</f>
        <v>1034474638112419842</v>
      </c>
      <c r="F4974" s="4"/>
      <c r="G4974" s="4"/>
      <c r="H4974" s="4"/>
      <c r="I4974" s="10" t="str">
        <f>HYPERLINK("http://twitter.com/download/android","Twitter for Android")</f>
        <v>Twitter for Android</v>
      </c>
      <c r="J4974" s="2">
        <v>92</v>
      </c>
      <c r="K4974" s="2">
        <v>294</v>
      </c>
      <c r="L4974" s="2">
        <v>0</v>
      </c>
      <c r="M4974" s="2"/>
      <c r="N4974" s="8">
        <v>42409.990405092598</v>
      </c>
      <c r="O4974" s="4"/>
      <c r="P4974" s="3" t="s">
        <v>3366</v>
      </c>
      <c r="Q4974" s="4"/>
      <c r="R4974" s="4"/>
      <c r="S4974" s="9" t="str">
        <f>HYPERLINK("https://pbs.twimg.com/profile_images/1028857074287931392/mbJFb049.jpg","View")</f>
        <v>View</v>
      </c>
    </row>
    <row r="4975" spans="1:19" ht="40">
      <c r="A4975" s="8">
        <v>43340.864664351851</v>
      </c>
      <c r="B4975" s="11" t="str">
        <f>HYPERLINK("https://twitter.com/ashksabalan2017","@ashksabalan2017")</f>
        <v>@ashksabalan2017</v>
      </c>
      <c r="C4975" s="6" t="s">
        <v>3402</v>
      </c>
      <c r="D4975" s="5" t="s">
        <v>3401</v>
      </c>
      <c r="E4975" s="9" t="str">
        <f>HYPERLINK("https://twitter.com/ashksabalan2017/status/1034474469400690688","1034474469400690688")</f>
        <v>1034474469400690688</v>
      </c>
      <c r="F4975" s="4"/>
      <c r="G4975" s="10" t="s">
        <v>3400</v>
      </c>
      <c r="H4975" s="4"/>
      <c r="I4975" s="10" t="str">
        <f>HYPERLINK("http://twitter.com","Twitter Web Client")</f>
        <v>Twitter Web Client</v>
      </c>
      <c r="J4975" s="2">
        <v>2486</v>
      </c>
      <c r="K4975" s="2">
        <v>2688</v>
      </c>
      <c r="L4975" s="2">
        <v>6</v>
      </c>
      <c r="M4975" s="2"/>
      <c r="N4975" s="8">
        <v>42854.485833333332</v>
      </c>
      <c r="O4975" s="4"/>
      <c r="P4975" s="3" t="s">
        <v>3399</v>
      </c>
      <c r="Q4975" s="4"/>
      <c r="R4975" s="4"/>
      <c r="S4975" s="9" t="str">
        <f>HYPERLINK("https://pbs.twimg.com/profile_images/997528856130039808/bW2rlckF.jpg","View")</f>
        <v>View</v>
      </c>
    </row>
    <row r="4976" spans="1:19" ht="30">
      <c r="A4976" s="8">
        <v>43340.864583333328</v>
      </c>
      <c r="B4976" s="11" t="str">
        <f>HYPERLINK("https://twitter.com/revo_lution_ary","@revo_lution_ary")</f>
        <v>@revo_lution_ary</v>
      </c>
      <c r="C4976" s="6" t="s">
        <v>3398</v>
      </c>
      <c r="D4976" s="5" t="s">
        <v>3397</v>
      </c>
      <c r="E4976" s="9" t="str">
        <f>HYPERLINK("https://twitter.com/revo_lution_ary/status/1034474439776395265","1034474439776395265")</f>
        <v>1034474439776395265</v>
      </c>
      <c r="F4976" s="4"/>
      <c r="G4976" s="4"/>
      <c r="H4976" s="4"/>
      <c r="I4976" s="10" t="str">
        <f>HYPERLINK("http://twitter.com/download/android","Twitter for Android")</f>
        <v>Twitter for Android</v>
      </c>
      <c r="J4976" s="2">
        <v>2692</v>
      </c>
      <c r="K4976" s="2">
        <v>2718</v>
      </c>
      <c r="L4976" s="2">
        <v>2</v>
      </c>
      <c r="M4976" s="2"/>
      <c r="N4976" s="8">
        <v>42690.570266203707</v>
      </c>
      <c r="O4976" s="4" t="s">
        <v>3396</v>
      </c>
      <c r="P4976" s="3" t="s">
        <v>3395</v>
      </c>
      <c r="Q4976" s="4"/>
      <c r="R4976" s="4"/>
      <c r="S4976" s="9" t="str">
        <f>HYPERLINK("https://pbs.twimg.com/profile_images/1032265801393418242/b7XeMsRu.jpg","View")</f>
        <v>View</v>
      </c>
    </row>
    <row r="4977" spans="1:19" ht="40">
      <c r="A4977" s="8">
        <v>43340.864560185189</v>
      </c>
      <c r="B4977" s="11" t="str">
        <f>HYPERLINK("https://twitter.com/3ein_k","@3ein_k")</f>
        <v>@3ein_k</v>
      </c>
      <c r="C4977" s="6" t="s">
        <v>3394</v>
      </c>
      <c r="D4977" s="5" t="s">
        <v>3393</v>
      </c>
      <c r="E4977" s="9" t="str">
        <f>HYPERLINK("https://twitter.com/3ein_k/status/1034474431299694594","1034474431299694594")</f>
        <v>1034474431299694594</v>
      </c>
      <c r="F4977" s="4"/>
      <c r="G4977" s="4"/>
      <c r="H4977" s="4"/>
      <c r="I4977" s="10" t="str">
        <f>HYPERLINK("http://twitter.com/download/android","Twitter for Android")</f>
        <v>Twitter for Android</v>
      </c>
      <c r="J4977" s="2">
        <v>26</v>
      </c>
      <c r="K4977" s="2">
        <v>303</v>
      </c>
      <c r="L4977" s="2">
        <v>0</v>
      </c>
      <c r="M4977" s="2"/>
      <c r="N4977" s="8">
        <v>43304.469421296293</v>
      </c>
      <c r="O4977" s="4"/>
      <c r="P4977" s="3" t="s">
        <v>3392</v>
      </c>
      <c r="Q4977" s="4"/>
      <c r="R4977" s="4"/>
      <c r="S4977" s="9" t="str">
        <f>HYPERLINK("https://pbs.twimg.com/profile_images/1034474902487801862/RXpBcwgA.jpg","View")</f>
        <v>View</v>
      </c>
    </row>
    <row r="4978" spans="1:19" ht="30">
      <c r="A4978" s="8">
        <v>43340.863275462965</v>
      </c>
      <c r="B4978" s="11" t="str">
        <f>HYPERLINK("https://twitter.com/pouria_63","@pouria_63")</f>
        <v>@pouria_63</v>
      </c>
      <c r="C4978" s="6" t="s">
        <v>3391</v>
      </c>
      <c r="D4978" s="5" t="s">
        <v>3390</v>
      </c>
      <c r="E4978" s="9" t="str">
        <f>HYPERLINK("https://twitter.com/pouria_63/status/1034473964792410112","1034473964792410112")</f>
        <v>1034473964792410112</v>
      </c>
      <c r="F4978" s="4"/>
      <c r="G4978" s="10" t="s">
        <v>3389</v>
      </c>
      <c r="H4978" s="4"/>
      <c r="I4978" s="10" t="str">
        <f>HYPERLINK("http://twitter.com","Twitter Web Client")</f>
        <v>Twitter Web Client</v>
      </c>
      <c r="J4978" s="2">
        <v>407</v>
      </c>
      <c r="K4978" s="2">
        <v>510</v>
      </c>
      <c r="L4978" s="2">
        <v>1</v>
      </c>
      <c r="M4978" s="2"/>
      <c r="N4978" s="8">
        <v>42976.849166666667</v>
      </c>
      <c r="O4978" s="4"/>
      <c r="P4978" s="3"/>
      <c r="Q4978" s="4"/>
      <c r="R4978" s="4"/>
      <c r="S4978" s="9" t="str">
        <f>HYPERLINK("https://pbs.twimg.com/profile_images/1001037964737003520/8_0WiOn1.jpg","View")</f>
        <v>View</v>
      </c>
    </row>
    <row r="4979" spans="1:19" ht="40">
      <c r="A4979" s="8">
        <v>43340.86319444445</v>
      </c>
      <c r="B4979" s="11" t="str">
        <f>HYPERLINK("https://twitter.com/SonofRuhollah","@SonofRuhollah")</f>
        <v>@SonofRuhollah</v>
      </c>
      <c r="C4979" s="6" t="s">
        <v>3388</v>
      </c>
      <c r="D4979" s="5" t="s">
        <v>3387</v>
      </c>
      <c r="E4979" s="9" t="str">
        <f>HYPERLINK("https://twitter.com/SonofRuhollah/status/1034473934660554753","1034473934660554753")</f>
        <v>1034473934660554753</v>
      </c>
      <c r="F4979" s="4"/>
      <c r="G4979" s="4"/>
      <c r="H4979" s="4"/>
      <c r="I4979" s="10" t="str">
        <f>HYPERLINK("https://mobile.twitter.com","Twitter Lite")</f>
        <v>Twitter Lite</v>
      </c>
      <c r="J4979" s="2">
        <v>1348</v>
      </c>
      <c r="K4979" s="2">
        <v>1639</v>
      </c>
      <c r="L4979" s="2">
        <v>1</v>
      </c>
      <c r="M4979" s="2"/>
      <c r="N4979" s="8">
        <v>42956.446215277778</v>
      </c>
      <c r="O4979" s="4"/>
      <c r="P4979" s="3" t="s">
        <v>3386</v>
      </c>
      <c r="Q4979" s="4"/>
      <c r="R4979" s="4"/>
      <c r="S4979" s="9" t="str">
        <f>HYPERLINK("https://pbs.twimg.com/profile_images/979052084958867462/Au9e_aUL.jpg","View")</f>
        <v>View</v>
      </c>
    </row>
    <row r="4980" spans="1:19" ht="40">
      <c r="A4980" s="8">
        <v>43340.862581018519</v>
      </c>
      <c r="B4980" s="11" t="str">
        <f>HYPERLINK("https://twitter.com/corzangolo","@corzangolo")</f>
        <v>@corzangolo</v>
      </c>
      <c r="C4980" s="6" t="s">
        <v>3385</v>
      </c>
      <c r="D4980" s="5" t="s">
        <v>3384</v>
      </c>
      <c r="E4980" s="9" t="str">
        <f>HYPERLINK("https://twitter.com/corzangolo/status/1034473713692016640","1034473713692016640")</f>
        <v>1034473713692016640</v>
      </c>
      <c r="F4980" s="4"/>
      <c r="G4980" s="10" t="s">
        <v>3383</v>
      </c>
      <c r="H4980" s="4"/>
      <c r="I4980" s="10" t="str">
        <f>HYPERLINK("http://twitter.com/download/android","Twitter for Android")</f>
        <v>Twitter for Android</v>
      </c>
      <c r="J4980" s="2">
        <v>197</v>
      </c>
      <c r="K4980" s="2">
        <v>273</v>
      </c>
      <c r="L4980" s="2">
        <v>0</v>
      </c>
      <c r="M4980" s="2"/>
      <c r="N4980" s="8">
        <v>43196.078275462962</v>
      </c>
      <c r="O4980" s="4"/>
      <c r="P4980" s="3" t="s">
        <v>3382</v>
      </c>
      <c r="Q4980" s="4"/>
      <c r="R4980" s="4"/>
      <c r="S4980" s="9" t="str">
        <f>HYPERLINK("https://pbs.twimg.com/profile_images/984397064393183232/3M9427Z8.jpg","View")</f>
        <v>View</v>
      </c>
    </row>
    <row r="4981" spans="1:19" ht="30">
      <c r="A4981" s="8">
        <v>43340.862511574072</v>
      </c>
      <c r="B4981" s="11" t="str">
        <f>HYPERLINK("https://twitter.com/jaaa_maandeh","@jaaa_maandeh")</f>
        <v>@jaaa_maandeh</v>
      </c>
      <c r="C4981" s="6" t="s">
        <v>3381</v>
      </c>
      <c r="D4981" s="5" t="s">
        <v>3380</v>
      </c>
      <c r="E4981" s="9" t="str">
        <f>HYPERLINK("https://twitter.com/jaaa_maandeh/status/1034473687313997824","1034473687313997824")</f>
        <v>1034473687313997824</v>
      </c>
      <c r="F4981" s="4"/>
      <c r="G4981" s="4"/>
      <c r="H4981" s="4"/>
      <c r="I4981" s="10" t="str">
        <f>HYPERLINK("http://twitter.com/download/android","Twitter for Android")</f>
        <v>Twitter for Android</v>
      </c>
      <c r="J4981" s="2">
        <v>27</v>
      </c>
      <c r="K4981" s="2">
        <v>87</v>
      </c>
      <c r="L4981" s="2">
        <v>0</v>
      </c>
      <c r="M4981" s="2"/>
      <c r="N4981" s="8">
        <v>43294.530162037037</v>
      </c>
      <c r="O4981" s="4" t="s">
        <v>34</v>
      </c>
      <c r="P4981" s="3" t="s">
        <v>3379</v>
      </c>
      <c r="Q4981" s="4"/>
      <c r="R4981" s="4"/>
      <c r="S4981" s="9" t="str">
        <f>HYPERLINK("https://pbs.twimg.com/profile_images/1017684935526748160/CbeHLdXR.jpg","View")</f>
        <v>View</v>
      </c>
    </row>
    <row r="4982" spans="1:19" ht="30">
      <c r="A4982" s="8">
        <v>43340.862488425926</v>
      </c>
      <c r="B4982" s="11" t="str">
        <f>HYPERLINK("https://twitter.com/Alirezagh1368","@Alirezagh1368")</f>
        <v>@Alirezagh1368</v>
      </c>
      <c r="C4982" s="6" t="s">
        <v>3378</v>
      </c>
      <c r="D4982" s="5" t="s">
        <v>3377</v>
      </c>
      <c r="E4982" s="9" t="str">
        <f>HYPERLINK("https://twitter.com/Alirezagh1368/status/1034473678434652160","1034473678434652160")</f>
        <v>1034473678434652160</v>
      </c>
      <c r="F4982" s="4"/>
      <c r="G4982" s="4"/>
      <c r="H4982" s="4"/>
      <c r="I4982" s="10" t="str">
        <f>HYPERLINK("http://twitter.com/download/android","Twitter for Android")</f>
        <v>Twitter for Android</v>
      </c>
      <c r="J4982" s="2">
        <v>41</v>
      </c>
      <c r="K4982" s="2">
        <v>91</v>
      </c>
      <c r="L4982" s="2">
        <v>0</v>
      </c>
      <c r="M4982" s="2"/>
      <c r="N4982" s="8">
        <v>40622.697974537034</v>
      </c>
      <c r="O4982" s="4"/>
      <c r="P4982" s="3" t="s">
        <v>3376</v>
      </c>
      <c r="Q4982" s="4"/>
      <c r="R4982" s="4"/>
      <c r="S4982" s="9" t="str">
        <f>HYPERLINK("https://pbs.twimg.com/profile_images/2352013658/em835wz3wr3cqhhtk7u2.jpeg","View")</f>
        <v>View</v>
      </c>
    </row>
    <row r="4983" spans="1:19" ht="40">
      <c r="A4983" s="8">
        <v>43340.862222222218</v>
      </c>
      <c r="B4983" s="11" t="str">
        <f>HYPERLINK("https://twitter.com/VictorLoggo","@VictorLoggo")</f>
        <v>@VictorLoggo</v>
      </c>
      <c r="C4983" s="6" t="s">
        <v>969</v>
      </c>
      <c r="D4983" s="5" t="s">
        <v>3375</v>
      </c>
      <c r="E4983" s="9" t="str">
        <f>HYPERLINK("https://twitter.com/VictorLoggo/status/1034473582397718528","1034473582397718528")</f>
        <v>1034473582397718528</v>
      </c>
      <c r="F4983" s="4"/>
      <c r="G4983" s="4"/>
      <c r="H4983" s="4"/>
      <c r="I4983" s="10" t="str">
        <f>HYPERLINK("http://twitter.com/download/android","Twitter for Android")</f>
        <v>Twitter for Android</v>
      </c>
      <c r="J4983" s="2">
        <v>206</v>
      </c>
      <c r="K4983" s="2">
        <v>269</v>
      </c>
      <c r="L4983" s="2">
        <v>0</v>
      </c>
      <c r="M4983" s="2"/>
      <c r="N4983" s="8">
        <v>42377.105624999997</v>
      </c>
      <c r="O4983" s="4" t="s">
        <v>967</v>
      </c>
      <c r="P4983" s="3" t="s">
        <v>966</v>
      </c>
      <c r="Q4983" s="4"/>
      <c r="R4983" s="4"/>
      <c r="S4983" s="9" t="str">
        <f>HYPERLINK("https://pbs.twimg.com/profile_images/1015821586522345472/QxrRvtqD.jpg","View")</f>
        <v>View</v>
      </c>
    </row>
    <row r="4984" spans="1:19" ht="30">
      <c r="A4984" s="8">
        <v>43340.862141203703</v>
      </c>
      <c r="B4984" s="11" t="str">
        <f>HYPERLINK("https://twitter.com/DaeeHassan","@DaeeHassan")</f>
        <v>@DaeeHassan</v>
      </c>
      <c r="C4984" s="6" t="s">
        <v>3374</v>
      </c>
      <c r="D4984" s="5" t="s">
        <v>3373</v>
      </c>
      <c r="E4984" s="9" t="str">
        <f>HYPERLINK("https://twitter.com/DaeeHassan/status/1034473552827887616","1034473552827887616")</f>
        <v>1034473552827887616</v>
      </c>
      <c r="F4984" s="4"/>
      <c r="G4984" s="4"/>
      <c r="H4984" s="4"/>
      <c r="I4984" s="10" t="str">
        <f>HYPERLINK("http://twitter.com/download/android","Twitter for Android")</f>
        <v>Twitter for Android</v>
      </c>
      <c r="J4984" s="2">
        <v>1398</v>
      </c>
      <c r="K4984" s="2">
        <v>1064</v>
      </c>
      <c r="L4984" s="2">
        <v>1</v>
      </c>
      <c r="M4984" s="2"/>
      <c r="N4984" s="8">
        <v>42773.082974537036</v>
      </c>
      <c r="O4984" s="4" t="s">
        <v>2440</v>
      </c>
      <c r="P4984" s="3" t="s">
        <v>3372</v>
      </c>
      <c r="Q4984" s="4"/>
      <c r="R4984" s="4"/>
      <c r="S4984" s="9" t="str">
        <f>HYPERLINK("https://pbs.twimg.com/profile_images/943173983079424000/nkx3mVMx.jpg","View")</f>
        <v>View</v>
      </c>
    </row>
    <row r="4985" spans="1:19" ht="40">
      <c r="A4985" s="8">
        <v>43340.861689814818</v>
      </c>
      <c r="B4985" s="11" t="str">
        <f>HYPERLINK("https://twitter.com/Abdullahhag1","@Abdullahhag1")</f>
        <v>@Abdullahhag1</v>
      </c>
      <c r="C4985" s="6" t="s">
        <v>3371</v>
      </c>
      <c r="D4985" s="5" t="s">
        <v>3370</v>
      </c>
      <c r="E4985" s="9" t="str">
        <f>HYPERLINK("https://twitter.com/Abdullahhag1/status/1034473391703638017","1034473391703638017")</f>
        <v>1034473391703638017</v>
      </c>
      <c r="F4985" s="4"/>
      <c r="G4985" s="4"/>
      <c r="H4985" s="4"/>
      <c r="I4985" s="10" t="str">
        <f>HYPERLINK("http://twitter.com/download/android","Twitter for Android")</f>
        <v>Twitter for Android</v>
      </c>
      <c r="J4985" s="2">
        <v>993</v>
      </c>
      <c r="K4985" s="2">
        <v>281</v>
      </c>
      <c r="L4985" s="2">
        <v>0</v>
      </c>
      <c r="M4985" s="2"/>
      <c r="N4985" s="8">
        <v>42962.819444444445</v>
      </c>
      <c r="O4985" s="4" t="s">
        <v>17</v>
      </c>
      <c r="P4985" s="3" t="s">
        <v>3369</v>
      </c>
      <c r="Q4985" s="4"/>
      <c r="R4985" s="4"/>
      <c r="S4985" s="9" t="str">
        <f>HYPERLINK("https://pbs.twimg.com/profile_images/1034005517977436161/V0vvoWiv.jpg","View")</f>
        <v>View</v>
      </c>
    </row>
    <row r="4986" spans="1:19" ht="30">
      <c r="A4986" s="8">
        <v>43340.861608796295</v>
      </c>
      <c r="B4986" s="11" t="str">
        <f>HYPERLINK("https://twitter.com/A_berrrr","@A_berrrr")</f>
        <v>@A_berrrr</v>
      </c>
      <c r="C4986" s="6" t="s">
        <v>3368</v>
      </c>
      <c r="D4986" s="5" t="s">
        <v>3367</v>
      </c>
      <c r="E4986" s="9" t="str">
        <f>HYPERLINK("https://twitter.com/A_berrrr/status/1034473361139740673","1034473361139740673")</f>
        <v>1034473361139740673</v>
      </c>
      <c r="F4986" s="4"/>
      <c r="G4986" s="4"/>
      <c r="H4986" s="4"/>
      <c r="I4986" s="10" t="str">
        <f>HYPERLINK("http://twitter.com/download/android","Twitter for Android")</f>
        <v>Twitter for Android</v>
      </c>
      <c r="J4986" s="2">
        <v>92</v>
      </c>
      <c r="K4986" s="2">
        <v>294</v>
      </c>
      <c r="L4986" s="2">
        <v>0</v>
      </c>
      <c r="M4986" s="2"/>
      <c r="N4986" s="8">
        <v>42409.990405092598</v>
      </c>
      <c r="O4986" s="4"/>
      <c r="P4986" s="3" t="s">
        <v>3366</v>
      </c>
      <c r="Q4986" s="4"/>
      <c r="R4986" s="4"/>
      <c r="S4986" s="9" t="str">
        <f>HYPERLINK("https://pbs.twimg.com/profile_images/1028857074287931392/mbJFb049.jpg","View")</f>
        <v>View</v>
      </c>
    </row>
    <row r="4987" spans="1:19" ht="30">
      <c r="A4987" s="8">
        <v>43340.861192129625</v>
      </c>
      <c r="B4987" s="11" t="str">
        <f>HYPERLINK("https://twitter.com/salman_sanjary","@salman_sanjary")</f>
        <v>@salman_sanjary</v>
      </c>
      <c r="C4987" s="6" t="s">
        <v>3365</v>
      </c>
      <c r="D4987" s="5" t="s">
        <v>3364</v>
      </c>
      <c r="E4987" s="9" t="str">
        <f>HYPERLINK("https://twitter.com/salman_sanjary/status/1034473211814207489","1034473211814207489")</f>
        <v>1034473211814207489</v>
      </c>
      <c r="F4987" s="4"/>
      <c r="G4987" s="4"/>
      <c r="H4987" s="4"/>
      <c r="I4987" s="10" t="str">
        <f>HYPERLINK("http://twitter.com/download/android","Twitter for Android")</f>
        <v>Twitter for Android</v>
      </c>
      <c r="J4987" s="2">
        <v>112</v>
      </c>
      <c r="K4987" s="2">
        <v>225</v>
      </c>
      <c r="L4987" s="2">
        <v>1</v>
      </c>
      <c r="M4987" s="2"/>
      <c r="N4987" s="8">
        <v>43310.393240740741</v>
      </c>
      <c r="O4987" s="4" t="s">
        <v>3363</v>
      </c>
      <c r="P4987" s="3" t="s">
        <v>3362</v>
      </c>
      <c r="Q4987" s="4"/>
      <c r="R4987" s="4"/>
      <c r="S4987" s="9" t="str">
        <f>HYPERLINK("https://pbs.twimg.com/profile_images/1023443114164404225/aoqNKpOX.jpg","View")</f>
        <v>View</v>
      </c>
    </row>
    <row r="4988" spans="1:19" ht="30">
      <c r="A4988" s="8">
        <v>43340.860312500001</v>
      </c>
      <c r="B4988" s="11" t="str">
        <f>HYPERLINK("https://twitter.com/VictorLoggo","@VictorLoggo")</f>
        <v>@VictorLoggo</v>
      </c>
      <c r="C4988" s="6" t="s">
        <v>969</v>
      </c>
      <c r="D4988" s="5" t="s">
        <v>3361</v>
      </c>
      <c r="E4988" s="9" t="str">
        <f>HYPERLINK("https://twitter.com/VictorLoggo/status/1034472893311315971","1034472893311315971")</f>
        <v>1034472893311315971</v>
      </c>
      <c r="F4988" s="4"/>
      <c r="G4988" s="4"/>
      <c r="H4988" s="4"/>
      <c r="I4988" s="10" t="str">
        <f>HYPERLINK("http://twitter.com/download/android","Twitter for Android")</f>
        <v>Twitter for Android</v>
      </c>
      <c r="J4988" s="2">
        <v>206</v>
      </c>
      <c r="K4988" s="2">
        <v>269</v>
      </c>
      <c r="L4988" s="2">
        <v>0</v>
      </c>
      <c r="M4988" s="2"/>
      <c r="N4988" s="8">
        <v>42377.105624999997</v>
      </c>
      <c r="O4988" s="4" t="s">
        <v>967</v>
      </c>
      <c r="P4988" s="3" t="s">
        <v>966</v>
      </c>
      <c r="Q4988" s="4"/>
      <c r="R4988" s="4"/>
      <c r="S4988" s="9" t="str">
        <f>HYPERLINK("https://pbs.twimg.com/profile_images/1015821586522345472/QxrRvtqD.jpg","View")</f>
        <v>View</v>
      </c>
    </row>
    <row r="4989" spans="1:19" ht="20">
      <c r="A4989" s="8">
        <v>43340.860266203701</v>
      </c>
      <c r="B4989" s="11" t="str">
        <f>HYPERLINK("https://twitter.com/Farivarkharabat","@Farivarkharabat")</f>
        <v>@Farivarkharabat</v>
      </c>
      <c r="C4989" s="6" t="s">
        <v>3360</v>
      </c>
      <c r="D4989" s="5" t="s">
        <v>3359</v>
      </c>
      <c r="E4989" s="9" t="str">
        <f>HYPERLINK("https://twitter.com/Farivarkharabat/status/1034472875841990656","1034472875841990656")</f>
        <v>1034472875841990656</v>
      </c>
      <c r="F4989" s="4"/>
      <c r="G4989" s="4"/>
      <c r="H4989" s="4"/>
      <c r="I4989" s="10" t="str">
        <f>HYPERLINK("http://twitter.com/download/android","Twitter for Android")</f>
        <v>Twitter for Android</v>
      </c>
      <c r="J4989" s="2">
        <v>2091</v>
      </c>
      <c r="K4989" s="2">
        <v>221</v>
      </c>
      <c r="L4989" s="2">
        <v>6</v>
      </c>
      <c r="M4989" s="2"/>
      <c r="N4989" s="8">
        <v>42003.762349537035</v>
      </c>
      <c r="O4989" s="4" t="s">
        <v>133</v>
      </c>
      <c r="P4989" s="3" t="s">
        <v>3358</v>
      </c>
      <c r="Q4989" s="4"/>
      <c r="R4989" s="4"/>
      <c r="S4989" s="9" t="str">
        <f>HYPERLINK("https://pbs.twimg.com/profile_images/960918319242055681/3BXjQFAi.jpg","View")</f>
        <v>View</v>
      </c>
    </row>
    <row r="4990" spans="1:19" ht="70">
      <c r="A4990" s="8">
        <v>43340.859768518523</v>
      </c>
      <c r="B4990" s="11" t="str">
        <f>HYPERLINK("https://twitter.com/maryamhdvnd","@maryamhdvnd")</f>
        <v>@maryamhdvnd</v>
      </c>
      <c r="C4990" s="6" t="s">
        <v>3331</v>
      </c>
      <c r="D4990" s="5" t="s">
        <v>3357</v>
      </c>
      <c r="E4990" s="9" t="str">
        <f>HYPERLINK("https://twitter.com/maryamhdvnd/status/1034472695939977218","1034472695939977218")</f>
        <v>1034472695939977218</v>
      </c>
      <c r="F4990" s="10" t="s">
        <v>3356</v>
      </c>
      <c r="G4990" s="4"/>
      <c r="H4990" s="4"/>
      <c r="I4990" s="10" t="str">
        <f>HYPERLINK("https://mobile.twitter.com","Twitter Lite")</f>
        <v>Twitter Lite</v>
      </c>
      <c r="J4990" s="2">
        <v>59</v>
      </c>
      <c r="K4990" s="2">
        <v>76</v>
      </c>
      <c r="L4990" s="2">
        <v>0</v>
      </c>
      <c r="M4990" s="2"/>
      <c r="N4990" s="8">
        <v>43201.93236111111</v>
      </c>
      <c r="O4990" s="4" t="s">
        <v>104</v>
      </c>
      <c r="P4990" s="3" t="s">
        <v>3329</v>
      </c>
      <c r="Q4990" s="4"/>
      <c r="R4990" s="4"/>
      <c r="S4990" s="9" t="str">
        <f>HYPERLINK("https://pbs.twimg.com/profile_images/1033699270275342336/y1wgTHcO.jpg","View")</f>
        <v>View</v>
      </c>
    </row>
    <row r="4991" spans="1:19" ht="40">
      <c r="A4991" s="8">
        <v>43340.858923611115</v>
      </c>
      <c r="B4991" s="11" t="str">
        <f>HYPERLINK("https://twitter.com/m_shahriari","@m_shahriari")</f>
        <v>@m_shahriari</v>
      </c>
      <c r="C4991" s="6" t="s">
        <v>3355</v>
      </c>
      <c r="D4991" s="5" t="s">
        <v>3354</v>
      </c>
      <c r="E4991" s="9" t="str">
        <f>HYPERLINK("https://twitter.com/m_shahriari/status/1034472388505882625","1034472388505882625")</f>
        <v>1034472388505882625</v>
      </c>
      <c r="F4991" s="4"/>
      <c r="G4991" s="10" t="s">
        <v>3353</v>
      </c>
      <c r="H4991" s="4"/>
      <c r="I4991" s="10" t="str">
        <f>HYPERLINK("http://twitter.com/download/android","Twitter for Android")</f>
        <v>Twitter for Android</v>
      </c>
      <c r="J4991" s="2">
        <v>25</v>
      </c>
      <c r="K4991" s="2">
        <v>42</v>
      </c>
      <c r="L4991" s="2">
        <v>0</v>
      </c>
      <c r="M4991" s="2"/>
      <c r="N4991" s="8">
        <v>42781.947557870371</v>
      </c>
      <c r="O4991" s="4"/>
      <c r="P4991" s="3" t="s">
        <v>3352</v>
      </c>
      <c r="Q4991" s="4"/>
      <c r="R4991" s="4"/>
      <c r="S4991" s="9" t="str">
        <f>HYPERLINK("https://pbs.twimg.com/profile_images/831972428943351816/vTLpOzGN.jpg","View")</f>
        <v>View</v>
      </c>
    </row>
    <row r="4992" spans="1:19" ht="40">
      <c r="A4992" s="8">
        <v>43340.858634259261</v>
      </c>
      <c r="B4992" s="11" t="str">
        <f>HYPERLINK("https://twitter.com/VictorLoggo","@VictorLoggo")</f>
        <v>@VictorLoggo</v>
      </c>
      <c r="C4992" s="6" t="s">
        <v>969</v>
      </c>
      <c r="D4992" s="5" t="s">
        <v>3351</v>
      </c>
      <c r="E4992" s="9" t="str">
        <f>HYPERLINK("https://twitter.com/VictorLoggo/status/1034472281735659526","1034472281735659526")</f>
        <v>1034472281735659526</v>
      </c>
      <c r="F4992" s="4"/>
      <c r="G4992" s="4"/>
      <c r="H4992" s="4"/>
      <c r="I4992" s="10" t="str">
        <f>HYPERLINK("http://twitter.com/download/android","Twitter for Android")</f>
        <v>Twitter for Android</v>
      </c>
      <c r="J4992" s="2">
        <v>206</v>
      </c>
      <c r="K4992" s="2">
        <v>269</v>
      </c>
      <c r="L4992" s="2">
        <v>0</v>
      </c>
      <c r="M4992" s="2"/>
      <c r="N4992" s="8">
        <v>42377.105624999997</v>
      </c>
      <c r="O4992" s="4" t="s">
        <v>967</v>
      </c>
      <c r="P4992" s="3" t="s">
        <v>966</v>
      </c>
      <c r="Q4992" s="4"/>
      <c r="R4992" s="4"/>
      <c r="S4992" s="9" t="str">
        <f>HYPERLINK("https://pbs.twimg.com/profile_images/1015821586522345472/QxrRvtqD.jpg","View")</f>
        <v>View</v>
      </c>
    </row>
    <row r="4993" spans="1:19" ht="20">
      <c r="A4993" s="8">
        <v>43340.858078703706</v>
      </c>
      <c r="B4993" s="11" t="str">
        <f>HYPERLINK("https://twitter.com/kXL3UiUpqqAERY1","@kXL3UiUpqqAERY1")</f>
        <v>@kXL3UiUpqqAERY1</v>
      </c>
      <c r="C4993" s="6" t="s">
        <v>584</v>
      </c>
      <c r="D4993" s="5" t="s">
        <v>3350</v>
      </c>
      <c r="E4993" s="9" t="str">
        <f>HYPERLINK("https://twitter.com/kXL3UiUpqqAERY1/status/1034472080790761473","1034472080790761473")</f>
        <v>1034472080790761473</v>
      </c>
      <c r="F4993" s="4"/>
      <c r="G4993" s="4"/>
      <c r="H4993" s="4"/>
      <c r="I4993" s="10" t="str">
        <f>HYPERLINK("http://twitter.com/download/android","Twitter for Android")</f>
        <v>Twitter for Android</v>
      </c>
      <c r="J4993" s="2">
        <v>0</v>
      </c>
      <c r="K4993" s="2">
        <v>0</v>
      </c>
      <c r="L4993" s="2">
        <v>0</v>
      </c>
      <c r="M4993" s="2"/>
      <c r="N4993" s="8">
        <v>43340.846226851849</v>
      </c>
      <c r="O4993" s="4"/>
      <c r="P4993" s="3"/>
      <c r="Q4993" s="4"/>
      <c r="R4993" s="4"/>
      <c r="S4993" s="2" t="s">
        <v>155</v>
      </c>
    </row>
    <row r="4994" spans="1:19" ht="20">
      <c r="A4994" s="8">
        <v>43340.857557870375</v>
      </c>
      <c r="B4994" s="11" t="str">
        <f>HYPERLINK("https://twitter.com/Persian_hero62","@Persian_hero62")</f>
        <v>@Persian_hero62</v>
      </c>
      <c r="C4994" s="6" t="s">
        <v>3349</v>
      </c>
      <c r="D4994" s="5" t="s">
        <v>3348</v>
      </c>
      <c r="E4994" s="9" t="str">
        <f>HYPERLINK("https://twitter.com/Persian_hero62/status/1034471893913554945","1034471893913554945")</f>
        <v>1034471893913554945</v>
      </c>
      <c r="F4994" s="4"/>
      <c r="G4994" s="10" t="s">
        <v>3347</v>
      </c>
      <c r="H4994" s="4"/>
      <c r="I4994" s="10" t="str">
        <f>HYPERLINK("http://twitter.com/download/android","Twitter for Android")</f>
        <v>Twitter for Android</v>
      </c>
      <c r="J4994" s="2">
        <v>196</v>
      </c>
      <c r="K4994" s="2">
        <v>388</v>
      </c>
      <c r="L4994" s="2">
        <v>0</v>
      </c>
      <c r="M4994" s="2"/>
      <c r="N4994" s="8">
        <v>41158.024398148147</v>
      </c>
      <c r="O4994" s="4" t="s">
        <v>25</v>
      </c>
      <c r="P4994" s="3" t="s">
        <v>3346</v>
      </c>
      <c r="Q4994" s="4"/>
      <c r="R4994" s="4"/>
      <c r="S4994" s="9" t="str">
        <f>HYPERLINK("https://pbs.twimg.com/profile_images/1010539204672180225/kDrO1zwo.jpg","View")</f>
        <v>View</v>
      </c>
    </row>
    <row r="4995" spans="1:19" ht="20">
      <c r="A4995" s="8">
        <v>43340.857465277775</v>
      </c>
      <c r="B4995" s="11" t="str">
        <f>HYPERLINK("https://twitter.com/saghinamezafar","@saghinamezafar")</f>
        <v>@saghinamezafar</v>
      </c>
      <c r="C4995" s="6" t="s">
        <v>3345</v>
      </c>
      <c r="D4995" s="5" t="s">
        <v>3344</v>
      </c>
      <c r="E4995" s="9" t="str">
        <f>HYPERLINK("https://twitter.com/saghinamezafar/status/1034471860824469506","1034471860824469506")</f>
        <v>1034471860824469506</v>
      </c>
      <c r="F4995" s="4"/>
      <c r="G4995" s="4"/>
      <c r="H4995" s="4"/>
      <c r="I4995" s="10" t="str">
        <f>HYPERLINK("http://twitter.com/download/android","Twitter for Android")</f>
        <v>Twitter for Android</v>
      </c>
      <c r="J4995" s="2">
        <v>2</v>
      </c>
      <c r="K4995" s="2">
        <v>6</v>
      </c>
      <c r="L4995" s="2">
        <v>0</v>
      </c>
      <c r="M4995" s="2"/>
      <c r="N4995" s="8">
        <v>43337.25576388889</v>
      </c>
      <c r="O4995" s="4"/>
      <c r="P4995" s="3" t="s">
        <v>3343</v>
      </c>
      <c r="Q4995" s="4"/>
      <c r="R4995" s="4"/>
      <c r="S4995" s="9" t="str">
        <f>HYPERLINK("https://pbs.twimg.com/profile_images/1033168118355578880/FHF9TI55.jpg","View")</f>
        <v>View</v>
      </c>
    </row>
    <row r="4996" spans="1:19" ht="40">
      <c r="A4996" s="8">
        <v>43340.856817129628</v>
      </c>
      <c r="B4996" s="11" t="str">
        <f>HYPERLINK("https://twitter.com/SiavashBastami","@SiavashBastami")</f>
        <v>@SiavashBastami</v>
      </c>
      <c r="C4996" s="6" t="s">
        <v>3342</v>
      </c>
      <c r="D4996" s="5" t="s">
        <v>3341</v>
      </c>
      <c r="E4996" s="9" t="str">
        <f>HYPERLINK("https://twitter.com/SiavashBastami/status/1034471623691259907","1034471623691259907")</f>
        <v>1034471623691259907</v>
      </c>
      <c r="F4996" s="4"/>
      <c r="G4996" s="4"/>
      <c r="H4996" s="4"/>
      <c r="I4996" s="10" t="str">
        <f>HYPERLINK("http://twitter.com/download/iphone","Twitter for iPhone")</f>
        <v>Twitter for iPhone</v>
      </c>
      <c r="J4996" s="2">
        <v>214</v>
      </c>
      <c r="K4996" s="2">
        <v>339</v>
      </c>
      <c r="L4996" s="2">
        <v>1</v>
      </c>
      <c r="M4996" s="2"/>
      <c r="N4996" s="8">
        <v>41687.451388888891</v>
      </c>
      <c r="O4996" s="4" t="s">
        <v>34</v>
      </c>
      <c r="P4996" s="3" t="s">
        <v>3340</v>
      </c>
      <c r="Q4996" s="10" t="s">
        <v>3339</v>
      </c>
      <c r="R4996" s="4"/>
      <c r="S4996" s="9" t="str">
        <f>HYPERLINK("https://pbs.twimg.com/profile_images/650229775953457153/it7PhVLg.jpg","View")</f>
        <v>View</v>
      </c>
    </row>
    <row r="4997" spans="1:19" ht="40">
      <c r="A4997" s="8">
        <v>43340.856504629628</v>
      </c>
      <c r="B4997" s="11" t="str">
        <f>HYPERLINK("https://twitter.com/OkhtayHosseini","@OkhtayHosseini")</f>
        <v>@OkhtayHosseini</v>
      </c>
      <c r="C4997" s="6" t="s">
        <v>3338</v>
      </c>
      <c r="D4997" s="5" t="s">
        <v>3337</v>
      </c>
      <c r="E4997" s="9" t="str">
        <f>HYPERLINK("https://twitter.com/OkhtayHosseini/status/1034471513309814784","1034471513309814784")</f>
        <v>1034471513309814784</v>
      </c>
      <c r="F4997" s="4"/>
      <c r="G4997" s="4"/>
      <c r="H4997" s="4"/>
      <c r="I4997" s="10" t="str">
        <f>HYPERLINK("https://mobile.twitter.com","Twitter Lite")</f>
        <v>Twitter Lite</v>
      </c>
      <c r="J4997" s="2">
        <v>370</v>
      </c>
      <c r="K4997" s="2">
        <v>346</v>
      </c>
      <c r="L4997" s="2">
        <v>1</v>
      </c>
      <c r="M4997" s="2"/>
      <c r="N4997" s="8">
        <v>40864.101226851853</v>
      </c>
      <c r="O4997" s="4"/>
      <c r="P4997" s="3" t="s">
        <v>3336</v>
      </c>
      <c r="Q4997" s="4"/>
      <c r="R4997" s="4"/>
      <c r="S4997" s="9" t="str">
        <f>HYPERLINK("https://pbs.twimg.com/profile_images/619107514630561792/Qe51h3Wl.jpg","View")</f>
        <v>View</v>
      </c>
    </row>
    <row r="4998" spans="1:19" ht="40">
      <c r="A4998" s="8">
        <v>43340.856296296297</v>
      </c>
      <c r="B4998" s="11" t="str">
        <f>HYPERLINK("https://twitter.com/SirAshpaz","@SirAshpaz")</f>
        <v>@SirAshpaz</v>
      </c>
      <c r="C4998" s="6" t="s">
        <v>3335</v>
      </c>
      <c r="D4998" s="5" t="s">
        <v>3334</v>
      </c>
      <c r="E4998" s="9" t="str">
        <f>HYPERLINK("https://twitter.com/SirAshpaz/status/1034471435148947456","1034471435148947456")</f>
        <v>1034471435148947456</v>
      </c>
      <c r="F4998" s="4"/>
      <c r="G4998" s="4"/>
      <c r="H4998" s="4"/>
      <c r="I4998" s="10" t="str">
        <f>HYPERLINK("http://twitter.com/download/android","Twitter for Android")</f>
        <v>Twitter for Android</v>
      </c>
      <c r="J4998" s="2">
        <v>541</v>
      </c>
      <c r="K4998" s="2">
        <v>905</v>
      </c>
      <c r="L4998" s="2">
        <v>0</v>
      </c>
      <c r="M4998" s="2"/>
      <c r="N4998" s="8">
        <v>43292.096597222218</v>
      </c>
      <c r="O4998" s="4" t="s">
        <v>3333</v>
      </c>
      <c r="P4998" s="3" t="s">
        <v>3332</v>
      </c>
      <c r="Q4998" s="4"/>
      <c r="R4998" s="4"/>
      <c r="S4998" s="9" t="str">
        <f>HYPERLINK("https://pbs.twimg.com/profile_images/1017390926065369095/ftGY7eYR.jpg","View")</f>
        <v>View</v>
      </c>
    </row>
    <row r="4999" spans="1:19" ht="40">
      <c r="A4999" s="8">
        <v>43340.846504629633</v>
      </c>
      <c r="B4999" s="11" t="str">
        <f>HYPERLINK("https://twitter.com/maryamhdvnd","@maryamhdvnd")</f>
        <v>@maryamhdvnd</v>
      </c>
      <c r="C4999" s="6" t="s">
        <v>3331</v>
      </c>
      <c r="D4999" s="5" t="s">
        <v>3330</v>
      </c>
      <c r="E4999" s="9" t="str">
        <f>HYPERLINK("https://twitter.com/maryamhdvnd/status/1034467887866630146","1034467887866630146")</f>
        <v>1034467887866630146</v>
      </c>
      <c r="F4999" s="4"/>
      <c r="G4999" s="4"/>
      <c r="H4999" s="4"/>
      <c r="I4999" s="10" t="str">
        <f>HYPERLINK("https://mobile.twitter.com","Twitter Lite")</f>
        <v>Twitter Lite</v>
      </c>
      <c r="J4999" s="2">
        <v>57</v>
      </c>
      <c r="K4999" s="2">
        <v>74</v>
      </c>
      <c r="L4999" s="2">
        <v>0</v>
      </c>
      <c r="M4999" s="2"/>
      <c r="N4999" s="8">
        <v>43201.93236111111</v>
      </c>
      <c r="O4999" s="4" t="s">
        <v>104</v>
      </c>
      <c r="P4999" s="3" t="s">
        <v>3329</v>
      </c>
      <c r="Q4999" s="4"/>
      <c r="R4999" s="4"/>
      <c r="S4999" s="9" t="str">
        <f>HYPERLINK("https://pbs.twimg.com/profile_images/1033699270275342336/y1wgTHcO.jpg","View")</f>
        <v>View</v>
      </c>
    </row>
    <row r="5000" spans="1:19" ht="30">
      <c r="A5000" s="8">
        <v>43340.84648148148</v>
      </c>
      <c r="B5000" s="11" t="str">
        <f>HYPERLINK("https://twitter.com/sama_sb_1","@sama_sb_1")</f>
        <v>@sama_sb_1</v>
      </c>
      <c r="C5000" s="6" t="s">
        <v>3328</v>
      </c>
      <c r="D5000" s="5" t="s">
        <v>3327</v>
      </c>
      <c r="E5000" s="9" t="str">
        <f>HYPERLINK("https://twitter.com/sama_sb_1/status/1034467878601412608","1034467878601412608")</f>
        <v>1034467878601412608</v>
      </c>
      <c r="F5000" s="4"/>
      <c r="G5000" s="4"/>
      <c r="H5000" s="4"/>
      <c r="I5000" s="10" t="str">
        <f>HYPERLINK("https://mobile.twitter.com","Twitter Lite")</f>
        <v>Twitter Lite</v>
      </c>
      <c r="J5000" s="2">
        <v>318</v>
      </c>
      <c r="K5000" s="2">
        <v>272</v>
      </c>
      <c r="L5000" s="2">
        <v>0</v>
      </c>
      <c r="M5000" s="2"/>
      <c r="N5000" s="8">
        <v>42523.836875000001</v>
      </c>
      <c r="O5000" s="4" t="s">
        <v>133</v>
      </c>
      <c r="P5000" s="3" t="s">
        <v>3326</v>
      </c>
      <c r="Q5000" s="4"/>
      <c r="R5000" s="4"/>
      <c r="S5000" s="9" t="str">
        <f>HYPERLINK("https://pbs.twimg.com/profile_images/982279448383770624/lmFsPxJS.jpg","View")</f>
        <v>View</v>
      </c>
    </row>
    <row r="5001" spans="1:19" ht="20">
      <c r="A5001" s="8">
        <v>43340.845659722225</v>
      </c>
      <c r="B5001" s="11" t="str">
        <f>HYPERLINK("https://twitter.com/FarzaneGholami","@FarzaneGholami")</f>
        <v>@FarzaneGholami</v>
      </c>
      <c r="C5001" s="6" t="s">
        <v>3325</v>
      </c>
      <c r="D5001" s="5" t="s">
        <v>3324</v>
      </c>
      <c r="E5001" s="9" t="str">
        <f>HYPERLINK("https://twitter.com/FarzaneGholami/status/1034467579694329856","1034467579694329856")</f>
        <v>1034467579694329856</v>
      </c>
      <c r="F5001" s="4"/>
      <c r="G5001" s="4"/>
      <c r="H5001" s="4"/>
      <c r="I5001" s="10" t="str">
        <f>HYPERLINK("http://twitter.com/download/iphone","Twitter for iPhone")</f>
        <v>Twitter for iPhone</v>
      </c>
      <c r="J5001" s="2">
        <v>1336</v>
      </c>
      <c r="K5001" s="2">
        <v>346</v>
      </c>
      <c r="L5001" s="2">
        <v>7</v>
      </c>
      <c r="M5001" s="2"/>
      <c r="N5001" s="8">
        <v>42913.865844907406</v>
      </c>
      <c r="O5001" s="4" t="s">
        <v>3323</v>
      </c>
      <c r="P5001" s="3" t="s">
        <v>3322</v>
      </c>
      <c r="Q5001" s="10" t="s">
        <v>3321</v>
      </c>
      <c r="R5001" s="4"/>
      <c r="S5001" s="9" t="str">
        <f>HYPERLINK("https://pbs.twimg.com/profile_images/935662282071248898/p2xZ02IS.jpg","View")</f>
        <v>View</v>
      </c>
    </row>
    <row r="5002" spans="1:19" ht="40">
      <c r="A5002" s="8">
        <v>43340.845555555556</v>
      </c>
      <c r="B5002" s="11" t="str">
        <f>HYPERLINK("https://twitter.com/nazokbin_ir","@nazokbin_ir")</f>
        <v>@nazokbin_ir</v>
      </c>
      <c r="C5002" s="6" t="s">
        <v>3320</v>
      </c>
      <c r="D5002" s="5" t="s">
        <v>3319</v>
      </c>
      <c r="E5002" s="9" t="str">
        <f>HYPERLINK("https://twitter.com/nazokbin_ir/status/1034467544269316101","1034467544269316101")</f>
        <v>1034467544269316101</v>
      </c>
      <c r="F5002" s="4"/>
      <c r="G5002" s="4"/>
      <c r="H5002" s="4"/>
      <c r="I5002" s="10" t="str">
        <f>HYPERLINK("http://twitter.com/download/android","Twitter for Android")</f>
        <v>Twitter for Android</v>
      </c>
      <c r="J5002" s="2">
        <v>1195</v>
      </c>
      <c r="K5002" s="2">
        <v>370</v>
      </c>
      <c r="L5002" s="2">
        <v>8</v>
      </c>
      <c r="M5002" s="2"/>
      <c r="N5002" s="8">
        <v>42611.051342592589</v>
      </c>
      <c r="O5002" s="4" t="s">
        <v>3318</v>
      </c>
      <c r="P5002" s="3" t="s">
        <v>3317</v>
      </c>
      <c r="Q5002" s="10" t="s">
        <v>3316</v>
      </c>
      <c r="R5002" s="4"/>
      <c r="S5002" s="9" t="str">
        <f>HYPERLINK("https://pbs.twimg.com/profile_images/1031286238190481408/PGc2v3cw.jpg","View")</f>
        <v>View</v>
      </c>
    </row>
    <row r="5003" spans="1:19" ht="30">
      <c r="A5003" s="8">
        <v>43340.843900462962</v>
      </c>
      <c r="B5003" s="11" t="str">
        <f>HYPERLINK("https://twitter.com/sorena_78","@sorena_78")</f>
        <v>@sorena_78</v>
      </c>
      <c r="C5003" s="6" t="s">
        <v>3216</v>
      </c>
      <c r="D5003" s="5" t="s">
        <v>3315</v>
      </c>
      <c r="E5003" s="9" t="str">
        <f>HYPERLINK("https://twitter.com/sorena_78/status/1034466942877396995","1034466942877396995")</f>
        <v>1034466942877396995</v>
      </c>
      <c r="F5003" s="4"/>
      <c r="G5003" s="4"/>
      <c r="H5003" s="4"/>
      <c r="I5003" s="10" t="str">
        <f>HYPERLINK("http://twitter.com/download/android","Twitter for Android")</f>
        <v>Twitter for Android</v>
      </c>
      <c r="J5003" s="2">
        <v>702</v>
      </c>
      <c r="K5003" s="2">
        <v>236</v>
      </c>
      <c r="L5003" s="2">
        <v>2</v>
      </c>
      <c r="M5003" s="2"/>
      <c r="N5003" s="8">
        <v>43259.198703703703</v>
      </c>
      <c r="O5003" s="4" t="s">
        <v>3214</v>
      </c>
      <c r="P5003" s="3" t="s">
        <v>3213</v>
      </c>
      <c r="Q5003" s="4"/>
      <c r="R5003" s="4"/>
      <c r="S5003" s="9" t="str">
        <f>HYPERLINK("https://pbs.twimg.com/profile_images/1005028162974179328/IWr7m7n6.jpg","View")</f>
        <v>View</v>
      </c>
    </row>
    <row r="5004" spans="1:19" ht="40">
      <c r="A5004" s="8">
        <v>43340.843611111108</v>
      </c>
      <c r="B5004" s="11" t="str">
        <f>HYPERLINK("https://twitter.com/CharliyChaplin","@CharliyChaplin")</f>
        <v>@CharliyChaplin</v>
      </c>
      <c r="C5004" s="6" t="s">
        <v>3314</v>
      </c>
      <c r="D5004" s="5" t="s">
        <v>3313</v>
      </c>
      <c r="E5004" s="9" t="str">
        <f>HYPERLINK("https://twitter.com/CharliyChaplin/status/1034466839412305921","1034466839412305921")</f>
        <v>1034466839412305921</v>
      </c>
      <c r="F5004" s="4"/>
      <c r="G5004" s="4"/>
      <c r="H5004" s="4"/>
      <c r="I5004" s="10" t="str">
        <f>HYPERLINK("http://twitter.com/download/iphone","Twitter for iPhone")</f>
        <v>Twitter for iPhone</v>
      </c>
      <c r="J5004" s="2">
        <v>3140</v>
      </c>
      <c r="K5004" s="2">
        <v>3971</v>
      </c>
      <c r="L5004" s="2">
        <v>0</v>
      </c>
      <c r="M5004" s="2"/>
      <c r="N5004" s="8">
        <v>43199.680312500001</v>
      </c>
      <c r="O5004" s="4"/>
      <c r="P5004" s="3" t="s">
        <v>3312</v>
      </c>
      <c r="Q5004" s="4"/>
      <c r="R5004" s="4"/>
      <c r="S5004" s="9" t="str">
        <f>HYPERLINK("https://pbs.twimg.com/profile_images/984369011818422272/tQTYnTGo.jpg","View")</f>
        <v>View</v>
      </c>
    </row>
    <row r="5005" spans="1:19" ht="20">
      <c r="A5005" s="8">
        <v>43340.8434837963</v>
      </c>
      <c r="B5005" s="11" t="str">
        <f>HYPERLINK("https://twitter.com/hosseinkolakaj","@hosseinkolakaj")</f>
        <v>@hosseinkolakaj</v>
      </c>
      <c r="C5005" s="6" t="s">
        <v>3311</v>
      </c>
      <c r="D5005" s="5" t="s">
        <v>3310</v>
      </c>
      <c r="E5005" s="9" t="str">
        <f>HYPERLINK("https://twitter.com/hosseinkolakaj/status/1034466791655989248","1034466791655989248")</f>
        <v>1034466791655989248</v>
      </c>
      <c r="F5005" s="4"/>
      <c r="G5005" s="4"/>
      <c r="H5005" s="4"/>
      <c r="I5005" s="10" t="str">
        <f>HYPERLINK("http://twitter.com/download/android","Twitter for Android")</f>
        <v>Twitter for Android</v>
      </c>
      <c r="J5005" s="2">
        <v>6562</v>
      </c>
      <c r="K5005" s="2">
        <v>1266</v>
      </c>
      <c r="L5005" s="2">
        <v>49</v>
      </c>
      <c r="M5005" s="2"/>
      <c r="N5005" s="8">
        <v>41127.483460648145</v>
      </c>
      <c r="O5005" s="4"/>
      <c r="P5005" s="3" t="s">
        <v>3309</v>
      </c>
      <c r="Q5005" s="10" t="s">
        <v>3308</v>
      </c>
      <c r="R5005" s="4"/>
      <c r="S5005" s="9" t="str">
        <f>HYPERLINK("https://pbs.twimg.com/profile_images/1034008638149545985/Stgx09n8.jpg","View")</f>
        <v>View</v>
      </c>
    </row>
    <row r="5006" spans="1:19" ht="40">
      <c r="A5006" s="8">
        <v>43340.843356481477</v>
      </c>
      <c r="B5006" s="11" t="str">
        <f>HYPERLINK("https://twitter.com/FclA5yizhtUgkQy","@FclA5yizhtUgkQy")</f>
        <v>@FclA5yizhtUgkQy</v>
      </c>
      <c r="C5006" s="6" t="s">
        <v>3307</v>
      </c>
      <c r="D5006" s="5" t="s">
        <v>3306</v>
      </c>
      <c r="E5006" s="9" t="str">
        <f>HYPERLINK("https://twitter.com/FclA5yizhtUgkQy/status/1034466746206494720","1034466746206494720")</f>
        <v>1034466746206494720</v>
      </c>
      <c r="F5006" s="4"/>
      <c r="G5006" s="4"/>
      <c r="H5006" s="4"/>
      <c r="I5006" s="10" t="str">
        <f>HYPERLINK("http://twitter.com/download/android","Twitter for Android")</f>
        <v>Twitter for Android</v>
      </c>
      <c r="J5006" s="2">
        <v>18</v>
      </c>
      <c r="K5006" s="2">
        <v>61</v>
      </c>
      <c r="L5006" s="2">
        <v>0</v>
      </c>
      <c r="M5006" s="2"/>
      <c r="N5006" s="8">
        <v>43339.788564814815</v>
      </c>
      <c r="O5006" s="4" t="s">
        <v>3305</v>
      </c>
      <c r="P5006" s="3"/>
      <c r="Q5006" s="4"/>
      <c r="R5006" s="4"/>
      <c r="S5006" s="9" t="str">
        <f>HYPERLINK("https://pbs.twimg.com/profile_images/1034089771407224833/kyMdtndZ.jpg","View")</f>
        <v>View</v>
      </c>
    </row>
    <row r="5007" spans="1:19" ht="20">
      <c r="A5007" s="8">
        <v>43340.843252314815</v>
      </c>
      <c r="B5007" s="11" t="str">
        <f>HYPERLINK("https://twitter.com/PaaadZahr","@PaaadZahr")</f>
        <v>@PaaadZahr</v>
      </c>
      <c r="C5007" s="6" t="s">
        <v>3304</v>
      </c>
      <c r="D5007" s="5" t="s">
        <v>3303</v>
      </c>
      <c r="E5007" s="9" t="str">
        <f>HYPERLINK("https://twitter.com/PaaadZahr/status/1034466707186835456","1034466707186835456")</f>
        <v>1034466707186835456</v>
      </c>
      <c r="F5007" s="4"/>
      <c r="G5007" s="4"/>
      <c r="H5007" s="4"/>
      <c r="I5007" s="10" t="str">
        <f>HYPERLINK("http://twitter.com/download/android","Twitter for Android")</f>
        <v>Twitter for Android</v>
      </c>
      <c r="J5007" s="2">
        <v>3791</v>
      </c>
      <c r="K5007" s="2">
        <v>3108</v>
      </c>
      <c r="L5007" s="2">
        <v>5</v>
      </c>
      <c r="M5007" s="2"/>
      <c r="N5007" s="8">
        <v>43145.982546296298</v>
      </c>
      <c r="O5007" s="4"/>
      <c r="P5007" s="3" t="s">
        <v>3302</v>
      </c>
      <c r="Q5007" s="4"/>
      <c r="R5007" s="4"/>
      <c r="S5007" s="9" t="str">
        <f>HYPERLINK("https://pbs.twimg.com/profile_images/1016229194022510592/1OnTS2HJ.jpg","View")</f>
        <v>View</v>
      </c>
    </row>
    <row r="5008" spans="1:19" ht="20">
      <c r="A5008" s="8">
        <v>43340.843159722222</v>
      </c>
      <c r="B5008" s="11" t="str">
        <f>HYPERLINK("https://twitter.com/sangarban_313","@sangarban_313")</f>
        <v>@sangarban_313</v>
      </c>
      <c r="C5008" s="6" t="s">
        <v>3301</v>
      </c>
      <c r="D5008" s="5" t="s">
        <v>3300</v>
      </c>
      <c r="E5008" s="9" t="str">
        <f>HYPERLINK("https://twitter.com/sangarban_313/status/1034466676660752384","1034466676660752384")</f>
        <v>1034466676660752384</v>
      </c>
      <c r="F5008" s="4"/>
      <c r="G5008" s="4"/>
      <c r="H5008" s="4"/>
      <c r="I5008" s="10" t="str">
        <f>HYPERLINK("http://twitter.com/download/android","Twitter for Android")</f>
        <v>Twitter for Android</v>
      </c>
      <c r="J5008" s="2">
        <v>94</v>
      </c>
      <c r="K5008" s="2">
        <v>73</v>
      </c>
      <c r="L5008" s="2">
        <v>0</v>
      </c>
      <c r="M5008" s="2"/>
      <c r="N5008" s="8">
        <v>43311.724444444444</v>
      </c>
      <c r="O5008" s="4"/>
      <c r="P5008" s="3"/>
      <c r="Q5008" s="4"/>
      <c r="R5008" s="4"/>
      <c r="S5008" s="9" t="str">
        <f>HYPERLINK("https://pbs.twimg.com/profile_images/1023928308122243072/ma8jis6q.jpg","View")</f>
        <v>View</v>
      </c>
    </row>
    <row r="5009" spans="1:19" ht="30">
      <c r="A5009" s="8">
        <v>43340.843009259261</v>
      </c>
      <c r="B5009" s="11" t="str">
        <f>HYPERLINK("https://twitter.com/hasanpix","@hasanpix")</f>
        <v>@hasanpix</v>
      </c>
      <c r="C5009" s="6" t="s">
        <v>3299</v>
      </c>
      <c r="D5009" s="5" t="s">
        <v>3298</v>
      </c>
      <c r="E5009" s="9" t="str">
        <f>HYPERLINK("https://twitter.com/hasanpix/status/1034466621350457345","1034466621350457345")</f>
        <v>1034466621350457345</v>
      </c>
      <c r="F5009" s="4"/>
      <c r="G5009" s="4"/>
      <c r="H5009" s="4"/>
      <c r="I5009" s="10" t="str">
        <f>HYPERLINK("http://twitter.com/download/iphone","Twitter for iPhone")</f>
        <v>Twitter for iPhone</v>
      </c>
      <c r="J5009" s="2">
        <v>3232</v>
      </c>
      <c r="K5009" s="2">
        <v>914</v>
      </c>
      <c r="L5009" s="2">
        <v>26</v>
      </c>
      <c r="M5009" s="2"/>
      <c r="N5009" s="8">
        <v>40423.850451388891</v>
      </c>
      <c r="O5009" s="4" t="s">
        <v>3297</v>
      </c>
      <c r="P5009" s="3" t="s">
        <v>3296</v>
      </c>
      <c r="Q5009" s="10" t="s">
        <v>3295</v>
      </c>
      <c r="R5009" s="4"/>
      <c r="S5009" s="9" t="str">
        <f>HYPERLINK("https://pbs.twimg.com/profile_images/425335429932412928/4hV38ovE.jpeg","View")</f>
        <v>View</v>
      </c>
    </row>
    <row r="5010" spans="1:19" ht="12.5">
      <c r="A5010" s="8">
        <v>43340.841967592598</v>
      </c>
      <c r="B5010" s="11" t="str">
        <f>HYPERLINK("https://twitter.com/judge_of_bost","@judge_of_bost")</f>
        <v>@judge_of_bost</v>
      </c>
      <c r="C5010" s="6" t="s">
        <v>3294</v>
      </c>
      <c r="D5010" s="5" t="s">
        <v>3293</v>
      </c>
      <c r="E5010" s="9" t="str">
        <f>HYPERLINK("https://twitter.com/judge_of_bost/status/1034466245184286720","1034466245184286720")</f>
        <v>1034466245184286720</v>
      </c>
      <c r="F5010" s="4"/>
      <c r="G5010" s="4"/>
      <c r="H5010" s="4"/>
      <c r="I5010" s="10" t="str">
        <f>HYPERLINK("http://twitter.com/download/android","Twitter for Android")</f>
        <v>Twitter for Android</v>
      </c>
      <c r="J5010" s="2">
        <v>407</v>
      </c>
      <c r="K5010" s="2">
        <v>213</v>
      </c>
      <c r="L5010" s="2">
        <v>0</v>
      </c>
      <c r="M5010" s="2"/>
      <c r="N5010" s="8">
        <v>43161.070775462962</v>
      </c>
      <c r="O5010" s="4" t="s">
        <v>3292</v>
      </c>
      <c r="P5010" s="3" t="s">
        <v>3291</v>
      </c>
      <c r="Q5010" s="4"/>
      <c r="R5010" s="4"/>
      <c r="S5010" s="9" t="str">
        <f>HYPERLINK("https://pbs.twimg.com/profile_images/1031307170569170944/m5d7EkmL.jpg","View")</f>
        <v>View</v>
      </c>
    </row>
    <row r="5011" spans="1:19" ht="20">
      <c r="A5011" s="8">
        <v>43340.841446759259</v>
      </c>
      <c r="B5011" s="11" t="str">
        <f>HYPERLINK("https://twitter.com/NegarHastam","@NegarHastam")</f>
        <v>@NegarHastam</v>
      </c>
      <c r="C5011" s="6" t="s">
        <v>3290</v>
      </c>
      <c r="D5011" s="5" t="s">
        <v>3289</v>
      </c>
      <c r="E5011" s="9" t="str">
        <f>HYPERLINK("https://twitter.com/NegarHastam/status/1034466054330884096","1034466054330884096")</f>
        <v>1034466054330884096</v>
      </c>
      <c r="F5011" s="4"/>
      <c r="G5011" s="4"/>
      <c r="H5011" s="4"/>
      <c r="I5011" s="10" t="str">
        <f>HYPERLINK("http://twitter.com/download/android","Twitter for Android")</f>
        <v>Twitter for Android</v>
      </c>
      <c r="J5011" s="2">
        <v>923</v>
      </c>
      <c r="K5011" s="2">
        <v>1567</v>
      </c>
      <c r="L5011" s="2">
        <v>4</v>
      </c>
      <c r="M5011" s="2"/>
      <c r="N5011" s="8">
        <v>43167.035138888888</v>
      </c>
      <c r="O5011" s="4" t="s">
        <v>3288</v>
      </c>
      <c r="P5011" s="3" t="s">
        <v>3287</v>
      </c>
      <c r="Q5011" s="4"/>
      <c r="R5011" s="4"/>
      <c r="S5011" s="9" t="str">
        <f>HYPERLINK("https://pbs.twimg.com/profile_images/1025693139783233536/fzqKoLV5.jpg","View")</f>
        <v>View</v>
      </c>
    </row>
    <row r="5012" spans="1:19" ht="30">
      <c r="A5012" s="8">
        <v>43340.841261574074</v>
      </c>
      <c r="B5012" s="11" t="str">
        <f>HYPERLINK("https://twitter.com/Mrh1343","@Mrh1343")</f>
        <v>@Mrh1343</v>
      </c>
      <c r="C5012" s="6" t="s">
        <v>3286</v>
      </c>
      <c r="D5012" s="5" t="s">
        <v>3285</v>
      </c>
      <c r="E5012" s="9" t="str">
        <f>HYPERLINK("https://twitter.com/Mrh1343/status/1034465988060893184","1034465988060893184")</f>
        <v>1034465988060893184</v>
      </c>
      <c r="F5012" s="4"/>
      <c r="G5012" s="4"/>
      <c r="H5012" s="4"/>
      <c r="I5012" s="10" t="str">
        <f>HYPERLINK("http://twitter.com/download/iphone","Twitter for iPhone")</f>
        <v>Twitter for iPhone</v>
      </c>
      <c r="J5012" s="2">
        <v>44</v>
      </c>
      <c r="K5012" s="2">
        <v>74</v>
      </c>
      <c r="L5012" s="2">
        <v>0</v>
      </c>
      <c r="M5012" s="2"/>
      <c r="N5012" s="8">
        <v>41551.514618055553</v>
      </c>
      <c r="O5012" s="4" t="s">
        <v>34</v>
      </c>
      <c r="P5012" s="3" t="s">
        <v>3284</v>
      </c>
      <c r="Q5012" s="4"/>
      <c r="R5012" s="4"/>
      <c r="S5012" s="9" t="str">
        <f>HYPERLINK("https://pbs.twimg.com/profile_images/584013006398484480/xZIs6q_m.jpg","View")</f>
        <v>View</v>
      </c>
    </row>
    <row r="5013" spans="1:19" ht="20">
      <c r="A5013" s="8">
        <v>43340.841203703705</v>
      </c>
      <c r="B5013" s="11" t="str">
        <f>HYPERLINK("https://twitter.com/abookomeyl","@abookomeyl")</f>
        <v>@abookomeyl</v>
      </c>
      <c r="C5013" s="6" t="s">
        <v>1836</v>
      </c>
      <c r="D5013" s="5" t="s">
        <v>3283</v>
      </c>
      <c r="E5013" s="9" t="str">
        <f>HYPERLINK("https://twitter.com/abookomeyl/status/1034465966107881472","1034465966107881472")</f>
        <v>1034465966107881472</v>
      </c>
      <c r="F5013" s="4"/>
      <c r="G5013" s="10" t="s">
        <v>3282</v>
      </c>
      <c r="H5013" s="4"/>
      <c r="I5013" s="10" t="str">
        <f>HYPERLINK("http://twitter.com/download/android","Twitter for Android")</f>
        <v>Twitter for Android</v>
      </c>
      <c r="J5013" s="2">
        <v>6666</v>
      </c>
      <c r="K5013" s="2">
        <v>2537</v>
      </c>
      <c r="L5013" s="2">
        <v>13</v>
      </c>
      <c r="M5013" s="2"/>
      <c r="N5013" s="8">
        <v>43117.241678240738</v>
      </c>
      <c r="O5013" s="4" t="s">
        <v>1834</v>
      </c>
      <c r="P5013" s="3" t="s">
        <v>1833</v>
      </c>
      <c r="Q5013" s="4"/>
      <c r="R5013" s="4"/>
      <c r="S5013" s="9" t="str">
        <f>HYPERLINK("https://pbs.twimg.com/profile_images/1011690125686988801/f-Jhu0Kn.jpg","View")</f>
        <v>View</v>
      </c>
    </row>
    <row r="5014" spans="1:19" ht="40">
      <c r="A5014" s="8">
        <v>43340.841203703705</v>
      </c>
      <c r="B5014" s="11" t="str">
        <f>HYPERLINK("https://twitter.com/bahram_homayoon","@bahram_homayoon")</f>
        <v>@bahram_homayoon</v>
      </c>
      <c r="C5014" s="6" t="s">
        <v>3281</v>
      </c>
      <c r="D5014" s="5" t="s">
        <v>3280</v>
      </c>
      <c r="E5014" s="9" t="str">
        <f>HYPERLINK("https://twitter.com/bahram_homayoon/status/1034465965512290304","1034465965512290304")</f>
        <v>1034465965512290304</v>
      </c>
      <c r="F5014" s="4"/>
      <c r="G5014" s="4"/>
      <c r="H5014" s="4"/>
      <c r="I5014" s="10" t="str">
        <f>HYPERLINK("http://twitter.com","Twitter Web Client")</f>
        <v>Twitter Web Client</v>
      </c>
      <c r="J5014" s="2">
        <v>33</v>
      </c>
      <c r="K5014" s="2">
        <v>5</v>
      </c>
      <c r="L5014" s="2">
        <v>0</v>
      </c>
      <c r="M5014" s="2"/>
      <c r="N5014" s="8">
        <v>40940.714988425927</v>
      </c>
      <c r="O5014" s="4" t="s">
        <v>34</v>
      </c>
      <c r="P5014" s="3" t="s">
        <v>3279</v>
      </c>
      <c r="Q5014" s="4"/>
      <c r="R5014" s="4"/>
      <c r="S5014" s="9" t="str">
        <f>HYPERLINK("https://pbs.twimg.com/profile_images/948181178825232384/nRqkTsCa.jpg","View")</f>
        <v>View</v>
      </c>
    </row>
    <row r="5015" spans="1:19" ht="20">
      <c r="A5015" s="8">
        <v>43340.840949074074</v>
      </c>
      <c r="B5015" s="11" t="str">
        <f>HYPERLINK("https://twitter.com/mohammadhdd9217","@mohammadhdd9217")</f>
        <v>@mohammadhdd9217</v>
      </c>
      <c r="C5015" s="6" t="s">
        <v>3278</v>
      </c>
      <c r="D5015" s="5" t="s">
        <v>3277</v>
      </c>
      <c r="E5015" s="9" t="str">
        <f>HYPERLINK("https://twitter.com/mohammadhdd9217/status/1034465872960733186","1034465872960733186")</f>
        <v>1034465872960733186</v>
      </c>
      <c r="F5015" s="4"/>
      <c r="G5015" s="4"/>
      <c r="H5015" s="4"/>
      <c r="I5015" s="10" t="str">
        <f>HYPERLINK("http://twitter.com/download/iphone","Twitter for iPhone")</f>
        <v>Twitter for iPhone</v>
      </c>
      <c r="J5015" s="2">
        <v>131</v>
      </c>
      <c r="K5015" s="2">
        <v>253</v>
      </c>
      <c r="L5015" s="2">
        <v>0</v>
      </c>
      <c r="M5015" s="2"/>
      <c r="N5015" s="8">
        <v>42460.599525462967</v>
      </c>
      <c r="O5015" s="4"/>
      <c r="P5015" s="3" t="s">
        <v>3276</v>
      </c>
      <c r="Q5015" s="4"/>
      <c r="R5015" s="4"/>
      <c r="S5015" s="9" t="str">
        <f>HYPERLINK("https://pbs.twimg.com/profile_images/826672896584065025/Z8Ywlr8q.jpg","View")</f>
        <v>View</v>
      </c>
    </row>
    <row r="5016" spans="1:19" ht="30">
      <c r="A5016" s="8">
        <v>43340.840879629628</v>
      </c>
      <c r="B5016" s="11" t="str">
        <f>HYPERLINK("https://twitter.com/sohrablou","@sohrablou")</f>
        <v>@sohrablou</v>
      </c>
      <c r="C5016" s="6" t="s">
        <v>3275</v>
      </c>
      <c r="D5016" s="5" t="s">
        <v>3274</v>
      </c>
      <c r="E5016" s="9" t="str">
        <f>HYPERLINK("https://twitter.com/sohrablou/status/1034465848637968384","1034465848637968384")</f>
        <v>1034465848637968384</v>
      </c>
      <c r="F5016" s="4"/>
      <c r="G5016" s="4"/>
      <c r="H5016" s="4"/>
      <c r="I5016" s="10" t="str">
        <f>HYPERLINK("http://twitter.com/download/android","Twitter for Android")</f>
        <v>Twitter for Android</v>
      </c>
      <c r="J5016" s="2">
        <v>2696</v>
      </c>
      <c r="K5016" s="2">
        <v>2148</v>
      </c>
      <c r="L5016" s="2">
        <v>18</v>
      </c>
      <c r="M5016" s="2"/>
      <c r="N5016" s="8">
        <v>41001.538298611107</v>
      </c>
      <c r="O5016" s="4" t="s">
        <v>894</v>
      </c>
      <c r="P5016" s="3" t="s">
        <v>3273</v>
      </c>
      <c r="Q5016" s="10" t="s">
        <v>3272</v>
      </c>
      <c r="R5016" s="4"/>
      <c r="S5016" s="9" t="str">
        <f>HYPERLINK("https://pbs.twimg.com/profile_images/1015669939582177280/uNMNTuOf.jpg","View")</f>
        <v>View</v>
      </c>
    </row>
    <row r="5017" spans="1:19" ht="20">
      <c r="A5017" s="8">
        <v>43340.840844907405</v>
      </c>
      <c r="B5017" s="11" t="str">
        <f>HYPERLINK("https://twitter.com/azizam_b","@azizam_b")</f>
        <v>@azizam_b</v>
      </c>
      <c r="C5017" s="6" t="s">
        <v>1702</v>
      </c>
      <c r="D5017" s="5" t="s">
        <v>3271</v>
      </c>
      <c r="E5017" s="9" t="str">
        <f>HYPERLINK("https://twitter.com/azizam_b/status/1034465834326994945","1034465834326994945")</f>
        <v>1034465834326994945</v>
      </c>
      <c r="F5017" s="4"/>
      <c r="G5017" s="10" t="s">
        <v>3270</v>
      </c>
      <c r="H5017" s="4"/>
      <c r="I5017" s="10" t="str">
        <f>HYPERLINK("http://twitter.com/download/android","Twitter for Android")</f>
        <v>Twitter for Android</v>
      </c>
      <c r="J5017" s="2">
        <v>383</v>
      </c>
      <c r="K5017" s="2">
        <v>341</v>
      </c>
      <c r="L5017" s="2">
        <v>2</v>
      </c>
      <c r="M5017" s="2"/>
      <c r="N5017" s="8">
        <v>43261.053287037037</v>
      </c>
      <c r="O5017" s="4"/>
      <c r="P5017" s="3" t="s">
        <v>1700</v>
      </c>
      <c r="Q5017" s="4"/>
      <c r="R5017" s="4"/>
      <c r="S5017" s="9" t="str">
        <f>HYPERLINK("https://pbs.twimg.com/profile_images/1005553197048651776/bWVsv71J.jpg","View")</f>
        <v>View</v>
      </c>
    </row>
    <row r="5018" spans="1:19" ht="30">
      <c r="A5018" s="8">
        <v>43340.840787037036</v>
      </c>
      <c r="B5018" s="11" t="str">
        <f>HYPERLINK("https://twitter.com/Diba48830581","@Diba48830581")</f>
        <v>@Diba48830581</v>
      </c>
      <c r="C5018" s="6" t="s">
        <v>1408</v>
      </c>
      <c r="D5018" s="5" t="s">
        <v>3269</v>
      </c>
      <c r="E5018" s="9" t="str">
        <f>HYPERLINK("https://twitter.com/Diba48830581/status/1034465814307647488","1034465814307647488")</f>
        <v>1034465814307647488</v>
      </c>
      <c r="F5018" s="4"/>
      <c r="G5018" s="4"/>
      <c r="H5018" s="4"/>
      <c r="I5018" s="10" t="str">
        <f>HYPERLINK("http://twitter.com/download/android","Twitter for Android")</f>
        <v>Twitter for Android</v>
      </c>
      <c r="J5018" s="2">
        <v>141</v>
      </c>
      <c r="K5018" s="2">
        <v>208</v>
      </c>
      <c r="L5018" s="2">
        <v>0</v>
      </c>
      <c r="M5018" s="2"/>
      <c r="N5018" s="8">
        <v>43316.536157407405</v>
      </c>
      <c r="O5018" s="4" t="s">
        <v>1406</v>
      </c>
      <c r="P5018" s="3" t="s">
        <v>1405</v>
      </c>
      <c r="Q5018" s="10" t="s">
        <v>1404</v>
      </c>
      <c r="R5018" s="4"/>
      <c r="S5018" s="9" t="str">
        <f>HYPERLINK("https://pbs.twimg.com/profile_images/1025660835778256896/ir2MrYIY.jpg","View")</f>
        <v>View</v>
      </c>
    </row>
    <row r="5019" spans="1:19" ht="30">
      <c r="A5019" s="8">
        <v>43340.840740740736</v>
      </c>
      <c r="B5019" s="11" t="str">
        <f>HYPERLINK("https://twitter.com/sadeghkhayatoun","@sadeghkhayatoun")</f>
        <v>@sadeghkhayatoun</v>
      </c>
      <c r="C5019" s="6" t="s">
        <v>3268</v>
      </c>
      <c r="D5019" s="5" t="s">
        <v>3267</v>
      </c>
      <c r="E5019" s="9" t="str">
        <f>HYPERLINK("https://twitter.com/sadeghkhayatoun/status/1034465799665344512","1034465799665344512")</f>
        <v>1034465799665344512</v>
      </c>
      <c r="F5019" s="4"/>
      <c r="G5019" s="10" t="s">
        <v>3266</v>
      </c>
      <c r="H5019" s="4"/>
      <c r="I5019" s="10" t="str">
        <f>HYPERLINK("http://twitter.com/download/iphone","Twitter for iPhone")</f>
        <v>Twitter for iPhone</v>
      </c>
      <c r="J5019" s="2">
        <v>71</v>
      </c>
      <c r="K5019" s="2">
        <v>142</v>
      </c>
      <c r="L5019" s="2">
        <v>0</v>
      </c>
      <c r="M5019" s="2"/>
      <c r="N5019" s="8">
        <v>41546.941689814819</v>
      </c>
      <c r="O5019" s="4" t="s">
        <v>3265</v>
      </c>
      <c r="P5019" s="3" t="s">
        <v>3264</v>
      </c>
      <c r="Q5019" s="4"/>
      <c r="R5019" s="4"/>
      <c r="S5019" s="9" t="str">
        <f>HYPERLINK("https://pbs.twimg.com/profile_images/1034088823674871816/ZP8QZOG6.jpg","View")</f>
        <v>View</v>
      </c>
    </row>
    <row r="5020" spans="1:19" ht="20">
      <c r="A5020" s="8">
        <v>43340.84070601852</v>
      </c>
      <c r="B5020" s="11" t="str">
        <f>HYPERLINK("https://twitter.com/kouroshm1rza","@kouroshm1rza")</f>
        <v>@kouroshm1rza</v>
      </c>
      <c r="C5020" s="6" t="s">
        <v>3263</v>
      </c>
      <c r="D5020" s="5" t="s">
        <v>3262</v>
      </c>
      <c r="E5020" s="9" t="str">
        <f>HYPERLINK("https://twitter.com/kouroshm1rza/status/1034465783982772224","1034465783982772224")</f>
        <v>1034465783982772224</v>
      </c>
      <c r="F5020" s="4"/>
      <c r="G5020" s="4"/>
      <c r="H5020" s="4"/>
      <c r="I5020" s="10" t="str">
        <f>HYPERLINK("http://twitter.com/download/iphone","Twitter for iPhone")</f>
        <v>Twitter for iPhone</v>
      </c>
      <c r="J5020" s="2">
        <v>573</v>
      </c>
      <c r="K5020" s="2">
        <v>210</v>
      </c>
      <c r="L5020" s="2">
        <v>1</v>
      </c>
      <c r="M5020" s="2"/>
      <c r="N5020" s="8">
        <v>42465.692881944444</v>
      </c>
      <c r="O5020" s="4" t="s">
        <v>3261</v>
      </c>
      <c r="P5020" s="3" t="s">
        <v>3260</v>
      </c>
      <c r="Q5020" s="4"/>
      <c r="R5020" s="4"/>
      <c r="S5020" s="9" t="str">
        <f>HYPERLINK("https://pbs.twimg.com/profile_images/752108927517597700/H7qCDA3x.jpg","View")</f>
        <v>View</v>
      </c>
    </row>
    <row r="5021" spans="1:19" ht="30">
      <c r="A5021" s="8">
        <v>43340.840567129635</v>
      </c>
      <c r="B5021" s="11" t="str">
        <f>HYPERLINK("https://twitter.com/mahsa_tahmasbi","@mahsa_tahmasbi")</f>
        <v>@mahsa_tahmasbi</v>
      </c>
      <c r="C5021" s="6" t="s">
        <v>3259</v>
      </c>
      <c r="D5021" s="5" t="s">
        <v>3258</v>
      </c>
      <c r="E5021" s="9" t="str">
        <f>HYPERLINK("https://twitter.com/mahsa_tahmasbi/status/1034465734003515393","1034465734003515393")</f>
        <v>1034465734003515393</v>
      </c>
      <c r="F5021" s="4"/>
      <c r="G5021" s="4"/>
      <c r="H5021" s="4"/>
      <c r="I5021" s="10" t="str">
        <f>HYPERLINK("http://twitter.com/download/iphone","Twitter for iPhone")</f>
        <v>Twitter for iPhone</v>
      </c>
      <c r="J5021" s="2">
        <v>13</v>
      </c>
      <c r="K5021" s="2">
        <v>73</v>
      </c>
      <c r="L5021" s="2">
        <v>0</v>
      </c>
      <c r="M5021" s="2"/>
      <c r="N5021" s="8">
        <v>42735.504710648151</v>
      </c>
      <c r="O5021" s="4"/>
      <c r="P5021" s="3"/>
      <c r="Q5021" s="4"/>
      <c r="R5021" s="4"/>
      <c r="S5021" s="9" t="str">
        <f>HYPERLINK("https://pbs.twimg.com/profile_images/1034466357788778506/54DmPUXl.jpg","View")</f>
        <v>View</v>
      </c>
    </row>
    <row r="5022" spans="1:19" ht="30">
      <c r="A5022" s="8">
        <v>43340.839837962965</v>
      </c>
      <c r="B5022" s="11" t="str">
        <f>HYPERLINK("https://twitter.com/gharibeh870","@gharibeh870")</f>
        <v>@gharibeh870</v>
      </c>
      <c r="C5022" s="6" t="s">
        <v>3257</v>
      </c>
      <c r="D5022" s="5" t="s">
        <v>3256</v>
      </c>
      <c r="E5022" s="9" t="str">
        <f>HYPERLINK("https://twitter.com/gharibeh870/status/1034465469519093761","1034465469519093761")</f>
        <v>1034465469519093761</v>
      </c>
      <c r="F5022" s="4"/>
      <c r="G5022" s="4"/>
      <c r="H5022" s="4"/>
      <c r="I5022" s="10" t="str">
        <f>HYPERLINK("http://twitter.com/download/android","Twitter for Android")</f>
        <v>Twitter for Android</v>
      </c>
      <c r="J5022" s="2">
        <v>738</v>
      </c>
      <c r="K5022" s="2">
        <v>892</v>
      </c>
      <c r="L5022" s="2">
        <v>3</v>
      </c>
      <c r="M5022" s="2"/>
      <c r="N5022" s="8">
        <v>43206.017534722225</v>
      </c>
      <c r="O5022" s="4" t="s">
        <v>17</v>
      </c>
      <c r="P5022" s="3" t="s">
        <v>3255</v>
      </c>
      <c r="Q5022" s="4"/>
      <c r="R5022" s="4"/>
      <c r="S5022" s="9" t="str">
        <f>HYPERLINK("https://pbs.twimg.com/profile_images/1002904288400760837/ZZCkZgyY.jpg","View")</f>
        <v>View</v>
      </c>
    </row>
    <row r="5023" spans="1:19" ht="20">
      <c r="A5023" s="8">
        <v>43340.839398148149</v>
      </c>
      <c r="B5023" s="11" t="str">
        <f>HYPERLINK("https://twitter.com/m_nassert","@m_nassert")</f>
        <v>@m_nassert</v>
      </c>
      <c r="C5023" s="6" t="s">
        <v>3254</v>
      </c>
      <c r="D5023" s="5" t="s">
        <v>3253</v>
      </c>
      <c r="E5023" s="9" t="str">
        <f>HYPERLINK("https://twitter.com/m_nassert/status/1034465312836661249","1034465312836661249")</f>
        <v>1034465312836661249</v>
      </c>
      <c r="F5023" s="4"/>
      <c r="G5023" s="4"/>
      <c r="H5023" s="4"/>
      <c r="I5023" s="10" t="str">
        <f>HYPERLINK("http://twitter.com/download/android","Twitter for Android")</f>
        <v>Twitter for Android</v>
      </c>
      <c r="J5023" s="2">
        <v>2887</v>
      </c>
      <c r="K5023" s="2">
        <v>577</v>
      </c>
      <c r="L5023" s="2">
        <v>15</v>
      </c>
      <c r="M5023" s="2"/>
      <c r="N5023" s="8">
        <v>42922.008645833332</v>
      </c>
      <c r="O5023" s="4"/>
      <c r="P5023" s="3" t="s">
        <v>3252</v>
      </c>
      <c r="Q5023" s="4"/>
      <c r="R5023" s="4"/>
      <c r="S5023" s="9" t="str">
        <f>HYPERLINK("https://pbs.twimg.com/profile_images/1033104984827731975/ISTANT_2.jpg","View")</f>
        <v>View</v>
      </c>
    </row>
    <row r="5024" spans="1:19" ht="30">
      <c r="A5024" s="8">
        <v>43340.838749999995</v>
      </c>
      <c r="B5024" s="11" t="str">
        <f>HYPERLINK("https://twitter.com/fadaeiy","@fadaeiy")</f>
        <v>@fadaeiy</v>
      </c>
      <c r="C5024" s="6" t="s">
        <v>3251</v>
      </c>
      <c r="D5024" s="5" t="s">
        <v>3250</v>
      </c>
      <c r="E5024" s="9" t="str">
        <f>HYPERLINK("https://twitter.com/fadaeiy/status/1034465077968232448","1034465077968232448")</f>
        <v>1034465077968232448</v>
      </c>
      <c r="F5024" s="4"/>
      <c r="G5024" s="4"/>
      <c r="H5024" s="4"/>
      <c r="I5024" s="10" t="str">
        <f>HYPERLINK("http://twitter.com/download/android","Twitter for Android")</f>
        <v>Twitter for Android</v>
      </c>
      <c r="J5024" s="2">
        <v>102</v>
      </c>
      <c r="K5024" s="2">
        <v>132</v>
      </c>
      <c r="L5024" s="2">
        <v>0</v>
      </c>
      <c r="M5024" s="2"/>
      <c r="N5024" s="8">
        <v>42764.709398148145</v>
      </c>
      <c r="O5024" s="4" t="s">
        <v>3249</v>
      </c>
      <c r="P5024" s="3" t="s">
        <v>3248</v>
      </c>
      <c r="Q5024" s="4"/>
      <c r="R5024" s="4"/>
      <c r="S5024" s="9" t="str">
        <f>HYPERLINK("https://pbs.twimg.com/profile_images/1004789283197276161/Lmuy3QqD.jpg","View")</f>
        <v>View</v>
      </c>
    </row>
    <row r="5025" spans="1:19" ht="40">
      <c r="A5025" s="8">
        <v>43340.838379629626</v>
      </c>
      <c r="B5025" s="11" t="str">
        <f>HYPERLINK("https://twitter.com/Zahrazarfchi","@Zahrazarfchi")</f>
        <v>@Zahrazarfchi</v>
      </c>
      <c r="C5025" s="6" t="s">
        <v>3247</v>
      </c>
      <c r="D5025" s="5" t="s">
        <v>3246</v>
      </c>
      <c r="E5025" s="9" t="str">
        <f>HYPERLINK("https://twitter.com/Zahrazarfchi/status/1034464945100992514","1034464945100992514")</f>
        <v>1034464945100992514</v>
      </c>
      <c r="F5025" s="4"/>
      <c r="G5025" s="4"/>
      <c r="H5025" s="4"/>
      <c r="I5025" s="10" t="str">
        <f>HYPERLINK("http://twitter.com/download/android","Twitter for Android")</f>
        <v>Twitter for Android</v>
      </c>
      <c r="J5025" s="2">
        <v>1152</v>
      </c>
      <c r="K5025" s="2">
        <v>906</v>
      </c>
      <c r="L5025" s="2">
        <v>7</v>
      </c>
      <c r="M5025" s="2"/>
      <c r="N5025" s="8">
        <v>43099.36142361111</v>
      </c>
      <c r="O5025" s="4" t="s">
        <v>34</v>
      </c>
      <c r="P5025" s="3" t="s">
        <v>3245</v>
      </c>
      <c r="Q5025" s="10" t="s">
        <v>3244</v>
      </c>
      <c r="R5025" s="4"/>
      <c r="S5025" s="9" t="str">
        <f>HYPERLINK("https://pbs.twimg.com/profile_images/1027646620563922944/Y96m_mVY.jpg","View")</f>
        <v>View</v>
      </c>
    </row>
    <row r="5026" spans="1:19" ht="20">
      <c r="A5026" s="8">
        <v>43340.838263888887</v>
      </c>
      <c r="B5026" s="11" t="str">
        <f>HYPERLINK("https://twitter.com/samsam_khaan","@samsam_khaan")</f>
        <v>@samsam_khaan</v>
      </c>
      <c r="C5026" s="6" t="s">
        <v>3243</v>
      </c>
      <c r="D5026" s="5" t="s">
        <v>3242</v>
      </c>
      <c r="E5026" s="9" t="str">
        <f>HYPERLINK("https://twitter.com/samsam_khaan/status/1034464900721139718","1034464900721139718")</f>
        <v>1034464900721139718</v>
      </c>
      <c r="F5026" s="4"/>
      <c r="G5026" s="4"/>
      <c r="H5026" s="4"/>
      <c r="I5026" s="10" t="str">
        <f>HYPERLINK("http://twitter.com/download/android","Twitter for Android")</f>
        <v>Twitter for Android</v>
      </c>
      <c r="J5026" s="2">
        <v>19</v>
      </c>
      <c r="K5026" s="2">
        <v>32</v>
      </c>
      <c r="L5026" s="2">
        <v>0</v>
      </c>
      <c r="M5026" s="2"/>
      <c r="N5026" s="8">
        <v>43339.842627314814</v>
      </c>
      <c r="O5026" s="4"/>
      <c r="P5026" s="3" t="s">
        <v>3241</v>
      </c>
      <c r="Q5026" s="4"/>
      <c r="R5026" s="4"/>
      <c r="S5026" s="9" t="str">
        <f>HYPERLINK("https://pbs.twimg.com/profile_images/1034106716407910406/8ilD0JGu.jpg","View")</f>
        <v>View</v>
      </c>
    </row>
    <row r="5027" spans="1:19" ht="40">
      <c r="A5027" s="8">
        <v>43340.838078703702</v>
      </c>
      <c r="B5027" s="11" t="str">
        <f>HYPERLINK("https://twitter.com/amirebtehaj","@amirebtehaj")</f>
        <v>@amirebtehaj</v>
      </c>
      <c r="C5027" s="6" t="s">
        <v>3240</v>
      </c>
      <c r="D5027" s="5" t="s">
        <v>3239</v>
      </c>
      <c r="E5027" s="9" t="str">
        <f>HYPERLINK("https://twitter.com/amirebtehaj/status/1034464836028121088","1034464836028121088")</f>
        <v>1034464836028121088</v>
      </c>
      <c r="F5027" s="4"/>
      <c r="G5027" s="4"/>
      <c r="H5027" s="4"/>
      <c r="I5027" s="10" t="str">
        <f>HYPERLINK("http://twitter.com/download/android","Twitter for Android")</f>
        <v>Twitter for Android</v>
      </c>
      <c r="J5027" s="2">
        <v>30706</v>
      </c>
      <c r="K5027" s="2">
        <v>9991</v>
      </c>
      <c r="L5027" s="2">
        <v>173</v>
      </c>
      <c r="M5027" s="2"/>
      <c r="N5027" s="8">
        <v>41617.56690972222</v>
      </c>
      <c r="O5027" s="4"/>
      <c r="P5027" s="3" t="s">
        <v>3238</v>
      </c>
      <c r="Q5027" s="10" t="s">
        <v>3237</v>
      </c>
      <c r="R5027" s="4"/>
      <c r="S5027" s="9" t="str">
        <f>HYPERLINK("https://pbs.twimg.com/profile_images/996527633616777217/6APT4a8Y.jpg","View")</f>
        <v>View</v>
      </c>
    </row>
    <row r="5028" spans="1:19" ht="30">
      <c r="A5028" s="8">
        <v>43340.837789351848</v>
      </c>
      <c r="B5028" s="11" t="str">
        <f>HYPERLINK("https://twitter.com/_roshanaa_","@_roshanaa_")</f>
        <v>@_roshanaa_</v>
      </c>
      <c r="C5028" s="6" t="s">
        <v>3236</v>
      </c>
      <c r="D5028" s="5" t="s">
        <v>3235</v>
      </c>
      <c r="E5028" s="9" t="str">
        <f>HYPERLINK("https://twitter.com/_roshanaa_/status/1034464729190805504","1034464729190805504")</f>
        <v>1034464729190805504</v>
      </c>
      <c r="F5028" s="4"/>
      <c r="G5028" s="4"/>
      <c r="H5028" s="4"/>
      <c r="I5028" s="10" t="str">
        <f>HYPERLINK("http://twitter.com","Twitter Web Client")</f>
        <v>Twitter Web Client</v>
      </c>
      <c r="J5028" s="2">
        <v>2990</v>
      </c>
      <c r="K5028" s="2">
        <v>975</v>
      </c>
      <c r="L5028" s="2">
        <v>5</v>
      </c>
      <c r="M5028" s="2"/>
      <c r="N5028" s="8">
        <v>41181.887025462966</v>
      </c>
      <c r="O5028" s="4"/>
      <c r="P5028" s="3" t="s">
        <v>3234</v>
      </c>
      <c r="Q5028" s="4"/>
      <c r="R5028" s="4"/>
      <c r="S5028" s="9" t="str">
        <f>HYPERLINK("https://pbs.twimg.com/profile_images/1009316472500441088/P_YKDDPV.jpg","View")</f>
        <v>View</v>
      </c>
    </row>
    <row r="5029" spans="1:19" ht="20">
      <c r="A5029" s="8">
        <v>43340.836736111116</v>
      </c>
      <c r="B5029" s="11" t="str">
        <f>HYPERLINK("https://twitter.com/soheilgoran","@soheilgoran")</f>
        <v>@soheilgoran</v>
      </c>
      <c r="C5029" s="6" t="s">
        <v>3233</v>
      </c>
      <c r="D5029" s="5" t="s">
        <v>3232</v>
      </c>
      <c r="E5029" s="9" t="str">
        <f>HYPERLINK("https://twitter.com/soheilgoran/status/1034464348888952833","1034464348888952833")</f>
        <v>1034464348888952833</v>
      </c>
      <c r="F5029" s="4"/>
      <c r="G5029" s="4"/>
      <c r="H5029" s="4"/>
      <c r="I5029" s="10" t="str">
        <f>HYPERLINK("http://twitter.com/download/android","Twitter for Android")</f>
        <v>Twitter for Android</v>
      </c>
      <c r="J5029" s="2">
        <v>90</v>
      </c>
      <c r="K5029" s="2">
        <v>207</v>
      </c>
      <c r="L5029" s="2">
        <v>0</v>
      </c>
      <c r="M5029" s="2"/>
      <c r="N5029" s="8">
        <v>42848.315243055556</v>
      </c>
      <c r="O5029" s="4" t="s">
        <v>3231</v>
      </c>
      <c r="P5029" s="3" t="s">
        <v>3230</v>
      </c>
      <c r="Q5029" s="10" t="s">
        <v>3229</v>
      </c>
      <c r="R5029" s="4"/>
      <c r="S5029" s="9" t="str">
        <f>HYPERLINK("https://pbs.twimg.com/profile_images/1004649874812383233/H5P_E-0t.jpg","View")</f>
        <v>View</v>
      </c>
    </row>
    <row r="5030" spans="1:19" ht="30">
      <c r="A5030" s="8">
        <v>43340.83662037037</v>
      </c>
      <c r="B5030" s="11" t="str">
        <f>HYPERLINK("https://twitter.com/ManotoNews","@ManotoNews")</f>
        <v>@ManotoNews</v>
      </c>
      <c r="C5030" s="6" t="s">
        <v>1174</v>
      </c>
      <c r="D5030" s="5" t="s">
        <v>3228</v>
      </c>
      <c r="E5030" s="9" t="str">
        <f>HYPERLINK("https://twitter.com/ManotoNews/status/1034464304223997952","1034464304223997952")</f>
        <v>1034464304223997952</v>
      </c>
      <c r="F5030" s="4"/>
      <c r="G5030" s="10" t="s">
        <v>3227</v>
      </c>
      <c r="H5030" s="4"/>
      <c r="I5030" s="10" t="str">
        <f>HYPERLINK("http://www.socialflow.com","SocialFlow")</f>
        <v>SocialFlow</v>
      </c>
      <c r="J5030" s="2">
        <v>446775</v>
      </c>
      <c r="K5030" s="2">
        <v>17</v>
      </c>
      <c r="L5030" s="2">
        <v>615</v>
      </c>
      <c r="M5030" s="2" t="s">
        <v>80</v>
      </c>
      <c r="N5030" s="8">
        <v>40859.711631944447</v>
      </c>
      <c r="O5030" s="4" t="s">
        <v>460</v>
      </c>
      <c r="P5030" s="3" t="s">
        <v>1171</v>
      </c>
      <c r="Q5030" s="10" t="s">
        <v>1170</v>
      </c>
      <c r="R5030" s="4"/>
      <c r="S5030" s="9" t="str">
        <f>HYPERLINK("https://pbs.twimg.com/profile_images/976899507744051201/07FIeivp.jpg","View")</f>
        <v>View</v>
      </c>
    </row>
    <row r="5031" spans="1:19" ht="40">
      <c r="A5031" s="8">
        <v>43340.836400462962</v>
      </c>
      <c r="B5031" s="11" t="str">
        <f>HYPERLINK("https://twitter.com/RafatiSiavash","@RafatiSiavash")</f>
        <v>@RafatiSiavash</v>
      </c>
      <c r="C5031" s="6" t="s">
        <v>3226</v>
      </c>
      <c r="D5031" s="5" t="s">
        <v>3225</v>
      </c>
      <c r="E5031" s="9" t="str">
        <f>HYPERLINK("https://twitter.com/RafatiSiavash/status/1034464225236791301","1034464225236791301")</f>
        <v>1034464225236791301</v>
      </c>
      <c r="F5031" s="10" t="s">
        <v>3224</v>
      </c>
      <c r="G5031" s="4"/>
      <c r="H5031" s="4"/>
      <c r="I5031" s="10" t="str">
        <f>HYPERLINK("http://twitter.com","Twitter Web Client")</f>
        <v>Twitter Web Client</v>
      </c>
      <c r="J5031" s="2">
        <v>288</v>
      </c>
      <c r="K5031" s="2">
        <v>231</v>
      </c>
      <c r="L5031" s="2">
        <v>87</v>
      </c>
      <c r="M5031" s="2"/>
      <c r="N5031" s="8">
        <v>41050.769884259258</v>
      </c>
      <c r="O5031" s="4"/>
      <c r="P5031" s="3" t="s">
        <v>3223</v>
      </c>
      <c r="Q5031" s="10" t="s">
        <v>3222</v>
      </c>
      <c r="R5031" s="4"/>
      <c r="S5031" s="9" t="str">
        <f>HYPERLINK("https://pbs.twimg.com/profile_images/821385868690751488/Qqe0I1Bk.jpg","View")</f>
        <v>View</v>
      </c>
    </row>
    <row r="5032" spans="1:19" ht="40">
      <c r="A5032" s="8">
        <v>43340.836388888885</v>
      </c>
      <c r="B5032" s="11" t="str">
        <f>HYPERLINK("https://twitter.com/aminsam","@aminsam")</f>
        <v>@aminsam</v>
      </c>
      <c r="C5032" s="6" t="s">
        <v>3221</v>
      </c>
      <c r="D5032" s="5" t="s">
        <v>3220</v>
      </c>
      <c r="E5032" s="9" t="str">
        <f>HYPERLINK("https://twitter.com/aminsam/status/1034464221524779009","1034464221524779009")</f>
        <v>1034464221524779009</v>
      </c>
      <c r="F5032" s="4"/>
      <c r="G5032" s="4"/>
      <c r="H5032" s="4"/>
      <c r="I5032" s="10" t="str">
        <f>HYPERLINK("http://twitter.com/download/iphone","Twitter for iPhone")</f>
        <v>Twitter for iPhone</v>
      </c>
      <c r="J5032" s="2">
        <v>359</v>
      </c>
      <c r="K5032" s="2">
        <v>307</v>
      </c>
      <c r="L5032" s="2">
        <v>0</v>
      </c>
      <c r="M5032" s="2"/>
      <c r="N5032" s="8">
        <v>39476.491643518515</v>
      </c>
      <c r="O5032" s="4"/>
      <c r="P5032" s="3" t="s">
        <v>3219</v>
      </c>
      <c r="Q5032" s="4"/>
      <c r="R5032" s="4"/>
      <c r="S5032" s="9" t="str">
        <f>HYPERLINK("https://pbs.twimg.com/profile_images/472424936821112832/4NROjkVj.jpeg","View")</f>
        <v>View</v>
      </c>
    </row>
    <row r="5033" spans="1:19" ht="20">
      <c r="A5033" s="8">
        <v>43340.836168981477</v>
      </c>
      <c r="B5033" s="11" t="str">
        <f>HYPERLINK("https://twitter.com/Far_naz64","@Far_naz64")</f>
        <v>@Far_naz64</v>
      </c>
      <c r="C5033" s="6" t="s">
        <v>1322</v>
      </c>
      <c r="D5033" s="5" t="s">
        <v>3218</v>
      </c>
      <c r="E5033" s="9" t="str">
        <f>HYPERLINK("https://twitter.com/Far_naz64/status/1034464141757571073","1034464141757571073")</f>
        <v>1034464141757571073</v>
      </c>
      <c r="F5033" s="4"/>
      <c r="G5033" s="10" t="s">
        <v>3217</v>
      </c>
      <c r="H5033" s="4"/>
      <c r="I5033" s="10" t="str">
        <f>HYPERLINK("http://twitter.com/download/iphone","Twitter for iPhone")</f>
        <v>Twitter for iPhone</v>
      </c>
      <c r="J5033" s="2">
        <v>11751</v>
      </c>
      <c r="K5033" s="2">
        <v>8520</v>
      </c>
      <c r="L5033" s="2">
        <v>64</v>
      </c>
      <c r="M5033" s="2"/>
      <c r="N5033" s="8">
        <v>40598.671585648146</v>
      </c>
      <c r="O5033" s="4" t="s">
        <v>1319</v>
      </c>
      <c r="P5033" s="3" t="s">
        <v>1318</v>
      </c>
      <c r="Q5033" s="10" t="s">
        <v>1317</v>
      </c>
      <c r="R5033" s="4"/>
      <c r="S5033" s="9" t="str">
        <f>HYPERLINK("https://pbs.twimg.com/profile_images/1033840036318519298/u-0VPeXa.jpg","View")</f>
        <v>View</v>
      </c>
    </row>
    <row r="5034" spans="1:19" ht="20">
      <c r="A5034" s="8">
        <v>43340.835972222223</v>
      </c>
      <c r="B5034" s="11" t="str">
        <f>HYPERLINK("https://twitter.com/sorena_78","@sorena_78")</f>
        <v>@sorena_78</v>
      </c>
      <c r="C5034" s="6" t="s">
        <v>3216</v>
      </c>
      <c r="D5034" s="5" t="s">
        <v>3215</v>
      </c>
      <c r="E5034" s="9" t="str">
        <f>HYPERLINK("https://twitter.com/sorena_78/status/1034464070748065794","1034464070748065794")</f>
        <v>1034464070748065794</v>
      </c>
      <c r="F5034" s="4"/>
      <c r="G5034" s="4"/>
      <c r="H5034" s="4"/>
      <c r="I5034" s="10" t="str">
        <f>HYPERLINK("http://twitter.com/download/android","Twitter for Android")</f>
        <v>Twitter for Android</v>
      </c>
      <c r="J5034" s="2">
        <v>702</v>
      </c>
      <c r="K5034" s="2">
        <v>236</v>
      </c>
      <c r="L5034" s="2">
        <v>2</v>
      </c>
      <c r="M5034" s="2"/>
      <c r="N5034" s="8">
        <v>43259.198703703703</v>
      </c>
      <c r="O5034" s="4" t="s">
        <v>3214</v>
      </c>
      <c r="P5034" s="3" t="s">
        <v>3213</v>
      </c>
      <c r="Q5034" s="4"/>
      <c r="R5034" s="4"/>
      <c r="S5034" s="9" t="str">
        <f>HYPERLINK("https://pbs.twimg.com/profile_images/1005028162974179328/IWr7m7n6.jpg","View")</f>
        <v>View</v>
      </c>
    </row>
    <row r="5035" spans="1:19" ht="40">
      <c r="A5035" s="8">
        <v>43340.8359375</v>
      </c>
      <c r="B5035" s="11" t="str">
        <f>HYPERLINK("https://twitter.com/Hoo_Say_No","@Hoo_Say_No")</f>
        <v>@Hoo_Say_No</v>
      </c>
      <c r="C5035" s="6" t="s">
        <v>3212</v>
      </c>
      <c r="D5035" s="5" t="s">
        <v>3211</v>
      </c>
      <c r="E5035" s="9" t="str">
        <f>HYPERLINK("https://twitter.com/Hoo_Say_No/status/1034464060027351047","1034464060027351047")</f>
        <v>1034464060027351047</v>
      </c>
      <c r="F5035" s="4"/>
      <c r="G5035" s="4"/>
      <c r="H5035" s="4"/>
      <c r="I5035" s="10" t="str">
        <f>HYPERLINK("http://twitter.com/download/android","Twitter for Android")</f>
        <v>Twitter for Android</v>
      </c>
      <c r="J5035" s="2">
        <v>544</v>
      </c>
      <c r="K5035" s="2">
        <v>523</v>
      </c>
      <c r="L5035" s="2">
        <v>7</v>
      </c>
      <c r="M5035" s="2"/>
      <c r="N5035" s="8">
        <v>42308.853877314818</v>
      </c>
      <c r="O5035" s="4"/>
      <c r="P5035" s="3"/>
      <c r="Q5035" s="4"/>
      <c r="R5035" s="4"/>
      <c r="S5035" s="9" t="str">
        <f>HYPERLINK("https://pbs.twimg.com/profile_images/1022896287245643779/gaxH6ou_.jpg","View")</f>
        <v>View</v>
      </c>
    </row>
    <row r="5036" spans="1:19" ht="30">
      <c r="A5036" s="8">
        <v>43340.835636574076</v>
      </c>
      <c r="B5036" s="11" t="str">
        <f>HYPERLINK("https://twitter.com/Behrang_ai","@Behrang_ai")</f>
        <v>@Behrang_ai</v>
      </c>
      <c r="C5036" s="6" t="s">
        <v>3210</v>
      </c>
      <c r="D5036" s="5" t="s">
        <v>3209</v>
      </c>
      <c r="E5036" s="9" t="str">
        <f>HYPERLINK("https://twitter.com/Behrang_ai/status/1034463948408594435","1034463948408594435")</f>
        <v>1034463948408594435</v>
      </c>
      <c r="F5036" s="4"/>
      <c r="G5036" s="4"/>
      <c r="H5036" s="4"/>
      <c r="I5036" s="10" t="str">
        <f>HYPERLINK("http://twitter.com/download/android","Twitter for Android")</f>
        <v>Twitter for Android</v>
      </c>
      <c r="J5036" s="2">
        <v>98</v>
      </c>
      <c r="K5036" s="2">
        <v>172</v>
      </c>
      <c r="L5036" s="2">
        <v>0</v>
      </c>
      <c r="M5036" s="2"/>
      <c r="N5036" s="8">
        <v>43319.792928240742</v>
      </c>
      <c r="O5036" s="4"/>
      <c r="P5036" s="3" t="s">
        <v>3208</v>
      </c>
      <c r="Q5036" s="4"/>
      <c r="R5036" s="4"/>
      <c r="S5036" s="9" t="str">
        <f>HYPERLINK("https://pbs.twimg.com/profile_images/1026840277942788097/zvBsT69x.jpg","View")</f>
        <v>View</v>
      </c>
    </row>
    <row r="5037" spans="1:19" ht="20">
      <c r="A5037" s="8">
        <v>43340.835335648153</v>
      </c>
      <c r="B5037" s="11" t="str">
        <f>HYPERLINK("https://twitter.com/Hamiii_B","@Hamiii_B")</f>
        <v>@Hamiii_B</v>
      </c>
      <c r="C5037" s="6" t="s">
        <v>3207</v>
      </c>
      <c r="D5037" s="5" t="s">
        <v>3206</v>
      </c>
      <c r="E5037" s="9" t="str">
        <f>HYPERLINK("https://twitter.com/Hamiii_B/status/1034463841764040704","1034463841764040704")</f>
        <v>1034463841764040704</v>
      </c>
      <c r="F5037" s="4"/>
      <c r="G5037" s="4"/>
      <c r="H5037" s="4"/>
      <c r="I5037" s="10" t="str">
        <f>HYPERLINK("http://twitter.com/download/android","Twitter for Android")</f>
        <v>Twitter for Android</v>
      </c>
      <c r="J5037" s="2">
        <v>5</v>
      </c>
      <c r="K5037" s="2">
        <v>21</v>
      </c>
      <c r="L5037" s="2">
        <v>0</v>
      </c>
      <c r="M5037" s="2"/>
      <c r="N5037" s="8">
        <v>42931.190393518518</v>
      </c>
      <c r="O5037" s="4"/>
      <c r="P5037" s="3"/>
      <c r="Q5037" s="4"/>
      <c r="R5037" s="4"/>
      <c r="S5037" s="9" t="str">
        <f>HYPERLINK("https://pbs.twimg.com/profile_images/886015518326480897/axqWjBfJ.jpg","View")</f>
        <v>View</v>
      </c>
    </row>
    <row r="5038" spans="1:19" ht="30">
      <c r="A5038" s="8">
        <v>43340.834861111114</v>
      </c>
      <c r="B5038" s="11" t="str">
        <f>HYPERLINK("https://twitter.com/sadeq_hosseini","@sadeq_hosseini")</f>
        <v>@sadeq_hosseini</v>
      </c>
      <c r="C5038" s="6" t="s">
        <v>3205</v>
      </c>
      <c r="D5038" s="5" t="s">
        <v>3204</v>
      </c>
      <c r="E5038" s="9" t="str">
        <f>HYPERLINK("https://twitter.com/sadeq_hosseini/status/1034463666060578816","1034463666060578816")</f>
        <v>1034463666060578816</v>
      </c>
      <c r="F5038" s="4"/>
      <c r="G5038" s="4"/>
      <c r="H5038" s="4"/>
      <c r="I5038" s="10" t="str">
        <f>HYPERLINK("http://twitter.com","Twitter Web Client")</f>
        <v>Twitter Web Client</v>
      </c>
      <c r="J5038" s="2">
        <v>4203</v>
      </c>
      <c r="K5038" s="2">
        <v>264</v>
      </c>
      <c r="L5038" s="2">
        <v>48</v>
      </c>
      <c r="M5038" s="2"/>
      <c r="N5038" s="8">
        <v>41468.055902777778</v>
      </c>
      <c r="O5038" s="4" t="s">
        <v>3203</v>
      </c>
      <c r="P5038" s="3" t="s">
        <v>3202</v>
      </c>
      <c r="Q5038" s="10" t="s">
        <v>3201</v>
      </c>
      <c r="R5038" s="4"/>
      <c r="S5038" s="9" t="str">
        <f>HYPERLINK("https://pbs.twimg.com/profile_images/1026731719158890496/Me7R_PX_.jpg","View")</f>
        <v>View</v>
      </c>
    </row>
    <row r="5039" spans="1:19" ht="30">
      <c r="A5039" s="8">
        <v>43340.834340277783</v>
      </c>
      <c r="B5039" s="11" t="str">
        <f>HYPERLINK("https://twitter.com/seyedrezagh","@seyedrezagh")</f>
        <v>@seyedrezagh</v>
      </c>
      <c r="C5039" s="6" t="s">
        <v>3200</v>
      </c>
      <c r="D5039" s="5" t="s">
        <v>3199</v>
      </c>
      <c r="E5039" s="9" t="str">
        <f>HYPERLINK("https://twitter.com/seyedrezagh/status/1034463478495567873","1034463478495567873")</f>
        <v>1034463478495567873</v>
      </c>
      <c r="F5039" s="4"/>
      <c r="G5039" s="4"/>
      <c r="H5039" s="4"/>
      <c r="I5039" s="10" t="str">
        <f>HYPERLINK("http://twitter.com/download/android","Twitter for Android")</f>
        <v>Twitter for Android</v>
      </c>
      <c r="J5039" s="2">
        <v>58</v>
      </c>
      <c r="K5039" s="2">
        <v>124</v>
      </c>
      <c r="L5039" s="2">
        <v>1</v>
      </c>
      <c r="M5039" s="2"/>
      <c r="N5039" s="8">
        <v>42987.567615740743</v>
      </c>
      <c r="O5039" s="4"/>
      <c r="P5039" s="3" t="s">
        <v>3198</v>
      </c>
      <c r="Q5039" s="4"/>
      <c r="R5039" s="4"/>
      <c r="S5039" s="9" t="str">
        <f>HYPERLINK("https://pbs.twimg.com/profile_images/906450889996718081/xur9RbQJ.jpg","View")</f>
        <v>View</v>
      </c>
    </row>
    <row r="5040" spans="1:19" ht="40">
      <c r="A5040" s="8">
        <v>43340.834189814814</v>
      </c>
      <c r="B5040" s="11" t="str">
        <f>HYPERLINK("https://twitter.com/Aqileh_313","@Aqileh_313")</f>
        <v>@Aqileh_313</v>
      </c>
      <c r="C5040" s="6" t="s">
        <v>498</v>
      </c>
      <c r="D5040" s="5" t="s">
        <v>3197</v>
      </c>
      <c r="E5040" s="9" t="str">
        <f>HYPERLINK("https://twitter.com/Aqileh_313/status/1034463425685016578","1034463425685016578")</f>
        <v>1034463425685016578</v>
      </c>
      <c r="F5040" s="10" t="s">
        <v>3196</v>
      </c>
      <c r="G5040" s="4"/>
      <c r="H5040" s="4"/>
      <c r="I5040" s="10" t="str">
        <f>HYPERLINK("http://twitter.com/download/android","Twitter for Android")</f>
        <v>Twitter for Android</v>
      </c>
      <c r="J5040" s="2">
        <v>1000</v>
      </c>
      <c r="K5040" s="2">
        <v>1295</v>
      </c>
      <c r="L5040" s="2">
        <v>2</v>
      </c>
      <c r="M5040" s="2"/>
      <c r="N5040" s="8">
        <v>43229.33929398148</v>
      </c>
      <c r="O5040" s="4" t="s">
        <v>17</v>
      </c>
      <c r="P5040" s="3" t="s">
        <v>496</v>
      </c>
      <c r="Q5040" s="4"/>
      <c r="R5040" s="4"/>
      <c r="S5040" s="9" t="str">
        <f>HYPERLINK("https://pbs.twimg.com/profile_images/1030919443751284737/RDKeWBwn.jpg","View")</f>
        <v>View</v>
      </c>
    </row>
    <row r="5041" spans="1:19" ht="40">
      <c r="A5041" s="8">
        <v>43340.834004629629</v>
      </c>
      <c r="B5041" s="11" t="str">
        <f>HYPERLINK("https://twitter.com/samanra34870250","@samanra34870250")</f>
        <v>@samanra34870250</v>
      </c>
      <c r="C5041" s="6" t="s">
        <v>3195</v>
      </c>
      <c r="D5041" s="5" t="s">
        <v>3194</v>
      </c>
      <c r="E5041" s="9" t="str">
        <f>HYPERLINK("https://twitter.com/samanra34870250/status/1034463356197978120","1034463356197978120")</f>
        <v>1034463356197978120</v>
      </c>
      <c r="F5041" s="4"/>
      <c r="G5041" s="4"/>
      <c r="H5041" s="4"/>
      <c r="I5041" s="10" t="str">
        <f>HYPERLINK("http://twitter.com/download/android","Twitter for Android")</f>
        <v>Twitter for Android</v>
      </c>
      <c r="J5041" s="2">
        <v>14</v>
      </c>
      <c r="K5041" s="2">
        <v>34</v>
      </c>
      <c r="L5041" s="2">
        <v>0</v>
      </c>
      <c r="M5041" s="2"/>
      <c r="N5041" s="8">
        <v>43330.55363425926</v>
      </c>
      <c r="O5041" s="4"/>
      <c r="P5041" s="3"/>
      <c r="Q5041" s="4"/>
      <c r="R5041" s="4"/>
      <c r="S5041" s="2" t="s">
        <v>155</v>
      </c>
    </row>
    <row r="5042" spans="1:19" ht="20">
      <c r="A5042" s="8">
        <v>43340.833067129628</v>
      </c>
      <c r="B5042" s="11" t="str">
        <f>HYPERLINK("https://twitter.com/abbasmahmoodi4","@abbasmahmoodi4")</f>
        <v>@abbasmahmoodi4</v>
      </c>
      <c r="C5042" s="6" t="s">
        <v>3193</v>
      </c>
      <c r="D5042" s="5" t="s">
        <v>3192</v>
      </c>
      <c r="E5042" s="9" t="str">
        <f>HYPERLINK("https://twitter.com/abbasmahmoodi4/status/1034463018057392128","1034463018057392128")</f>
        <v>1034463018057392128</v>
      </c>
      <c r="F5042" s="4"/>
      <c r="G5042" s="4"/>
      <c r="H5042" s="4"/>
      <c r="I5042" s="10" t="str">
        <f>HYPERLINK("http://twitter.com/download/iphone","Twitter for iPhone")</f>
        <v>Twitter for iPhone</v>
      </c>
      <c r="J5042" s="2">
        <v>64</v>
      </c>
      <c r="K5042" s="2">
        <v>215</v>
      </c>
      <c r="L5042" s="2">
        <v>0</v>
      </c>
      <c r="M5042" s="2"/>
      <c r="N5042" s="8">
        <v>41314.669861111113</v>
      </c>
      <c r="O5042" s="4" t="s">
        <v>3191</v>
      </c>
      <c r="P5042" s="3" t="s">
        <v>3190</v>
      </c>
      <c r="Q5042" s="4"/>
      <c r="R5042" s="4"/>
      <c r="S5042" s="9" t="str">
        <f>HYPERLINK("https://pbs.twimg.com/profile_images/3228915629/3f993561b05fe52345b371d84719eef7.jpeg","View")</f>
        <v>View</v>
      </c>
    </row>
    <row r="5043" spans="1:19" ht="20">
      <c r="A5043" s="8">
        <v>43340.832245370373</v>
      </c>
      <c r="B5043" s="11" t="str">
        <f>HYPERLINK("https://twitter.com/RAfzal12","@RAfzal12")</f>
        <v>@RAfzal12</v>
      </c>
      <c r="C5043" s="6" t="s">
        <v>3189</v>
      </c>
      <c r="D5043" s="5" t="s">
        <v>3188</v>
      </c>
      <c r="E5043" s="9" t="str">
        <f>HYPERLINK("https://twitter.com/RAfzal12/status/1034462718969954306","1034462718969954306")</f>
        <v>1034462718969954306</v>
      </c>
      <c r="F5043" s="4"/>
      <c r="G5043" s="4"/>
      <c r="H5043" s="4"/>
      <c r="I5043" s="10" t="str">
        <f>HYPERLINK("http://twitter.com/download/android","Twitter for Android")</f>
        <v>Twitter for Android</v>
      </c>
      <c r="J5043" s="2">
        <v>2</v>
      </c>
      <c r="K5043" s="2">
        <v>2</v>
      </c>
      <c r="L5043" s="2">
        <v>0</v>
      </c>
      <c r="M5043" s="2"/>
      <c r="N5043" s="8">
        <v>43317.717499999999</v>
      </c>
      <c r="O5043" s="4"/>
      <c r="P5043" s="3"/>
      <c r="Q5043" s="4"/>
      <c r="R5043" s="4"/>
      <c r="S5043" s="2" t="s">
        <v>155</v>
      </c>
    </row>
    <row r="5044" spans="1:19" ht="20">
      <c r="A5044" s="8">
        <v>43340.832141203704</v>
      </c>
      <c r="B5044" s="11" t="str">
        <f>HYPERLINK("https://twitter.com/Frdyzn","@Frdyzn")</f>
        <v>@Frdyzn</v>
      </c>
      <c r="C5044" s="6" t="s">
        <v>3187</v>
      </c>
      <c r="D5044" s="5" t="s">
        <v>3186</v>
      </c>
      <c r="E5044" s="9" t="str">
        <f>HYPERLINK("https://twitter.com/Frdyzn/status/1034462682290769922","1034462682290769922")</f>
        <v>1034462682290769922</v>
      </c>
      <c r="F5044" s="4"/>
      <c r="G5044" s="4"/>
      <c r="H5044" s="4"/>
      <c r="I5044" s="10" t="str">
        <f>HYPERLINK("http://twitter.com/download/android","Twitter for Android")</f>
        <v>Twitter for Android</v>
      </c>
      <c r="J5044" s="2">
        <v>75</v>
      </c>
      <c r="K5044" s="2">
        <v>231</v>
      </c>
      <c r="L5044" s="2">
        <v>0</v>
      </c>
      <c r="M5044" s="2"/>
      <c r="N5044" s="8">
        <v>43197.50105324074</v>
      </c>
      <c r="O5044" s="4" t="s">
        <v>17</v>
      </c>
      <c r="P5044" s="3" t="s">
        <v>3185</v>
      </c>
      <c r="Q5044" s="4"/>
      <c r="R5044" s="4"/>
      <c r="S5044" s="9" t="str">
        <f>HYPERLINK("https://pbs.twimg.com/profile_images/1029582517597233152/BrHNNM3Y.jpg","View")</f>
        <v>View</v>
      </c>
    </row>
    <row r="5045" spans="1:19" ht="20">
      <c r="A5045" s="8">
        <v>43340.831759259258</v>
      </c>
      <c r="B5045" s="11" t="str">
        <f>HYPERLINK("https://twitter.com/GooodMori","@GooodMori")</f>
        <v>@GooodMori</v>
      </c>
      <c r="C5045" s="6" t="s">
        <v>3184</v>
      </c>
      <c r="D5045" s="5" t="s">
        <v>3183</v>
      </c>
      <c r="E5045" s="9" t="str">
        <f>HYPERLINK("https://twitter.com/GooodMori/status/1034462543899774976","1034462543899774976")</f>
        <v>1034462543899774976</v>
      </c>
      <c r="F5045" s="4"/>
      <c r="G5045" s="4"/>
      <c r="H5045" s="4"/>
      <c r="I5045" s="10" t="str">
        <f>HYPERLINK("http://twitter.com/download/android","Twitter for Android")</f>
        <v>Twitter for Android</v>
      </c>
      <c r="J5045" s="2">
        <v>2</v>
      </c>
      <c r="K5045" s="2">
        <v>17</v>
      </c>
      <c r="L5045" s="2">
        <v>0</v>
      </c>
      <c r="M5045" s="2"/>
      <c r="N5045" s="8">
        <v>43292.877939814818</v>
      </c>
      <c r="O5045" s="4"/>
      <c r="P5045" s="3"/>
      <c r="Q5045" s="4"/>
      <c r="R5045" s="4"/>
      <c r="S5045" s="9" t="str">
        <f>HYPERLINK("https://pbs.twimg.com/profile_images/1034463596900691968/TnMqHTvg.jpg","View")</f>
        <v>View</v>
      </c>
    </row>
    <row r="5046" spans="1:19" ht="30">
      <c r="A5046" s="8">
        <v>43340.831608796296</v>
      </c>
      <c r="B5046" s="11" t="str">
        <f>HYPERLINK("https://twitter.com/MalcolmSardar","@MalcolmSardar")</f>
        <v>@MalcolmSardar</v>
      </c>
      <c r="C5046" s="6" t="s">
        <v>2664</v>
      </c>
      <c r="D5046" s="5" t="s">
        <v>3182</v>
      </c>
      <c r="E5046" s="9" t="str">
        <f>HYPERLINK("https://twitter.com/MalcolmSardar/status/1034462487318548482","1034462487318548482")</f>
        <v>1034462487318548482</v>
      </c>
      <c r="F5046" s="10" t="s">
        <v>848</v>
      </c>
      <c r="G5046" s="4"/>
      <c r="H5046" s="4"/>
      <c r="I5046" s="10" t="str">
        <f>HYPERLINK("http://twitter.com/download/android","Twitter for Android")</f>
        <v>Twitter for Android</v>
      </c>
      <c r="J5046" s="2">
        <v>1472</v>
      </c>
      <c r="K5046" s="2">
        <v>712</v>
      </c>
      <c r="L5046" s="2">
        <v>2</v>
      </c>
      <c r="M5046" s="2"/>
      <c r="N5046" s="8">
        <v>43159.496840277774</v>
      </c>
      <c r="O5046" s="4"/>
      <c r="P5046" s="3" t="s">
        <v>2662</v>
      </c>
      <c r="Q5046" s="4"/>
      <c r="R5046" s="4"/>
      <c r="S5046" s="9" t="str">
        <f>HYPERLINK("https://pbs.twimg.com/profile_images/1011365979543269376/HZoqxlLs.jpg","View")</f>
        <v>View</v>
      </c>
    </row>
    <row r="5047" spans="1:19" ht="20">
      <c r="A5047" s="8">
        <v>43340.831064814818</v>
      </c>
      <c r="B5047" s="11" t="str">
        <f>HYPERLINK("https://twitter.com/fateemeee","@fateemeee")</f>
        <v>@fateemeee</v>
      </c>
      <c r="C5047" s="6" t="s">
        <v>3181</v>
      </c>
      <c r="D5047" s="5" t="s">
        <v>3180</v>
      </c>
      <c r="E5047" s="9" t="str">
        <f>HYPERLINK("https://twitter.com/fateemeee/status/1034462292610568193","1034462292610568193")</f>
        <v>1034462292610568193</v>
      </c>
      <c r="F5047" s="4"/>
      <c r="G5047" s="4"/>
      <c r="H5047" s="4"/>
      <c r="I5047" s="10" t="str">
        <f>HYPERLINK("http://twitter.com/download/android","Twitter for Android")</f>
        <v>Twitter for Android</v>
      </c>
      <c r="J5047" s="2">
        <v>91</v>
      </c>
      <c r="K5047" s="2">
        <v>108</v>
      </c>
      <c r="L5047" s="2">
        <v>0</v>
      </c>
      <c r="M5047" s="2"/>
      <c r="N5047" s="8">
        <v>43138.606493055559</v>
      </c>
      <c r="O5047" s="4"/>
      <c r="P5047" s="3" t="s">
        <v>3179</v>
      </c>
      <c r="Q5047" s="4"/>
      <c r="R5047" s="4"/>
      <c r="S5047" s="9" t="str">
        <f>HYPERLINK("https://pbs.twimg.com/profile_images/1026211632094040064/igdWxRXg.jpg","View")</f>
        <v>View</v>
      </c>
    </row>
    <row r="5048" spans="1:19" ht="40">
      <c r="A5048" s="8">
        <v>43340.830393518518</v>
      </c>
      <c r="B5048" s="11" t="str">
        <f>HYPERLINK("https://twitter.com/hamed_sh313","@hamed_sh313")</f>
        <v>@hamed_sh313</v>
      </c>
      <c r="C5048" s="6" t="s">
        <v>3178</v>
      </c>
      <c r="D5048" s="5" t="s">
        <v>3177</v>
      </c>
      <c r="E5048" s="9" t="str">
        <f>HYPERLINK("https://twitter.com/hamed_sh313/status/1034462046933270528","1034462046933270528")</f>
        <v>1034462046933270528</v>
      </c>
      <c r="F5048" s="4"/>
      <c r="G5048" s="4"/>
      <c r="H5048" s="4"/>
      <c r="I5048" s="10" t="str">
        <f>HYPERLINK("http://twitter.com/download/android","Twitter for Android")</f>
        <v>Twitter for Android</v>
      </c>
      <c r="J5048" s="2">
        <v>1187</v>
      </c>
      <c r="K5048" s="2">
        <v>677</v>
      </c>
      <c r="L5048" s="2">
        <v>1</v>
      </c>
      <c r="M5048" s="2"/>
      <c r="N5048" s="8">
        <v>42755.849131944444</v>
      </c>
      <c r="O5048" s="4" t="s">
        <v>3176</v>
      </c>
      <c r="P5048" s="3" t="s">
        <v>3175</v>
      </c>
      <c r="Q5048" s="4"/>
      <c r="R5048" s="4"/>
      <c r="S5048" s="9" t="str">
        <f>HYPERLINK("https://pbs.twimg.com/profile_images/982276963669889024/fKypMwie.jpg","View")</f>
        <v>View</v>
      </c>
    </row>
    <row r="5049" spans="1:19" ht="20">
      <c r="A5049" s="8">
        <v>43340.830034722225</v>
      </c>
      <c r="B5049" s="11" t="str">
        <f>HYPERLINK("https://twitter.com/daei_khan","@daei_khan")</f>
        <v>@daei_khan</v>
      </c>
      <c r="C5049" s="6" t="s">
        <v>3174</v>
      </c>
      <c r="D5049" s="5" t="s">
        <v>3173</v>
      </c>
      <c r="E5049" s="9" t="str">
        <f>HYPERLINK("https://twitter.com/daei_khan/status/1034461919539851266","1034461919539851266")</f>
        <v>1034461919539851266</v>
      </c>
      <c r="F5049" s="4"/>
      <c r="G5049" s="4"/>
      <c r="H5049" s="4"/>
      <c r="I5049" s="10" t="str">
        <f>HYPERLINK("http://twitter.com/download/iphone","Twitter for iPhone")</f>
        <v>Twitter for iPhone</v>
      </c>
      <c r="J5049" s="2">
        <v>22</v>
      </c>
      <c r="K5049" s="2">
        <v>37</v>
      </c>
      <c r="L5049" s="2">
        <v>0</v>
      </c>
      <c r="M5049" s="2"/>
      <c r="N5049" s="8">
        <v>43112.496134259258</v>
      </c>
      <c r="O5049" s="4"/>
      <c r="P5049" s="3"/>
      <c r="Q5049" s="4"/>
      <c r="R5049" s="4"/>
      <c r="S5049" s="9" t="str">
        <f>HYPERLINK("https://pbs.twimg.com/profile_images/988714919255330816/6oD0VONf.jpg","View")</f>
        <v>View</v>
      </c>
    </row>
    <row r="5050" spans="1:19" ht="30">
      <c r="A5050" s="8">
        <v>43340.829884259263</v>
      </c>
      <c r="B5050" s="11" t="str">
        <f>HYPERLINK("https://twitter.com/RouhaniMeter","@RouhaniMeter")</f>
        <v>@RouhaniMeter</v>
      </c>
      <c r="C5050" s="6" t="s">
        <v>3172</v>
      </c>
      <c r="D5050" s="5" t="s">
        <v>3171</v>
      </c>
      <c r="E5050" s="9" t="str">
        <f>HYPERLINK("https://twitter.com/RouhaniMeter/status/1034461865731137537","1034461865731137537")</f>
        <v>1034461865731137537</v>
      </c>
      <c r="F5050" s="10" t="s">
        <v>3170</v>
      </c>
      <c r="G5050" s="10" t="s">
        <v>3169</v>
      </c>
      <c r="H5050" s="4"/>
      <c r="I5050" s="10" t="str">
        <f>HYPERLINK("https://coschedule.com","CoSchedule")</f>
        <v>CoSchedule</v>
      </c>
      <c r="J5050" s="2">
        <v>5541</v>
      </c>
      <c r="K5050" s="2">
        <v>229</v>
      </c>
      <c r="L5050" s="2">
        <v>50</v>
      </c>
      <c r="M5050" s="2"/>
      <c r="N5050" s="8">
        <v>41443.730347222227</v>
      </c>
      <c r="O5050" s="4"/>
      <c r="P5050" s="3" t="s">
        <v>3168</v>
      </c>
      <c r="Q5050" s="10" t="s">
        <v>3167</v>
      </c>
      <c r="R5050" s="4"/>
      <c r="S5050" s="9" t="str">
        <f>HYPERLINK("https://pbs.twimg.com/profile_images/675451482406150144/8X7mV4Al.jpg","View")</f>
        <v>View</v>
      </c>
    </row>
    <row r="5051" spans="1:19" ht="30">
      <c r="A5051" s="8">
        <v>43340.82980324074</v>
      </c>
      <c r="B5051" s="11" t="str">
        <f>HYPERLINK("https://twitter.com/DNouri53","@DNouri53")</f>
        <v>@DNouri53</v>
      </c>
      <c r="C5051" s="6" t="s">
        <v>3166</v>
      </c>
      <c r="D5051" s="5" t="s">
        <v>3165</v>
      </c>
      <c r="E5051" s="9" t="str">
        <f>HYPERLINK("https://twitter.com/DNouri53/status/1034461836396179458","1034461836396179458")</f>
        <v>1034461836396179458</v>
      </c>
      <c r="F5051" s="4"/>
      <c r="G5051" s="4"/>
      <c r="H5051" s="4"/>
      <c r="I5051" s="10" t="str">
        <f>HYPERLINK("http://twitter.com/download/android","Twitter for Android")</f>
        <v>Twitter for Android</v>
      </c>
      <c r="J5051" s="2">
        <v>856</v>
      </c>
      <c r="K5051" s="2">
        <v>603</v>
      </c>
      <c r="L5051" s="2">
        <v>5</v>
      </c>
      <c r="M5051" s="2"/>
      <c r="N5051" s="8">
        <v>43063.525810185187</v>
      </c>
      <c r="O5051" s="4"/>
      <c r="P5051" s="3"/>
      <c r="Q5051" s="10" t="s">
        <v>3164</v>
      </c>
      <c r="R5051" s="4"/>
      <c r="S5051" s="9" t="str">
        <f>HYPERLINK("https://pbs.twimg.com/profile_images/1017843172582547456/-dql296g.jpg","View")</f>
        <v>View</v>
      </c>
    </row>
    <row r="5052" spans="1:19" ht="40">
      <c r="A5052" s="8">
        <v>43340.829444444447</v>
      </c>
      <c r="B5052" s="11" t="str">
        <f>HYPERLINK("https://twitter.com/KhosroshahiAmin","@KhosroshahiAmin")</f>
        <v>@KhosroshahiAmin</v>
      </c>
      <c r="C5052" s="6" t="s">
        <v>3163</v>
      </c>
      <c r="D5052" s="5" t="s">
        <v>3162</v>
      </c>
      <c r="E5052" s="9" t="str">
        <f>HYPERLINK("https://twitter.com/KhosroshahiAmin/status/1034461703403171840","1034461703403171840")</f>
        <v>1034461703403171840</v>
      </c>
      <c r="F5052" s="4"/>
      <c r="G5052" s="4"/>
      <c r="H5052" s="4"/>
      <c r="I5052" s="10" t="str">
        <f>HYPERLINK("http://twitter.com/download/android","Twitter for Android")</f>
        <v>Twitter for Android</v>
      </c>
      <c r="J5052" s="2">
        <v>2121</v>
      </c>
      <c r="K5052" s="2">
        <v>764</v>
      </c>
      <c r="L5052" s="2">
        <v>62</v>
      </c>
      <c r="M5052" s="2"/>
      <c r="N5052" s="8">
        <v>41927.698252314818</v>
      </c>
      <c r="O5052" s="4" t="s">
        <v>133</v>
      </c>
      <c r="P5052" s="3" t="s">
        <v>3161</v>
      </c>
      <c r="Q5052" s="10" t="s">
        <v>3160</v>
      </c>
      <c r="R5052" s="4"/>
      <c r="S5052" s="9" t="str">
        <f>HYPERLINK("https://pbs.twimg.com/profile_images/580397795791757315/TMCNALrQ.jpg","View")</f>
        <v>View</v>
      </c>
    </row>
    <row r="5053" spans="1:19" ht="20">
      <c r="A5053" s="8">
        <v>43340.829166666663</v>
      </c>
      <c r="B5053" s="11" t="str">
        <f>HYPERLINK("https://twitter.com/Ashraf_Almulk","@Ashraf_Almulk")</f>
        <v>@Ashraf_Almulk</v>
      </c>
      <c r="C5053" s="6" t="s">
        <v>3159</v>
      </c>
      <c r="D5053" s="5" t="s">
        <v>3158</v>
      </c>
      <c r="E5053" s="9" t="str">
        <f>HYPERLINK("https://twitter.com/Ashraf_Almulk/status/1034461602777587713","1034461602777587713")</f>
        <v>1034461602777587713</v>
      </c>
      <c r="F5053" s="4"/>
      <c r="G5053" s="4"/>
      <c r="H5053" s="4"/>
      <c r="I5053" s="10" t="str">
        <f>HYPERLINK("http://twitter.com/download/android","Twitter for Android")</f>
        <v>Twitter for Android</v>
      </c>
      <c r="J5053" s="2">
        <v>10058</v>
      </c>
      <c r="K5053" s="2">
        <v>8344</v>
      </c>
      <c r="L5053" s="2">
        <v>7</v>
      </c>
      <c r="M5053" s="2"/>
      <c r="N5053" s="8">
        <v>42174.52988425926</v>
      </c>
      <c r="O5053" s="4" t="s">
        <v>3157</v>
      </c>
      <c r="P5053" s="3" t="s">
        <v>3156</v>
      </c>
      <c r="Q5053" s="4"/>
      <c r="R5053" s="4"/>
      <c r="S5053" s="9" t="str">
        <f>HYPERLINK("https://pbs.twimg.com/profile_images/1033052221116690434/LEIWamrj.jpg","View")</f>
        <v>View</v>
      </c>
    </row>
    <row r="5054" spans="1:19" ht="20">
      <c r="A5054" s="8">
        <v>43340.828958333332</v>
      </c>
      <c r="B5054" s="11" t="str">
        <f>HYPERLINK("https://twitter.com/fati_d1996","@fati_d1996")</f>
        <v>@fati_d1996</v>
      </c>
      <c r="C5054" s="6" t="s">
        <v>3155</v>
      </c>
      <c r="D5054" s="5" t="s">
        <v>3154</v>
      </c>
      <c r="E5054" s="9" t="str">
        <f>HYPERLINK("https://twitter.com/fati_d1996/status/1034461528521494529","1034461528521494529")</f>
        <v>1034461528521494529</v>
      </c>
      <c r="F5054" s="4"/>
      <c r="G5054" s="4"/>
      <c r="H5054" s="4"/>
      <c r="I5054" s="10" t="str">
        <f>HYPERLINK("http://twitter.com/download/iphone","Twitter for iPhone")</f>
        <v>Twitter for iPhone</v>
      </c>
      <c r="J5054" s="2">
        <v>180</v>
      </c>
      <c r="K5054" s="2">
        <v>22</v>
      </c>
      <c r="L5054" s="2">
        <v>0</v>
      </c>
      <c r="M5054" s="2"/>
      <c r="N5054" s="8">
        <v>43097.738645833335</v>
      </c>
      <c r="O5054" s="4" t="s">
        <v>3153</v>
      </c>
      <c r="P5054" s="3" t="s">
        <v>3152</v>
      </c>
      <c r="Q5054" s="4"/>
      <c r="R5054" s="4"/>
      <c r="S5054" s="9" t="str">
        <f>HYPERLINK("https://pbs.twimg.com/profile_images/989507183611187200/vrapHuPH.jpg","View")</f>
        <v>View</v>
      </c>
    </row>
    <row r="5055" spans="1:19" ht="30">
      <c r="A5055" s="8">
        <v>43340.828726851847</v>
      </c>
      <c r="B5055" s="11" t="str">
        <f>HYPERLINK("https://twitter.com/shakhes_news","@shakhes_news")</f>
        <v>@shakhes_news</v>
      </c>
      <c r="C5055" s="6" t="s">
        <v>3151</v>
      </c>
      <c r="D5055" s="5" t="s">
        <v>3150</v>
      </c>
      <c r="E5055" s="9" t="str">
        <f>HYPERLINK("https://twitter.com/shakhes_news/status/1034461443515506688","1034461443515506688")</f>
        <v>1034461443515506688</v>
      </c>
      <c r="F5055" s="10" t="s">
        <v>3149</v>
      </c>
      <c r="G5055" s="10" t="s">
        <v>3148</v>
      </c>
      <c r="H5055" s="4"/>
      <c r="I5055" s="10" t="str">
        <f>HYPERLINK("http://twitter.com/download/android","Twitter for Android")</f>
        <v>Twitter for Android</v>
      </c>
      <c r="J5055" s="2">
        <v>119</v>
      </c>
      <c r="K5055" s="2">
        <v>99</v>
      </c>
      <c r="L5055" s="2">
        <v>1</v>
      </c>
      <c r="M5055" s="2"/>
      <c r="N5055" s="8">
        <v>42692.052789351852</v>
      </c>
      <c r="O5055" s="4" t="s">
        <v>17</v>
      </c>
      <c r="P5055" s="3" t="s">
        <v>3147</v>
      </c>
      <c r="Q5055" s="4"/>
      <c r="R5055" s="4"/>
      <c r="S5055" s="9" t="str">
        <f>HYPERLINK("https://pbs.twimg.com/profile_images/799381524063879168/JbCAH84B.jpg","View")</f>
        <v>View</v>
      </c>
    </row>
    <row r="5056" spans="1:19" ht="30">
      <c r="A5056" s="8">
        <v>43340.828414351854</v>
      </c>
      <c r="B5056" s="11" t="str">
        <f>HYPERLINK("https://twitter.com/Aliammar_313","@Aliammar_313")</f>
        <v>@Aliammar_313</v>
      </c>
      <c r="C5056" s="6" t="s">
        <v>3146</v>
      </c>
      <c r="D5056" s="5" t="s">
        <v>3145</v>
      </c>
      <c r="E5056" s="9" t="str">
        <f>HYPERLINK("https://twitter.com/Aliammar_313/status/1034461332236632066","1034461332236632066")</f>
        <v>1034461332236632066</v>
      </c>
      <c r="F5056" s="4"/>
      <c r="G5056" s="4"/>
      <c r="H5056" s="4"/>
      <c r="I5056" s="10" t="str">
        <f>HYPERLINK("http://twitter.com/download/android","Twitter for Android")</f>
        <v>Twitter for Android</v>
      </c>
      <c r="J5056" s="2">
        <v>388</v>
      </c>
      <c r="K5056" s="2">
        <v>407</v>
      </c>
      <c r="L5056" s="2">
        <v>3</v>
      </c>
      <c r="M5056" s="2"/>
      <c r="N5056" s="8">
        <v>42953.576192129629</v>
      </c>
      <c r="O5056" s="4" t="s">
        <v>3144</v>
      </c>
      <c r="P5056" s="3"/>
      <c r="Q5056" s="4"/>
      <c r="R5056" s="4"/>
      <c r="S5056" s="9" t="str">
        <f>HYPERLINK("https://pbs.twimg.com/profile_images/1016941366348320768/ABDHKnAW.jpg","View")</f>
        <v>View</v>
      </c>
    </row>
    <row r="5057" spans="1:19" ht="40">
      <c r="A5057" s="8">
        <v>43340.828402777777</v>
      </c>
      <c r="B5057" s="11" t="str">
        <f>HYPERLINK("https://twitter.com/mahloujisaleh","@mahloujisaleh")</f>
        <v>@mahloujisaleh</v>
      </c>
      <c r="C5057" s="6" t="s">
        <v>3143</v>
      </c>
      <c r="D5057" s="5" t="s">
        <v>3142</v>
      </c>
      <c r="E5057" s="9" t="str">
        <f>HYPERLINK("https://twitter.com/mahloujisaleh/status/1034461325626421249","1034461325626421249")</f>
        <v>1034461325626421249</v>
      </c>
      <c r="F5057" s="4"/>
      <c r="G5057" s="4"/>
      <c r="H5057" s="4"/>
      <c r="I5057" s="10" t="str">
        <f>HYPERLINK("http://twitter.com/download/android","Twitter for Android")</f>
        <v>Twitter for Android</v>
      </c>
      <c r="J5057" s="2">
        <v>64</v>
      </c>
      <c r="K5057" s="2">
        <v>100</v>
      </c>
      <c r="L5057" s="2">
        <v>0</v>
      </c>
      <c r="M5057" s="2"/>
      <c r="N5057" s="8">
        <v>42841.888159722221</v>
      </c>
      <c r="O5057" s="4"/>
      <c r="P5057" s="3" t="s">
        <v>3141</v>
      </c>
      <c r="Q5057" s="10" t="s">
        <v>3140</v>
      </c>
      <c r="R5057" s="4"/>
      <c r="S5057" s="9" t="str">
        <f>HYPERLINK("https://pbs.twimg.com/profile_images/853655242164113408/_KrcQNPG.jpg","View")</f>
        <v>View</v>
      </c>
    </row>
    <row r="5058" spans="1:19" ht="20">
      <c r="A5058" s="8">
        <v>43340.828310185185</v>
      </c>
      <c r="B5058" s="11" t="str">
        <f>HYPERLINK("https://twitter.com/Z_orro2","@Z_orro2")</f>
        <v>@Z_orro2</v>
      </c>
      <c r="C5058" s="6" t="s">
        <v>3139</v>
      </c>
      <c r="D5058" s="5" t="s">
        <v>3138</v>
      </c>
      <c r="E5058" s="9" t="str">
        <f>HYPERLINK("https://twitter.com/Z_orro2/status/1034461295452598272","1034461295452598272")</f>
        <v>1034461295452598272</v>
      </c>
      <c r="F5058" s="4"/>
      <c r="G5058" s="10" t="s">
        <v>3137</v>
      </c>
      <c r="H5058" s="4"/>
      <c r="I5058" s="10" t="str">
        <f>HYPERLINK("http://twitter.com/download/android","Twitter for Android")</f>
        <v>Twitter for Android</v>
      </c>
      <c r="J5058" s="2">
        <v>336</v>
      </c>
      <c r="K5058" s="2">
        <v>1161</v>
      </c>
      <c r="L5058" s="2">
        <v>0</v>
      </c>
      <c r="M5058" s="2"/>
      <c r="N5058" s="8">
        <v>43340.030092592591</v>
      </c>
      <c r="O5058" s="4" t="s">
        <v>3136</v>
      </c>
      <c r="P5058" s="3" t="s">
        <v>3135</v>
      </c>
      <c r="Q5058" s="4"/>
      <c r="R5058" s="4"/>
      <c r="S5058" s="9" t="str">
        <f>HYPERLINK("https://pbs.twimg.com/profile_images/1034176104926531585/NfHb9fvf.jpg","View")</f>
        <v>View</v>
      </c>
    </row>
    <row r="5059" spans="1:19" ht="20">
      <c r="A5059" s="8">
        <v>43340.827546296292</v>
      </c>
      <c r="B5059" s="11" t="str">
        <f>HYPERLINK("https://twitter.com/M_rezaeee","@M_rezaeee")</f>
        <v>@M_rezaeee</v>
      </c>
      <c r="C5059" s="6" t="s">
        <v>3134</v>
      </c>
      <c r="D5059" s="5" t="s">
        <v>3133</v>
      </c>
      <c r="E5059" s="9" t="str">
        <f>HYPERLINK("https://twitter.com/M_rezaeee/status/1034461018678804480","1034461018678804480")</f>
        <v>1034461018678804480</v>
      </c>
      <c r="F5059" s="4"/>
      <c r="G5059" s="4"/>
      <c r="H5059" s="4"/>
      <c r="I5059" s="10" t="str">
        <f>HYPERLINK("http://twitter.com/download/android","Twitter for Android")</f>
        <v>Twitter for Android</v>
      </c>
      <c r="J5059" s="2">
        <v>475</v>
      </c>
      <c r="K5059" s="2">
        <v>1113</v>
      </c>
      <c r="L5059" s="2">
        <v>1</v>
      </c>
      <c r="M5059" s="2"/>
      <c r="N5059" s="8">
        <v>43052.859953703708</v>
      </c>
      <c r="O5059" s="4"/>
      <c r="P5059" s="3" t="s">
        <v>3132</v>
      </c>
      <c r="Q5059" s="4"/>
      <c r="R5059" s="4"/>
      <c r="S5059" s="9" t="str">
        <f>HYPERLINK("https://pbs.twimg.com/profile_images/1031619451110809600/O_Tw6Mpq.jpg","View")</f>
        <v>View</v>
      </c>
    </row>
    <row r="5060" spans="1:19" ht="20">
      <c r="A5060" s="8">
        <v>43340.827499999999</v>
      </c>
      <c r="B5060" s="11" t="str">
        <f>HYPERLINK("https://twitter.com/TweetEhsan","@TweetEhsan")</f>
        <v>@TweetEhsan</v>
      </c>
      <c r="C5060" s="6" t="s">
        <v>2774</v>
      </c>
      <c r="D5060" s="5" t="s">
        <v>3131</v>
      </c>
      <c r="E5060" s="9" t="str">
        <f>HYPERLINK("https://twitter.com/TweetEhsan/status/1034461000223744001","1034461000223744001")</f>
        <v>1034461000223744001</v>
      </c>
      <c r="F5060" s="4"/>
      <c r="G5060" s="4"/>
      <c r="H5060" s="4"/>
      <c r="I5060" s="10" t="str">
        <f>HYPERLINK("http://twitter.com/download/iphone","Twitter for iPhone")</f>
        <v>Twitter for iPhone</v>
      </c>
      <c r="J5060" s="2">
        <v>919</v>
      </c>
      <c r="K5060" s="2">
        <v>884</v>
      </c>
      <c r="L5060" s="2">
        <v>2</v>
      </c>
      <c r="M5060" s="2"/>
      <c r="N5060" s="8">
        <v>41604.231064814812</v>
      </c>
      <c r="O5060" s="4" t="s">
        <v>2772</v>
      </c>
      <c r="P5060" s="3" t="s">
        <v>2771</v>
      </c>
      <c r="Q5060" s="4"/>
      <c r="R5060" s="4"/>
      <c r="S5060" s="9" t="str">
        <f>HYPERLINK("https://pbs.twimg.com/profile_images/1028138739673907200/LB3Tk2ve.jpg","View")</f>
        <v>View</v>
      </c>
    </row>
    <row r="5061" spans="1:19" ht="20">
      <c r="A5061" s="8">
        <v>43340.827372685184</v>
      </c>
      <c r="B5061" s="11" t="str">
        <f>HYPERLINK("https://twitter.com/az_tabar","@az_tabar")</f>
        <v>@az_tabar</v>
      </c>
      <c r="C5061" s="6" t="s">
        <v>3125</v>
      </c>
      <c r="D5061" s="5" t="s">
        <v>3130</v>
      </c>
      <c r="E5061" s="9" t="str">
        <f>HYPERLINK("https://twitter.com/az_tabar/status/1034460955084836864","1034460955084836864")</f>
        <v>1034460955084836864</v>
      </c>
      <c r="F5061" s="4"/>
      <c r="G5061" s="4"/>
      <c r="H5061" s="4"/>
      <c r="I5061" s="10" t="str">
        <f>HYPERLINK("http://twitter.com/download/android","Twitter for Android")</f>
        <v>Twitter for Android</v>
      </c>
      <c r="J5061" s="2">
        <v>841</v>
      </c>
      <c r="K5061" s="2">
        <v>368</v>
      </c>
      <c r="L5061" s="2">
        <v>1</v>
      </c>
      <c r="M5061" s="2"/>
      <c r="N5061" s="8">
        <v>42990.997060185182</v>
      </c>
      <c r="O5061" s="4" t="s">
        <v>3123</v>
      </c>
      <c r="P5061" s="3" t="s">
        <v>3122</v>
      </c>
      <c r="Q5061" s="4"/>
      <c r="R5061" s="4"/>
      <c r="S5061" s="9" t="str">
        <f>HYPERLINK("https://pbs.twimg.com/profile_images/951139800668692480/-N0BmF8j.jpg","View")</f>
        <v>View</v>
      </c>
    </row>
    <row r="5062" spans="1:19" ht="40">
      <c r="A5062" s="8">
        <v>43340.826087962967</v>
      </c>
      <c r="B5062" s="11" t="str">
        <f>HYPERLINK("https://twitter.com/redrose7635","@redrose7635")</f>
        <v>@redrose7635</v>
      </c>
      <c r="C5062" s="6" t="s">
        <v>3129</v>
      </c>
      <c r="D5062" s="5" t="s">
        <v>3128</v>
      </c>
      <c r="E5062" s="9" t="str">
        <f>HYPERLINK("https://twitter.com/redrose7635/status/1034460487986159616","1034460487986159616")</f>
        <v>1034460487986159616</v>
      </c>
      <c r="F5062" s="4"/>
      <c r="G5062" s="4"/>
      <c r="H5062" s="4"/>
      <c r="I5062" s="10" t="str">
        <f>HYPERLINK("https://mobile.twitter.com","Twitter Lite")</f>
        <v>Twitter Lite</v>
      </c>
      <c r="J5062" s="2">
        <v>108</v>
      </c>
      <c r="K5062" s="2">
        <v>97</v>
      </c>
      <c r="L5062" s="2">
        <v>0</v>
      </c>
      <c r="M5062" s="2"/>
      <c r="N5062" s="8">
        <v>43108.635057870371</v>
      </c>
      <c r="O5062" s="4" t="s">
        <v>3127</v>
      </c>
      <c r="P5062" s="3" t="s">
        <v>3126</v>
      </c>
      <c r="Q5062" s="4"/>
      <c r="R5062" s="4"/>
      <c r="S5062" s="9" t="str">
        <f>HYPERLINK("https://pbs.twimg.com/profile_images/1023827195205173248/Bg4aYzFV.jpg","View")</f>
        <v>View</v>
      </c>
    </row>
    <row r="5063" spans="1:19" ht="30">
      <c r="A5063" s="8">
        <v>43340.825706018513</v>
      </c>
      <c r="B5063" s="11" t="str">
        <f>HYPERLINK("https://twitter.com/az_tabar","@az_tabar")</f>
        <v>@az_tabar</v>
      </c>
      <c r="C5063" s="6" t="s">
        <v>3125</v>
      </c>
      <c r="D5063" s="5" t="s">
        <v>3124</v>
      </c>
      <c r="E5063" s="9" t="str">
        <f>HYPERLINK("https://twitter.com/az_tabar/status/1034460351071432705","1034460351071432705")</f>
        <v>1034460351071432705</v>
      </c>
      <c r="F5063" s="4"/>
      <c r="G5063" s="4"/>
      <c r="H5063" s="4"/>
      <c r="I5063" s="10" t="str">
        <f>HYPERLINK("http://twitter.com/download/android","Twitter for Android")</f>
        <v>Twitter for Android</v>
      </c>
      <c r="J5063" s="2">
        <v>841</v>
      </c>
      <c r="K5063" s="2">
        <v>368</v>
      </c>
      <c r="L5063" s="2">
        <v>1</v>
      </c>
      <c r="M5063" s="2"/>
      <c r="N5063" s="8">
        <v>42990.997060185182</v>
      </c>
      <c r="O5063" s="4" t="s">
        <v>3123</v>
      </c>
      <c r="P5063" s="3" t="s">
        <v>3122</v>
      </c>
      <c r="Q5063" s="4"/>
      <c r="R5063" s="4"/>
      <c r="S5063" s="9" t="str">
        <f>HYPERLINK("https://pbs.twimg.com/profile_images/951139800668692480/-N0BmF8j.jpg","View")</f>
        <v>View</v>
      </c>
    </row>
    <row r="5064" spans="1:19" ht="20">
      <c r="A5064" s="8">
        <v>43340.825613425928</v>
      </c>
      <c r="B5064" s="11" t="str">
        <f>HYPERLINK("https://twitter.com/mohyeddin_farsi","@mohyeddin_farsi")</f>
        <v>@mohyeddin_farsi</v>
      </c>
      <c r="C5064" s="6" t="s">
        <v>3121</v>
      </c>
      <c r="D5064" s="5" t="s">
        <v>3120</v>
      </c>
      <c r="E5064" s="9" t="str">
        <f>HYPERLINK("https://twitter.com/mohyeddin_farsi/status/1034460316061454337","1034460316061454337")</f>
        <v>1034460316061454337</v>
      </c>
      <c r="F5064" s="4"/>
      <c r="G5064" s="4"/>
      <c r="H5064" s="4"/>
      <c r="I5064" s="10" t="str">
        <f>HYPERLINK("http://twitter.com/download/android","Twitter for Android")</f>
        <v>Twitter for Android</v>
      </c>
      <c r="J5064" s="2">
        <v>3058</v>
      </c>
      <c r="K5064" s="2">
        <v>4856</v>
      </c>
      <c r="L5064" s="2">
        <v>1</v>
      </c>
      <c r="M5064" s="2"/>
      <c r="N5064" s="8">
        <v>43208.817083333328</v>
      </c>
      <c r="O5064" s="4" t="s">
        <v>3119</v>
      </c>
      <c r="P5064" s="3" t="s">
        <v>3118</v>
      </c>
      <c r="Q5064" s="4"/>
      <c r="R5064" s="4"/>
      <c r="S5064" s="9" t="str">
        <f>HYPERLINK("https://pbs.twimg.com/profile_images/1025783168513789953/1ugz7yGG.jpg","View")</f>
        <v>View</v>
      </c>
    </row>
    <row r="5065" spans="1:19" ht="20">
      <c r="A5065" s="8">
        <v>43340.825520833328</v>
      </c>
      <c r="B5065" s="11" t="str">
        <f>HYPERLINK("https://twitter.com/y51NYjZYZMqympJ","@y51NYjZYZMqympJ")</f>
        <v>@y51NYjZYZMqympJ</v>
      </c>
      <c r="C5065" s="6" t="s">
        <v>2307</v>
      </c>
      <c r="D5065" s="5" t="s">
        <v>3117</v>
      </c>
      <c r="E5065" s="9" t="str">
        <f>HYPERLINK("https://twitter.com/y51NYjZYZMqympJ/status/1034460283735961600","1034460283735961600")</f>
        <v>1034460283735961600</v>
      </c>
      <c r="F5065" s="4"/>
      <c r="G5065" s="4"/>
      <c r="H5065" s="4"/>
      <c r="I5065" s="10" t="str">
        <f>HYPERLINK("http://twitter.com/download/iphone","Twitter for iPhone")</f>
        <v>Twitter for iPhone</v>
      </c>
      <c r="J5065" s="2">
        <v>1990</v>
      </c>
      <c r="K5065" s="2">
        <v>2116</v>
      </c>
      <c r="L5065" s="2">
        <v>0</v>
      </c>
      <c r="M5065" s="2"/>
      <c r="N5065" s="8">
        <v>43224.33393518519</v>
      </c>
      <c r="O5065" s="4"/>
      <c r="P5065" s="3" t="s">
        <v>2305</v>
      </c>
      <c r="Q5065" s="4"/>
      <c r="R5065" s="4"/>
      <c r="S5065" s="9" t="str">
        <f>HYPERLINK("https://pbs.twimg.com/profile_images/1007676908077658112/e4wgReq9.jpg","View")</f>
        <v>View</v>
      </c>
    </row>
    <row r="5066" spans="1:19" ht="40">
      <c r="A5066" s="8">
        <v>43340.825057870374</v>
      </c>
      <c r="B5066" s="11" t="str">
        <f>HYPERLINK("https://twitter.com/ARSalarb","@ARSalarb")</f>
        <v>@ARSalarb</v>
      </c>
      <c r="C5066" s="6" t="s">
        <v>3116</v>
      </c>
      <c r="D5066" s="5" t="s">
        <v>3115</v>
      </c>
      <c r="E5066" s="9" t="str">
        <f>HYPERLINK("https://twitter.com/ARSalarb/status/1034460115905273856","1034460115905273856")</f>
        <v>1034460115905273856</v>
      </c>
      <c r="F5066" s="4"/>
      <c r="G5066" s="4"/>
      <c r="H5066" s="4"/>
      <c r="I5066" s="10" t="str">
        <f>HYPERLINK("http://twitter.com","Twitter Web Client")</f>
        <v>Twitter Web Client</v>
      </c>
      <c r="J5066" s="2">
        <v>19</v>
      </c>
      <c r="K5066" s="2">
        <v>31</v>
      </c>
      <c r="L5066" s="2">
        <v>0</v>
      </c>
      <c r="M5066" s="2"/>
      <c r="N5066" s="8">
        <v>42717.832465277781</v>
      </c>
      <c r="O5066" s="4"/>
      <c r="P5066" s="3"/>
      <c r="Q5066" s="4"/>
      <c r="R5066" s="4"/>
      <c r="S5066" s="9" t="str">
        <f>HYPERLINK("https://pbs.twimg.com/profile_images/836299975168516096/kjjj-Y6C.jpg","View")</f>
        <v>View</v>
      </c>
    </row>
    <row r="5067" spans="1:19" ht="30">
      <c r="A5067" s="8">
        <v>43340.824814814812</v>
      </c>
      <c r="B5067" s="11" t="str">
        <f>HYPERLINK("https://twitter.com/ZftkKyB7oQ3ewT1","@ZftkKyB7oQ3ewT1")</f>
        <v>@ZftkKyB7oQ3ewT1</v>
      </c>
      <c r="C5067" s="6" t="s">
        <v>3114</v>
      </c>
      <c r="D5067" s="5" t="s">
        <v>3113</v>
      </c>
      <c r="E5067" s="9" t="str">
        <f>HYPERLINK("https://twitter.com/ZftkKyB7oQ3ewT1/status/1034460026856005632","1034460026856005632")</f>
        <v>1034460026856005632</v>
      </c>
      <c r="F5067" s="4"/>
      <c r="G5067" s="4"/>
      <c r="H5067" s="4"/>
      <c r="I5067" s="10" t="str">
        <f>HYPERLINK("http://twitter.com/download/android","Twitter for Android")</f>
        <v>Twitter for Android</v>
      </c>
      <c r="J5067" s="2">
        <v>29</v>
      </c>
      <c r="K5067" s="2">
        <v>59</v>
      </c>
      <c r="L5067" s="2">
        <v>0</v>
      </c>
      <c r="M5067" s="2"/>
      <c r="N5067" s="8">
        <v>43331.775717592594</v>
      </c>
      <c r="O5067" s="4"/>
      <c r="P5067" s="3"/>
      <c r="Q5067" s="4"/>
      <c r="R5067" s="4"/>
      <c r="S5067" s="2" t="s">
        <v>155</v>
      </c>
    </row>
    <row r="5068" spans="1:19" ht="20">
      <c r="A5068" s="8">
        <v>43340.824722222227</v>
      </c>
      <c r="B5068" s="11" t="str">
        <f>HYPERLINK("https://twitter.com/hashienevis","@hashienevis")</f>
        <v>@hashienevis</v>
      </c>
      <c r="C5068" s="6" t="s">
        <v>3112</v>
      </c>
      <c r="D5068" s="5" t="s">
        <v>3111</v>
      </c>
      <c r="E5068" s="9" t="str">
        <f>HYPERLINK("https://twitter.com/hashienevis/status/1034459993737555968","1034459993737555968")</f>
        <v>1034459993737555968</v>
      </c>
      <c r="F5068" s="4"/>
      <c r="G5068" s="10" t="s">
        <v>3110</v>
      </c>
      <c r="H5068" s="4"/>
      <c r="I5068" s="10" t="str">
        <f>HYPERLINK("http://twitter.com","Twitter Web Client")</f>
        <v>Twitter Web Client</v>
      </c>
      <c r="J5068" s="2">
        <v>491</v>
      </c>
      <c r="K5068" s="2">
        <v>533</v>
      </c>
      <c r="L5068" s="2">
        <v>0</v>
      </c>
      <c r="M5068" s="2"/>
      <c r="N5068" s="8">
        <v>43238.543541666666</v>
      </c>
      <c r="O5068" s="4" t="s">
        <v>1113</v>
      </c>
      <c r="P5068" s="3" t="s">
        <v>3109</v>
      </c>
      <c r="Q5068" s="4"/>
      <c r="R5068" s="4"/>
      <c r="S5068" s="9" t="str">
        <f>HYPERLINK("https://pbs.twimg.com/profile_images/997407030078980096/O-zcFViv.jpg","View")</f>
        <v>View</v>
      </c>
    </row>
    <row r="5069" spans="1:19" ht="40">
      <c r="A5069" s="8">
        <v>43340.824490740742</v>
      </c>
      <c r="B5069" s="11" t="str">
        <f>HYPERLINK("https://twitter.com/mirza1397","@mirza1397")</f>
        <v>@mirza1397</v>
      </c>
      <c r="C5069" s="6" t="s">
        <v>3108</v>
      </c>
      <c r="D5069" s="5" t="s">
        <v>3107</v>
      </c>
      <c r="E5069" s="9" t="str">
        <f>HYPERLINK("https://twitter.com/mirza1397/status/1034459908194725889","1034459908194725889")</f>
        <v>1034459908194725889</v>
      </c>
      <c r="F5069" s="4"/>
      <c r="G5069" s="4"/>
      <c r="H5069" s="4"/>
      <c r="I5069" s="10" t="str">
        <f>HYPERLINK("http://twitter.com","Twitter Web Client")</f>
        <v>Twitter Web Client</v>
      </c>
      <c r="J5069" s="2">
        <v>1230</v>
      </c>
      <c r="K5069" s="2">
        <v>2073</v>
      </c>
      <c r="L5069" s="2">
        <v>0</v>
      </c>
      <c r="M5069" s="2"/>
      <c r="N5069" s="8">
        <v>43185.85601851852</v>
      </c>
      <c r="O5069" s="4" t="s">
        <v>3106</v>
      </c>
      <c r="P5069" s="3" t="s">
        <v>3105</v>
      </c>
      <c r="Q5069" s="10" t="s">
        <v>3104</v>
      </c>
      <c r="R5069" s="4"/>
      <c r="S5069" s="9" t="str">
        <f>HYPERLINK("https://pbs.twimg.com/profile_images/1019621726278205441/hom6QSoe.jpg","View")</f>
        <v>View</v>
      </c>
    </row>
    <row r="5070" spans="1:19" ht="20">
      <c r="A5070" s="8">
        <v>43340.824189814812</v>
      </c>
      <c r="B5070" s="11" t="str">
        <f>HYPERLINK("https://twitter.com/sh_ebhadi","@sh_ebhadi")</f>
        <v>@sh_ebhadi</v>
      </c>
      <c r="C5070" s="6" t="s">
        <v>3103</v>
      </c>
      <c r="D5070" s="5" t="s">
        <v>3102</v>
      </c>
      <c r="E5070" s="9" t="str">
        <f>HYPERLINK("https://twitter.com/sh_ebhadi/status/1034459802221666304","1034459802221666304")</f>
        <v>1034459802221666304</v>
      </c>
      <c r="F5070" s="4"/>
      <c r="G5070" s="4"/>
      <c r="H5070" s="4"/>
      <c r="I5070" s="10" t="str">
        <f>HYPERLINK("http://twitter.com/download/android","Twitter for Android")</f>
        <v>Twitter for Android</v>
      </c>
      <c r="J5070" s="2">
        <v>178</v>
      </c>
      <c r="K5070" s="2">
        <v>103</v>
      </c>
      <c r="L5070" s="2">
        <v>1</v>
      </c>
      <c r="M5070" s="2"/>
      <c r="N5070" s="8">
        <v>43000.300034722226</v>
      </c>
      <c r="O5070" s="4" t="s">
        <v>3101</v>
      </c>
      <c r="P5070" s="3"/>
      <c r="Q5070" s="4"/>
      <c r="R5070" s="4"/>
      <c r="S5070" s="9" t="str">
        <f>HYPERLINK("https://pbs.twimg.com/profile_images/1032362534932832257/9Za9nxr2.jpg","View")</f>
        <v>View</v>
      </c>
    </row>
    <row r="5071" spans="1:19" ht="30">
      <c r="A5071" s="8">
        <v>43340.823969907404</v>
      </c>
      <c r="B5071" s="11" t="str">
        <f>HYPERLINK("https://twitter.com/AkhbarFori","@AkhbarFori")</f>
        <v>@AkhbarFori</v>
      </c>
      <c r="C5071" s="6" t="s">
        <v>703</v>
      </c>
      <c r="D5071" s="5" t="s">
        <v>3100</v>
      </c>
      <c r="E5071" s="9" t="str">
        <f>HYPERLINK("https://twitter.com/AkhbarFori/status/1034459721883893761","1034459721883893761")</f>
        <v>1034459721883893761</v>
      </c>
      <c r="F5071" s="10" t="s">
        <v>3099</v>
      </c>
      <c r="G5071" s="4"/>
      <c r="H5071" s="4"/>
      <c r="I5071" s="10" t="str">
        <f>HYPERLINK("http://twitter.com/download/android","Twitter for Android")</f>
        <v>Twitter for Android</v>
      </c>
      <c r="J5071" s="2">
        <v>2277</v>
      </c>
      <c r="K5071" s="2">
        <v>56</v>
      </c>
      <c r="L5071" s="2">
        <v>10</v>
      </c>
      <c r="M5071" s="2"/>
      <c r="N5071" s="8">
        <v>42681.433865740742</v>
      </c>
      <c r="O5071" s="4" t="s">
        <v>34</v>
      </c>
      <c r="P5071" s="3" t="s">
        <v>700</v>
      </c>
      <c r="Q5071" s="10" t="s">
        <v>699</v>
      </c>
      <c r="R5071" s="4"/>
      <c r="S5071" s="9" t="str">
        <f>HYPERLINK("https://pbs.twimg.com/profile_images/966310274599964674/M_bW7CfD.jpg","View")</f>
        <v>View</v>
      </c>
    </row>
    <row r="5072" spans="1:19" ht="30">
      <c r="A5072" s="8">
        <v>43340.823749999996</v>
      </c>
      <c r="B5072" s="11" t="str">
        <f>HYPERLINK("https://twitter.com/MmehdiAmjad","@MmehdiAmjad")</f>
        <v>@MmehdiAmjad</v>
      </c>
      <c r="C5072" s="6" t="s">
        <v>3098</v>
      </c>
      <c r="D5072" s="5" t="s">
        <v>3097</v>
      </c>
      <c r="E5072" s="9" t="str">
        <f>HYPERLINK("https://twitter.com/MmehdiAmjad/status/1034459641323945984","1034459641323945984")</f>
        <v>1034459641323945984</v>
      </c>
      <c r="F5072" s="4"/>
      <c r="G5072" s="4"/>
      <c r="H5072" s="4"/>
      <c r="I5072" s="10" t="str">
        <f>HYPERLINK("http://twitter.com/download/android","Twitter for Android")</f>
        <v>Twitter for Android</v>
      </c>
      <c r="J5072" s="2">
        <v>272</v>
      </c>
      <c r="K5072" s="2">
        <v>204</v>
      </c>
      <c r="L5072" s="2">
        <v>1</v>
      </c>
      <c r="M5072" s="2"/>
      <c r="N5072" s="8">
        <v>43014.035277777773</v>
      </c>
      <c r="O5072" s="4" t="s">
        <v>2193</v>
      </c>
      <c r="P5072" s="3" t="s">
        <v>3096</v>
      </c>
      <c r="Q5072" s="4"/>
      <c r="R5072" s="4"/>
      <c r="S5072" s="9" t="str">
        <f>HYPERLINK("https://pbs.twimg.com/profile_images/1004374653861842944/ZlhPc_7Q.jpg","View")</f>
        <v>View</v>
      </c>
    </row>
    <row r="5073" spans="1:19" ht="30">
      <c r="A5073" s="8">
        <v>43340.823159722218</v>
      </c>
      <c r="B5073" s="11" t="str">
        <f>HYPERLINK("https://twitter.com/E_Porsan313","@E_Porsan313")</f>
        <v>@E_Porsan313</v>
      </c>
      <c r="C5073" s="6" t="s">
        <v>3095</v>
      </c>
      <c r="D5073" s="5" t="s">
        <v>3094</v>
      </c>
      <c r="E5073" s="9" t="str">
        <f>HYPERLINK("https://twitter.com/E_Porsan313/status/1034459428190400514","1034459428190400514")</f>
        <v>1034459428190400514</v>
      </c>
      <c r="F5073" s="4"/>
      <c r="G5073" s="4"/>
      <c r="H5073" s="4"/>
      <c r="I5073" s="10" t="str">
        <f>HYPERLINK("https://mobile.twitter.com","Twitter Lite")</f>
        <v>Twitter Lite</v>
      </c>
      <c r="J5073" s="2">
        <v>55</v>
      </c>
      <c r="K5073" s="2">
        <v>147</v>
      </c>
      <c r="L5073" s="2">
        <v>0</v>
      </c>
      <c r="M5073" s="2"/>
      <c r="N5073" s="8">
        <v>43207.925370370373</v>
      </c>
      <c r="O5073" s="4" t="s">
        <v>17</v>
      </c>
      <c r="P5073" s="3" t="s">
        <v>3093</v>
      </c>
      <c r="Q5073" s="4"/>
      <c r="R5073" s="4"/>
      <c r="S5073" s="9" t="str">
        <f>HYPERLINK("https://pbs.twimg.com/profile_images/986626200117350400/VyPkcN4V.jpg","View")</f>
        <v>View</v>
      </c>
    </row>
    <row r="5074" spans="1:19" ht="40">
      <c r="A5074" s="8">
        <v>43340.82304398148</v>
      </c>
      <c r="B5074" s="11" t="str">
        <f>HYPERLINK("https://twitter.com/HamidrezaShahm2","@HamidrezaShahm2")</f>
        <v>@HamidrezaShahm2</v>
      </c>
      <c r="C5074" s="6" t="s">
        <v>3092</v>
      </c>
      <c r="D5074" s="5" t="s">
        <v>3091</v>
      </c>
      <c r="E5074" s="9" t="str">
        <f>HYPERLINK("https://twitter.com/HamidrezaShahm2/status/1034459386071134208","1034459386071134208")</f>
        <v>1034459386071134208</v>
      </c>
      <c r="F5074" s="4"/>
      <c r="G5074" s="4"/>
      <c r="H5074" s="4"/>
      <c r="I5074" s="10" t="str">
        <f>HYPERLINK("http://twitter.com/download/android","Twitter for Android")</f>
        <v>Twitter for Android</v>
      </c>
      <c r="J5074" s="2">
        <v>2132</v>
      </c>
      <c r="K5074" s="2">
        <v>4767</v>
      </c>
      <c r="L5074" s="2">
        <v>0</v>
      </c>
      <c r="M5074" s="2"/>
      <c r="N5074" s="8">
        <v>43135.511365740742</v>
      </c>
      <c r="O5074" s="4" t="s">
        <v>3090</v>
      </c>
      <c r="P5074" s="3" t="s">
        <v>3089</v>
      </c>
      <c r="Q5074" s="4"/>
      <c r="R5074" s="4"/>
      <c r="S5074" s="9" t="str">
        <f>HYPERLINK("https://pbs.twimg.com/profile_images/999012900642611200/-E0PhFPB.jpg","View")</f>
        <v>View</v>
      </c>
    </row>
    <row r="5075" spans="1:19" ht="40">
      <c r="A5075" s="8">
        <v>43340.822962962964</v>
      </c>
      <c r="B5075" s="11" t="str">
        <f>HYPERLINK("https://twitter.com/kheshte_sangi","@kheshte_sangi")</f>
        <v>@kheshte_sangi</v>
      </c>
      <c r="C5075" s="6" t="s">
        <v>3088</v>
      </c>
      <c r="D5075" s="5" t="s">
        <v>3087</v>
      </c>
      <c r="E5075" s="9" t="str">
        <f>HYPERLINK("https://twitter.com/kheshte_sangi/status/1034459354211201025","1034459354211201025")</f>
        <v>1034459354211201025</v>
      </c>
      <c r="F5075" s="4"/>
      <c r="G5075" s="4"/>
      <c r="H5075" s="4"/>
      <c r="I5075" s="10" t="str">
        <f>HYPERLINK("http://twitter.com/download/android","Twitter for Android")</f>
        <v>Twitter for Android</v>
      </c>
      <c r="J5075" s="2">
        <v>13</v>
      </c>
      <c r="K5075" s="2">
        <v>20</v>
      </c>
      <c r="L5075" s="2">
        <v>0</v>
      </c>
      <c r="M5075" s="2"/>
      <c r="N5075" s="8">
        <v>43227.702037037037</v>
      </c>
      <c r="O5075" s="4" t="s">
        <v>3086</v>
      </c>
      <c r="P5075" s="3" t="s">
        <v>3085</v>
      </c>
      <c r="Q5075" s="4"/>
      <c r="R5075" s="4"/>
      <c r="S5075" s="9" t="str">
        <f>HYPERLINK("https://pbs.twimg.com/profile_images/993468552941359104/uspaP-YS.jpg","View")</f>
        <v>View</v>
      </c>
    </row>
    <row r="5076" spans="1:19" ht="30">
      <c r="A5076" s="8">
        <v>43340.822893518518</v>
      </c>
      <c r="B5076" s="11" t="str">
        <f>HYPERLINK("https://twitter.com/MRKZMI","@MRKZMI")</f>
        <v>@MRKZMI</v>
      </c>
      <c r="C5076" s="6" t="s">
        <v>3084</v>
      </c>
      <c r="D5076" s="5" t="s">
        <v>3083</v>
      </c>
      <c r="E5076" s="9" t="str">
        <f>HYPERLINK("https://twitter.com/MRKZMI/status/1034459331239047168","1034459331239047168")</f>
        <v>1034459331239047168</v>
      </c>
      <c r="F5076" s="4"/>
      <c r="G5076" s="4"/>
      <c r="H5076" s="4"/>
      <c r="I5076" s="10" t="str">
        <f>HYPERLINK("http://twitter.com/download/android","Twitter for Android")</f>
        <v>Twitter for Android</v>
      </c>
      <c r="J5076" s="2">
        <v>132</v>
      </c>
      <c r="K5076" s="2">
        <v>389</v>
      </c>
      <c r="L5076" s="2">
        <v>0</v>
      </c>
      <c r="M5076" s="2"/>
      <c r="N5076" s="8">
        <v>42735.454409722224</v>
      </c>
      <c r="O5076" s="4" t="s">
        <v>3082</v>
      </c>
      <c r="P5076" s="3" t="s">
        <v>3081</v>
      </c>
      <c r="Q5076" s="4"/>
      <c r="R5076" s="4"/>
      <c r="S5076" s="9" t="str">
        <f>HYPERLINK("https://pbs.twimg.com/profile_images/962532067073409024/gB71h3Fq.jpg","View")</f>
        <v>View</v>
      </c>
    </row>
    <row r="5077" spans="1:19" ht="30">
      <c r="A5077" s="8">
        <v>43340.821701388893</v>
      </c>
      <c r="B5077" s="11" t="str">
        <f>HYPERLINK("https://twitter.com/Alializadeh2002","@Alializadeh2002")</f>
        <v>@Alializadeh2002</v>
      </c>
      <c r="C5077" s="6" t="s">
        <v>3080</v>
      </c>
      <c r="D5077" s="5" t="s">
        <v>3079</v>
      </c>
      <c r="E5077" s="9" t="str">
        <f>HYPERLINK("https://twitter.com/Alializadeh2002/status/1034458900018483200","1034458900018483200")</f>
        <v>1034458900018483200</v>
      </c>
      <c r="F5077" s="4"/>
      <c r="G5077" s="10" t="s">
        <v>3078</v>
      </c>
      <c r="H5077" s="4"/>
      <c r="I5077" s="10" t="str">
        <f>HYPERLINK("http://twitter.com/download/android","Twitter for Android")</f>
        <v>Twitter for Android</v>
      </c>
      <c r="J5077" s="2">
        <v>142</v>
      </c>
      <c r="K5077" s="2">
        <v>393</v>
      </c>
      <c r="L5077" s="2">
        <v>0</v>
      </c>
      <c r="M5077" s="2"/>
      <c r="N5077" s="8">
        <v>41835.552233796298</v>
      </c>
      <c r="O5077" s="4"/>
      <c r="P5077" s="3" t="s">
        <v>3077</v>
      </c>
      <c r="Q5077" s="4"/>
      <c r="R5077" s="4"/>
      <c r="S5077" s="9" t="str">
        <f>HYPERLINK("https://pbs.twimg.com/profile_images/1006415993076441088/yfVuqIs_.jpg","View")</f>
        <v>View</v>
      </c>
    </row>
    <row r="5078" spans="1:19" ht="30">
      <c r="A5078" s="8">
        <v>43340.821527777778</v>
      </c>
      <c r="B5078" s="11" t="str">
        <f>HYPERLINK("https://twitter.com/MalcolmSardar","@MalcolmSardar")</f>
        <v>@MalcolmSardar</v>
      </c>
      <c r="C5078" s="6" t="s">
        <v>2664</v>
      </c>
      <c r="D5078" s="5" t="s">
        <v>3076</v>
      </c>
      <c r="E5078" s="9" t="str">
        <f>HYPERLINK("https://twitter.com/MalcolmSardar/status/1034458835010899968","1034458835010899968")</f>
        <v>1034458835010899968</v>
      </c>
      <c r="F5078" s="4"/>
      <c r="G5078" s="10" t="s">
        <v>3075</v>
      </c>
      <c r="H5078" s="4"/>
      <c r="I5078" s="10" t="str">
        <f>HYPERLINK("http://twitter.com/download/android","Twitter for Android")</f>
        <v>Twitter for Android</v>
      </c>
      <c r="J5078" s="2">
        <v>1472</v>
      </c>
      <c r="K5078" s="2">
        <v>712</v>
      </c>
      <c r="L5078" s="2">
        <v>2</v>
      </c>
      <c r="M5078" s="2"/>
      <c r="N5078" s="8">
        <v>43159.496840277774</v>
      </c>
      <c r="O5078" s="4"/>
      <c r="P5078" s="3" t="s">
        <v>2662</v>
      </c>
      <c r="Q5078" s="4"/>
      <c r="R5078" s="4"/>
      <c r="S5078" s="9" t="str">
        <f>HYPERLINK("https://pbs.twimg.com/profile_images/1011365979543269376/HZoqxlLs.jpg","View")</f>
        <v>View</v>
      </c>
    </row>
    <row r="5079" spans="1:19" ht="30">
      <c r="A5079" s="8">
        <v>43340.820983796293</v>
      </c>
      <c r="B5079" s="11" t="str">
        <f>HYPERLINK("https://twitter.com/janminajan","@janminajan")</f>
        <v>@janminajan</v>
      </c>
      <c r="C5079" s="6" t="s">
        <v>3074</v>
      </c>
      <c r="D5079" s="5" t="s">
        <v>3073</v>
      </c>
      <c r="E5079" s="9" t="str">
        <f>HYPERLINK("https://twitter.com/janminajan/status/1034458637316575232","1034458637316575232")</f>
        <v>1034458637316575232</v>
      </c>
      <c r="F5079" s="4"/>
      <c r="G5079" s="4"/>
      <c r="H5079" s="4"/>
      <c r="I5079" s="10" t="str">
        <f>HYPERLINK("https://mobile.twitter.com","Twitter Lite")</f>
        <v>Twitter Lite</v>
      </c>
      <c r="J5079" s="2">
        <v>597</v>
      </c>
      <c r="K5079" s="2">
        <v>201</v>
      </c>
      <c r="L5079" s="2">
        <v>1</v>
      </c>
      <c r="M5079" s="2"/>
      <c r="N5079" s="8">
        <v>41405.041701388887</v>
      </c>
      <c r="O5079" s="4" t="s">
        <v>3072</v>
      </c>
      <c r="P5079" s="3" t="s">
        <v>3071</v>
      </c>
      <c r="Q5079" s="4"/>
      <c r="R5079" s="4"/>
      <c r="S5079" s="9" t="str">
        <f>HYPERLINK("https://pbs.twimg.com/profile_images/1013525141710614528/xM7Kc-47.jpg","View")</f>
        <v>View</v>
      </c>
    </row>
    <row r="5080" spans="1:19" ht="20">
      <c r="A5080" s="8">
        <v>43340.820960648147</v>
      </c>
      <c r="B5080" s="11" t="str">
        <f>HYPERLINK("https://twitter.com/HejaziSeyed","@HejaziSeyed")</f>
        <v>@HejaziSeyed</v>
      </c>
      <c r="C5080" s="6" t="s">
        <v>3070</v>
      </c>
      <c r="D5080" s="5" t="s">
        <v>3069</v>
      </c>
      <c r="E5080" s="9" t="str">
        <f>HYPERLINK("https://twitter.com/HejaziSeyed/status/1034458631301996544","1034458631301996544")</f>
        <v>1034458631301996544</v>
      </c>
      <c r="F5080" s="10" t="s">
        <v>3068</v>
      </c>
      <c r="G5080" s="4"/>
      <c r="H5080" s="4"/>
      <c r="I5080" s="10" t="str">
        <f>HYPERLINK("http://twitter.com/download/android","Twitter for Android")</f>
        <v>Twitter for Android</v>
      </c>
      <c r="J5080" s="2">
        <v>660</v>
      </c>
      <c r="K5080" s="2">
        <v>1134</v>
      </c>
      <c r="L5080" s="2">
        <v>2</v>
      </c>
      <c r="M5080" s="2"/>
      <c r="N5080" s="8">
        <v>43039.989664351851</v>
      </c>
      <c r="O5080" s="4" t="s">
        <v>3067</v>
      </c>
      <c r="P5080" s="3" t="s">
        <v>3066</v>
      </c>
      <c r="Q5080" s="4"/>
      <c r="R5080" s="4"/>
      <c r="S5080" s="9" t="str">
        <f>HYPERLINK("https://pbs.twimg.com/profile_images/1012616773319917568/oLjvxNnZ.jpg","View")</f>
        <v>View</v>
      </c>
    </row>
    <row r="5081" spans="1:19" ht="30">
      <c r="A5081" s="8">
        <v>43340.82094907407</v>
      </c>
      <c r="B5081" s="11" t="str">
        <f>HYPERLINK("https://twitter.com/huseinhamledari","@huseinhamledari")</f>
        <v>@huseinhamledari</v>
      </c>
      <c r="C5081" s="6" t="s">
        <v>3065</v>
      </c>
      <c r="D5081" s="5" t="s">
        <v>3064</v>
      </c>
      <c r="E5081" s="9" t="str">
        <f>HYPERLINK("https://twitter.com/huseinhamledari/status/1034458627401293826","1034458627401293826")</f>
        <v>1034458627401293826</v>
      </c>
      <c r="F5081" s="4"/>
      <c r="G5081" s="4"/>
      <c r="H5081" s="4"/>
      <c r="I5081" s="10" t="str">
        <f>HYPERLINK("http://twitter.com/download/android","Twitter for Android")</f>
        <v>Twitter for Android</v>
      </c>
      <c r="J5081" s="2">
        <v>88</v>
      </c>
      <c r="K5081" s="2">
        <v>154</v>
      </c>
      <c r="L5081" s="2">
        <v>0</v>
      </c>
      <c r="M5081" s="2"/>
      <c r="N5081" s="8">
        <v>42734.623240740737</v>
      </c>
      <c r="O5081" s="4" t="s">
        <v>3063</v>
      </c>
      <c r="P5081" s="3" t="s">
        <v>3062</v>
      </c>
      <c r="Q5081" s="4"/>
      <c r="R5081" s="4"/>
      <c r="S5081" s="9" t="str">
        <f>HYPERLINK("https://pbs.twimg.com/profile_images/814807896798142464/UEpwwlSw.jpg","View")</f>
        <v>View</v>
      </c>
    </row>
    <row r="5082" spans="1:19" ht="20">
      <c r="A5082" s="8">
        <v>43340.820729166662</v>
      </c>
      <c r="B5082" s="11" t="str">
        <f>HYPERLINK("https://twitter.com/abo_torab313","@abo_torab313")</f>
        <v>@abo_torab313</v>
      </c>
      <c r="C5082" s="6" t="s">
        <v>3061</v>
      </c>
      <c r="D5082" s="5" t="s">
        <v>3060</v>
      </c>
      <c r="E5082" s="9" t="str">
        <f>HYPERLINK("https://twitter.com/abo_torab313/status/1034458546019160068","1034458546019160068")</f>
        <v>1034458546019160068</v>
      </c>
      <c r="F5082" s="4"/>
      <c r="G5082" s="4"/>
      <c r="H5082" s="4"/>
      <c r="I5082" s="10" t="str">
        <f>HYPERLINK("http://twitter.com/download/android","Twitter for Android")</f>
        <v>Twitter for Android</v>
      </c>
      <c r="J5082" s="2">
        <v>1017</v>
      </c>
      <c r="K5082" s="2">
        <v>989</v>
      </c>
      <c r="L5082" s="2">
        <v>3</v>
      </c>
      <c r="M5082" s="2"/>
      <c r="N5082" s="8">
        <v>43209.851909722223</v>
      </c>
      <c r="O5082" s="4" t="s">
        <v>17</v>
      </c>
      <c r="P5082" s="3" t="s">
        <v>3059</v>
      </c>
      <c r="Q5082" s="4"/>
      <c r="R5082" s="4"/>
      <c r="S5082" s="9" t="str">
        <f>HYPERLINK("https://pbs.twimg.com/profile_images/1027158386247458816/rTHyfxYw.jpg","View")</f>
        <v>View</v>
      </c>
    </row>
    <row r="5083" spans="1:19" ht="30">
      <c r="A5083" s="8">
        <v>43340.820069444446</v>
      </c>
      <c r="B5083" s="11" t="str">
        <f>HYPERLINK("https://twitter.com/hoseinzinloo","@hoseinzinloo")</f>
        <v>@hoseinzinloo</v>
      </c>
      <c r="C5083" s="6" t="s">
        <v>3058</v>
      </c>
      <c r="D5083" s="5" t="s">
        <v>3057</v>
      </c>
      <c r="E5083" s="9" t="str">
        <f>HYPERLINK("https://twitter.com/hoseinzinloo/status/1034458307954536448","1034458307954536448")</f>
        <v>1034458307954536448</v>
      </c>
      <c r="F5083" s="4"/>
      <c r="G5083" s="4"/>
      <c r="H5083" s="4"/>
      <c r="I5083" s="10" t="str">
        <f>HYPERLINK("http://twitter.com","Twitter Web Client")</f>
        <v>Twitter Web Client</v>
      </c>
      <c r="J5083" s="2">
        <v>342</v>
      </c>
      <c r="K5083" s="2">
        <v>796</v>
      </c>
      <c r="L5083" s="2">
        <v>1</v>
      </c>
      <c r="M5083" s="2"/>
      <c r="N5083" s="8">
        <v>41605.439710648148</v>
      </c>
      <c r="O5083" s="4" t="s">
        <v>1415</v>
      </c>
      <c r="P5083" s="3" t="s">
        <v>3056</v>
      </c>
      <c r="Q5083" s="10" t="s">
        <v>3055</v>
      </c>
      <c r="R5083" s="4"/>
      <c r="S5083" s="9" t="str">
        <f>HYPERLINK("https://pbs.twimg.com/profile_images/981152228831580160/xKsxzrZw.jpg","View")</f>
        <v>View</v>
      </c>
    </row>
    <row r="5084" spans="1:19" ht="12.5">
      <c r="A5084" s="8">
        <v>43340.819571759261</v>
      </c>
      <c r="B5084" s="11" t="str">
        <f>HYPERLINK("https://twitter.com/zargari_m","@zargari_m")</f>
        <v>@zargari_m</v>
      </c>
      <c r="C5084" s="6" t="s">
        <v>3054</v>
      </c>
      <c r="D5084" s="5" t="s">
        <v>3053</v>
      </c>
      <c r="E5084" s="9" t="str">
        <f>HYPERLINK("https://twitter.com/zargari_m/status/1034458125972201473","1034458125972201473")</f>
        <v>1034458125972201473</v>
      </c>
      <c r="F5084" s="4"/>
      <c r="G5084" s="10" t="s">
        <v>3052</v>
      </c>
      <c r="H5084" s="4"/>
      <c r="I5084" s="10" t="str">
        <f>HYPERLINK("http://twitter.com/download/android","Twitter for Android")</f>
        <v>Twitter for Android</v>
      </c>
      <c r="J5084" s="2">
        <v>390</v>
      </c>
      <c r="K5084" s="2">
        <v>510</v>
      </c>
      <c r="L5084" s="2">
        <v>1</v>
      </c>
      <c r="M5084" s="2"/>
      <c r="N5084" s="8">
        <v>43278.79792824074</v>
      </c>
      <c r="O5084" s="4" t="s">
        <v>17</v>
      </c>
      <c r="P5084" s="3" t="s">
        <v>3051</v>
      </c>
      <c r="Q5084" s="4"/>
      <c r="R5084" s="4"/>
      <c r="S5084" s="9" t="str">
        <f>HYPERLINK("https://pbs.twimg.com/profile_images/1012022163702931456/O8K1TtEt.jpg","View")</f>
        <v>View</v>
      </c>
    </row>
    <row r="5085" spans="1:19" ht="40">
      <c r="A5085" s="8">
        <v>43340.819166666668</v>
      </c>
      <c r="B5085" s="11" t="str">
        <f>HYPERLINK("https://twitter.com/Maryam_M_62","@Maryam_M_62")</f>
        <v>@Maryam_M_62</v>
      </c>
      <c r="C5085" s="6" t="s">
        <v>3050</v>
      </c>
      <c r="D5085" s="5" t="s">
        <v>3049</v>
      </c>
      <c r="E5085" s="9" t="str">
        <f>HYPERLINK("https://twitter.com/Maryam_M_62/status/1034457981524561920","1034457981524561920")</f>
        <v>1034457981524561920</v>
      </c>
      <c r="F5085" s="4"/>
      <c r="G5085" s="4"/>
      <c r="H5085" s="4"/>
      <c r="I5085" s="10" t="str">
        <f>HYPERLINK("http://twitter.com/download/android","Twitter for Android")</f>
        <v>Twitter for Android</v>
      </c>
      <c r="J5085" s="2">
        <v>27</v>
      </c>
      <c r="K5085" s="2">
        <v>209</v>
      </c>
      <c r="L5085" s="2">
        <v>0</v>
      </c>
      <c r="M5085" s="2"/>
      <c r="N5085" s="8">
        <v>43199.05195601852</v>
      </c>
      <c r="O5085" s="4" t="s">
        <v>133</v>
      </c>
      <c r="P5085" s="3" t="s">
        <v>3048</v>
      </c>
      <c r="Q5085" s="4"/>
      <c r="R5085" s="4"/>
      <c r="S5085" s="9" t="str">
        <f>HYPERLINK("https://pbs.twimg.com/profile_images/984975807687864325/HvAZvxPU.jpg","View")</f>
        <v>View</v>
      </c>
    </row>
    <row r="5086" spans="1:19" ht="40">
      <c r="A5086" s="8">
        <v>43340.819097222222</v>
      </c>
      <c r="B5086" s="11" t="str">
        <f>HYPERLINK("https://twitter.com/korosh1215","@korosh1215")</f>
        <v>@korosh1215</v>
      </c>
      <c r="C5086" s="6" t="s">
        <v>3047</v>
      </c>
      <c r="D5086" s="5" t="s">
        <v>3046</v>
      </c>
      <c r="E5086" s="9" t="str">
        <f>HYPERLINK("https://twitter.com/korosh1215/status/1034457955750621184","1034457955750621184")</f>
        <v>1034457955750621184</v>
      </c>
      <c r="F5086" s="4"/>
      <c r="G5086" s="4"/>
      <c r="H5086" s="4"/>
      <c r="I5086" s="10" t="str">
        <f>HYPERLINK("http://twitter.com","Twitter Web Client")</f>
        <v>Twitter Web Client</v>
      </c>
      <c r="J5086" s="2">
        <v>2264</v>
      </c>
      <c r="K5086" s="2">
        <v>774</v>
      </c>
      <c r="L5086" s="2">
        <v>17</v>
      </c>
      <c r="M5086" s="2"/>
      <c r="N5086" s="8">
        <v>42519.018564814818</v>
      </c>
      <c r="O5086" s="4"/>
      <c r="P5086" s="3" t="s">
        <v>3045</v>
      </c>
      <c r="Q5086" s="4"/>
      <c r="R5086" s="4"/>
      <c r="S5086" s="9" t="str">
        <f>HYPERLINK("https://pbs.twimg.com/profile_images/965007013917941760/wjCmEuk-.jpg","View")</f>
        <v>View</v>
      </c>
    </row>
    <row r="5087" spans="1:19" ht="40">
      <c r="A5087" s="8">
        <v>43340.818993055553</v>
      </c>
      <c r="B5087" s="11" t="str">
        <f>HYPERLINK("https://twitter.com/ScriptBab","@ScriptBab")</f>
        <v>@ScriptBab</v>
      </c>
      <c r="C5087" s="6" t="s">
        <v>3044</v>
      </c>
      <c r="D5087" s="5" t="s">
        <v>3043</v>
      </c>
      <c r="E5087" s="9" t="str">
        <f>HYPERLINK("https://twitter.com/ScriptBab/status/1034457917376880640","1034457917376880640")</f>
        <v>1034457917376880640</v>
      </c>
      <c r="F5087" s="4"/>
      <c r="G5087" s="4"/>
      <c r="H5087" s="4"/>
      <c r="I5087" s="10" t="str">
        <f>HYPERLINK("http://twitter.com/download/android","Twitter for Android")</f>
        <v>Twitter for Android</v>
      </c>
      <c r="J5087" s="2">
        <v>3940</v>
      </c>
      <c r="K5087" s="2">
        <v>3616</v>
      </c>
      <c r="L5087" s="2">
        <v>8</v>
      </c>
      <c r="M5087" s="2"/>
      <c r="N5087" s="8">
        <v>40732.73096064815</v>
      </c>
      <c r="O5087" s="4"/>
      <c r="P5087" s="3" t="s">
        <v>3042</v>
      </c>
      <c r="Q5087" s="4"/>
      <c r="R5087" s="4"/>
      <c r="S5087" s="9" t="str">
        <f>HYPERLINK("https://pbs.twimg.com/profile_images/1029594626854985728/VuJgJ670.jpg","View")</f>
        <v>View</v>
      </c>
    </row>
    <row r="5088" spans="1:19" ht="30">
      <c r="A5088" s="8">
        <v>43340.818159722221</v>
      </c>
      <c r="B5088" s="11" t="str">
        <f>HYPERLINK("https://twitter.com/Farrokh631","@Farrokh631")</f>
        <v>@Farrokh631</v>
      </c>
      <c r="C5088" s="6" t="s">
        <v>2714</v>
      </c>
      <c r="D5088" s="5" t="s">
        <v>3041</v>
      </c>
      <c r="E5088" s="9" t="str">
        <f>HYPERLINK("https://twitter.com/Farrokh631/status/1034457615856803841","1034457615856803841")</f>
        <v>1034457615856803841</v>
      </c>
      <c r="F5088" s="4"/>
      <c r="G5088" s="4"/>
      <c r="H5088" s="4"/>
      <c r="I5088" s="10" t="str">
        <f>HYPERLINK("http://twitter.com","Twitter Web Client")</f>
        <v>Twitter Web Client</v>
      </c>
      <c r="J5088" s="2">
        <v>88</v>
      </c>
      <c r="K5088" s="2">
        <v>80</v>
      </c>
      <c r="L5088" s="2">
        <v>0</v>
      </c>
      <c r="M5088" s="2"/>
      <c r="N5088" s="8">
        <v>43069.015092592592</v>
      </c>
      <c r="O5088" s="4" t="s">
        <v>34</v>
      </c>
      <c r="P5088" s="3" t="s">
        <v>2712</v>
      </c>
      <c r="Q5088" s="4"/>
      <c r="R5088" s="4"/>
      <c r="S5088" s="9" t="str">
        <f>HYPERLINK("https://pbs.twimg.com/profile_images/944317757448949760/Lvj8icjq.jpg","View")</f>
        <v>View</v>
      </c>
    </row>
    <row r="5089" spans="1:19" ht="20">
      <c r="A5089" s="8">
        <v>43340.817928240736</v>
      </c>
      <c r="B5089" s="11" t="str">
        <f>HYPERLINK("https://twitter.com/AbadNavid","@AbadNavid")</f>
        <v>@AbadNavid</v>
      </c>
      <c r="C5089" s="6" t="s">
        <v>3040</v>
      </c>
      <c r="D5089" s="5" t="s">
        <v>3039</v>
      </c>
      <c r="E5089" s="9" t="str">
        <f>HYPERLINK("https://twitter.com/AbadNavid/status/1034457529667989506","1034457529667989506")</f>
        <v>1034457529667989506</v>
      </c>
      <c r="F5089" s="4"/>
      <c r="G5089" s="10" t="s">
        <v>3038</v>
      </c>
      <c r="H5089" s="4"/>
      <c r="I5089" s="10" t="str">
        <f>HYPERLINK("http://twitter.com/download/android","Twitter for Android")</f>
        <v>Twitter for Android</v>
      </c>
      <c r="J5089" s="2">
        <v>213</v>
      </c>
      <c r="K5089" s="2">
        <v>202</v>
      </c>
      <c r="L5089" s="2">
        <v>2</v>
      </c>
      <c r="M5089" s="2"/>
      <c r="N5089" s="8">
        <v>43106.515972222223</v>
      </c>
      <c r="O5089" s="4"/>
      <c r="P5089" s="3" t="s">
        <v>3037</v>
      </c>
      <c r="Q5089" s="4"/>
      <c r="R5089" s="4"/>
      <c r="S5089" s="9" t="str">
        <f>HYPERLINK("https://pbs.twimg.com/profile_images/1033806523837952004/9dxIUNbY.jpg","View")</f>
        <v>View</v>
      </c>
    </row>
    <row r="5090" spans="1:19" ht="20">
      <c r="A5090" s="8">
        <v>43340.817916666667</v>
      </c>
      <c r="B5090" s="11" t="str">
        <f>HYPERLINK("https://twitter.com/Vahidazimi13","@Vahidazimi13")</f>
        <v>@Vahidazimi13</v>
      </c>
      <c r="C5090" s="6" t="s">
        <v>3036</v>
      </c>
      <c r="D5090" s="5" t="s">
        <v>3035</v>
      </c>
      <c r="E5090" s="9" t="str">
        <f>HYPERLINK("https://twitter.com/Vahidazimi13/status/1034457525398188032","1034457525398188032")</f>
        <v>1034457525398188032</v>
      </c>
      <c r="F5090" s="4"/>
      <c r="G5090" s="4"/>
      <c r="H5090" s="4"/>
      <c r="I5090" s="10" t="str">
        <f>HYPERLINK("http://twitter.com/download/android","Twitter for Android")</f>
        <v>Twitter for Android</v>
      </c>
      <c r="J5090" s="2">
        <v>254</v>
      </c>
      <c r="K5090" s="2">
        <v>673</v>
      </c>
      <c r="L5090" s="2">
        <v>0</v>
      </c>
      <c r="M5090" s="2"/>
      <c r="N5090" s="8">
        <v>42916.445810185185</v>
      </c>
      <c r="O5090" s="4" t="s">
        <v>682</v>
      </c>
      <c r="P5090" s="3" t="s">
        <v>3034</v>
      </c>
      <c r="Q5090" s="4"/>
      <c r="R5090" s="4"/>
      <c r="S5090" s="9" t="str">
        <f>HYPERLINK("https://pbs.twimg.com/profile_images/1027242652893360128/gZGz2XIR.jpg","View")</f>
        <v>View</v>
      </c>
    </row>
    <row r="5091" spans="1:19" ht="30">
      <c r="A5091" s="8">
        <v>43340.817430555559</v>
      </c>
      <c r="B5091" s="11" t="str">
        <f>HYPERLINK("https://twitter.com/aidin_fateh","@aidin_fateh")</f>
        <v>@aidin_fateh</v>
      </c>
      <c r="C5091" s="6" t="s">
        <v>2414</v>
      </c>
      <c r="D5091" s="5" t="s">
        <v>3033</v>
      </c>
      <c r="E5091" s="9" t="str">
        <f>HYPERLINK("https://twitter.com/aidin_fateh/status/1034457352441880581","1034457352441880581")</f>
        <v>1034457352441880581</v>
      </c>
      <c r="F5091" s="4"/>
      <c r="G5091" s="4"/>
      <c r="H5091" s="4"/>
      <c r="I5091" s="10" t="str">
        <f>HYPERLINK("http://twitter.com","Twitter Web Client")</f>
        <v>Twitter Web Client</v>
      </c>
      <c r="J5091" s="2">
        <v>141</v>
      </c>
      <c r="K5091" s="2">
        <v>244</v>
      </c>
      <c r="L5091" s="2">
        <v>0</v>
      </c>
      <c r="M5091" s="2"/>
      <c r="N5091" s="8">
        <v>39573.849733796298</v>
      </c>
      <c r="O5091" s="4" t="s">
        <v>133</v>
      </c>
      <c r="P5091" s="3" t="s">
        <v>2412</v>
      </c>
      <c r="Q5091" s="4"/>
      <c r="R5091" s="4"/>
      <c r="S5091" s="9" t="str">
        <f>HYPERLINK("https://pbs.twimg.com/profile_images/968854388436586497/kzkbEREM.jpg","View")</f>
        <v>View</v>
      </c>
    </row>
    <row r="5092" spans="1:19" ht="20">
      <c r="A5092" s="8">
        <v>43340.81726851852</v>
      </c>
      <c r="B5092" s="11" t="str">
        <f>HYPERLINK("https://twitter.com/asemanbarany","@asemanbarany")</f>
        <v>@asemanbarany</v>
      </c>
      <c r="C5092" s="6" t="s">
        <v>3032</v>
      </c>
      <c r="D5092" s="5" t="s">
        <v>3031</v>
      </c>
      <c r="E5092" s="9" t="str">
        <f>HYPERLINK("https://twitter.com/asemanbarany/status/1034457292660514817","1034457292660514817")</f>
        <v>1034457292660514817</v>
      </c>
      <c r="F5092" s="4"/>
      <c r="G5092" s="4"/>
      <c r="H5092" s="4"/>
      <c r="I5092" s="10" t="str">
        <f>HYPERLINK("http://twitter.com","Twitter Web Client")</f>
        <v>Twitter Web Client</v>
      </c>
      <c r="J5092" s="2">
        <v>2614</v>
      </c>
      <c r="K5092" s="2">
        <v>2225</v>
      </c>
      <c r="L5092" s="2">
        <v>5</v>
      </c>
      <c r="M5092" s="2"/>
      <c r="N5092" s="8">
        <v>41600.012395833335</v>
      </c>
      <c r="O5092" s="4"/>
      <c r="P5092" s="3"/>
      <c r="Q5092" s="4"/>
      <c r="R5092" s="4"/>
      <c r="S5092" s="9" t="str">
        <f>HYPERLINK("https://pbs.twimg.com/profile_images/461487032594739200/hXuQNxOU.jpeg","View")</f>
        <v>View</v>
      </c>
    </row>
    <row r="5093" spans="1:19" ht="20">
      <c r="A5093" s="8">
        <v>43340.817210648151</v>
      </c>
      <c r="B5093" s="11" t="str">
        <f>HYPERLINK("https://twitter.com/aming1373","@aming1373")</f>
        <v>@aming1373</v>
      </c>
      <c r="C5093" s="6" t="s">
        <v>3030</v>
      </c>
      <c r="D5093" s="5" t="s">
        <v>3029</v>
      </c>
      <c r="E5093" s="9" t="str">
        <f>HYPERLINK("https://twitter.com/aming1373/status/1034457271709908993","1034457271709908993")</f>
        <v>1034457271709908993</v>
      </c>
      <c r="F5093" s="4"/>
      <c r="G5093" s="4"/>
      <c r="H5093" s="4"/>
      <c r="I5093" s="10" t="str">
        <f>HYPERLINK("http://twitter.com/download/android","Twitter for Android")</f>
        <v>Twitter for Android</v>
      </c>
      <c r="J5093" s="2">
        <v>93</v>
      </c>
      <c r="K5093" s="2">
        <v>237</v>
      </c>
      <c r="L5093" s="2">
        <v>0</v>
      </c>
      <c r="M5093" s="2"/>
      <c r="N5093" s="8">
        <v>42938.381678240738</v>
      </c>
      <c r="O5093" s="4" t="s">
        <v>104</v>
      </c>
      <c r="P5093" s="3" t="s">
        <v>3028</v>
      </c>
      <c r="Q5093" s="4"/>
      <c r="R5093" s="4"/>
      <c r="S5093" s="9" t="str">
        <f>HYPERLINK("https://pbs.twimg.com/profile_images/1034461132596105216/rQsV5EPy.jpg","View")</f>
        <v>View</v>
      </c>
    </row>
    <row r="5094" spans="1:19" ht="20">
      <c r="A5094" s="8">
        <v>43340.816863425927</v>
      </c>
      <c r="B5094" s="11" t="str">
        <f>HYPERLINK("https://twitter.com/ali_cheshomi","@ali_cheshomi")</f>
        <v>@ali_cheshomi</v>
      </c>
      <c r="C5094" s="6" t="s">
        <v>3027</v>
      </c>
      <c r="D5094" s="5" t="s">
        <v>3026</v>
      </c>
      <c r="E5094" s="9" t="str">
        <f>HYPERLINK("https://twitter.com/ali_cheshomi/status/1034457147034296320","1034457147034296320")</f>
        <v>1034457147034296320</v>
      </c>
      <c r="F5094" s="4"/>
      <c r="G5094" s="4"/>
      <c r="H5094" s="4"/>
      <c r="I5094" s="10" t="str">
        <f>HYPERLINK("https://mobile.twitter.com","Twitter Lite")</f>
        <v>Twitter Lite</v>
      </c>
      <c r="J5094" s="2">
        <v>131</v>
      </c>
      <c r="K5094" s="2">
        <v>96</v>
      </c>
      <c r="L5094" s="2">
        <v>0</v>
      </c>
      <c r="M5094" s="2"/>
      <c r="N5094" s="8">
        <v>42620.69263888889</v>
      </c>
      <c r="O5094" s="4"/>
      <c r="P5094" s="3" t="s">
        <v>3025</v>
      </c>
      <c r="Q5094" s="10" t="s">
        <v>3024</v>
      </c>
      <c r="R5094" s="4"/>
      <c r="S5094" s="9" t="str">
        <f>HYPERLINK("https://pbs.twimg.com/profile_images/862221827770286080/n6dhzu18.jpg","View")</f>
        <v>View</v>
      </c>
    </row>
    <row r="5095" spans="1:19" ht="20">
      <c r="A5095" s="8">
        <v>43340.816701388889</v>
      </c>
      <c r="B5095" s="11" t="str">
        <f>HYPERLINK("https://twitter.com/miladmg59","@miladmg59")</f>
        <v>@miladmg59</v>
      </c>
      <c r="C5095" s="6" t="s">
        <v>3023</v>
      </c>
      <c r="D5095" s="5" t="s">
        <v>3022</v>
      </c>
      <c r="E5095" s="9" t="str">
        <f>HYPERLINK("https://twitter.com/miladmg59/status/1034457085717766146","1034457085717766146")</f>
        <v>1034457085717766146</v>
      </c>
      <c r="F5095" s="4"/>
      <c r="G5095" s="4"/>
      <c r="H5095" s="4"/>
      <c r="I5095" s="10" t="str">
        <f>HYPERLINK("http://twitter.com/download/android","Twitter for Android")</f>
        <v>Twitter for Android</v>
      </c>
      <c r="J5095" s="2">
        <v>1348</v>
      </c>
      <c r="K5095" s="2">
        <v>295</v>
      </c>
      <c r="L5095" s="2">
        <v>5</v>
      </c>
      <c r="M5095" s="2"/>
      <c r="N5095" s="8">
        <v>42552.676527777774</v>
      </c>
      <c r="O5095" s="4"/>
      <c r="P5095" s="3" t="s">
        <v>3021</v>
      </c>
      <c r="Q5095" s="4"/>
      <c r="R5095" s="4"/>
      <c r="S5095" s="9" t="str">
        <f>HYPERLINK("https://pbs.twimg.com/profile_images/1002300841989169152/GGtHYmVg.jpg","View")</f>
        <v>View</v>
      </c>
    </row>
    <row r="5096" spans="1:19" ht="20">
      <c r="A5096" s="8">
        <v>43340.816354166665</v>
      </c>
      <c r="B5096" s="11" t="str">
        <f>HYPERLINK("https://twitter.com/Mgoooner","@Mgoooner")</f>
        <v>@Mgoooner</v>
      </c>
      <c r="C5096" s="6" t="s">
        <v>3020</v>
      </c>
      <c r="D5096" s="5" t="s">
        <v>3019</v>
      </c>
      <c r="E5096" s="9" t="str">
        <f>HYPERLINK("https://twitter.com/Mgoooner/status/1034456960668770311","1034456960668770311")</f>
        <v>1034456960668770311</v>
      </c>
      <c r="F5096" s="4"/>
      <c r="G5096" s="4"/>
      <c r="H5096" s="4"/>
      <c r="I5096" s="10" t="str">
        <f>HYPERLINK("http://twitter.com/download/android","Twitter for Android")</f>
        <v>Twitter for Android</v>
      </c>
      <c r="J5096" s="2">
        <v>76</v>
      </c>
      <c r="K5096" s="2">
        <v>18</v>
      </c>
      <c r="L5096" s="2">
        <v>0</v>
      </c>
      <c r="M5096" s="2"/>
      <c r="N5096" s="8">
        <v>42950.599421296298</v>
      </c>
      <c r="O5096" s="4"/>
      <c r="P5096" s="3" t="s">
        <v>3018</v>
      </c>
      <c r="Q5096" s="4"/>
      <c r="R5096" s="4"/>
      <c r="S5096" s="9" t="str">
        <f>HYPERLINK("https://pbs.twimg.com/profile_images/1013812504823246848/YXKIxdOV.jpg","View")</f>
        <v>View</v>
      </c>
    </row>
    <row r="5097" spans="1:19" ht="20">
      <c r="A5097" s="8">
        <v>43340.816064814819</v>
      </c>
      <c r="B5097" s="11" t="str">
        <f>HYPERLINK("https://twitter.com/ali_yabalouei","@ali_yabalouei")</f>
        <v>@ali_yabalouei</v>
      </c>
      <c r="C5097" s="6" t="s">
        <v>3017</v>
      </c>
      <c r="D5097" s="5" t="s">
        <v>3016</v>
      </c>
      <c r="E5097" s="9" t="str">
        <f>HYPERLINK("https://twitter.com/ali_yabalouei/status/1034456855895060480","1034456855895060480")</f>
        <v>1034456855895060480</v>
      </c>
      <c r="F5097" s="4"/>
      <c r="G5097" s="10" t="s">
        <v>3015</v>
      </c>
      <c r="H5097" s="4"/>
      <c r="I5097" s="10" t="str">
        <f>HYPERLINK("http://twitter.com/download/android","Twitter for Android")</f>
        <v>Twitter for Android</v>
      </c>
      <c r="J5097" s="2">
        <v>160</v>
      </c>
      <c r="K5097" s="2">
        <v>82</v>
      </c>
      <c r="L5097" s="2">
        <v>2</v>
      </c>
      <c r="M5097" s="2"/>
      <c r="N5097" s="8">
        <v>42912.03837962963</v>
      </c>
      <c r="O5097" s="4" t="s">
        <v>3014</v>
      </c>
      <c r="P5097" s="3" t="s">
        <v>3013</v>
      </c>
      <c r="Q5097" s="4"/>
      <c r="R5097" s="4"/>
      <c r="S5097" s="9" t="str">
        <f>HYPERLINK("https://pbs.twimg.com/profile_images/1025834703251632129/d1geBYQq.jpg","View")</f>
        <v>View</v>
      </c>
    </row>
    <row r="5098" spans="1:19" ht="20">
      <c r="A5098" s="8">
        <v>43340.815821759257</v>
      </c>
      <c r="B5098" s="11" t="str">
        <f>HYPERLINK("https://twitter.com/masomehAnvari","@masomehAnvari")</f>
        <v>@masomehAnvari</v>
      </c>
      <c r="C5098" s="6" t="s">
        <v>3012</v>
      </c>
      <c r="D5098" s="5" t="s">
        <v>3011</v>
      </c>
      <c r="E5098" s="9" t="str">
        <f>HYPERLINK("https://twitter.com/masomehAnvari/status/1034456769412689921","1034456769412689921")</f>
        <v>1034456769412689921</v>
      </c>
      <c r="F5098" s="4"/>
      <c r="G5098" s="10" t="s">
        <v>3010</v>
      </c>
      <c r="H5098" s="4"/>
      <c r="I5098" s="10" t="str">
        <f>HYPERLINK("http://twitter.com/download/android","Twitter for Android")</f>
        <v>Twitter for Android</v>
      </c>
      <c r="J5098" s="2">
        <v>9</v>
      </c>
      <c r="K5098" s="2">
        <v>42</v>
      </c>
      <c r="L5098" s="2">
        <v>0</v>
      </c>
      <c r="M5098" s="2"/>
      <c r="N5098" s="8">
        <v>43335.482187500005</v>
      </c>
      <c r="O5098" s="4" t="s">
        <v>3009</v>
      </c>
      <c r="P5098" s="3" t="s">
        <v>3008</v>
      </c>
      <c r="Q5098" s="4"/>
      <c r="R5098" s="4"/>
      <c r="S5098" s="9" t="str">
        <f>HYPERLINK("https://pbs.twimg.com/profile_images/1032527716908720129/_vt9QHKB.jpg","View")</f>
        <v>View</v>
      </c>
    </row>
    <row r="5099" spans="1:19" ht="20">
      <c r="A5099" s="8">
        <v>43340.803796296299</v>
      </c>
      <c r="B5099" s="11" t="str">
        <f>HYPERLINK("https://twitter.com/homa_yoni","@homa_yoni")</f>
        <v>@homa_yoni</v>
      </c>
      <c r="C5099" s="6" t="s">
        <v>3007</v>
      </c>
      <c r="D5099" s="5" t="s">
        <v>3006</v>
      </c>
      <c r="E5099" s="9" t="str">
        <f>HYPERLINK("https://twitter.com/homa_yoni/status/1034452411610542083","1034452411610542083")</f>
        <v>1034452411610542083</v>
      </c>
      <c r="F5099" s="4"/>
      <c r="G5099" s="10" t="s">
        <v>3005</v>
      </c>
      <c r="H5099" s="4"/>
      <c r="I5099" s="10" t="str">
        <f>HYPERLINK("http://twitter.com/download/android","Twitter for Android")</f>
        <v>Twitter for Android</v>
      </c>
      <c r="J5099" s="2">
        <v>3516</v>
      </c>
      <c r="K5099" s="2">
        <v>3765</v>
      </c>
      <c r="L5099" s="2">
        <v>4</v>
      </c>
      <c r="M5099" s="2"/>
      <c r="N5099" s="8">
        <v>42986.04111111111</v>
      </c>
      <c r="O5099" s="4" t="s">
        <v>3004</v>
      </c>
      <c r="P5099" s="3" t="s">
        <v>3003</v>
      </c>
      <c r="Q5099" s="4"/>
      <c r="R5099" s="4"/>
      <c r="S5099" s="9" t="str">
        <f>HYPERLINK("https://pbs.twimg.com/profile_images/938787854137692160/kXki_9LK.jpg","View")</f>
        <v>View</v>
      </c>
    </row>
    <row r="5100" spans="1:19" ht="20">
      <c r="A5100" s="8">
        <v>43340.803564814814</v>
      </c>
      <c r="B5100" s="11" t="str">
        <f>HYPERLINK("https://twitter.com/MOHAMADewski","@MOHAMADewski")</f>
        <v>@MOHAMADewski</v>
      </c>
      <c r="C5100" s="6" t="s">
        <v>3002</v>
      </c>
      <c r="D5100" s="5" t="s">
        <v>3001</v>
      </c>
      <c r="E5100" s="9" t="str">
        <f>HYPERLINK("https://twitter.com/MOHAMADewski/status/1034452326495465472","1034452326495465472")</f>
        <v>1034452326495465472</v>
      </c>
      <c r="F5100" s="4"/>
      <c r="G5100" s="4"/>
      <c r="H5100" s="4"/>
      <c r="I5100" s="10" t="str">
        <f>HYPERLINK("http://twitter.com","Twitter Web Client")</f>
        <v>Twitter Web Client</v>
      </c>
      <c r="J5100" s="2">
        <v>1743</v>
      </c>
      <c r="K5100" s="2">
        <v>928</v>
      </c>
      <c r="L5100" s="2">
        <v>10</v>
      </c>
      <c r="M5100" s="2"/>
      <c r="N5100" s="8">
        <v>42876.649108796293</v>
      </c>
      <c r="O5100" s="4" t="s">
        <v>104</v>
      </c>
      <c r="P5100" s="3" t="s">
        <v>3000</v>
      </c>
      <c r="Q5100" s="4"/>
      <c r="R5100" s="4"/>
      <c r="S5100" s="9" t="str">
        <f>HYPERLINK("https://pbs.twimg.com/profile_images/994182479958470657/MfODFROI.jpg","View")</f>
        <v>View</v>
      </c>
    </row>
    <row r="5101" spans="1:19" ht="20">
      <c r="A5101" s="8">
        <v>43340.803530092591</v>
      </c>
      <c r="B5101" s="11" t="str">
        <f>HYPERLINK("https://twitter.com/Kafka1360","@Kafka1360")</f>
        <v>@Kafka1360</v>
      </c>
      <c r="C5101" s="6" t="s">
        <v>2999</v>
      </c>
      <c r="D5101" s="5" t="s">
        <v>2998</v>
      </c>
      <c r="E5101" s="9" t="str">
        <f>HYPERLINK("https://twitter.com/Kafka1360/status/1034452313652379649","1034452313652379649")</f>
        <v>1034452313652379649</v>
      </c>
      <c r="F5101" s="4"/>
      <c r="G5101" s="4"/>
      <c r="H5101" s="4"/>
      <c r="I5101" s="10" t="str">
        <f>HYPERLINK("http://twitter.com/download/android","Twitter for Android")</f>
        <v>Twitter for Android</v>
      </c>
      <c r="J5101" s="2">
        <v>18</v>
      </c>
      <c r="K5101" s="2">
        <v>79</v>
      </c>
      <c r="L5101" s="2">
        <v>0</v>
      </c>
      <c r="M5101" s="2"/>
      <c r="N5101" s="8">
        <v>41710.581388888888</v>
      </c>
      <c r="O5101" s="4" t="s">
        <v>17</v>
      </c>
      <c r="P5101" s="3"/>
      <c r="Q5101" s="4"/>
      <c r="R5101" s="4"/>
      <c r="S5101" s="9" t="str">
        <f>HYPERLINK("https://pbs.twimg.com/profile_images/1015588270498082816/gv1D2xmW.jpg","View")</f>
        <v>View</v>
      </c>
    </row>
    <row r="5102" spans="1:19" ht="40">
      <c r="A5102" s="8">
        <v>43340.803495370375</v>
      </c>
      <c r="B5102" s="11" t="str">
        <f>HYPERLINK("https://twitter.com/kateb_ouham","@kateb_ouham")</f>
        <v>@kateb_ouham</v>
      </c>
      <c r="C5102" s="6" t="s">
        <v>2997</v>
      </c>
      <c r="D5102" s="5" t="s">
        <v>2996</v>
      </c>
      <c r="E5102" s="9" t="str">
        <f>HYPERLINK("https://twitter.com/kateb_ouham/status/1034452301149347840","1034452301149347840")</f>
        <v>1034452301149347840</v>
      </c>
      <c r="F5102" s="4"/>
      <c r="G5102" s="4"/>
      <c r="H5102" s="4"/>
      <c r="I5102" s="10" t="str">
        <f>HYPERLINK("http://twitter.com/download/android","Twitter for Android")</f>
        <v>Twitter for Android</v>
      </c>
      <c r="J5102" s="2">
        <v>1596</v>
      </c>
      <c r="K5102" s="2">
        <v>1269</v>
      </c>
      <c r="L5102" s="2">
        <v>1</v>
      </c>
      <c r="M5102" s="2"/>
      <c r="N5102" s="8">
        <v>43238.326655092591</v>
      </c>
      <c r="O5102" s="4" t="s">
        <v>34</v>
      </c>
      <c r="P5102" s="3" t="s">
        <v>2995</v>
      </c>
      <c r="Q5102" s="4"/>
      <c r="R5102" s="4"/>
      <c r="S5102" s="9" t="str">
        <f>HYPERLINK("https://pbs.twimg.com/profile_images/1026085330624163840/hPNekdYn.jpg","View")</f>
        <v>View</v>
      </c>
    </row>
    <row r="5103" spans="1:19" ht="40">
      <c r="A5103" s="8">
        <v>43340.803379629629</v>
      </c>
      <c r="B5103" s="11" t="str">
        <f>HYPERLINK("https://twitter.com/Omiiitb","@Omiiitb")</f>
        <v>@Omiiitb</v>
      </c>
      <c r="C5103" s="6" t="s">
        <v>2994</v>
      </c>
      <c r="D5103" s="5" t="s">
        <v>2993</v>
      </c>
      <c r="E5103" s="9" t="str">
        <f>HYPERLINK("https://twitter.com/Omiiitb/status/1034452259835281408","1034452259835281408")</f>
        <v>1034452259835281408</v>
      </c>
      <c r="F5103" s="4"/>
      <c r="G5103" s="4"/>
      <c r="H5103" s="4"/>
      <c r="I5103" s="10" t="str">
        <f>HYPERLINK("http://twitter.com/download/android","Twitter for Android")</f>
        <v>Twitter for Android</v>
      </c>
      <c r="J5103" s="2">
        <v>70</v>
      </c>
      <c r="K5103" s="2">
        <v>207</v>
      </c>
      <c r="L5103" s="2">
        <v>0</v>
      </c>
      <c r="M5103" s="2"/>
      <c r="N5103" s="8">
        <v>41803.872534722221</v>
      </c>
      <c r="O5103" s="4" t="s">
        <v>34</v>
      </c>
      <c r="P5103" s="3" t="s">
        <v>2992</v>
      </c>
      <c r="Q5103" s="4"/>
      <c r="R5103" s="4"/>
      <c r="S5103" s="9" t="str">
        <f>HYPERLINK("https://pbs.twimg.com/profile_images/1022173964234158080/5ougSVYh.jpg","View")</f>
        <v>View</v>
      </c>
    </row>
    <row r="5104" spans="1:19" ht="12.5">
      <c r="A5104" s="8">
        <v>43340.803344907406</v>
      </c>
      <c r="B5104" s="11" t="str">
        <f>HYPERLINK("https://twitter.com/Eden__68","@Eden__68")</f>
        <v>@Eden__68</v>
      </c>
      <c r="C5104" s="6" t="s">
        <v>2991</v>
      </c>
      <c r="D5104" s="5" t="s">
        <v>2990</v>
      </c>
      <c r="E5104" s="9" t="str">
        <f>HYPERLINK("https://twitter.com/Eden__68/status/1034452246145245184","1034452246145245184")</f>
        <v>1034452246145245184</v>
      </c>
      <c r="F5104" s="4"/>
      <c r="G5104" s="4"/>
      <c r="H5104" s="4"/>
      <c r="I5104" s="10" t="str">
        <f>HYPERLINK("http://twitter.com/download/android","Twitter for Android")</f>
        <v>Twitter for Android</v>
      </c>
      <c r="J5104" s="2">
        <v>174</v>
      </c>
      <c r="K5104" s="2">
        <v>777</v>
      </c>
      <c r="L5104" s="2">
        <v>0</v>
      </c>
      <c r="M5104" s="2"/>
      <c r="N5104" s="8">
        <v>42117.880740740744</v>
      </c>
      <c r="O5104" s="4" t="s">
        <v>34</v>
      </c>
      <c r="P5104" s="3" t="s">
        <v>2989</v>
      </c>
      <c r="Q5104" s="4"/>
      <c r="R5104" s="4"/>
      <c r="S5104" s="9" t="str">
        <f>HYPERLINK("https://pbs.twimg.com/profile_images/991188521246511104/KdZhnxx5.jpg","View")</f>
        <v>View</v>
      </c>
    </row>
    <row r="5105" spans="1:19" ht="40">
      <c r="A5105" s="8">
        <v>43340.803287037037</v>
      </c>
      <c r="B5105" s="11" t="str">
        <f>HYPERLINK("https://twitter.com/mohsen__rezaee","@mohsen__rezaee")</f>
        <v>@mohsen__rezaee</v>
      </c>
      <c r="C5105" s="6" t="s">
        <v>2462</v>
      </c>
      <c r="D5105" s="5" t="s">
        <v>2988</v>
      </c>
      <c r="E5105" s="9" t="str">
        <f>HYPERLINK("https://twitter.com/mohsen__rezaee/status/1034452225400156160","1034452225400156160")</f>
        <v>1034452225400156160</v>
      </c>
      <c r="F5105" s="4"/>
      <c r="G5105" s="4"/>
      <c r="H5105" s="4"/>
      <c r="I5105" s="10" t="str">
        <f>HYPERLINK("http://twitter.com/download/android","Twitter for Android")</f>
        <v>Twitter for Android</v>
      </c>
      <c r="J5105" s="2">
        <v>79</v>
      </c>
      <c r="K5105" s="2">
        <v>89</v>
      </c>
      <c r="L5105" s="2">
        <v>1</v>
      </c>
      <c r="M5105" s="2"/>
      <c r="N5105" s="8">
        <v>43131.679039351853</v>
      </c>
      <c r="O5105" s="4" t="s">
        <v>17</v>
      </c>
      <c r="P5105" s="3" t="s">
        <v>2460</v>
      </c>
      <c r="Q5105" s="10" t="s">
        <v>2459</v>
      </c>
      <c r="R5105" s="4"/>
      <c r="S5105" s="9" t="str">
        <f>HYPERLINK("https://pbs.twimg.com/profile_images/961347514015338497/jsbsMa2y.jpg","View")</f>
        <v>View</v>
      </c>
    </row>
    <row r="5106" spans="1:19" ht="40">
      <c r="A5106" s="8">
        <v>43340.803032407406</v>
      </c>
      <c r="B5106" s="11" t="str">
        <f>HYPERLINK("https://twitter.com/IrHamid","@IrHamid")</f>
        <v>@IrHamid</v>
      </c>
      <c r="C5106" s="6" t="s">
        <v>2987</v>
      </c>
      <c r="D5106" s="5" t="s">
        <v>2986</v>
      </c>
      <c r="E5106" s="9" t="str">
        <f>HYPERLINK("https://twitter.com/IrHamid/status/1034452133834313729","1034452133834313729")</f>
        <v>1034452133834313729</v>
      </c>
      <c r="F5106" s="4"/>
      <c r="G5106" s="10" t="s">
        <v>2985</v>
      </c>
      <c r="H5106" s="4"/>
      <c r="I5106" s="10" t="str">
        <f>HYPERLINK("http://twitter.com/download/android","Twitter for Android")</f>
        <v>Twitter for Android</v>
      </c>
      <c r="J5106" s="2">
        <v>206</v>
      </c>
      <c r="K5106" s="2">
        <v>119</v>
      </c>
      <c r="L5106" s="2">
        <v>1</v>
      </c>
      <c r="M5106" s="2"/>
      <c r="N5106" s="8">
        <v>41055.605636574073</v>
      </c>
      <c r="O5106" s="4" t="s">
        <v>2642</v>
      </c>
      <c r="P5106" s="3" t="s">
        <v>2984</v>
      </c>
      <c r="Q5106" s="10" t="s">
        <v>2983</v>
      </c>
      <c r="R5106" s="4"/>
      <c r="S5106" s="9" t="str">
        <f>HYPERLINK("https://pbs.twimg.com/profile_images/1016010477191811074/tiDRr-4R.jpg","View")</f>
        <v>View</v>
      </c>
    </row>
    <row r="5107" spans="1:19" ht="12.5">
      <c r="A5107" s="8">
        <v>43340.802928240737</v>
      </c>
      <c r="B5107" s="11" t="str">
        <f>HYPERLINK("https://twitter.com/Seyed_M_1988","@Seyed_M_1988")</f>
        <v>@Seyed_M_1988</v>
      </c>
      <c r="C5107" s="6" t="s">
        <v>2982</v>
      </c>
      <c r="D5107" s="5" t="s">
        <v>2981</v>
      </c>
      <c r="E5107" s="9" t="str">
        <f>HYPERLINK("https://twitter.com/Seyed_M_1988/status/1034452094600847360","1034452094600847360")</f>
        <v>1034452094600847360</v>
      </c>
      <c r="F5107" s="4"/>
      <c r="G5107" s="4"/>
      <c r="H5107" s="4"/>
      <c r="I5107" s="10" t="str">
        <f>HYPERLINK("http://twitter.com/download/android","Twitter for Android")</f>
        <v>Twitter for Android</v>
      </c>
      <c r="J5107" s="2">
        <v>1753</v>
      </c>
      <c r="K5107" s="2">
        <v>865</v>
      </c>
      <c r="L5107" s="2">
        <v>4</v>
      </c>
      <c r="M5107" s="2"/>
      <c r="N5107" s="8">
        <v>42915.407916666663</v>
      </c>
      <c r="O5107" s="4" t="s">
        <v>2980</v>
      </c>
      <c r="P5107" s="3" t="s">
        <v>2979</v>
      </c>
      <c r="Q5107" s="4"/>
      <c r="R5107" s="4"/>
      <c r="S5107" s="9" t="str">
        <f>HYPERLINK("https://pbs.twimg.com/profile_images/1034012774467350529/WeTTbzn-.jpg","View")</f>
        <v>View</v>
      </c>
    </row>
    <row r="5108" spans="1:19" ht="30">
      <c r="A5108" s="8">
        <v>43340.80268518519</v>
      </c>
      <c r="B5108" s="11" t="str">
        <f>HYPERLINK("https://twitter.com/avinaar21","@avinaar21")</f>
        <v>@avinaar21</v>
      </c>
      <c r="C5108" s="6" t="s">
        <v>2978</v>
      </c>
      <c r="D5108" s="5" t="s">
        <v>2977</v>
      </c>
      <c r="E5108" s="9" t="str">
        <f>HYPERLINK("https://twitter.com/avinaar21/status/1034452006331707392","1034452006331707392")</f>
        <v>1034452006331707392</v>
      </c>
      <c r="F5108" s="4"/>
      <c r="G5108" s="4"/>
      <c r="H5108" s="4"/>
      <c r="I5108" s="10" t="str">
        <f>HYPERLINK("https://mobile.twitter.com","Twitter Lite")</f>
        <v>Twitter Lite</v>
      </c>
      <c r="J5108" s="2">
        <v>1490</v>
      </c>
      <c r="K5108" s="2">
        <v>3444</v>
      </c>
      <c r="L5108" s="2">
        <v>2</v>
      </c>
      <c r="M5108" s="2"/>
      <c r="N5108" s="8">
        <v>42827.570231481484</v>
      </c>
      <c r="O5108" s="4" t="s">
        <v>17</v>
      </c>
      <c r="P5108" s="3" t="s">
        <v>2976</v>
      </c>
      <c r="Q5108" s="10" t="s">
        <v>2975</v>
      </c>
      <c r="R5108" s="4"/>
      <c r="S5108" s="9" t="str">
        <f>HYPERLINK("https://pbs.twimg.com/profile_images/909262904662413312/kKhiiimz.jpg","View")</f>
        <v>View</v>
      </c>
    </row>
    <row r="5109" spans="1:19" ht="20">
      <c r="A5109" s="8">
        <v>43340.802430555559</v>
      </c>
      <c r="B5109" s="11" t="str">
        <f>HYPERLINK("https://twitter.com/abookomeyl","@abookomeyl")</f>
        <v>@abookomeyl</v>
      </c>
      <c r="C5109" s="6" t="s">
        <v>1836</v>
      </c>
      <c r="D5109" s="5" t="s">
        <v>2974</v>
      </c>
      <c r="E5109" s="9" t="str">
        <f>HYPERLINK("https://twitter.com/abookomeyl/status/1034451914237390853","1034451914237390853")</f>
        <v>1034451914237390853</v>
      </c>
      <c r="F5109" s="4"/>
      <c r="G5109" s="4"/>
      <c r="H5109" s="4"/>
      <c r="I5109" s="10" t="str">
        <f>HYPERLINK("http://twitter.com/download/android","Twitter for Android")</f>
        <v>Twitter for Android</v>
      </c>
      <c r="J5109" s="2">
        <v>6666</v>
      </c>
      <c r="K5109" s="2">
        <v>2534</v>
      </c>
      <c r="L5109" s="2">
        <v>13</v>
      </c>
      <c r="M5109" s="2"/>
      <c r="N5109" s="8">
        <v>43117.241678240738</v>
      </c>
      <c r="O5109" s="4" t="s">
        <v>1834</v>
      </c>
      <c r="P5109" s="3" t="s">
        <v>1833</v>
      </c>
      <c r="Q5109" s="4"/>
      <c r="R5109" s="4"/>
      <c r="S5109" s="9" t="str">
        <f>HYPERLINK("https://pbs.twimg.com/profile_images/1011690125686988801/f-Jhu0Kn.jpg","View")</f>
        <v>View</v>
      </c>
    </row>
    <row r="5110" spans="1:19" ht="30">
      <c r="A5110" s="8">
        <v>43340.802280092597</v>
      </c>
      <c r="B5110" s="11" t="str">
        <f>HYPERLINK("https://twitter.com/yasereza","@yasereza")</f>
        <v>@yasereza</v>
      </c>
      <c r="C5110" s="6" t="s">
        <v>2973</v>
      </c>
      <c r="D5110" s="5" t="s">
        <v>2972</v>
      </c>
      <c r="E5110" s="9" t="str">
        <f>HYPERLINK("https://twitter.com/yasereza/status/1034451862089596928","1034451862089596928")</f>
        <v>1034451862089596928</v>
      </c>
      <c r="F5110" s="4"/>
      <c r="G5110" s="4"/>
      <c r="H5110" s="4"/>
      <c r="I5110" s="10" t="str">
        <f>HYPERLINK("https://mobile.twitter.com","Twitter Lite")</f>
        <v>Twitter Lite</v>
      </c>
      <c r="J5110" s="2">
        <v>159</v>
      </c>
      <c r="K5110" s="2">
        <v>220</v>
      </c>
      <c r="L5110" s="2">
        <v>1</v>
      </c>
      <c r="M5110" s="2"/>
      <c r="N5110" s="8">
        <v>40945.026296296295</v>
      </c>
      <c r="O5110" s="4" t="s">
        <v>2971</v>
      </c>
      <c r="P5110" s="3" t="s">
        <v>2970</v>
      </c>
      <c r="Q5110" s="4"/>
      <c r="R5110" s="4"/>
      <c r="S5110" s="9" t="str">
        <f>HYPERLINK("https://pbs.twimg.com/profile_images/968442271690579968/psy8ET8o.jpg","View")</f>
        <v>View</v>
      </c>
    </row>
    <row r="5111" spans="1:19" ht="20">
      <c r="A5111" s="8">
        <v>43340.802175925928</v>
      </c>
      <c r="B5111" s="11" t="str">
        <f>HYPERLINK("https://twitter.com/mashtikaram","@mashtikaram")</f>
        <v>@mashtikaram</v>
      </c>
      <c r="C5111" s="6" t="s">
        <v>2969</v>
      </c>
      <c r="D5111" s="5" t="s">
        <v>2968</v>
      </c>
      <c r="E5111" s="9" t="str">
        <f>HYPERLINK("https://twitter.com/mashtikaram/status/1034451824483479555","1034451824483479555")</f>
        <v>1034451824483479555</v>
      </c>
      <c r="F5111" s="4"/>
      <c r="G5111" s="10" t="s">
        <v>2967</v>
      </c>
      <c r="H5111" s="4"/>
      <c r="I5111" s="10" t="str">
        <f>HYPERLINK("http://twitter.com/download/android","Twitter for Android")</f>
        <v>Twitter for Android</v>
      </c>
      <c r="J5111" s="2">
        <v>1094</v>
      </c>
      <c r="K5111" s="2">
        <v>1095</v>
      </c>
      <c r="L5111" s="2">
        <v>1</v>
      </c>
      <c r="M5111" s="2"/>
      <c r="N5111" s="8">
        <v>42714.451053240744</v>
      </c>
      <c r="O5111" s="4" t="s">
        <v>2966</v>
      </c>
      <c r="P5111" s="3" t="s">
        <v>2965</v>
      </c>
      <c r="Q5111" s="4"/>
      <c r="R5111" s="4"/>
      <c r="S5111" s="9" t="str">
        <f>HYPERLINK("https://pbs.twimg.com/profile_images/946728734509252609/hPXCHSey.jpg","View")</f>
        <v>View</v>
      </c>
    </row>
    <row r="5112" spans="1:19" ht="12.5">
      <c r="A5112" s="8">
        <v>43340.801712962959</v>
      </c>
      <c r="B5112" s="11" t="str">
        <f>HYPERLINK("https://twitter.com/YASAHEBALZAMAN5","@YASAHEBALZAMAN5")</f>
        <v>@YASAHEBALZAMAN5</v>
      </c>
      <c r="C5112" s="6" t="s">
        <v>2964</v>
      </c>
      <c r="D5112" s="5" t="s">
        <v>2963</v>
      </c>
      <c r="E5112" s="9" t="str">
        <f>HYPERLINK("https://twitter.com/YASAHEBALZAMAN5/status/1034451654333095936","1034451654333095936")</f>
        <v>1034451654333095936</v>
      </c>
      <c r="F5112" s="10" t="s">
        <v>2962</v>
      </c>
      <c r="G5112" s="10" t="s">
        <v>2961</v>
      </c>
      <c r="H5112" s="4"/>
      <c r="I5112" s="10" t="str">
        <f>HYPERLINK("http://twitter.com/download/android","Twitter for Android")</f>
        <v>Twitter for Android</v>
      </c>
      <c r="J5112" s="2">
        <v>86</v>
      </c>
      <c r="K5112" s="2">
        <v>71</v>
      </c>
      <c r="L5112" s="2">
        <v>0</v>
      </c>
      <c r="M5112" s="2"/>
      <c r="N5112" s="8">
        <v>42743.863136574073</v>
      </c>
      <c r="O5112" s="4"/>
      <c r="P5112" s="3"/>
      <c r="Q5112" s="4"/>
      <c r="R5112" s="4"/>
      <c r="S5112" s="9" t="str">
        <f>HYPERLINK("https://pbs.twimg.com/profile_images/976199435922395136/mP0Kl13b.jpg","View")</f>
        <v>View</v>
      </c>
    </row>
    <row r="5113" spans="1:19" ht="30">
      <c r="A5113" s="8">
        <v>43340.801574074074</v>
      </c>
      <c r="B5113" s="11" t="str">
        <f>HYPERLINK("https://twitter.com/peikanjavanan","@peikanjavanan")</f>
        <v>@peikanjavanan</v>
      </c>
      <c r="C5113" s="6" t="s">
        <v>200</v>
      </c>
      <c r="D5113" s="5" t="s">
        <v>2960</v>
      </c>
      <c r="E5113" s="9" t="str">
        <f>HYPERLINK("https://twitter.com/peikanjavanan/status/1034451604991340546","1034451604991340546")</f>
        <v>1034451604991340546</v>
      </c>
      <c r="F5113" s="4"/>
      <c r="G5113" s="10" t="s">
        <v>2959</v>
      </c>
      <c r="H5113" s="4"/>
      <c r="I5113" s="10" t="str">
        <f>HYPERLINK("http://twitter.com/download/android","Twitter for Android")</f>
        <v>Twitter for Android</v>
      </c>
      <c r="J5113" s="2">
        <v>7293</v>
      </c>
      <c r="K5113" s="2">
        <v>6905</v>
      </c>
      <c r="L5113" s="2">
        <v>11</v>
      </c>
      <c r="M5113" s="2"/>
      <c r="N5113" s="8">
        <v>42596.398252314815</v>
      </c>
      <c r="O5113" s="4"/>
      <c r="P5113" s="3" t="s">
        <v>197</v>
      </c>
      <c r="Q5113" s="4"/>
      <c r="R5113" s="4"/>
      <c r="S5113" s="9" t="str">
        <f>HYPERLINK("https://pbs.twimg.com/profile_images/885781298710798336/Qw8NPVi0.jpg","View")</f>
        <v>View</v>
      </c>
    </row>
    <row r="5114" spans="1:19" ht="20">
      <c r="A5114" s="8">
        <v>43340.801435185189</v>
      </c>
      <c r="B5114" s="11" t="str">
        <f>HYPERLINK("https://twitter.com/MasoudFadak","@MasoudFadak")</f>
        <v>@MasoudFadak</v>
      </c>
      <c r="C5114" s="6" t="s">
        <v>2958</v>
      </c>
      <c r="D5114" s="5" t="s">
        <v>2957</v>
      </c>
      <c r="E5114" s="9" t="str">
        <f>HYPERLINK("https://twitter.com/MasoudFadak/status/1034451555523719170","1034451555523719170")</f>
        <v>1034451555523719170</v>
      </c>
      <c r="F5114" s="4"/>
      <c r="G5114" s="4"/>
      <c r="H5114" s="4"/>
      <c r="I5114" s="10" t="str">
        <f>HYPERLINK("http://twitter.com/download/android","Twitter for Android")</f>
        <v>Twitter for Android</v>
      </c>
      <c r="J5114" s="2">
        <v>7152</v>
      </c>
      <c r="K5114" s="2">
        <v>6162</v>
      </c>
      <c r="L5114" s="2">
        <v>29</v>
      </c>
      <c r="M5114" s="2"/>
      <c r="N5114" s="8">
        <v>42854.617997685185</v>
      </c>
      <c r="O5114" s="4" t="s">
        <v>2956</v>
      </c>
      <c r="P5114" s="3" t="s">
        <v>2955</v>
      </c>
      <c r="Q5114" s="4"/>
      <c r="R5114" s="4"/>
      <c r="S5114" s="9" t="str">
        <f>HYPERLINK("https://pbs.twimg.com/profile_images/1014586713728045056/f2HZQtbX.jpg","View")</f>
        <v>View</v>
      </c>
    </row>
    <row r="5115" spans="1:19" ht="40">
      <c r="A5115" s="8">
        <v>43340.801076388889</v>
      </c>
      <c r="B5115" s="11" t="str">
        <f>HYPERLINK("https://twitter.com/cheroee","@cheroee")</f>
        <v>@cheroee</v>
      </c>
      <c r="C5115" s="6" t="s">
        <v>2195</v>
      </c>
      <c r="D5115" s="5" t="s">
        <v>2954</v>
      </c>
      <c r="E5115" s="9" t="str">
        <f>HYPERLINK("https://twitter.com/cheroee/status/1034451425584193537","1034451425584193537")</f>
        <v>1034451425584193537</v>
      </c>
      <c r="F5115" s="4"/>
      <c r="G5115" s="4"/>
      <c r="H5115" s="4"/>
      <c r="I5115" s="10" t="str">
        <f>HYPERLINK("http://twitter.com/download/android","Twitter for Android")</f>
        <v>Twitter for Android</v>
      </c>
      <c r="J5115" s="2">
        <v>1218</v>
      </c>
      <c r="K5115" s="2">
        <v>1396</v>
      </c>
      <c r="L5115" s="2">
        <v>1</v>
      </c>
      <c r="M5115" s="2"/>
      <c r="N5115" s="8">
        <v>43107.905138888891</v>
      </c>
      <c r="O5115" s="4" t="s">
        <v>2193</v>
      </c>
      <c r="P5115" s="3" t="s">
        <v>2192</v>
      </c>
      <c r="Q5115" s="4"/>
      <c r="R5115" s="4"/>
      <c r="S5115" s="9" t="str">
        <f>HYPERLINK("https://pbs.twimg.com/profile_images/950323482784681986/ENPd2fX5.jpg","View")</f>
        <v>View</v>
      </c>
    </row>
    <row r="5116" spans="1:19" ht="20">
      <c r="A5116" s="8">
        <v>43340.800821759258</v>
      </c>
      <c r="B5116" s="11" t="str">
        <f>HYPERLINK("https://twitter.com/q_m_asl","@q_m_asl")</f>
        <v>@q_m_asl</v>
      </c>
      <c r="C5116" s="6" t="s">
        <v>2700</v>
      </c>
      <c r="D5116" s="5" t="s">
        <v>2953</v>
      </c>
      <c r="E5116" s="9" t="str">
        <f>HYPERLINK("https://twitter.com/q_m_asl/status/1034451332697137152","1034451332697137152")</f>
        <v>1034451332697137152</v>
      </c>
      <c r="F5116" s="4"/>
      <c r="G5116" s="10" t="s">
        <v>2952</v>
      </c>
      <c r="H5116" s="4"/>
      <c r="I5116" s="10" t="str">
        <f>HYPERLINK("http://twitter.com/download/android","Twitter for Android")</f>
        <v>Twitter for Android</v>
      </c>
      <c r="J5116" s="2">
        <v>1303</v>
      </c>
      <c r="K5116" s="2">
        <v>1210</v>
      </c>
      <c r="L5116" s="2">
        <v>1</v>
      </c>
      <c r="M5116" s="2"/>
      <c r="N5116" s="8">
        <v>43142.699965277774</v>
      </c>
      <c r="O5116" s="4" t="s">
        <v>2193</v>
      </c>
      <c r="P5116" s="3" t="s">
        <v>2698</v>
      </c>
      <c r="Q5116" s="10" t="s">
        <v>2697</v>
      </c>
      <c r="R5116" s="4"/>
      <c r="S5116" s="9" t="str">
        <f>HYPERLINK("https://pbs.twimg.com/profile_images/1007351441080676352/IKnd1H_R.jpg","View")</f>
        <v>View</v>
      </c>
    </row>
    <row r="5117" spans="1:19" ht="30">
      <c r="A5117" s="8">
        <v>43340.800659722227</v>
      </c>
      <c r="B5117" s="11" t="str">
        <f>HYPERLINK("https://twitter.com/babaie_official","@babaie_official")</f>
        <v>@babaie_official</v>
      </c>
      <c r="C5117" s="6" t="s">
        <v>2951</v>
      </c>
      <c r="D5117" s="5" t="s">
        <v>2950</v>
      </c>
      <c r="E5117" s="9" t="str">
        <f>HYPERLINK("https://twitter.com/babaie_official/status/1034451272013938689","1034451272013938689")</f>
        <v>1034451272013938689</v>
      </c>
      <c r="F5117" s="4"/>
      <c r="G5117" s="10" t="s">
        <v>2949</v>
      </c>
      <c r="H5117" s="4"/>
      <c r="I5117" s="10" t="str">
        <f>HYPERLINK("http://twitter.com/download/android","Twitter for Android")</f>
        <v>Twitter for Android</v>
      </c>
      <c r="J5117" s="2">
        <v>757</v>
      </c>
      <c r="K5117" s="2">
        <v>381</v>
      </c>
      <c r="L5117" s="2">
        <v>8</v>
      </c>
      <c r="M5117" s="2"/>
      <c r="N5117" s="8">
        <v>42847.874016203699</v>
      </c>
      <c r="O5117" s="4" t="s">
        <v>2948</v>
      </c>
      <c r="P5117" s="3" t="s">
        <v>2947</v>
      </c>
      <c r="Q5117" s="4"/>
      <c r="R5117" s="4"/>
      <c r="S5117" s="9" t="str">
        <f>HYPERLINK("https://pbs.twimg.com/profile_images/995206380825886720/5YdC5HpA.jpg","View")</f>
        <v>View</v>
      </c>
    </row>
    <row r="5118" spans="1:19" ht="30">
      <c r="A5118" s="8">
        <v>43340.800567129627</v>
      </c>
      <c r="B5118" s="11" t="str">
        <f>HYPERLINK("https://twitter.com/mohsenjannesar2","@mohsenjannesar2")</f>
        <v>@mohsenjannesar2</v>
      </c>
      <c r="C5118" s="6" t="s">
        <v>2946</v>
      </c>
      <c r="D5118" s="5" t="s">
        <v>2945</v>
      </c>
      <c r="E5118" s="9" t="str">
        <f>HYPERLINK("https://twitter.com/mohsenjannesar2/status/1034451238216192000","1034451238216192000")</f>
        <v>1034451238216192000</v>
      </c>
      <c r="F5118" s="4"/>
      <c r="G5118" s="4"/>
      <c r="H5118" s="4"/>
      <c r="I5118" s="10" t="str">
        <f>HYPERLINK("http://twitter.com/download/android","Twitter for Android")</f>
        <v>Twitter for Android</v>
      </c>
      <c r="J5118" s="2">
        <v>44</v>
      </c>
      <c r="K5118" s="2">
        <v>81</v>
      </c>
      <c r="L5118" s="2">
        <v>0</v>
      </c>
      <c r="M5118" s="2"/>
      <c r="N5118" s="8">
        <v>43313.46130787037</v>
      </c>
      <c r="O5118" s="4"/>
      <c r="P5118" s="3" t="s">
        <v>2944</v>
      </c>
      <c r="Q5118" s="10" t="s">
        <v>2943</v>
      </c>
      <c r="R5118" s="4"/>
      <c r="S5118" s="9" t="str">
        <f>HYPERLINK("https://pbs.twimg.com/profile_images/1032262269483327491/k5jE2zD5.jpg","View")</f>
        <v>View</v>
      </c>
    </row>
    <row r="5119" spans="1:19" ht="20">
      <c r="A5119" s="8">
        <v>43340.800509259258</v>
      </c>
      <c r="B5119" s="11" t="str">
        <f>HYPERLINK("https://twitter.com/niloofaraneh14","@niloofaraneh14")</f>
        <v>@niloofaraneh14</v>
      </c>
      <c r="C5119" s="6" t="s">
        <v>2942</v>
      </c>
      <c r="D5119" s="5" t="s">
        <v>2941</v>
      </c>
      <c r="E5119" s="9" t="str">
        <f>HYPERLINK("https://twitter.com/niloofaraneh14/status/1034451220897964034","1034451220897964034")</f>
        <v>1034451220897964034</v>
      </c>
      <c r="F5119" s="4"/>
      <c r="G5119" s="4"/>
      <c r="H5119" s="4"/>
      <c r="I5119" s="10" t="str">
        <f>HYPERLINK("http://twitter.com/download/android","Twitter for Android")</f>
        <v>Twitter for Android</v>
      </c>
      <c r="J5119" s="2">
        <v>409</v>
      </c>
      <c r="K5119" s="2">
        <v>362</v>
      </c>
      <c r="L5119" s="2">
        <v>0</v>
      </c>
      <c r="M5119" s="2"/>
      <c r="N5119" s="8">
        <v>42747.144189814819</v>
      </c>
      <c r="O5119" s="4"/>
      <c r="P5119" s="3" t="s">
        <v>2940</v>
      </c>
      <c r="Q5119" s="4"/>
      <c r="R5119" s="4"/>
      <c r="S5119" s="9" t="str">
        <f>HYPERLINK("https://pbs.twimg.com/profile_images/885952120117178371/qo2R9e-C.jpg","View")</f>
        <v>View</v>
      </c>
    </row>
    <row r="5120" spans="1:19" ht="30">
      <c r="A5120" s="8">
        <v>43340.800474537042</v>
      </c>
      <c r="B5120" s="11" t="str">
        <f>HYPERLINK("https://twitter.com/sarahastam75","@sarahastam75")</f>
        <v>@sarahastam75</v>
      </c>
      <c r="C5120" s="6" t="s">
        <v>2939</v>
      </c>
      <c r="D5120" s="5" t="s">
        <v>2938</v>
      </c>
      <c r="E5120" s="9" t="str">
        <f>HYPERLINK("https://twitter.com/sarahastam75/status/1034451207941750785","1034451207941750785")</f>
        <v>1034451207941750785</v>
      </c>
      <c r="F5120" s="4"/>
      <c r="G5120" s="4"/>
      <c r="H5120" s="4"/>
      <c r="I5120" s="10" t="str">
        <f>HYPERLINK("http://twitter.com","Twitter Web Client")</f>
        <v>Twitter Web Client</v>
      </c>
      <c r="J5120" s="2">
        <v>2704</v>
      </c>
      <c r="K5120" s="2">
        <v>3284</v>
      </c>
      <c r="L5120" s="2">
        <v>0</v>
      </c>
      <c r="M5120" s="2"/>
      <c r="N5120" s="8">
        <v>43149.075162037036</v>
      </c>
      <c r="O5120" s="4" t="s">
        <v>2937</v>
      </c>
      <c r="P5120" s="3" t="s">
        <v>2936</v>
      </c>
      <c r="Q5120" s="4"/>
      <c r="R5120" s="4"/>
      <c r="S5120" s="9" t="str">
        <f>HYPERLINK("https://pbs.twimg.com/profile_images/987620349868232704/Hyp8z1AB.jpg","View")</f>
        <v>View</v>
      </c>
    </row>
    <row r="5121" spans="1:19" ht="40">
      <c r="A5121" s="8">
        <v>43340.800057870365</v>
      </c>
      <c r="B5121" s="11" t="str">
        <f>HYPERLINK("https://twitter.com/dearusername","@dearusername")</f>
        <v>@dearusername</v>
      </c>
      <c r="C5121" s="6" t="s">
        <v>2935</v>
      </c>
      <c r="D5121" s="5" t="s">
        <v>2934</v>
      </c>
      <c r="E5121" s="9" t="str">
        <f>HYPERLINK("https://twitter.com/dearusername/status/1034451055340335104","1034451055340335104")</f>
        <v>1034451055340335104</v>
      </c>
      <c r="F5121" s="4"/>
      <c r="G5121" s="4"/>
      <c r="H5121" s="4"/>
      <c r="I5121" s="10" t="str">
        <f>HYPERLINK("http://twitter.com/download/android","Twitter for Android")</f>
        <v>Twitter for Android</v>
      </c>
      <c r="J5121" s="2">
        <v>574</v>
      </c>
      <c r="K5121" s="2">
        <v>102</v>
      </c>
      <c r="L5121" s="2">
        <v>2</v>
      </c>
      <c r="M5121" s="2"/>
      <c r="N5121" s="8">
        <v>39934.847141203703</v>
      </c>
      <c r="O5121" s="4" t="s">
        <v>2933</v>
      </c>
      <c r="P5121" s="3" t="s">
        <v>2932</v>
      </c>
      <c r="Q5121" s="10" t="s">
        <v>2931</v>
      </c>
      <c r="R5121" s="4"/>
      <c r="S5121" s="9" t="str">
        <f>HYPERLINK("https://pbs.twimg.com/profile_images/991919489880068096/gFYKEXo3.jpg","View")</f>
        <v>View</v>
      </c>
    </row>
    <row r="5122" spans="1:19" ht="20">
      <c r="A5122" s="8">
        <v>43340.79991898148</v>
      </c>
      <c r="B5122" s="11" t="str">
        <f>HYPERLINK("https://twitter.com/Poirotoo","@Poirotoo")</f>
        <v>@Poirotoo</v>
      </c>
      <c r="C5122" s="6" t="s">
        <v>2930</v>
      </c>
      <c r="D5122" s="5" t="s">
        <v>2929</v>
      </c>
      <c r="E5122" s="9" t="str">
        <f>HYPERLINK("https://twitter.com/Poirotoo/status/1034451004648050688","1034451004648050688")</f>
        <v>1034451004648050688</v>
      </c>
      <c r="F5122" s="4"/>
      <c r="G5122" s="4"/>
      <c r="H5122" s="4"/>
      <c r="I5122" s="10" t="str">
        <f>HYPERLINK("http://twitter.com/download/android","Twitter for Android")</f>
        <v>Twitter for Android</v>
      </c>
      <c r="J5122" s="2">
        <v>2852</v>
      </c>
      <c r="K5122" s="2">
        <v>407</v>
      </c>
      <c r="L5122" s="2">
        <v>12</v>
      </c>
      <c r="M5122" s="2"/>
      <c r="N5122" s="8">
        <v>41233.648356481484</v>
      </c>
      <c r="O5122" s="4"/>
      <c r="P5122" s="3" t="s">
        <v>2928</v>
      </c>
      <c r="Q5122" s="4"/>
      <c r="R5122" s="4"/>
      <c r="S5122" s="9" t="str">
        <f>HYPERLINK("https://pbs.twimg.com/profile_images/989708781406728192/OoIK3JCi.jpg","View")</f>
        <v>View</v>
      </c>
    </row>
    <row r="5123" spans="1:19" ht="30">
      <c r="A5123" s="8">
        <v>43340.799791666665</v>
      </c>
      <c r="B5123" s="11" t="str">
        <f>HYPERLINK("https://twitter.com/AnahidBaxshiza1","@AnahidBaxshiza1")</f>
        <v>@AnahidBaxshiza1</v>
      </c>
      <c r="C5123" s="6" t="s">
        <v>2927</v>
      </c>
      <c r="D5123" s="5" t="s">
        <v>2926</v>
      </c>
      <c r="E5123" s="9" t="str">
        <f>HYPERLINK("https://twitter.com/AnahidBaxshiza1/status/1034450959613743105","1034450959613743105")</f>
        <v>1034450959613743105</v>
      </c>
      <c r="F5123" s="4"/>
      <c r="G5123" s="4"/>
      <c r="H5123" s="4"/>
      <c r="I5123" s="10" t="str">
        <f>HYPERLINK("http://twitter.com/download/android","Twitter for Android")</f>
        <v>Twitter for Android</v>
      </c>
      <c r="J5123" s="2">
        <v>1925</v>
      </c>
      <c r="K5123" s="2">
        <v>1816</v>
      </c>
      <c r="L5123" s="2">
        <v>2</v>
      </c>
      <c r="M5123" s="2"/>
      <c r="N5123" s="8">
        <v>43257.845243055555</v>
      </c>
      <c r="O5123" s="4" t="s">
        <v>2925</v>
      </c>
      <c r="P5123" s="3" t="s">
        <v>2924</v>
      </c>
      <c r="Q5123" s="4"/>
      <c r="R5123" s="4"/>
      <c r="S5123" s="9" t="str">
        <f>HYPERLINK("https://pbs.twimg.com/profile_images/1019776917501816833/2tAp90dh.jpg","View")</f>
        <v>View</v>
      </c>
    </row>
    <row r="5124" spans="1:19" ht="20">
      <c r="A5124" s="8">
        <v>43340.79892361111</v>
      </c>
      <c r="B5124" s="11" t="str">
        <f>HYPERLINK("https://twitter.com/komail_sadeghi","@komail_sadeghi")</f>
        <v>@komail_sadeghi</v>
      </c>
      <c r="C5124" s="6" t="s">
        <v>2923</v>
      </c>
      <c r="D5124" s="5" t="s">
        <v>2922</v>
      </c>
      <c r="E5124" s="9" t="str">
        <f>HYPERLINK("https://twitter.com/komail_sadeghi/status/1034450642851561472","1034450642851561472")</f>
        <v>1034450642851561472</v>
      </c>
      <c r="F5124" s="4"/>
      <c r="G5124" s="4"/>
      <c r="H5124" s="4"/>
      <c r="I5124" s="10" t="str">
        <f>HYPERLINK("http://twitter.com/download/android","Twitter for Android")</f>
        <v>Twitter for Android</v>
      </c>
      <c r="J5124" s="2">
        <v>48</v>
      </c>
      <c r="K5124" s="2">
        <v>82</v>
      </c>
      <c r="L5124" s="2">
        <v>0</v>
      </c>
      <c r="M5124" s="2"/>
      <c r="N5124" s="8">
        <v>42915.131539351853</v>
      </c>
      <c r="O5124" s="4" t="s">
        <v>2921</v>
      </c>
      <c r="P5124" s="3" t="s">
        <v>2920</v>
      </c>
      <c r="Q5124" s="4"/>
      <c r="R5124" s="4"/>
      <c r="S5124" s="9" t="str">
        <f>HYPERLINK("https://pbs.twimg.com/profile_images/1031197625838694400/17lGk6Na.jpg","View")</f>
        <v>View</v>
      </c>
    </row>
    <row r="5125" spans="1:19" ht="30">
      <c r="A5125" s="8">
        <v>43340.798657407402</v>
      </c>
      <c r="B5125" s="11" t="str">
        <f>HYPERLINK("https://twitter.com/seyed1369","@seyed1369")</f>
        <v>@seyed1369</v>
      </c>
      <c r="C5125" s="6" t="s">
        <v>2757</v>
      </c>
      <c r="D5125" s="5" t="s">
        <v>2919</v>
      </c>
      <c r="E5125" s="9" t="str">
        <f>HYPERLINK("https://twitter.com/seyed1369/status/1034450546361556992","1034450546361556992")</f>
        <v>1034450546361556992</v>
      </c>
      <c r="F5125" s="4"/>
      <c r="G5125" s="4"/>
      <c r="H5125" s="4"/>
      <c r="I5125" s="10" t="str">
        <f>HYPERLINK("http://twitter.com/download/android","Twitter for Android")</f>
        <v>Twitter for Android</v>
      </c>
      <c r="J5125" s="2">
        <v>164</v>
      </c>
      <c r="K5125" s="2">
        <v>178</v>
      </c>
      <c r="L5125" s="2">
        <v>0</v>
      </c>
      <c r="M5125" s="2"/>
      <c r="N5125" s="8">
        <v>43099.550405092596</v>
      </c>
      <c r="O5125" s="4" t="s">
        <v>2755</v>
      </c>
      <c r="P5125" s="3" t="s">
        <v>2754</v>
      </c>
      <c r="Q5125" s="4"/>
      <c r="R5125" s="4"/>
      <c r="S5125" s="9" t="str">
        <f>HYPERLINK("https://pbs.twimg.com/profile_images/1002807673270792192/5GLHxfuT.jpg","View")</f>
        <v>View</v>
      </c>
    </row>
    <row r="5126" spans="1:19" ht="30">
      <c r="A5126" s="8">
        <v>43340.798379629632</v>
      </c>
      <c r="B5126" s="11" t="str">
        <f>HYPERLINK("https://twitter.com/Ha_Tikvah","@Ha_Tikvah")</f>
        <v>@Ha_Tikvah</v>
      </c>
      <c r="C5126" s="6" t="s">
        <v>2918</v>
      </c>
      <c r="D5126" s="5" t="s">
        <v>2917</v>
      </c>
      <c r="E5126" s="9" t="str">
        <f>HYPERLINK("https://twitter.com/Ha_Tikvah/status/1034450446025252864","1034450446025252864")</f>
        <v>1034450446025252864</v>
      </c>
      <c r="F5126" s="4"/>
      <c r="G5126" s="4"/>
      <c r="H5126" s="4"/>
      <c r="I5126" s="10" t="str">
        <f>HYPERLINK("http://twitter.com","Twitter Web Client")</f>
        <v>Twitter Web Client</v>
      </c>
      <c r="J5126" s="2">
        <v>368</v>
      </c>
      <c r="K5126" s="2">
        <v>338</v>
      </c>
      <c r="L5126" s="2">
        <v>1</v>
      </c>
      <c r="M5126" s="2"/>
      <c r="N5126" s="8">
        <v>40692.472743055558</v>
      </c>
      <c r="O5126" s="4" t="s">
        <v>2916</v>
      </c>
      <c r="P5126" s="3" t="s">
        <v>2915</v>
      </c>
      <c r="Q5126" s="4"/>
      <c r="R5126" s="4"/>
      <c r="S5126" s="9" t="str">
        <f>HYPERLINK("https://pbs.twimg.com/profile_images/832208401073532929/FvariDdk.jpg","View")</f>
        <v>View</v>
      </c>
    </row>
    <row r="5127" spans="1:19" ht="30">
      <c r="A5127" s="8">
        <v>43340.798055555555</v>
      </c>
      <c r="B5127" s="11" t="str">
        <f>HYPERLINK("https://twitter.com/iranniraneman","@iranniraneman")</f>
        <v>@iranniraneman</v>
      </c>
      <c r="C5127" s="6" t="s">
        <v>2914</v>
      </c>
      <c r="D5127" s="5" t="s">
        <v>2913</v>
      </c>
      <c r="E5127" s="9" t="str">
        <f>HYPERLINK("https://twitter.com/iranniraneman/status/1034450328836558849","1034450328836558849")</f>
        <v>1034450328836558849</v>
      </c>
      <c r="F5127" s="4"/>
      <c r="G5127" s="4"/>
      <c r="H5127" s="4"/>
      <c r="I5127" s="10" t="str">
        <f>HYPERLINK("http://twitter.com/download/iphone","Twitter for iPhone")</f>
        <v>Twitter for iPhone</v>
      </c>
      <c r="J5127" s="2">
        <v>2312</v>
      </c>
      <c r="K5127" s="2">
        <v>682</v>
      </c>
      <c r="L5127" s="2">
        <v>19</v>
      </c>
      <c r="M5127" s="2"/>
      <c r="N5127" s="8">
        <v>40990.581087962964</v>
      </c>
      <c r="O5127" s="4" t="s">
        <v>2912</v>
      </c>
      <c r="P5127" s="3" t="s">
        <v>2911</v>
      </c>
      <c r="Q5127" s="10" t="s">
        <v>2910</v>
      </c>
      <c r="R5127" s="4"/>
      <c r="S5127" s="9" t="str">
        <f>HYPERLINK("https://pbs.twimg.com/profile_images/1018935001386274816/AXrH4mQq.jpg","View")</f>
        <v>View</v>
      </c>
    </row>
    <row r="5128" spans="1:19" ht="30">
      <c r="A5128" s="8">
        <v>43340.797835648147</v>
      </c>
      <c r="B5128" s="11" t="str">
        <f>HYPERLINK("https://twitter.com/RoftegareTajdar","@RoftegareTajdar")</f>
        <v>@RoftegareTajdar</v>
      </c>
      <c r="C5128" s="6" t="s">
        <v>2909</v>
      </c>
      <c r="D5128" s="5" t="s">
        <v>2908</v>
      </c>
      <c r="E5128" s="9" t="str">
        <f>HYPERLINK("https://twitter.com/RoftegareTajdar/status/1034450251153899520","1034450251153899520")</f>
        <v>1034450251153899520</v>
      </c>
      <c r="F5128" s="4"/>
      <c r="G5128" s="4"/>
      <c r="H5128" s="4"/>
      <c r="I5128" s="10" t="str">
        <f>HYPERLINK("http://twitter.com/download/android","Twitter for Android")</f>
        <v>Twitter for Android</v>
      </c>
      <c r="J5128" s="2">
        <v>2842</v>
      </c>
      <c r="K5128" s="2">
        <v>2177</v>
      </c>
      <c r="L5128" s="2">
        <v>6</v>
      </c>
      <c r="M5128" s="2"/>
      <c r="N5128" s="8">
        <v>43140.96565972222</v>
      </c>
      <c r="O5128" s="4" t="s">
        <v>2907</v>
      </c>
      <c r="P5128" s="3" t="s">
        <v>2906</v>
      </c>
      <c r="Q5128" s="4"/>
      <c r="R5128" s="4"/>
      <c r="S5128" s="9" t="str">
        <f>HYPERLINK("https://pbs.twimg.com/profile_images/1011365034247802883/H9ym-m-X.jpg","View")</f>
        <v>View</v>
      </c>
    </row>
    <row r="5129" spans="1:19" ht="40">
      <c r="A5129" s="8">
        <v>43340.797418981485</v>
      </c>
      <c r="B5129" s="11" t="str">
        <f>HYPERLINK("https://twitter.com/SushiansH","@SushiansH")</f>
        <v>@SushiansH</v>
      </c>
      <c r="C5129" s="6" t="s">
        <v>2231</v>
      </c>
      <c r="D5129" s="5" t="s">
        <v>2905</v>
      </c>
      <c r="E5129" s="9" t="str">
        <f>HYPERLINK("https://twitter.com/SushiansH/status/1034450099534000128","1034450099534000128")</f>
        <v>1034450099534000128</v>
      </c>
      <c r="F5129" s="4"/>
      <c r="G5129" s="4"/>
      <c r="H5129" s="4"/>
      <c r="I5129" s="10" t="str">
        <f>HYPERLINK("http://twitter.com/download/android","Twitter for Android")</f>
        <v>Twitter for Android</v>
      </c>
      <c r="J5129" s="2">
        <v>56</v>
      </c>
      <c r="K5129" s="2">
        <v>141</v>
      </c>
      <c r="L5129" s="2">
        <v>0</v>
      </c>
      <c r="M5129" s="2"/>
      <c r="N5129" s="8">
        <v>43261.064687499995</v>
      </c>
      <c r="O5129" s="4" t="s">
        <v>34</v>
      </c>
      <c r="P5129" s="3" t="s">
        <v>2229</v>
      </c>
      <c r="Q5129" s="4"/>
      <c r="R5129" s="4"/>
      <c r="S5129" s="9" t="str">
        <f>HYPERLINK("https://pbs.twimg.com/profile_images/1005558117738926080/jT-GBMIX.jpg","View")</f>
        <v>View</v>
      </c>
    </row>
    <row r="5130" spans="1:19" ht="20">
      <c r="A5130" s="8">
        <v>43340.797372685185</v>
      </c>
      <c r="B5130" s="11" t="str">
        <f>HYPERLINK("https://twitter.com/ghobadi_behzad","@ghobadi_behzad")</f>
        <v>@ghobadi_behzad</v>
      </c>
      <c r="C5130" s="6" t="s">
        <v>2904</v>
      </c>
      <c r="D5130" s="5" t="s">
        <v>2903</v>
      </c>
      <c r="E5130" s="9" t="str">
        <f>HYPERLINK("https://twitter.com/ghobadi_behzad/status/1034450081502584832","1034450081502584832")</f>
        <v>1034450081502584832</v>
      </c>
      <c r="F5130" s="4"/>
      <c r="G5130" s="4"/>
      <c r="H5130" s="4"/>
      <c r="I5130" s="10" t="str">
        <f>HYPERLINK("http://twitter.com","Twitter Web Client")</f>
        <v>Twitter Web Client</v>
      </c>
      <c r="J5130" s="2">
        <v>89</v>
      </c>
      <c r="K5130" s="2">
        <v>65</v>
      </c>
      <c r="L5130" s="2">
        <v>1</v>
      </c>
      <c r="M5130" s="2"/>
      <c r="N5130" s="8">
        <v>43310.654456018514</v>
      </c>
      <c r="O5130" s="4"/>
      <c r="P5130" s="3" t="s">
        <v>2902</v>
      </c>
      <c r="Q5130" s="4"/>
      <c r="R5130" s="4"/>
      <c r="S5130" s="9" t="str">
        <f>HYPERLINK("https://pbs.twimg.com/profile_images/1023534928795979776/d3DPzGgw.jpg","View")</f>
        <v>View</v>
      </c>
    </row>
    <row r="5131" spans="1:19" ht="20">
      <c r="A5131" s="8">
        <v>43340.7971875</v>
      </c>
      <c r="B5131" s="11" t="str">
        <f>HYPERLINK("https://twitter.com/hamidbazmshahi","@hamidbazmshahi")</f>
        <v>@hamidbazmshahi</v>
      </c>
      <c r="C5131" s="6" t="s">
        <v>2901</v>
      </c>
      <c r="D5131" s="5" t="s">
        <v>2900</v>
      </c>
      <c r="E5131" s="9" t="str">
        <f>HYPERLINK("https://twitter.com/hamidbazmshahi/status/1034450015408668674","1034450015408668674")</f>
        <v>1034450015408668674</v>
      </c>
      <c r="F5131" s="4"/>
      <c r="G5131" s="4"/>
      <c r="H5131" s="4"/>
      <c r="I5131" s="10" t="str">
        <f>HYPERLINK("http://twitter.com/download/android","Twitter for Android")</f>
        <v>Twitter for Android</v>
      </c>
      <c r="J5131" s="2">
        <v>226</v>
      </c>
      <c r="K5131" s="2">
        <v>175</v>
      </c>
      <c r="L5131" s="2">
        <v>5</v>
      </c>
      <c r="M5131" s="2"/>
      <c r="N5131" s="8">
        <v>42896.791354166664</v>
      </c>
      <c r="O5131" s="4" t="s">
        <v>2899</v>
      </c>
      <c r="P5131" s="3" t="s">
        <v>2898</v>
      </c>
      <c r="Q5131" s="10" t="s">
        <v>2897</v>
      </c>
      <c r="R5131" s="4"/>
      <c r="S5131" s="9" t="str">
        <f>HYPERLINK("https://pbs.twimg.com/profile_images/874244155144368129/r0jUt66e.jpg","View")</f>
        <v>View</v>
      </c>
    </row>
    <row r="5132" spans="1:19" ht="40">
      <c r="A5132" s="8">
        <v>43340.7971412037</v>
      </c>
      <c r="B5132" s="11" t="str">
        <f>HYPERLINK("https://twitter.com/haj_pourya","@haj_pourya")</f>
        <v>@haj_pourya</v>
      </c>
      <c r="C5132" s="6" t="s">
        <v>1120</v>
      </c>
      <c r="D5132" s="5" t="s">
        <v>2896</v>
      </c>
      <c r="E5132" s="9" t="str">
        <f>HYPERLINK("https://twitter.com/haj_pourya/status/1034449997209788416","1034449997209788416")</f>
        <v>1034449997209788416</v>
      </c>
      <c r="F5132" s="4"/>
      <c r="G5132" s="4"/>
      <c r="H5132" s="4"/>
      <c r="I5132" s="10" t="str">
        <f>HYPERLINK("http://twitter.com/download/android","Twitter for Android")</f>
        <v>Twitter for Android</v>
      </c>
      <c r="J5132" s="2">
        <v>317</v>
      </c>
      <c r="K5132" s="2">
        <v>342</v>
      </c>
      <c r="L5132" s="2">
        <v>0</v>
      </c>
      <c r="M5132" s="2"/>
      <c r="N5132" s="8">
        <v>43311.01262731482</v>
      </c>
      <c r="O5132" s="4" t="s">
        <v>1117</v>
      </c>
      <c r="P5132" s="3" t="s">
        <v>1116</v>
      </c>
      <c r="Q5132" s="4"/>
      <c r="R5132" s="4"/>
      <c r="S5132" s="9" t="str">
        <f>HYPERLINK("https://pbs.twimg.com/profile_images/1024224573112414208/e2fVor1D.jpg","View")</f>
        <v>View</v>
      </c>
    </row>
    <row r="5133" spans="1:19" ht="30">
      <c r="A5133" s="8">
        <v>43340.796875</v>
      </c>
      <c r="B5133" s="11" t="str">
        <f>HYPERLINK("https://twitter.com/bimaghz_","@bimaghz_")</f>
        <v>@bimaghz_</v>
      </c>
      <c r="C5133" s="6" t="s">
        <v>2895</v>
      </c>
      <c r="D5133" s="5" t="s">
        <v>2894</v>
      </c>
      <c r="E5133" s="9" t="str">
        <f>HYPERLINK("https://twitter.com/bimaghz_/status/1034449901323792384","1034449901323792384")</f>
        <v>1034449901323792384</v>
      </c>
      <c r="F5133" s="4"/>
      <c r="G5133" s="4"/>
      <c r="H5133" s="4"/>
      <c r="I5133" s="10" t="str">
        <f>HYPERLINK("http://twitter.com/download/android","Twitter for Android")</f>
        <v>Twitter for Android</v>
      </c>
      <c r="J5133" s="2">
        <v>167</v>
      </c>
      <c r="K5133" s="2">
        <v>138</v>
      </c>
      <c r="L5133" s="2">
        <v>0</v>
      </c>
      <c r="M5133" s="2"/>
      <c r="N5133" s="8">
        <v>43055.874178240745</v>
      </c>
      <c r="O5133" s="4" t="s">
        <v>2893</v>
      </c>
      <c r="P5133" s="3" t="s">
        <v>2892</v>
      </c>
      <c r="Q5133" s="4"/>
      <c r="R5133" s="4"/>
      <c r="S5133" s="9" t="str">
        <f>HYPERLINK("https://pbs.twimg.com/profile_images/1015538155666247680/6x077s6T.jpg","View")</f>
        <v>View</v>
      </c>
    </row>
    <row r="5134" spans="1:19" ht="20">
      <c r="A5134" s="8">
        <v>43340.7965162037</v>
      </c>
      <c r="B5134" s="11" t="str">
        <f>HYPERLINK("https://twitter.com/alirrezaaa","@alirrezaaa")</f>
        <v>@alirrezaaa</v>
      </c>
      <c r="C5134" s="6" t="s">
        <v>2891</v>
      </c>
      <c r="D5134" s="5" t="s">
        <v>2890</v>
      </c>
      <c r="E5134" s="9" t="str">
        <f>HYPERLINK("https://twitter.com/alirrezaaa/status/1034449770817961985","1034449770817961985")</f>
        <v>1034449770817961985</v>
      </c>
      <c r="F5134" s="4"/>
      <c r="G5134" s="4"/>
      <c r="H5134" s="4"/>
      <c r="I5134" s="10" t="str">
        <f>HYPERLINK("http://twitter.com/download/iphone","Twitter for iPhone")</f>
        <v>Twitter for iPhone</v>
      </c>
      <c r="J5134" s="2">
        <v>339</v>
      </c>
      <c r="K5134" s="2">
        <v>849</v>
      </c>
      <c r="L5134" s="2">
        <v>0</v>
      </c>
      <c r="M5134" s="2"/>
      <c r="N5134" s="8">
        <v>43230.11986111111</v>
      </c>
      <c r="O5134" s="4" t="s">
        <v>34</v>
      </c>
      <c r="P5134" s="3" t="s">
        <v>2889</v>
      </c>
      <c r="Q5134" s="4"/>
      <c r="R5134" s="4"/>
      <c r="S5134" s="9" t="str">
        <f>HYPERLINK("https://pbs.twimg.com/profile_images/1027496283169280000/GUndcq0d.jpg","View")</f>
        <v>View</v>
      </c>
    </row>
    <row r="5135" spans="1:19" ht="40">
      <c r="A5135" s="8">
        <v>43340.796273148153</v>
      </c>
      <c r="B5135" s="11" t="str">
        <f>HYPERLINK("https://twitter.com/Ali20063766","@Ali20063766")</f>
        <v>@Ali20063766</v>
      </c>
      <c r="C5135" s="6" t="s">
        <v>722</v>
      </c>
      <c r="D5135" s="5" t="s">
        <v>2888</v>
      </c>
      <c r="E5135" s="9" t="str">
        <f>HYPERLINK("https://twitter.com/Ali20063766/status/1034449685237383169","1034449685237383169")</f>
        <v>1034449685237383169</v>
      </c>
      <c r="F5135" s="4"/>
      <c r="G5135" s="4"/>
      <c r="H5135" s="4"/>
      <c r="I5135" s="10" t="str">
        <f>HYPERLINK("http://twitter.com/download/android","Twitter for Android")</f>
        <v>Twitter for Android</v>
      </c>
      <c r="J5135" s="2">
        <v>2</v>
      </c>
      <c r="K5135" s="2">
        <v>3</v>
      </c>
      <c r="L5135" s="2">
        <v>0</v>
      </c>
      <c r="M5135" s="2"/>
      <c r="N5135" s="8">
        <v>43225.231736111113</v>
      </c>
      <c r="O5135" s="4"/>
      <c r="P5135" s="3"/>
      <c r="Q5135" s="4"/>
      <c r="R5135" s="4"/>
      <c r="S5135" s="9" t="str">
        <f>HYPERLINK("https://pbs.twimg.com/profile_images/1027683479432192003/J6bX785z.jpg","View")</f>
        <v>View</v>
      </c>
    </row>
    <row r="5136" spans="1:19" ht="20">
      <c r="A5136" s="8">
        <v>43340.796226851853</v>
      </c>
      <c r="B5136" s="11" t="str">
        <f>HYPERLINK("https://twitter.com/313_thelast","@313_thelast")</f>
        <v>@313_thelast</v>
      </c>
      <c r="C5136" s="6" t="s">
        <v>2887</v>
      </c>
      <c r="D5136" s="5" t="s">
        <v>2886</v>
      </c>
      <c r="E5136" s="9" t="str">
        <f>HYPERLINK("https://twitter.com/313_thelast/status/1034449667449401344","1034449667449401344")</f>
        <v>1034449667449401344</v>
      </c>
      <c r="F5136" s="4"/>
      <c r="G5136" s="10" t="s">
        <v>2885</v>
      </c>
      <c r="H5136" s="4"/>
      <c r="I5136" s="10" t="str">
        <f>HYPERLINK("http://twitter.com/download/android","Twitter for Android")</f>
        <v>Twitter for Android</v>
      </c>
      <c r="J5136" s="2">
        <v>871</v>
      </c>
      <c r="K5136" s="2">
        <v>920</v>
      </c>
      <c r="L5136" s="2">
        <v>6</v>
      </c>
      <c r="M5136" s="2"/>
      <c r="N5136" s="8">
        <v>42521.972974537042</v>
      </c>
      <c r="O5136" s="4"/>
      <c r="P5136" s="3" t="s">
        <v>2884</v>
      </c>
      <c r="Q5136" s="4"/>
      <c r="R5136" s="4"/>
      <c r="S5136" s="9" t="str">
        <f>HYPERLINK("https://pbs.twimg.com/profile_images/1005365950705815552/eECbPA7i.jpg","View")</f>
        <v>View</v>
      </c>
    </row>
    <row r="5137" spans="1:19" ht="30">
      <c r="A5137" s="8">
        <v>43340.79619212963</v>
      </c>
      <c r="B5137" s="11" t="str">
        <f>HYPERLINK("https://twitter.com/ALI_R06","@ALI_R06")</f>
        <v>@ALI_R06</v>
      </c>
      <c r="C5137" s="6" t="s">
        <v>2883</v>
      </c>
      <c r="D5137" s="5" t="s">
        <v>2882</v>
      </c>
      <c r="E5137" s="9" t="str">
        <f>HYPERLINK("https://twitter.com/ALI_R06/status/1034449654333796352","1034449654333796352")</f>
        <v>1034449654333796352</v>
      </c>
      <c r="F5137" s="4"/>
      <c r="G5137" s="4"/>
      <c r="H5137" s="4"/>
      <c r="I5137" s="10" t="str">
        <f>HYPERLINK("http://twitter.com/download/iphone","Twitter for iPhone")</f>
        <v>Twitter for iPhone</v>
      </c>
      <c r="J5137" s="2">
        <v>168</v>
      </c>
      <c r="K5137" s="2">
        <v>261</v>
      </c>
      <c r="L5137" s="2">
        <v>0</v>
      </c>
      <c r="M5137" s="2"/>
      <c r="N5137" s="8">
        <v>41450.029768518521</v>
      </c>
      <c r="O5137" s="4" t="s">
        <v>2881</v>
      </c>
      <c r="P5137" s="3"/>
      <c r="Q5137" s="4"/>
      <c r="R5137" s="4"/>
      <c r="S5137" s="9" t="str">
        <f>HYPERLINK("https://pbs.twimg.com/profile_images/601677740098486272/35HW1Aw5.jpg","View")</f>
        <v>View</v>
      </c>
    </row>
    <row r="5138" spans="1:19" ht="12.5">
      <c r="A5138" s="8">
        <v>43340.795937499999</v>
      </c>
      <c r="B5138" s="11" t="str">
        <f>HYPERLINK("https://twitter.com/euronews_pe","@euronews_pe")</f>
        <v>@euronews_pe</v>
      </c>
      <c r="C5138" s="6" t="s">
        <v>2880</v>
      </c>
      <c r="D5138" s="5" t="s">
        <v>2879</v>
      </c>
      <c r="E5138" s="9" t="str">
        <f>HYPERLINK("https://twitter.com/euronews_pe/status/1034449561186652165","1034449561186652165")</f>
        <v>1034449561186652165</v>
      </c>
      <c r="F5138" s="10" t="s">
        <v>2878</v>
      </c>
      <c r="G5138" s="10" t="s">
        <v>2877</v>
      </c>
      <c r="H5138" s="4"/>
      <c r="I5138" s="10" t="str">
        <f>HYPERLINK("https://www.echobox.com","Echobox Social")</f>
        <v>Echobox Social</v>
      </c>
      <c r="J5138" s="2">
        <v>216814</v>
      </c>
      <c r="K5138" s="2">
        <v>150</v>
      </c>
      <c r="L5138" s="2">
        <v>520</v>
      </c>
      <c r="M5138" s="2" t="s">
        <v>80</v>
      </c>
      <c r="N5138" s="8">
        <v>41163.736319444448</v>
      </c>
      <c r="O5138" s="4" t="s">
        <v>2876</v>
      </c>
      <c r="P5138" s="3" t="s">
        <v>2875</v>
      </c>
      <c r="Q5138" s="10" t="s">
        <v>2874</v>
      </c>
      <c r="R5138" s="4"/>
      <c r="S5138" s="9" t="str">
        <f>HYPERLINK("https://pbs.twimg.com/profile_images/732666813612445696/1CthSJh6.jpg","View")</f>
        <v>View</v>
      </c>
    </row>
    <row r="5139" spans="1:19" ht="50">
      <c r="A5139" s="8">
        <v>43340.795844907407</v>
      </c>
      <c r="B5139" s="11" t="str">
        <f>HYPERLINK("https://twitter.com/manOfMistakes","@manOfMistakes")</f>
        <v>@manOfMistakes</v>
      </c>
      <c r="C5139" s="6" t="s">
        <v>368</v>
      </c>
      <c r="D5139" s="5" t="s">
        <v>2873</v>
      </c>
      <c r="E5139" s="9" t="str">
        <f>HYPERLINK("https://twitter.com/manOfMistakes/status/1034449528202510336","1034449528202510336")</f>
        <v>1034449528202510336</v>
      </c>
      <c r="F5139" s="4"/>
      <c r="G5139" s="4"/>
      <c r="H5139" s="4"/>
      <c r="I5139" s="10" t="str">
        <f>HYPERLINK("http://twitter.com/download/iphone","Twitter for iPhone")</f>
        <v>Twitter for iPhone</v>
      </c>
      <c r="J5139" s="2">
        <v>132</v>
      </c>
      <c r="K5139" s="2">
        <v>255</v>
      </c>
      <c r="L5139" s="2">
        <v>0</v>
      </c>
      <c r="M5139" s="2"/>
      <c r="N5139" s="8">
        <v>43304.329965277779</v>
      </c>
      <c r="O5139" s="4" t="s">
        <v>34</v>
      </c>
      <c r="P5139" s="3" t="s">
        <v>366</v>
      </c>
      <c r="Q5139" s="4"/>
      <c r="R5139" s="4"/>
      <c r="S5139" s="9" t="str">
        <f>HYPERLINK("https://pbs.twimg.com/profile_images/1028755362831204352/MbdRKhM9.jpg","View")</f>
        <v>View</v>
      </c>
    </row>
    <row r="5140" spans="1:19" ht="20">
      <c r="A5140" s="8">
        <v>43340.795798611114</v>
      </c>
      <c r="B5140" s="11" t="str">
        <f>HYPERLINK("https://twitter.com/a_gholhaki","@a_gholhaki")</f>
        <v>@a_gholhaki</v>
      </c>
      <c r="C5140" s="6" t="s">
        <v>2872</v>
      </c>
      <c r="D5140" s="5" t="s">
        <v>2871</v>
      </c>
      <c r="E5140" s="9" t="str">
        <f>HYPERLINK("https://twitter.com/a_gholhaki/status/1034449510775308289","1034449510775308289")</f>
        <v>1034449510775308289</v>
      </c>
      <c r="F5140" s="4"/>
      <c r="G5140" s="4"/>
      <c r="H5140" s="4"/>
      <c r="I5140" s="10" t="str">
        <f>HYPERLINK("http://twitter.com/download/android","Twitter for Android")</f>
        <v>Twitter for Android</v>
      </c>
      <c r="J5140" s="2">
        <v>16815</v>
      </c>
      <c r="K5140" s="2">
        <v>1843</v>
      </c>
      <c r="L5140" s="2">
        <v>139</v>
      </c>
      <c r="M5140" s="2"/>
      <c r="N5140" s="8">
        <v>42766.619270833333</v>
      </c>
      <c r="O5140" s="4" t="s">
        <v>2870</v>
      </c>
      <c r="P5140" s="3" t="s">
        <v>2869</v>
      </c>
      <c r="Q5140" s="10" t="s">
        <v>2868</v>
      </c>
      <c r="R5140" s="4"/>
      <c r="S5140" s="9" t="str">
        <f>HYPERLINK("https://pbs.twimg.com/profile_images/830437698338955264/OWjDDfwi.jpg","View")</f>
        <v>View</v>
      </c>
    </row>
    <row r="5141" spans="1:19" ht="30">
      <c r="A5141" s="8">
        <v>43340.795590277776</v>
      </c>
      <c r="B5141" s="11" t="str">
        <f>HYPERLINK("https://twitter.com/Mohammad_achak","@Mohammad_achak")</f>
        <v>@Mohammad_achak</v>
      </c>
      <c r="C5141" s="6" t="s">
        <v>2867</v>
      </c>
      <c r="D5141" s="5" t="s">
        <v>2866</v>
      </c>
      <c r="E5141" s="9" t="str">
        <f>HYPERLINK("https://twitter.com/Mohammad_achak/status/1034449438146740224","1034449438146740224")</f>
        <v>1034449438146740224</v>
      </c>
      <c r="F5141" s="4"/>
      <c r="G5141" s="4"/>
      <c r="H5141" s="4"/>
      <c r="I5141" s="10" t="str">
        <f>HYPERLINK("http://twitter.com/download/android","Twitter for Android")</f>
        <v>Twitter for Android</v>
      </c>
      <c r="J5141" s="2">
        <v>2595</v>
      </c>
      <c r="K5141" s="2">
        <v>733</v>
      </c>
      <c r="L5141" s="2">
        <v>6</v>
      </c>
      <c r="M5141" s="2"/>
      <c r="N5141" s="8">
        <v>42610.117523148147</v>
      </c>
      <c r="O5141" s="4" t="s">
        <v>17</v>
      </c>
      <c r="P5141" s="3" t="s">
        <v>2865</v>
      </c>
      <c r="Q5141" s="4"/>
      <c r="R5141" s="4"/>
      <c r="S5141" s="9" t="str">
        <f>HYPERLINK("https://pbs.twimg.com/profile_images/1025444019361513472/BJb_AZk8.jpg","View")</f>
        <v>View</v>
      </c>
    </row>
    <row r="5142" spans="1:19" ht="40">
      <c r="A5142" s="8">
        <v>43340.795555555553</v>
      </c>
      <c r="B5142" s="11" t="str">
        <f>HYPERLINK("https://twitter.com/KayhanLondon","@KayhanLondon")</f>
        <v>@KayhanLondon</v>
      </c>
      <c r="C5142" s="6" t="s">
        <v>2864</v>
      </c>
      <c r="D5142" s="5" t="s">
        <v>2863</v>
      </c>
      <c r="E5142" s="9" t="str">
        <f>HYPERLINK("https://twitter.com/KayhanLondon/status/1034449422124544001","1034449422124544001")</f>
        <v>1034449422124544001</v>
      </c>
      <c r="F5142" s="10" t="s">
        <v>2862</v>
      </c>
      <c r="G5142" s="10" t="s">
        <v>2861</v>
      </c>
      <c r="H5142" s="4"/>
      <c r="I5142" s="10" t="str">
        <f>HYPERLINK("http://twitter.com","Twitter Web Client")</f>
        <v>Twitter Web Client</v>
      </c>
      <c r="J5142" s="2">
        <v>4182</v>
      </c>
      <c r="K5142" s="2">
        <v>15</v>
      </c>
      <c r="L5142" s="2">
        <v>37</v>
      </c>
      <c r="M5142" s="2" t="s">
        <v>80</v>
      </c>
      <c r="N5142" s="8">
        <v>41705.996006944442</v>
      </c>
      <c r="O5142" s="4"/>
      <c r="P5142" s="3" t="s">
        <v>2860</v>
      </c>
      <c r="Q5142" s="10" t="s">
        <v>2859</v>
      </c>
      <c r="R5142" s="4"/>
      <c r="S5142" s="9" t="str">
        <f>HYPERLINK("https://pbs.twimg.com/profile_images/610911311845724160/f9_nLw2V.jpg","View")</f>
        <v>View</v>
      </c>
    </row>
    <row r="5143" spans="1:19" ht="60">
      <c r="A5143" s="8">
        <v>43340.795405092591</v>
      </c>
      <c r="B5143" s="11" t="str">
        <f>HYPERLINK("https://twitter.com/mohamadsalimi69","@mohamadsalimi69")</f>
        <v>@mohamadsalimi69</v>
      </c>
      <c r="C5143" s="6" t="s">
        <v>2858</v>
      </c>
      <c r="D5143" s="5" t="s">
        <v>2857</v>
      </c>
      <c r="E5143" s="9" t="str">
        <f>HYPERLINK("https://twitter.com/mohamadsalimi69/status/1034449367720255490","1034449367720255490")</f>
        <v>1034449367720255490</v>
      </c>
      <c r="F5143" s="10" t="s">
        <v>2856</v>
      </c>
      <c r="G5143" s="4"/>
      <c r="H5143" s="4"/>
      <c r="I5143" s="10" t="str">
        <f>HYPERLINK("http://twitter.com/download/android","Twitter for Android")</f>
        <v>Twitter for Android</v>
      </c>
      <c r="J5143" s="2">
        <v>251</v>
      </c>
      <c r="K5143" s="2">
        <v>215</v>
      </c>
      <c r="L5143" s="2">
        <v>0</v>
      </c>
      <c r="M5143" s="2"/>
      <c r="N5143" s="8">
        <v>42471.547812500001</v>
      </c>
      <c r="O5143" s="4"/>
      <c r="P5143" s="3" t="s">
        <v>2855</v>
      </c>
      <c r="Q5143" s="4"/>
      <c r="R5143" s="4"/>
      <c r="S5143" s="9" t="str">
        <f>HYPERLINK("https://pbs.twimg.com/profile_images/1011262089216823296/oKIeknpo.jpg","View")</f>
        <v>View</v>
      </c>
    </row>
    <row r="5144" spans="1:19" ht="30">
      <c r="A5144" s="8">
        <v>43340.794861111106</v>
      </c>
      <c r="B5144" s="11" t="str">
        <f>HYPERLINK("https://twitter.com/ya_ali_madady","@ya_ali_madady")</f>
        <v>@ya_ali_madady</v>
      </c>
      <c r="C5144" s="6" t="s">
        <v>2854</v>
      </c>
      <c r="D5144" s="5" t="s">
        <v>2853</v>
      </c>
      <c r="E5144" s="9" t="str">
        <f>HYPERLINK("https://twitter.com/ya_ali_madady/status/1034449174484402176","1034449174484402176")</f>
        <v>1034449174484402176</v>
      </c>
      <c r="F5144" s="4"/>
      <c r="G5144" s="4"/>
      <c r="H5144" s="4"/>
      <c r="I5144" s="10" t="str">
        <f>HYPERLINK("http://twitter.com/download/android","Twitter for Android")</f>
        <v>Twitter for Android</v>
      </c>
      <c r="J5144" s="2">
        <v>5395</v>
      </c>
      <c r="K5144" s="2">
        <v>1339</v>
      </c>
      <c r="L5144" s="2">
        <v>18</v>
      </c>
      <c r="M5144" s="2"/>
      <c r="N5144" s="8">
        <v>42771.572951388887</v>
      </c>
      <c r="O5144" s="4" t="s">
        <v>17</v>
      </c>
      <c r="P5144" s="3" t="s">
        <v>2852</v>
      </c>
      <c r="Q5144" s="4"/>
      <c r="R5144" s="4"/>
      <c r="S5144" s="9" t="str">
        <f>HYPERLINK("https://pbs.twimg.com/profile_images/1006550016452976641/GPfvWUF-.jpg","View")</f>
        <v>View</v>
      </c>
    </row>
    <row r="5145" spans="1:19" ht="40">
      <c r="A5145" s="8">
        <v>43340.794791666667</v>
      </c>
      <c r="B5145" s="11" t="str">
        <f>HYPERLINK("https://twitter.com/salmaan_paarsi","@salmaan_paarsi")</f>
        <v>@salmaan_paarsi</v>
      </c>
      <c r="C5145" s="6" t="s">
        <v>2851</v>
      </c>
      <c r="D5145" s="5" t="s">
        <v>2850</v>
      </c>
      <c r="E5145" s="9" t="str">
        <f>HYPERLINK("https://twitter.com/salmaan_paarsi/status/1034449148190384129","1034449148190384129")</f>
        <v>1034449148190384129</v>
      </c>
      <c r="F5145" s="4"/>
      <c r="G5145" s="4"/>
      <c r="H5145" s="4"/>
      <c r="I5145" s="10" t="str">
        <f>HYPERLINK("http://twitter.com","Twitter Web Client")</f>
        <v>Twitter Web Client</v>
      </c>
      <c r="J5145" s="2">
        <v>1646</v>
      </c>
      <c r="K5145" s="2">
        <v>1565</v>
      </c>
      <c r="L5145" s="2">
        <v>2</v>
      </c>
      <c r="M5145" s="2"/>
      <c r="N5145" s="8">
        <v>42755.918067129634</v>
      </c>
      <c r="O5145" s="4"/>
      <c r="P5145" s="3" t="s">
        <v>2849</v>
      </c>
      <c r="Q5145" s="4"/>
      <c r="R5145" s="4"/>
      <c r="S5145" s="9" t="str">
        <f>HYPERLINK("https://pbs.twimg.com/profile_images/1012236967470387200/jobs7P8L.jpg","View")</f>
        <v>View</v>
      </c>
    </row>
    <row r="5146" spans="1:19" ht="12.5">
      <c r="A5146" s="8">
        <v>43340.794699074075</v>
      </c>
      <c r="B5146" s="11" t="str">
        <f>HYPERLINK("https://twitter.com/SydMstf","@SydMstf")</f>
        <v>@SydMstf</v>
      </c>
      <c r="C5146" s="6" t="s">
        <v>2848</v>
      </c>
      <c r="D5146" s="5" t="s">
        <v>2847</v>
      </c>
      <c r="E5146" s="9" t="str">
        <f>HYPERLINK("https://twitter.com/SydMstf/status/1034449112261976066","1034449112261976066")</f>
        <v>1034449112261976066</v>
      </c>
      <c r="F5146" s="4"/>
      <c r="G5146" s="10" t="s">
        <v>2846</v>
      </c>
      <c r="H5146" s="4"/>
      <c r="I5146" s="10" t="str">
        <f>HYPERLINK("http://twitter.com/download/android","Twitter for Android")</f>
        <v>Twitter for Android</v>
      </c>
      <c r="J5146" s="2">
        <v>1268</v>
      </c>
      <c r="K5146" s="2">
        <v>1642</v>
      </c>
      <c r="L5146" s="2">
        <v>2</v>
      </c>
      <c r="M5146" s="2"/>
      <c r="N5146" s="8">
        <v>42200.767291666663</v>
      </c>
      <c r="O5146" s="4" t="s">
        <v>17</v>
      </c>
      <c r="P5146" s="3" t="s">
        <v>2845</v>
      </c>
      <c r="Q5146" s="10" t="s">
        <v>2844</v>
      </c>
      <c r="R5146" s="4"/>
      <c r="S5146" s="9" t="str">
        <f>HYPERLINK("https://pbs.twimg.com/profile_images/1026087423510564865/Uk2pGWnc.jpg","View")</f>
        <v>View</v>
      </c>
    </row>
    <row r="5147" spans="1:19" ht="12.5">
      <c r="A5147" s="8">
        <v>43340.794259259259</v>
      </c>
      <c r="B5147" s="11" t="str">
        <f>HYPERLINK("https://twitter.com/hiddenheart","@hiddenheart")</f>
        <v>@hiddenheart</v>
      </c>
      <c r="C5147" s="6" t="s">
        <v>2843</v>
      </c>
      <c r="D5147" s="5" t="s">
        <v>2842</v>
      </c>
      <c r="E5147" s="9" t="str">
        <f>HYPERLINK("https://twitter.com/hiddenheart/status/1034448954090561537","1034448954090561537")</f>
        <v>1034448954090561537</v>
      </c>
      <c r="F5147" s="4"/>
      <c r="G5147" s="4"/>
      <c r="H5147" s="4"/>
      <c r="I5147" s="10" t="str">
        <f>HYPERLINK("http://twitter.com/download/android","Twitter for Android")</f>
        <v>Twitter for Android</v>
      </c>
      <c r="J5147" s="2">
        <v>3</v>
      </c>
      <c r="K5147" s="2">
        <v>3</v>
      </c>
      <c r="L5147" s="2">
        <v>0</v>
      </c>
      <c r="M5147" s="2"/>
      <c r="N5147" s="8">
        <v>43339.608391203699</v>
      </c>
      <c r="O5147" s="4"/>
      <c r="P5147" s="3" t="s">
        <v>2841</v>
      </c>
      <c r="Q5147" s="4"/>
      <c r="R5147" s="4"/>
      <c r="S5147" s="9" t="str">
        <f>HYPERLINK("https://pbs.twimg.com/profile_images/1034441574921498624/JrSq79F5.jpg","View")</f>
        <v>View</v>
      </c>
    </row>
    <row r="5148" spans="1:19" ht="40">
      <c r="A5148" s="8">
        <v>43340.792557870373</v>
      </c>
      <c r="B5148" s="11" t="str">
        <f>HYPERLINK("https://twitter.com/eXtrem0us","@eXtrem0us")</f>
        <v>@eXtrem0us</v>
      </c>
      <c r="C5148" s="6" t="s">
        <v>2840</v>
      </c>
      <c r="D5148" s="5" t="s">
        <v>2839</v>
      </c>
      <c r="E5148" s="9" t="str">
        <f>HYPERLINK("https://twitter.com/eXtrem0us/status/1034448337896964096","1034448337896964096")</f>
        <v>1034448337896964096</v>
      </c>
      <c r="F5148" s="4"/>
      <c r="G5148" s="4"/>
      <c r="H5148" s="4"/>
      <c r="I5148" s="10" t="str">
        <f>HYPERLINK("http://twitter.com/download/android","Twitter for Android")</f>
        <v>Twitter for Android</v>
      </c>
      <c r="J5148" s="2">
        <v>551</v>
      </c>
      <c r="K5148" s="2">
        <v>272</v>
      </c>
      <c r="L5148" s="2">
        <v>6</v>
      </c>
      <c r="M5148" s="2"/>
      <c r="N5148" s="8">
        <v>42388.079780092594</v>
      </c>
      <c r="O5148" s="4" t="s">
        <v>2838</v>
      </c>
      <c r="P5148" s="3" t="s">
        <v>2837</v>
      </c>
      <c r="Q5148" s="4"/>
      <c r="R5148" s="4"/>
      <c r="S5148" s="9" t="str">
        <f>HYPERLINK("https://pbs.twimg.com/profile_images/1020343974463197184/QfE0WiNJ.jpg","View")</f>
        <v>View</v>
      </c>
    </row>
    <row r="5149" spans="1:19" ht="40">
      <c r="A5149" s="8">
        <v>43340.792476851857</v>
      </c>
      <c r="B5149" s="11" t="str">
        <f>HYPERLINK("https://twitter.com/s_h_salehi","@s_h_salehi")</f>
        <v>@s_h_salehi</v>
      </c>
      <c r="C5149" s="6" t="s">
        <v>2836</v>
      </c>
      <c r="D5149" s="5" t="s">
        <v>2835</v>
      </c>
      <c r="E5149" s="9" t="str">
        <f>HYPERLINK("https://twitter.com/s_h_salehi/status/1034448307861499904","1034448307861499904")</f>
        <v>1034448307861499904</v>
      </c>
      <c r="F5149" s="4"/>
      <c r="G5149" s="4"/>
      <c r="H5149" s="4"/>
      <c r="I5149" s="10" t="str">
        <f>HYPERLINK("http://twitter.com/download/android","Twitter for Android")</f>
        <v>Twitter for Android</v>
      </c>
      <c r="J5149" s="2">
        <v>600</v>
      </c>
      <c r="K5149" s="2">
        <v>307</v>
      </c>
      <c r="L5149" s="2">
        <v>0</v>
      </c>
      <c r="M5149" s="2"/>
      <c r="N5149" s="8">
        <v>41886.949328703704</v>
      </c>
      <c r="O5149" s="4"/>
      <c r="P5149" s="3" t="s">
        <v>2834</v>
      </c>
      <c r="Q5149" s="4"/>
      <c r="R5149" s="4"/>
      <c r="S5149" s="9" t="str">
        <f>HYPERLINK("https://pbs.twimg.com/profile_images/1029100088436637697/JMAFt_F3.jpg","View")</f>
        <v>View</v>
      </c>
    </row>
    <row r="5150" spans="1:19" ht="30">
      <c r="A5150" s="8">
        <v>43340.792129629626</v>
      </c>
      <c r="B5150" s="11" t="str">
        <f>HYPERLINK("https://twitter.com/alinba","@alinba")</f>
        <v>@alinba</v>
      </c>
      <c r="C5150" s="6" t="s">
        <v>2828</v>
      </c>
      <c r="D5150" s="5" t="s">
        <v>2833</v>
      </c>
      <c r="E5150" s="9" t="str">
        <f>HYPERLINK("https://twitter.com/alinba/status/1034448183743721472","1034448183743721472")</f>
        <v>1034448183743721472</v>
      </c>
      <c r="F5150" s="4"/>
      <c r="G5150" s="4"/>
      <c r="H5150" s="4"/>
      <c r="I5150" s="10" t="str">
        <f>HYPERLINK("http://twitter.com/download/iphone","Twitter for iPhone")</f>
        <v>Twitter for iPhone</v>
      </c>
      <c r="J5150" s="2">
        <v>901</v>
      </c>
      <c r="K5150" s="2">
        <v>461</v>
      </c>
      <c r="L5150" s="2">
        <v>9</v>
      </c>
      <c r="M5150" s="2"/>
      <c r="N5150" s="8">
        <v>40333.973321759258</v>
      </c>
      <c r="O5150" s="4" t="s">
        <v>2826</v>
      </c>
      <c r="P5150" s="3" t="s">
        <v>2825</v>
      </c>
      <c r="Q5150" s="4"/>
      <c r="R5150" s="4"/>
      <c r="S5150" s="9" t="str">
        <f>HYPERLINK("https://pbs.twimg.com/profile_images/1032183071053889536/0iy15sM7.jpg","View")</f>
        <v>View</v>
      </c>
    </row>
    <row r="5151" spans="1:19" ht="40">
      <c r="A5151" s="8">
        <v>43340.791886574079</v>
      </c>
      <c r="B5151" s="11" t="str">
        <f>HYPERLINK("https://twitter.com/divooneh6","@divooneh6")</f>
        <v>@divooneh6</v>
      </c>
      <c r="C5151" s="6" t="s">
        <v>2785</v>
      </c>
      <c r="D5151" s="5" t="s">
        <v>2832</v>
      </c>
      <c r="E5151" s="9" t="str">
        <f>HYPERLINK("https://twitter.com/divooneh6/status/1034448092656005120","1034448092656005120")</f>
        <v>1034448092656005120</v>
      </c>
      <c r="F5151" s="4"/>
      <c r="G5151" s="4"/>
      <c r="H5151" s="4"/>
      <c r="I5151" s="10" t="str">
        <f>HYPERLINK("http://twitter.com/download/iphone","Twitter for iPhone")</f>
        <v>Twitter for iPhone</v>
      </c>
      <c r="J5151" s="2">
        <v>29</v>
      </c>
      <c r="K5151" s="2">
        <v>42</v>
      </c>
      <c r="L5151" s="2">
        <v>0</v>
      </c>
      <c r="M5151" s="2"/>
      <c r="N5151" s="8">
        <v>43332.95475694444</v>
      </c>
      <c r="O5151" s="4"/>
      <c r="P5151" s="3" t="s">
        <v>2783</v>
      </c>
      <c r="Q5151" s="4"/>
      <c r="R5151" s="4"/>
      <c r="S5151" s="9" t="str">
        <f>HYPERLINK("https://pbs.twimg.com/profile_images/1031615391817183232/QFd1rzeD.jpg","View")</f>
        <v>View</v>
      </c>
    </row>
    <row r="5152" spans="1:19" ht="40">
      <c r="A5152" s="8">
        <v>43340.791145833333</v>
      </c>
      <c r="B5152" s="11" t="str">
        <f>HYPERLINK("https://twitter.com/hamshahrinews","@hamshahrinews")</f>
        <v>@hamshahrinews</v>
      </c>
      <c r="C5152" s="6" t="s">
        <v>2149</v>
      </c>
      <c r="D5152" s="5" t="s">
        <v>2831</v>
      </c>
      <c r="E5152" s="9" t="str">
        <f>HYPERLINK("https://twitter.com/hamshahrinews/status/1034447824916807680","1034447824916807680")</f>
        <v>1034447824916807680</v>
      </c>
      <c r="F5152" s="4"/>
      <c r="G5152" s="4"/>
      <c r="H5152" s="4"/>
      <c r="I5152" s="10" t="str">
        <f>HYPERLINK("http://twitter.com","Twitter Web Client")</f>
        <v>Twitter Web Client</v>
      </c>
      <c r="J5152" s="2">
        <v>1847</v>
      </c>
      <c r="K5152" s="2">
        <v>12</v>
      </c>
      <c r="L5152" s="2">
        <v>36</v>
      </c>
      <c r="M5152" s="2"/>
      <c r="N5152" s="8">
        <v>42984.575752314813</v>
      </c>
      <c r="O5152" s="4" t="s">
        <v>133</v>
      </c>
      <c r="P5152" s="3" t="s">
        <v>2146</v>
      </c>
      <c r="Q5152" s="10" t="s">
        <v>2145</v>
      </c>
      <c r="R5152" s="4"/>
      <c r="S5152" s="9" t="str">
        <f>HYPERLINK("https://pbs.twimg.com/profile_images/918008480631533568/-awyAU90.jpg","View")</f>
        <v>View</v>
      </c>
    </row>
    <row r="5153" spans="1:19" ht="20">
      <c r="A5153" s="8">
        <v>43340.79111111111</v>
      </c>
      <c r="B5153" s="11" t="str">
        <f>HYPERLINK("https://twitter.com/Ramdisius","@Ramdisius")</f>
        <v>@Ramdisius</v>
      </c>
      <c r="C5153" s="6" t="s">
        <v>1494</v>
      </c>
      <c r="D5153" s="5" t="s">
        <v>2830</v>
      </c>
      <c r="E5153" s="9" t="str">
        <f>HYPERLINK("https://twitter.com/Ramdisius/status/1034447813608910849","1034447813608910849")</f>
        <v>1034447813608910849</v>
      </c>
      <c r="F5153" s="4"/>
      <c r="G5153" s="10" t="s">
        <v>2829</v>
      </c>
      <c r="H5153" s="4"/>
      <c r="I5153" s="10" t="str">
        <f>HYPERLINK("http://twitter.com/download/android","Twitter for Android")</f>
        <v>Twitter for Android</v>
      </c>
      <c r="J5153" s="2">
        <v>91</v>
      </c>
      <c r="K5153" s="2">
        <v>103</v>
      </c>
      <c r="L5153" s="2">
        <v>0</v>
      </c>
      <c r="M5153" s="2"/>
      <c r="N5153" s="8">
        <v>42999.626296296294</v>
      </c>
      <c r="O5153" s="4"/>
      <c r="P5153" s="3" t="s">
        <v>1491</v>
      </c>
      <c r="Q5153" s="4"/>
      <c r="R5153" s="4"/>
      <c r="S5153" s="9" t="str">
        <f>HYPERLINK("https://pbs.twimg.com/profile_images/953361613679202306/_YiFOaj_.jpg","View")</f>
        <v>View</v>
      </c>
    </row>
    <row r="5154" spans="1:19" ht="40">
      <c r="A5154" s="8">
        <v>43340.790902777779</v>
      </c>
      <c r="B5154" s="11" t="str">
        <f>HYPERLINK("https://twitter.com/alinba","@alinba")</f>
        <v>@alinba</v>
      </c>
      <c r="C5154" s="6" t="s">
        <v>2828</v>
      </c>
      <c r="D5154" s="5" t="s">
        <v>2827</v>
      </c>
      <c r="E5154" s="9" t="str">
        <f>HYPERLINK("https://twitter.com/alinba/status/1034447736593178630","1034447736593178630")</f>
        <v>1034447736593178630</v>
      </c>
      <c r="F5154" s="4"/>
      <c r="G5154" s="4"/>
      <c r="H5154" s="4"/>
      <c r="I5154" s="10" t="str">
        <f>HYPERLINK("http://twitter.com/download/iphone","Twitter for iPhone")</f>
        <v>Twitter for iPhone</v>
      </c>
      <c r="J5154" s="2">
        <v>901</v>
      </c>
      <c r="K5154" s="2">
        <v>461</v>
      </c>
      <c r="L5154" s="2">
        <v>9</v>
      </c>
      <c r="M5154" s="2"/>
      <c r="N5154" s="8">
        <v>40333.973321759258</v>
      </c>
      <c r="O5154" s="4" t="s">
        <v>2826</v>
      </c>
      <c r="P5154" s="3" t="s">
        <v>2825</v>
      </c>
      <c r="Q5154" s="4"/>
      <c r="R5154" s="4"/>
      <c r="S5154" s="9" t="str">
        <f>HYPERLINK("https://pbs.twimg.com/profile_images/1032183071053889536/0iy15sM7.jpg","View")</f>
        <v>View</v>
      </c>
    </row>
    <row r="5155" spans="1:19" ht="20">
      <c r="A5155" s="8">
        <v>43340.790775462963</v>
      </c>
      <c r="B5155" s="11" t="str">
        <f>HYPERLINK("https://twitter.com/Mim_Zahedi","@Mim_Zahedi")</f>
        <v>@Mim_Zahedi</v>
      </c>
      <c r="C5155" s="6" t="s">
        <v>2824</v>
      </c>
      <c r="D5155" s="5" t="s">
        <v>2823</v>
      </c>
      <c r="E5155" s="9" t="str">
        <f>HYPERLINK("https://twitter.com/Mim_Zahedi/status/1034447689981800449","1034447689981800449")</f>
        <v>1034447689981800449</v>
      </c>
      <c r="F5155" s="4"/>
      <c r="G5155" s="4"/>
      <c r="H5155" s="4"/>
      <c r="I5155" s="10" t="str">
        <f>HYPERLINK("http://twitter.com","Twitter Web Client")</f>
        <v>Twitter Web Client</v>
      </c>
      <c r="J5155" s="2">
        <v>417</v>
      </c>
      <c r="K5155" s="2">
        <v>470</v>
      </c>
      <c r="L5155" s="2">
        <v>0</v>
      </c>
      <c r="M5155" s="2"/>
      <c r="N5155" s="8">
        <v>43246.077939814815</v>
      </c>
      <c r="O5155" s="4"/>
      <c r="P5155" s="3" t="s">
        <v>2822</v>
      </c>
      <c r="Q5155" s="4"/>
      <c r="R5155" s="4"/>
      <c r="S5155" s="9" t="str">
        <f>HYPERLINK("https://pbs.twimg.com/profile_images/1002873701757521920/h9FHO_Sm.jpg","View")</f>
        <v>View</v>
      </c>
    </row>
    <row r="5156" spans="1:19" ht="30">
      <c r="A5156" s="8">
        <v>43340.790648148148</v>
      </c>
      <c r="B5156" s="11" t="str">
        <f>HYPERLINK("https://twitter.com/vaghg7","@vaghg7")</f>
        <v>@vaghg7</v>
      </c>
      <c r="C5156" s="6" t="s">
        <v>2821</v>
      </c>
      <c r="D5156" s="5" t="s">
        <v>2820</v>
      </c>
      <c r="E5156" s="9" t="str">
        <f>HYPERLINK("https://twitter.com/vaghg7/status/1034447646168035328","1034447646168035328")</f>
        <v>1034447646168035328</v>
      </c>
      <c r="F5156" s="4"/>
      <c r="G5156" s="4"/>
      <c r="H5156" s="4"/>
      <c r="I5156" s="10" t="str">
        <f>HYPERLINK("http://twitter.com/download/android","Twitter for Android")</f>
        <v>Twitter for Android</v>
      </c>
      <c r="J5156" s="2">
        <v>526</v>
      </c>
      <c r="K5156" s="2">
        <v>1102</v>
      </c>
      <c r="L5156" s="2">
        <v>1</v>
      </c>
      <c r="M5156" s="2"/>
      <c r="N5156" s="8">
        <v>42908.410486111112</v>
      </c>
      <c r="O5156" s="4"/>
      <c r="P5156" s="3" t="s">
        <v>2819</v>
      </c>
      <c r="Q5156" s="4"/>
      <c r="R5156" s="4"/>
      <c r="S5156" s="9" t="str">
        <f>HYPERLINK("https://pbs.twimg.com/profile_images/877759799047278593/b6KnbVkx.jpg","View")</f>
        <v>View</v>
      </c>
    </row>
    <row r="5157" spans="1:19" ht="30">
      <c r="A5157" s="8">
        <v>43340.789930555555</v>
      </c>
      <c r="B5157" s="11" t="str">
        <f>HYPERLINK("https://twitter.com/ghavami_mahsa","@ghavami_mahsa")</f>
        <v>@ghavami_mahsa</v>
      </c>
      <c r="C5157" s="6" t="s">
        <v>2818</v>
      </c>
      <c r="D5157" s="5" t="s">
        <v>2817</v>
      </c>
      <c r="E5157" s="9" t="str">
        <f>HYPERLINK("https://twitter.com/ghavami_mahsa/status/1034447385747963904","1034447385747963904")</f>
        <v>1034447385747963904</v>
      </c>
      <c r="F5157" s="4"/>
      <c r="G5157" s="4"/>
      <c r="H5157" s="4"/>
      <c r="I5157" s="10" t="str">
        <f>HYPERLINK("http://twitter.com/download/android","Twitter for Android")</f>
        <v>Twitter for Android</v>
      </c>
      <c r="J5157" s="2">
        <v>14</v>
      </c>
      <c r="K5157" s="2">
        <v>57</v>
      </c>
      <c r="L5157" s="2">
        <v>0</v>
      </c>
      <c r="M5157" s="2"/>
      <c r="N5157" s="8">
        <v>42863.885381944448</v>
      </c>
      <c r="O5157" s="4" t="s">
        <v>1415</v>
      </c>
      <c r="P5157" s="3"/>
      <c r="Q5157" s="4"/>
      <c r="R5157" s="4"/>
      <c r="S5157" s="9" t="str">
        <f>HYPERLINK("https://pbs.twimg.com/profile_images/1033489515296514048/ODYdSsgT.jpg","View")</f>
        <v>View</v>
      </c>
    </row>
    <row r="5158" spans="1:19" ht="12.5">
      <c r="A5158" s="8">
        <v>43340.789733796293</v>
      </c>
      <c r="B5158" s="11" t="str">
        <f>HYPERLINK("https://twitter.com/Omidmansor1","@Omidmansor1")</f>
        <v>@Omidmansor1</v>
      </c>
      <c r="C5158" s="6" t="s">
        <v>2816</v>
      </c>
      <c r="D5158" s="5" t="s">
        <v>2815</v>
      </c>
      <c r="E5158" s="9" t="str">
        <f>HYPERLINK("https://twitter.com/Omidmansor1/status/1034447315090792448","1034447315090792448")</f>
        <v>1034447315090792448</v>
      </c>
      <c r="F5158" s="4"/>
      <c r="G5158" s="10" t="s">
        <v>2814</v>
      </c>
      <c r="H5158" s="4"/>
      <c r="I5158" s="10" t="str">
        <f>HYPERLINK("https://mobile.twitter.com","Twitter Lite")</f>
        <v>Twitter Lite</v>
      </c>
      <c r="J5158" s="2">
        <v>29</v>
      </c>
      <c r="K5158" s="2">
        <v>50</v>
      </c>
      <c r="L5158" s="2">
        <v>0</v>
      </c>
      <c r="M5158" s="2"/>
      <c r="N5158" s="8">
        <v>43048.681377314817</v>
      </c>
      <c r="O5158" s="4"/>
      <c r="P5158" s="3" t="s">
        <v>2813</v>
      </c>
      <c r="Q5158" s="4"/>
      <c r="R5158" s="4"/>
      <c r="S5158" s="9" t="str">
        <f>HYPERLINK("https://pbs.twimg.com/profile_images/1033199679150981121/sBhUvbEi.jpg","View")</f>
        <v>View</v>
      </c>
    </row>
    <row r="5159" spans="1:19" ht="40">
      <c r="A5159" s="8">
        <v>43340.789710648147</v>
      </c>
      <c r="B5159" s="11" t="str">
        <f>HYPERLINK("https://twitter.com/rajanewstwt","@rajanewstwt")</f>
        <v>@rajanewstwt</v>
      </c>
      <c r="C5159" s="6" t="s">
        <v>2812</v>
      </c>
      <c r="D5159" s="5" t="s">
        <v>2811</v>
      </c>
      <c r="E5159" s="9" t="str">
        <f>HYPERLINK("https://twitter.com/rajanewstwt/status/1034447306509172736","1034447306509172736")</f>
        <v>1034447306509172736</v>
      </c>
      <c r="F5159" s="4"/>
      <c r="G5159" s="10" t="s">
        <v>2810</v>
      </c>
      <c r="H5159" s="4"/>
      <c r="I5159" s="10" t="str">
        <f>HYPERLINK("http://twitter.com/download/iphone","Twitter for iPhone")</f>
        <v>Twitter for iPhone</v>
      </c>
      <c r="J5159" s="2">
        <v>4602</v>
      </c>
      <c r="K5159" s="2">
        <v>24</v>
      </c>
      <c r="L5159" s="2">
        <v>41</v>
      </c>
      <c r="M5159" s="2"/>
      <c r="N5159" s="8">
        <v>40685.675682870373</v>
      </c>
      <c r="O5159" s="4" t="s">
        <v>34</v>
      </c>
      <c r="P5159" s="3" t="s">
        <v>2809</v>
      </c>
      <c r="Q5159" s="10" t="s">
        <v>2808</v>
      </c>
      <c r="R5159" s="4"/>
      <c r="S5159" s="9" t="str">
        <f>HYPERLINK("https://pbs.twimg.com/profile_images/1031293449725779978/iFHGrw7F.jpg","View")</f>
        <v>View</v>
      </c>
    </row>
    <row r="5160" spans="1:19" ht="40">
      <c r="A5160" s="8">
        <v>43340.789606481485</v>
      </c>
      <c r="B5160" s="11" t="str">
        <f>HYPERLINK("https://twitter.com/Farrokh631","@Farrokh631")</f>
        <v>@Farrokh631</v>
      </c>
      <c r="C5160" s="6" t="s">
        <v>2714</v>
      </c>
      <c r="D5160" s="5" t="s">
        <v>2807</v>
      </c>
      <c r="E5160" s="9" t="str">
        <f>HYPERLINK("https://twitter.com/Farrokh631/status/1034447266755555328","1034447266755555328")</f>
        <v>1034447266755555328</v>
      </c>
      <c r="F5160" s="4"/>
      <c r="G5160" s="4"/>
      <c r="H5160" s="4"/>
      <c r="I5160" s="10" t="str">
        <f>HYPERLINK("http://twitter.com","Twitter Web Client")</f>
        <v>Twitter Web Client</v>
      </c>
      <c r="J5160" s="2">
        <v>88</v>
      </c>
      <c r="K5160" s="2">
        <v>80</v>
      </c>
      <c r="L5160" s="2">
        <v>0</v>
      </c>
      <c r="M5160" s="2"/>
      <c r="N5160" s="8">
        <v>43069.015092592592</v>
      </c>
      <c r="O5160" s="4" t="s">
        <v>34</v>
      </c>
      <c r="P5160" s="3" t="s">
        <v>2712</v>
      </c>
      <c r="Q5160" s="4"/>
      <c r="R5160" s="4"/>
      <c r="S5160" s="9" t="str">
        <f>HYPERLINK("https://pbs.twimg.com/profile_images/944317757448949760/Lvj8icjq.jpg","View")</f>
        <v>View</v>
      </c>
    </row>
    <row r="5161" spans="1:19" ht="30">
      <c r="A5161" s="8">
        <v>43340.789490740739</v>
      </c>
      <c r="B5161" s="11" t="str">
        <f>HYPERLINK("https://twitter.com/BorooYare","@BorooYare")</f>
        <v>@BorooYare</v>
      </c>
      <c r="C5161" s="6" t="s">
        <v>2806</v>
      </c>
      <c r="D5161" s="5" t="s">
        <v>2805</v>
      </c>
      <c r="E5161" s="9" t="str">
        <f>HYPERLINK("https://twitter.com/BorooYare/status/1034447224879673344","1034447224879673344")</f>
        <v>1034447224879673344</v>
      </c>
      <c r="F5161" s="4"/>
      <c r="G5161" s="4"/>
      <c r="H5161" s="4"/>
      <c r="I5161" s="10" t="str">
        <f>HYPERLINK("http://twitter.com","Twitter Web Client")</f>
        <v>Twitter Web Client</v>
      </c>
      <c r="J5161" s="2">
        <v>170</v>
      </c>
      <c r="K5161" s="2">
        <v>113</v>
      </c>
      <c r="L5161" s="2">
        <v>0</v>
      </c>
      <c r="M5161" s="2"/>
      <c r="N5161" s="8">
        <v>43275.715601851851</v>
      </c>
      <c r="O5161" s="4" t="s">
        <v>2804</v>
      </c>
      <c r="P5161" s="3" t="s">
        <v>2803</v>
      </c>
      <c r="Q5161" s="10" t="s">
        <v>2802</v>
      </c>
      <c r="R5161" s="4"/>
      <c r="S5161" s="9" t="str">
        <f>HYPERLINK("https://pbs.twimg.com/profile_images/1010888803211345920/USKeZIhG.jpg","View")</f>
        <v>View</v>
      </c>
    </row>
    <row r="5162" spans="1:19" ht="30">
      <c r="A5162" s="8">
        <v>43340.789467592593</v>
      </c>
      <c r="B5162" s="11" t="str">
        <f>HYPERLINK("https://twitter.com/MehradAval","@MehradAval")</f>
        <v>@MehradAval</v>
      </c>
      <c r="C5162" s="6" t="s">
        <v>2801</v>
      </c>
      <c r="D5162" s="5" t="s">
        <v>2800</v>
      </c>
      <c r="E5162" s="9" t="str">
        <f>HYPERLINK("https://twitter.com/MehradAval/status/1034447219032612864","1034447219032612864")</f>
        <v>1034447219032612864</v>
      </c>
      <c r="F5162" s="4"/>
      <c r="G5162" s="4"/>
      <c r="H5162" s="4"/>
      <c r="I5162" s="10" t="str">
        <f>HYPERLINK("http://twitter.com","Twitter Web Client")</f>
        <v>Twitter Web Client</v>
      </c>
      <c r="J5162" s="2">
        <v>62</v>
      </c>
      <c r="K5162" s="2">
        <v>337</v>
      </c>
      <c r="L5162" s="2">
        <v>0</v>
      </c>
      <c r="M5162" s="2"/>
      <c r="N5162" s="8">
        <v>43148.968449074076</v>
      </c>
      <c r="O5162" s="4" t="s">
        <v>2799</v>
      </c>
      <c r="P5162" s="3" t="s">
        <v>2798</v>
      </c>
      <c r="Q5162" s="4"/>
      <c r="R5162" s="4"/>
      <c r="S5162" s="9" t="str">
        <f>HYPERLINK("https://pbs.twimg.com/profile_images/998210401736081408/cryyBzTX.jpg","View")</f>
        <v>View</v>
      </c>
    </row>
    <row r="5163" spans="1:19" ht="30">
      <c r="A5163" s="8">
        <v>43340.789444444439</v>
      </c>
      <c r="B5163" s="11" t="str">
        <f>HYPERLINK("https://twitter.com/omiddelfani","@omiddelfani")</f>
        <v>@omiddelfani</v>
      </c>
      <c r="C5163" s="6" t="s">
        <v>2797</v>
      </c>
      <c r="D5163" s="5" t="s">
        <v>2796</v>
      </c>
      <c r="E5163" s="9" t="str">
        <f>HYPERLINK("https://twitter.com/omiddelfani/status/1034447210761662466","1034447210761662466")</f>
        <v>1034447210761662466</v>
      </c>
      <c r="F5163" s="4"/>
      <c r="G5163" s="4"/>
      <c r="H5163" s="4"/>
      <c r="I5163" s="10" t="str">
        <f>HYPERLINK("http://twitter.com/download/android","Twitter for Android")</f>
        <v>Twitter for Android</v>
      </c>
      <c r="J5163" s="2">
        <v>353</v>
      </c>
      <c r="K5163" s="2">
        <v>29</v>
      </c>
      <c r="L5163" s="2">
        <v>1</v>
      </c>
      <c r="M5163" s="2"/>
      <c r="N5163" s="8">
        <v>43189.675300925926</v>
      </c>
      <c r="O5163" s="4" t="s">
        <v>17</v>
      </c>
      <c r="P5163" s="3" t="s">
        <v>2795</v>
      </c>
      <c r="Q5163" s="4"/>
      <c r="R5163" s="4"/>
      <c r="S5163" s="9" t="str">
        <f>HYPERLINK("https://pbs.twimg.com/profile_images/1024046905611964416/Q71rD8E0.jpg","View")</f>
        <v>View</v>
      </c>
    </row>
    <row r="5164" spans="1:19" ht="40">
      <c r="A5164" s="8">
        <v>43340.788912037038</v>
      </c>
      <c r="B5164" s="11" t="str">
        <f>HYPERLINK("https://twitter.com/AghayeMiiiM","@AghayeMiiiM")</f>
        <v>@AghayeMiiiM</v>
      </c>
      <c r="C5164" s="6" t="s">
        <v>2794</v>
      </c>
      <c r="D5164" s="5" t="s">
        <v>2793</v>
      </c>
      <c r="E5164" s="9" t="str">
        <f>HYPERLINK("https://twitter.com/AghayeMiiiM/status/1034447016724754435","1034447016724754435")</f>
        <v>1034447016724754435</v>
      </c>
      <c r="F5164" s="4"/>
      <c r="G5164" s="4"/>
      <c r="H5164" s="4"/>
      <c r="I5164" s="10" t="str">
        <f>HYPERLINK("http://twitter.com/download/android","Twitter for Android")</f>
        <v>Twitter for Android</v>
      </c>
      <c r="J5164" s="2">
        <v>93</v>
      </c>
      <c r="K5164" s="2">
        <v>409</v>
      </c>
      <c r="L5164" s="2">
        <v>0</v>
      </c>
      <c r="M5164" s="2"/>
      <c r="N5164" s="8">
        <v>43337.9996875</v>
      </c>
      <c r="O5164" s="4"/>
      <c r="P5164" s="3" t="s">
        <v>2792</v>
      </c>
      <c r="Q5164" s="4"/>
      <c r="R5164" s="4"/>
      <c r="S5164" s="9" t="str">
        <f>HYPERLINK("https://pbs.twimg.com/profile_images/1033805700881936384/1_MI36vw.jpg","View")</f>
        <v>View</v>
      </c>
    </row>
    <row r="5165" spans="1:19" ht="40">
      <c r="A5165" s="8">
        <v>43340.788888888885</v>
      </c>
      <c r="B5165" s="11" t="str">
        <f>HYPERLINK("https://twitter.com/liea_abnos","@liea_abnos")</f>
        <v>@liea_abnos</v>
      </c>
      <c r="C5165" s="6" t="s">
        <v>2791</v>
      </c>
      <c r="D5165" s="5" t="s">
        <v>2790</v>
      </c>
      <c r="E5165" s="9" t="str">
        <f>HYPERLINK("https://twitter.com/liea_abnos/status/1034447007556022277","1034447007556022277")</f>
        <v>1034447007556022277</v>
      </c>
      <c r="F5165" s="4"/>
      <c r="G5165" s="4"/>
      <c r="H5165" s="4"/>
      <c r="I5165" s="10" t="str">
        <f>HYPERLINK("http://twitter.com/download/android","Twitter for Android")</f>
        <v>Twitter for Android</v>
      </c>
      <c r="J5165" s="2">
        <v>2703</v>
      </c>
      <c r="K5165" s="2">
        <v>230</v>
      </c>
      <c r="L5165" s="2">
        <v>17</v>
      </c>
      <c r="M5165" s="2"/>
      <c r="N5165" s="8">
        <v>43139.364282407405</v>
      </c>
      <c r="O5165" s="4"/>
      <c r="P5165" s="3" t="s">
        <v>2789</v>
      </c>
      <c r="Q5165" s="4"/>
      <c r="R5165" s="4"/>
      <c r="S5165" s="9" t="str">
        <f>HYPERLINK("https://pbs.twimg.com/profile_images/1018827713535234048/mw_PNXD5.jpg","View")</f>
        <v>View</v>
      </c>
    </row>
    <row r="5166" spans="1:19" ht="40">
      <c r="A5166" s="8">
        <v>43340.788784722223</v>
      </c>
      <c r="B5166" s="11" t="str">
        <f>HYPERLINK("https://twitter.com/bearkin27983605","@bearkin27983605")</f>
        <v>@bearkin27983605</v>
      </c>
      <c r="C5166" s="6" t="s">
        <v>2788</v>
      </c>
      <c r="D5166" s="5" t="s">
        <v>2787</v>
      </c>
      <c r="E5166" s="9" t="str">
        <f>HYPERLINK("https://twitter.com/bearkin27983605/status/1034446969236680709","1034446969236680709")</f>
        <v>1034446969236680709</v>
      </c>
      <c r="F5166" s="4"/>
      <c r="G5166" s="4"/>
      <c r="H5166" s="4"/>
      <c r="I5166" s="10" t="str">
        <f>HYPERLINK("http://twitter.com/download/android","Twitter for Android")</f>
        <v>Twitter for Android</v>
      </c>
      <c r="J5166" s="2">
        <v>41</v>
      </c>
      <c r="K5166" s="2">
        <v>76</v>
      </c>
      <c r="L5166" s="2">
        <v>0</v>
      </c>
      <c r="M5166" s="2"/>
      <c r="N5166" s="8">
        <v>43335.690879629634</v>
      </c>
      <c r="O5166" s="4"/>
      <c r="P5166" s="3" t="s">
        <v>2786</v>
      </c>
      <c r="Q5166" s="4"/>
      <c r="R5166" s="4"/>
      <c r="S5166" s="9" t="str">
        <f>HYPERLINK("https://pbs.twimg.com/profile_images/1032610566290857984/bTazFRYh.jpg","View")</f>
        <v>View</v>
      </c>
    </row>
    <row r="5167" spans="1:19" ht="20">
      <c r="A5167" s="8">
        <v>43340.788564814815</v>
      </c>
      <c r="B5167" s="11" t="str">
        <f>HYPERLINK("https://twitter.com/divooneh6","@divooneh6")</f>
        <v>@divooneh6</v>
      </c>
      <c r="C5167" s="6" t="s">
        <v>2785</v>
      </c>
      <c r="D5167" s="5" t="s">
        <v>2784</v>
      </c>
      <c r="E5167" s="9" t="str">
        <f>HYPERLINK("https://twitter.com/divooneh6/status/1034446892653051904","1034446892653051904")</f>
        <v>1034446892653051904</v>
      </c>
      <c r="F5167" s="4"/>
      <c r="G5167" s="4"/>
      <c r="H5167" s="4"/>
      <c r="I5167" s="10" t="str">
        <f>HYPERLINK("http://twitter.com/download/iphone","Twitter for iPhone")</f>
        <v>Twitter for iPhone</v>
      </c>
      <c r="J5167" s="2">
        <v>29</v>
      </c>
      <c r="K5167" s="2">
        <v>42</v>
      </c>
      <c r="L5167" s="2">
        <v>0</v>
      </c>
      <c r="M5167" s="2"/>
      <c r="N5167" s="8">
        <v>43332.95475694444</v>
      </c>
      <c r="O5167" s="4"/>
      <c r="P5167" s="3" t="s">
        <v>2783</v>
      </c>
      <c r="Q5167" s="4"/>
      <c r="R5167" s="4"/>
      <c r="S5167" s="9" t="str">
        <f>HYPERLINK("https://pbs.twimg.com/profile_images/1031615391817183232/QFd1rzeD.jpg","View")</f>
        <v>View</v>
      </c>
    </row>
    <row r="5168" spans="1:19" ht="40">
      <c r="A5168" s="8">
        <v>43340.788472222222</v>
      </c>
      <c r="B5168" s="11" t="str">
        <f>HYPERLINK("https://twitter.com/imquester1","@imquester1")</f>
        <v>@imquester1</v>
      </c>
      <c r="C5168" s="6" t="s">
        <v>2782</v>
      </c>
      <c r="D5168" s="5" t="s">
        <v>2781</v>
      </c>
      <c r="E5168" s="9" t="str">
        <f>HYPERLINK("https://twitter.com/imquester1/status/1034446857890615298","1034446857890615298")</f>
        <v>1034446857890615298</v>
      </c>
      <c r="F5168" s="4"/>
      <c r="G5168" s="4"/>
      <c r="H5168" s="4"/>
      <c r="I5168" s="10" t="str">
        <f>HYPERLINK("http://twitter.com/download/android","Twitter for Android")</f>
        <v>Twitter for Android</v>
      </c>
      <c r="J5168" s="2">
        <v>3045</v>
      </c>
      <c r="K5168" s="2">
        <v>2715</v>
      </c>
      <c r="L5168" s="2">
        <v>12</v>
      </c>
      <c r="M5168" s="2"/>
      <c r="N5168" s="8">
        <v>42938.640821759254</v>
      </c>
      <c r="O5168" s="4"/>
      <c r="P5168" s="3" t="s">
        <v>2780</v>
      </c>
      <c r="Q5168" s="4"/>
      <c r="R5168" s="4"/>
      <c r="S5168" s="9" t="str">
        <f>HYPERLINK("https://pbs.twimg.com/profile_images/1018886132376002560/jSzVxASi.jpg","View")</f>
        <v>View</v>
      </c>
    </row>
    <row r="5169" spans="1:19" ht="30">
      <c r="A5169" s="8">
        <v>43340.788310185184</v>
      </c>
      <c r="B5169" s="11" t="str">
        <f>HYPERLINK("https://twitter.com/shakilamonfared","@shakilamonfared")</f>
        <v>@shakilamonfared</v>
      </c>
      <c r="C5169" s="6" t="s">
        <v>2779</v>
      </c>
      <c r="D5169" s="5" t="s">
        <v>2778</v>
      </c>
      <c r="E5169" s="9" t="str">
        <f>HYPERLINK("https://twitter.com/shakilamonfared/status/1034446799765794816","1034446799765794816")</f>
        <v>1034446799765794816</v>
      </c>
      <c r="F5169" s="4"/>
      <c r="G5169" s="4"/>
      <c r="H5169" s="4"/>
      <c r="I5169" s="10" t="str">
        <f>HYPERLINK("http://twitter.com/download/android","Twitter for Android")</f>
        <v>Twitter for Android</v>
      </c>
      <c r="J5169" s="2">
        <v>5715</v>
      </c>
      <c r="K5169" s="2">
        <v>338</v>
      </c>
      <c r="L5169" s="2">
        <v>11</v>
      </c>
      <c r="M5169" s="2"/>
      <c r="N5169" s="8">
        <v>43117.789131944446</v>
      </c>
      <c r="O5169" s="4" t="s">
        <v>2777</v>
      </c>
      <c r="P5169" s="3" t="s">
        <v>2776</v>
      </c>
      <c r="Q5169" s="4"/>
      <c r="R5169" s="4"/>
      <c r="S5169" s="9" t="str">
        <f>HYPERLINK("https://pbs.twimg.com/profile_images/1032785627316539392/62IS7FSP.jpg","View")</f>
        <v>View</v>
      </c>
    </row>
    <row r="5170" spans="1:19" ht="20">
      <c r="A5170" s="8">
        <v>43340.788263888884</v>
      </c>
      <c r="B5170" s="11" t="str">
        <f>HYPERLINK("https://twitter.com/hadinikaria","@hadinikaria")</f>
        <v>@hadinikaria</v>
      </c>
      <c r="C5170" s="6" t="s">
        <v>2770</v>
      </c>
      <c r="D5170" s="5" t="s">
        <v>2775</v>
      </c>
      <c r="E5170" s="9" t="str">
        <f>HYPERLINK("https://twitter.com/hadinikaria/status/1034446783756288001","1034446783756288001")</f>
        <v>1034446783756288001</v>
      </c>
      <c r="F5170" s="4"/>
      <c r="G5170" s="4"/>
      <c r="H5170" s="4"/>
      <c r="I5170" s="10" t="str">
        <f>HYPERLINK("http://twitter.com/download/android","Twitter for Android")</f>
        <v>Twitter for Android</v>
      </c>
      <c r="J5170" s="2">
        <v>222</v>
      </c>
      <c r="K5170" s="2">
        <v>204</v>
      </c>
      <c r="L5170" s="2">
        <v>0</v>
      </c>
      <c r="M5170" s="2"/>
      <c r="N5170" s="8">
        <v>43284.473275462966</v>
      </c>
      <c r="O5170" s="4"/>
      <c r="P5170" s="3" t="s">
        <v>2768</v>
      </c>
      <c r="Q5170" s="4"/>
      <c r="R5170" s="4"/>
      <c r="S5170" s="9" t="str">
        <f>HYPERLINK("https://pbs.twimg.com/profile_images/1014044030685138944/c_qycon_.jpg","View")</f>
        <v>View</v>
      </c>
    </row>
    <row r="5171" spans="1:19" ht="30">
      <c r="A5171" s="8">
        <v>43340.787962962961</v>
      </c>
      <c r="B5171" s="11" t="str">
        <f>HYPERLINK("https://twitter.com/TweetEhsan","@TweetEhsan")</f>
        <v>@TweetEhsan</v>
      </c>
      <c r="C5171" s="6" t="s">
        <v>2774</v>
      </c>
      <c r="D5171" s="5" t="s">
        <v>2773</v>
      </c>
      <c r="E5171" s="9" t="str">
        <f>HYPERLINK("https://twitter.com/TweetEhsan/status/1034446670623268864","1034446670623268864")</f>
        <v>1034446670623268864</v>
      </c>
      <c r="F5171" s="4"/>
      <c r="G5171" s="4"/>
      <c r="H5171" s="4"/>
      <c r="I5171" s="10" t="str">
        <f>HYPERLINK("http://twitter.com/download/iphone","Twitter for iPhone")</f>
        <v>Twitter for iPhone</v>
      </c>
      <c r="J5171" s="2">
        <v>919</v>
      </c>
      <c r="K5171" s="2">
        <v>884</v>
      </c>
      <c r="L5171" s="2">
        <v>2</v>
      </c>
      <c r="M5171" s="2"/>
      <c r="N5171" s="8">
        <v>41604.231064814812</v>
      </c>
      <c r="O5171" s="4" t="s">
        <v>2772</v>
      </c>
      <c r="P5171" s="3" t="s">
        <v>2771</v>
      </c>
      <c r="Q5171" s="4"/>
      <c r="R5171" s="4"/>
      <c r="S5171" s="9" t="str">
        <f>HYPERLINK("https://pbs.twimg.com/profile_images/1028138739673907200/LB3Tk2ve.jpg","View")</f>
        <v>View</v>
      </c>
    </row>
    <row r="5172" spans="1:19" ht="20">
      <c r="A5172" s="8">
        <v>43340.787245370375</v>
      </c>
      <c r="B5172" s="11" t="str">
        <f>HYPERLINK("https://twitter.com/hadinikaria","@hadinikaria")</f>
        <v>@hadinikaria</v>
      </c>
      <c r="C5172" s="6" t="s">
        <v>2770</v>
      </c>
      <c r="D5172" s="5" t="s">
        <v>2769</v>
      </c>
      <c r="E5172" s="9" t="str">
        <f>HYPERLINK("https://twitter.com/hadinikaria/status/1034446413407633409","1034446413407633409")</f>
        <v>1034446413407633409</v>
      </c>
      <c r="F5172" s="4"/>
      <c r="G5172" s="4"/>
      <c r="H5172" s="4"/>
      <c r="I5172" s="10" t="str">
        <f>HYPERLINK("http://twitter.com/download/android","Twitter for Android")</f>
        <v>Twitter for Android</v>
      </c>
      <c r="J5172" s="2">
        <v>222</v>
      </c>
      <c r="K5172" s="2">
        <v>204</v>
      </c>
      <c r="L5172" s="2">
        <v>0</v>
      </c>
      <c r="M5172" s="2"/>
      <c r="N5172" s="8">
        <v>43284.473275462966</v>
      </c>
      <c r="O5172" s="4"/>
      <c r="P5172" s="3" t="s">
        <v>2768</v>
      </c>
      <c r="Q5172" s="4"/>
      <c r="R5172" s="4"/>
      <c r="S5172" s="9" t="str">
        <f>HYPERLINK("https://pbs.twimg.com/profile_images/1014044030685138944/c_qycon_.jpg","View")</f>
        <v>View</v>
      </c>
    </row>
    <row r="5173" spans="1:19" ht="40">
      <c r="A5173" s="8">
        <v>43340.786840277782</v>
      </c>
      <c r="B5173" s="11" t="str">
        <f>HYPERLINK("https://twitter.com/AniKhayeMani","@AniKhayeMani")</f>
        <v>@AniKhayeMani</v>
      </c>
      <c r="C5173" s="6" t="s">
        <v>2767</v>
      </c>
      <c r="D5173" s="5" t="s">
        <v>2766</v>
      </c>
      <c r="E5173" s="9" t="str">
        <f>HYPERLINK("https://twitter.com/AniKhayeMani/status/1034446266149859328","1034446266149859328")</f>
        <v>1034446266149859328</v>
      </c>
      <c r="F5173" s="4"/>
      <c r="G5173" s="4"/>
      <c r="H5173" s="4"/>
      <c r="I5173" s="10" t="str">
        <f>HYPERLINK("http://twitter.com/download/android","Twitter for Android")</f>
        <v>Twitter for Android</v>
      </c>
      <c r="J5173" s="2">
        <v>17</v>
      </c>
      <c r="K5173" s="2">
        <v>9</v>
      </c>
      <c r="L5173" s="2">
        <v>0</v>
      </c>
      <c r="M5173" s="2"/>
      <c r="N5173" s="8">
        <v>43324.767569444448</v>
      </c>
      <c r="O5173" s="4" t="s">
        <v>2765</v>
      </c>
      <c r="P5173" s="3" t="s">
        <v>2764</v>
      </c>
      <c r="Q5173" s="4"/>
      <c r="R5173" s="4"/>
      <c r="S5173" s="9" t="str">
        <f>HYPERLINK("https://pbs.twimg.com/profile_images/1028691223807225856/Z9sotyDm.jpg","View")</f>
        <v>View</v>
      </c>
    </row>
    <row r="5174" spans="1:19" ht="40">
      <c r="A5174" s="8">
        <v>43340.786620370374</v>
      </c>
      <c r="B5174" s="11" t="str">
        <f>HYPERLINK("https://twitter.com/mohamaddallak","@mohamaddallak")</f>
        <v>@mohamaddallak</v>
      </c>
      <c r="C5174" s="6" t="s">
        <v>2763</v>
      </c>
      <c r="D5174" s="5" t="s">
        <v>2762</v>
      </c>
      <c r="E5174" s="9" t="str">
        <f>HYPERLINK("https://twitter.com/mohamaddallak/status/1034446188085473283","1034446188085473283")</f>
        <v>1034446188085473283</v>
      </c>
      <c r="F5174" s="4"/>
      <c r="G5174" s="4"/>
      <c r="H5174" s="4"/>
      <c r="I5174" s="10" t="str">
        <f>HYPERLINK("https://mobile.twitter.com","Twitter Lite")</f>
        <v>Twitter Lite</v>
      </c>
      <c r="J5174" s="2">
        <v>277</v>
      </c>
      <c r="K5174" s="2">
        <v>339</v>
      </c>
      <c r="L5174" s="2">
        <v>0</v>
      </c>
      <c r="M5174" s="2"/>
      <c r="N5174" s="8">
        <v>43151.850729166668</v>
      </c>
      <c r="O5174" s="4" t="s">
        <v>17</v>
      </c>
      <c r="P5174" s="3" t="s">
        <v>2761</v>
      </c>
      <c r="Q5174" s="4"/>
      <c r="R5174" s="4"/>
      <c r="S5174" s="9" t="str">
        <f>HYPERLINK("https://pbs.twimg.com/profile_images/999937688471031810/W01Zbp0c.jpg","View")</f>
        <v>View</v>
      </c>
    </row>
    <row r="5175" spans="1:19" ht="30">
      <c r="A5175" s="8">
        <v>43340.785428240742</v>
      </c>
      <c r="B5175" s="11" t="str">
        <f>HYPERLINK("https://twitter.com/Shahr__zaad","@Shahr__zaad")</f>
        <v>@Shahr__zaad</v>
      </c>
      <c r="C5175" s="6" t="s">
        <v>2760</v>
      </c>
      <c r="D5175" s="5" t="s">
        <v>2759</v>
      </c>
      <c r="E5175" s="9" t="str">
        <f>HYPERLINK("https://twitter.com/Shahr__zaad/status/1034445753068990465","1034445753068990465")</f>
        <v>1034445753068990465</v>
      </c>
      <c r="F5175" s="4"/>
      <c r="G5175" s="4"/>
      <c r="H5175" s="4"/>
      <c r="I5175" s="10" t="str">
        <f>HYPERLINK("http://twitter.com/download/iphone","Twitter for iPhone")</f>
        <v>Twitter for iPhone</v>
      </c>
      <c r="J5175" s="2">
        <v>51</v>
      </c>
      <c r="K5175" s="2">
        <v>149</v>
      </c>
      <c r="L5175" s="2">
        <v>0</v>
      </c>
      <c r="M5175" s="2"/>
      <c r="N5175" s="8">
        <v>42940.957152777773</v>
      </c>
      <c r="O5175" s="4" t="s">
        <v>324</v>
      </c>
      <c r="P5175" s="3" t="s">
        <v>2758</v>
      </c>
      <c r="Q5175" s="4"/>
      <c r="R5175" s="4"/>
      <c r="S5175" s="9" t="str">
        <f>HYPERLINK("https://pbs.twimg.com/profile_images/1034413817923620864/c41DrGQZ.jpg","View")</f>
        <v>View</v>
      </c>
    </row>
    <row r="5176" spans="1:19" ht="30">
      <c r="A5176" s="8">
        <v>43340.785381944443</v>
      </c>
      <c r="B5176" s="11" t="str">
        <f>HYPERLINK("https://twitter.com/seyed1369","@seyed1369")</f>
        <v>@seyed1369</v>
      </c>
      <c r="C5176" s="6" t="s">
        <v>2757</v>
      </c>
      <c r="D5176" s="5" t="s">
        <v>2756</v>
      </c>
      <c r="E5176" s="9" t="str">
        <f>HYPERLINK("https://twitter.com/seyed1369/status/1034445735855616000","1034445735855616000")</f>
        <v>1034445735855616000</v>
      </c>
      <c r="F5176" s="4"/>
      <c r="G5176" s="4"/>
      <c r="H5176" s="4"/>
      <c r="I5176" s="10" t="str">
        <f>HYPERLINK("http://twitter.com/download/android","Twitter for Android")</f>
        <v>Twitter for Android</v>
      </c>
      <c r="J5176" s="2">
        <v>164</v>
      </c>
      <c r="K5176" s="2">
        <v>178</v>
      </c>
      <c r="L5176" s="2">
        <v>0</v>
      </c>
      <c r="M5176" s="2"/>
      <c r="N5176" s="8">
        <v>43099.550405092596</v>
      </c>
      <c r="O5176" s="4" t="s">
        <v>2755</v>
      </c>
      <c r="P5176" s="3" t="s">
        <v>2754</v>
      </c>
      <c r="Q5176" s="4"/>
      <c r="R5176" s="4"/>
      <c r="S5176" s="9" t="str">
        <f>HYPERLINK("https://pbs.twimg.com/profile_images/1002807673270792192/5GLHxfuT.jpg","View")</f>
        <v>View</v>
      </c>
    </row>
    <row r="5177" spans="1:19" ht="30">
      <c r="A5177" s="8">
        <v>43340.784930555557</v>
      </c>
      <c r="B5177" s="11" t="str">
        <f>HYPERLINK("https://twitter.com/hosseinzafari","@hosseinzafari")</f>
        <v>@hosseinzafari</v>
      </c>
      <c r="C5177" s="6" t="s">
        <v>2753</v>
      </c>
      <c r="D5177" s="5" t="s">
        <v>2752</v>
      </c>
      <c r="E5177" s="9" t="str">
        <f>HYPERLINK("https://twitter.com/hosseinzafari/status/1034445571879260160","1034445571879260160")</f>
        <v>1034445571879260160</v>
      </c>
      <c r="F5177" s="4"/>
      <c r="G5177" s="10" t="s">
        <v>2751</v>
      </c>
      <c r="H5177" s="4"/>
      <c r="I5177" s="10" t="str">
        <f>HYPERLINK("http://twitter.com/download/android","Twitter for Android")</f>
        <v>Twitter for Android</v>
      </c>
      <c r="J5177" s="2">
        <v>4971</v>
      </c>
      <c r="K5177" s="2">
        <v>4374</v>
      </c>
      <c r="L5177" s="2">
        <v>7</v>
      </c>
      <c r="M5177" s="2"/>
      <c r="N5177" s="8">
        <v>41481.791145833333</v>
      </c>
      <c r="O5177" s="4"/>
      <c r="P5177" s="3" t="s">
        <v>2750</v>
      </c>
      <c r="Q5177" s="10" t="s">
        <v>2749</v>
      </c>
      <c r="R5177" s="4"/>
      <c r="S5177" s="9" t="str">
        <f>HYPERLINK("https://pbs.twimg.com/profile_images/933800295783653376/mhJWUwO7.jpg","View")</f>
        <v>View</v>
      </c>
    </row>
    <row r="5178" spans="1:19" ht="60">
      <c r="A5178" s="8">
        <v>43340.784386574072</v>
      </c>
      <c r="B5178" s="11" t="str">
        <f>HYPERLINK("https://twitter.com/q_m_asl","@q_m_asl")</f>
        <v>@q_m_asl</v>
      </c>
      <c r="C5178" s="6" t="s">
        <v>2700</v>
      </c>
      <c r="D5178" s="5" t="s">
        <v>2748</v>
      </c>
      <c r="E5178" s="9" t="str">
        <f>HYPERLINK("https://twitter.com/q_m_asl/status/1034445374788984832","1034445374788984832")</f>
        <v>1034445374788984832</v>
      </c>
      <c r="F5178" s="10" t="s">
        <v>612</v>
      </c>
      <c r="G5178" s="4"/>
      <c r="H5178" s="4"/>
      <c r="I5178" s="10" t="str">
        <f>HYPERLINK("http://twitter.com/download/android","Twitter for Android")</f>
        <v>Twitter for Android</v>
      </c>
      <c r="J5178" s="2">
        <v>1303</v>
      </c>
      <c r="K5178" s="2">
        <v>1210</v>
      </c>
      <c r="L5178" s="2">
        <v>1</v>
      </c>
      <c r="M5178" s="2"/>
      <c r="N5178" s="8">
        <v>43142.699965277774</v>
      </c>
      <c r="O5178" s="4" t="s">
        <v>2193</v>
      </c>
      <c r="P5178" s="3" t="s">
        <v>2698</v>
      </c>
      <c r="Q5178" s="10" t="s">
        <v>2697</v>
      </c>
      <c r="R5178" s="4"/>
      <c r="S5178" s="9" t="str">
        <f>HYPERLINK("https://pbs.twimg.com/profile_images/1007351441080676352/IKnd1H_R.jpg","View")</f>
        <v>View</v>
      </c>
    </row>
    <row r="5179" spans="1:19" ht="30">
      <c r="A5179" s="8">
        <v>43340.784085648149</v>
      </c>
      <c r="B5179" s="11" t="str">
        <f>HYPERLINK("https://twitter.com/mrdany1989","@mrdany1989")</f>
        <v>@mrdany1989</v>
      </c>
      <c r="C5179" s="6" t="s">
        <v>2747</v>
      </c>
      <c r="D5179" s="5" t="s">
        <v>2746</v>
      </c>
      <c r="E5179" s="9" t="str">
        <f>HYPERLINK("https://twitter.com/mrdany1989/status/1034445268731744257","1034445268731744257")</f>
        <v>1034445268731744257</v>
      </c>
      <c r="F5179" s="4"/>
      <c r="G5179" s="4"/>
      <c r="H5179" s="4"/>
      <c r="I5179" s="10" t="str">
        <f>HYPERLINK("http://twitter.com/download/android","Twitter for Android")</f>
        <v>Twitter for Android</v>
      </c>
      <c r="J5179" s="2">
        <v>20</v>
      </c>
      <c r="K5179" s="2">
        <v>72</v>
      </c>
      <c r="L5179" s="2">
        <v>0</v>
      </c>
      <c r="M5179" s="2"/>
      <c r="N5179" s="8">
        <v>43322.9762962963</v>
      </c>
      <c r="O5179" s="4" t="s">
        <v>1278</v>
      </c>
      <c r="P5179" s="3" t="s">
        <v>2745</v>
      </c>
      <c r="Q5179" s="4"/>
      <c r="R5179" s="4"/>
      <c r="S5179" s="9" t="str">
        <f>HYPERLINK("https://pbs.twimg.com/profile_images/1034136247898451968/V9yOGXLp.jpg","View")</f>
        <v>View</v>
      </c>
    </row>
    <row r="5180" spans="1:19" ht="40">
      <c r="A5180" s="8">
        <v>43340.783912037034</v>
      </c>
      <c r="B5180" s="11" t="str">
        <f>HYPERLINK("https://twitter.com/parsiran2017","@parsiran2017")</f>
        <v>@parsiran2017</v>
      </c>
      <c r="C5180" s="6" t="s">
        <v>2744</v>
      </c>
      <c r="D5180" s="5" t="s">
        <v>2743</v>
      </c>
      <c r="E5180" s="9" t="str">
        <f>HYPERLINK("https://twitter.com/parsiran2017/status/1034445205410390017","1034445205410390017")</f>
        <v>1034445205410390017</v>
      </c>
      <c r="F5180" s="4"/>
      <c r="G5180" s="4"/>
      <c r="H5180" s="4"/>
      <c r="I5180" s="10" t="str">
        <f>HYPERLINK("http://twitter.com/download/android","Twitter for Android")</f>
        <v>Twitter for Android</v>
      </c>
      <c r="J5180" s="2">
        <v>38</v>
      </c>
      <c r="K5180" s="2">
        <v>48</v>
      </c>
      <c r="L5180" s="2">
        <v>1</v>
      </c>
      <c r="M5180" s="2"/>
      <c r="N5180" s="8">
        <v>42759.71670138889</v>
      </c>
      <c r="O5180" s="4" t="s">
        <v>17</v>
      </c>
      <c r="P5180" s="3" t="s">
        <v>2742</v>
      </c>
      <c r="Q5180" s="4"/>
      <c r="R5180" s="4"/>
      <c r="S5180" s="9" t="str">
        <f>HYPERLINK("https://pbs.twimg.com/profile_images/970617348485996544/6x-fe9gi.jpg","View")</f>
        <v>View</v>
      </c>
    </row>
    <row r="5181" spans="1:19" ht="20">
      <c r="A5181" s="8">
        <v>43340.78361111111</v>
      </c>
      <c r="B5181" s="11" t="str">
        <f>HYPERLINK("https://twitter.com/yekisof","@yekisof")</f>
        <v>@yekisof</v>
      </c>
      <c r="C5181" s="6" t="s">
        <v>2741</v>
      </c>
      <c r="D5181" s="5" t="s">
        <v>2740</v>
      </c>
      <c r="E5181" s="9" t="str">
        <f>HYPERLINK("https://twitter.com/yekisof/status/1034445094827511809","1034445094827511809")</f>
        <v>1034445094827511809</v>
      </c>
      <c r="F5181" s="4"/>
      <c r="G5181" s="4"/>
      <c r="H5181" s="4"/>
      <c r="I5181" s="10" t="str">
        <f>HYPERLINK("http://twitter.com/download/android","Twitter for Android")</f>
        <v>Twitter for Android</v>
      </c>
      <c r="J5181" s="2">
        <v>354</v>
      </c>
      <c r="K5181" s="2">
        <v>388</v>
      </c>
      <c r="L5181" s="2">
        <v>0</v>
      </c>
      <c r="M5181" s="2"/>
      <c r="N5181" s="8">
        <v>41895.104398148149</v>
      </c>
      <c r="O5181" s="4" t="s">
        <v>1363</v>
      </c>
      <c r="P5181" s="3" t="s">
        <v>2739</v>
      </c>
      <c r="Q5181" s="4"/>
      <c r="R5181" s="4"/>
      <c r="S5181" s="9" t="str">
        <f>HYPERLINK("https://pbs.twimg.com/profile_images/1016589607213977600/aBVe7yyr.jpg","View")</f>
        <v>View</v>
      </c>
    </row>
    <row r="5182" spans="1:19" ht="60">
      <c r="A5182" s="8">
        <v>43340.783483796295</v>
      </c>
      <c r="B5182" s="11" t="str">
        <f>HYPERLINK("https://twitter.com/Mahdiiiahmadii1","@Mahdiiiahmadii1")</f>
        <v>@Mahdiiiahmadii1</v>
      </c>
      <c r="C5182" s="6" t="s">
        <v>2738</v>
      </c>
      <c r="D5182" s="5" t="s">
        <v>2737</v>
      </c>
      <c r="E5182" s="9" t="str">
        <f>HYPERLINK("https://twitter.com/Mahdiiiahmadii1/status/1034445049076097024","1034445049076097024")</f>
        <v>1034445049076097024</v>
      </c>
      <c r="F5182" s="10" t="s">
        <v>2736</v>
      </c>
      <c r="G5182" s="4"/>
      <c r="H5182" s="4"/>
      <c r="I5182" s="10" t="str">
        <f>HYPERLINK("http://twitter.com/download/android","Twitter for Android")</f>
        <v>Twitter for Android</v>
      </c>
      <c r="J5182" s="2">
        <v>15</v>
      </c>
      <c r="K5182" s="2">
        <v>34</v>
      </c>
      <c r="L5182" s="2">
        <v>0</v>
      </c>
      <c r="M5182" s="2"/>
      <c r="N5182" s="8">
        <v>43278.642997685187</v>
      </c>
      <c r="O5182" s="4"/>
      <c r="P5182" s="3"/>
      <c r="Q5182" s="4"/>
      <c r="R5182" s="4"/>
      <c r="S5182" s="9" t="str">
        <f>HYPERLINK("https://pbs.twimg.com/profile_images/1012578308536463360/JUsbrGab.jpg","View")</f>
        <v>View</v>
      </c>
    </row>
    <row r="5183" spans="1:19" ht="20">
      <c r="A5183" s="8">
        <v>43340.783159722225</v>
      </c>
      <c r="B5183" s="11" t="str">
        <f>HYPERLINK("https://twitter.com/Hannaneh_j","@Hannaneh_j")</f>
        <v>@Hannaneh_j</v>
      </c>
      <c r="C5183" s="6" t="s">
        <v>2735</v>
      </c>
      <c r="D5183" s="5" t="s">
        <v>2734</v>
      </c>
      <c r="E5183" s="9" t="str">
        <f>HYPERLINK("https://twitter.com/Hannaneh_j/status/1034444933820760064","1034444933820760064")</f>
        <v>1034444933820760064</v>
      </c>
      <c r="F5183" s="4"/>
      <c r="G5183" s="4"/>
      <c r="H5183" s="4"/>
      <c r="I5183" s="10" t="str">
        <f>HYPERLINK("http://twitter.com/download/android","Twitter for Android")</f>
        <v>Twitter for Android</v>
      </c>
      <c r="J5183" s="2">
        <v>25</v>
      </c>
      <c r="K5183" s="2">
        <v>21</v>
      </c>
      <c r="L5183" s="2">
        <v>0</v>
      </c>
      <c r="M5183" s="2"/>
      <c r="N5183" s="8">
        <v>43338.098611111112</v>
      </c>
      <c r="O5183" s="4" t="s">
        <v>2733</v>
      </c>
      <c r="P5183" s="3" t="s">
        <v>2732</v>
      </c>
      <c r="Q5183" s="4"/>
      <c r="R5183" s="4"/>
      <c r="S5183" s="9" t="str">
        <f>HYPERLINK("https://pbs.twimg.com/profile_images/1033493401122037760/Ep_CEi0F.jpg","View")</f>
        <v>View</v>
      </c>
    </row>
    <row r="5184" spans="1:19" ht="40">
      <c r="A5184" s="8">
        <v>43340.782627314809</v>
      </c>
      <c r="B5184" s="11" t="str">
        <f>HYPERLINK("https://twitter.com/MashayekhMeysam","@MashayekhMeysam")</f>
        <v>@MashayekhMeysam</v>
      </c>
      <c r="C5184" s="6" t="s">
        <v>2500</v>
      </c>
      <c r="D5184" s="5" t="s">
        <v>2731</v>
      </c>
      <c r="E5184" s="9" t="str">
        <f>HYPERLINK("https://twitter.com/MashayekhMeysam/status/1034444739922329600","1034444739922329600")</f>
        <v>1034444739922329600</v>
      </c>
      <c r="F5184" s="4"/>
      <c r="G5184" s="4"/>
      <c r="H5184" s="4"/>
      <c r="I5184" s="10" t="str">
        <f>HYPERLINK("http://twitter.com/download/android","Twitter for Android")</f>
        <v>Twitter for Android</v>
      </c>
      <c r="J5184" s="2">
        <v>1383</v>
      </c>
      <c r="K5184" s="2">
        <v>488</v>
      </c>
      <c r="L5184" s="2">
        <v>2</v>
      </c>
      <c r="M5184" s="2"/>
      <c r="N5184" s="8">
        <v>42093.025173611109</v>
      </c>
      <c r="O5184" s="4"/>
      <c r="P5184" s="3" t="s">
        <v>2498</v>
      </c>
      <c r="Q5184" s="4"/>
      <c r="R5184" s="4"/>
      <c r="S5184" s="9" t="str">
        <f>HYPERLINK("https://pbs.twimg.com/profile_images/969432597997785089/TzFLZ7cd.jpg","View")</f>
        <v>View</v>
      </c>
    </row>
    <row r="5185" spans="1:19" ht="12.5">
      <c r="A5185" s="8">
        <v>43340.782268518524</v>
      </c>
      <c r="B5185" s="11" t="str">
        <f>HYPERLINK("https://twitter.com/warrior_secret","@warrior_secret")</f>
        <v>@warrior_secret</v>
      </c>
      <c r="C5185" s="6" t="s">
        <v>2730</v>
      </c>
      <c r="D5185" s="5" t="s">
        <v>2729</v>
      </c>
      <c r="E5185" s="9" t="str">
        <f>HYPERLINK("https://twitter.com/warrior_secret/status/1034444608426663938","1034444608426663938")</f>
        <v>1034444608426663938</v>
      </c>
      <c r="F5185" s="4"/>
      <c r="G5185" s="10" t="s">
        <v>2728</v>
      </c>
      <c r="H5185" s="4"/>
      <c r="I5185" s="10" t="str">
        <f>HYPERLINK("http://twitter.com/download/android","Twitter for Android")</f>
        <v>Twitter for Android</v>
      </c>
      <c r="J5185" s="2">
        <v>176</v>
      </c>
      <c r="K5185" s="2">
        <v>330</v>
      </c>
      <c r="L5185" s="2">
        <v>0</v>
      </c>
      <c r="M5185" s="2"/>
      <c r="N5185" s="8">
        <v>42737.625891203701</v>
      </c>
      <c r="O5185" s="4"/>
      <c r="P5185" s="3" t="s">
        <v>2727</v>
      </c>
      <c r="Q5185" s="4"/>
      <c r="R5185" s="4"/>
      <c r="S5185" s="9" t="str">
        <f>HYPERLINK("https://pbs.twimg.com/profile_images/815885331769737217/Tp-83XLs.jpg","View")</f>
        <v>View</v>
      </c>
    </row>
    <row r="5186" spans="1:19" ht="30">
      <c r="A5186" s="8">
        <v>43340.782199074078</v>
      </c>
      <c r="B5186" s="11" t="str">
        <f>HYPERLINK("https://twitter.com/GcX2fsUOEMVcSkq","@GcX2fsUOEMVcSkq")</f>
        <v>@GcX2fsUOEMVcSkq</v>
      </c>
      <c r="C5186" s="6" t="s">
        <v>2726</v>
      </c>
      <c r="D5186" s="5" t="s">
        <v>2725</v>
      </c>
      <c r="E5186" s="9" t="str">
        <f>HYPERLINK("https://twitter.com/GcX2fsUOEMVcSkq/status/1034444582124249088","1034444582124249088")</f>
        <v>1034444582124249088</v>
      </c>
      <c r="F5186" s="4"/>
      <c r="G5186" s="10" t="s">
        <v>2724</v>
      </c>
      <c r="H5186" s="4"/>
      <c r="I5186" s="10" t="str">
        <f>HYPERLINK("http://twitter.com/download/android","Twitter for Android")</f>
        <v>Twitter for Android</v>
      </c>
      <c r="J5186" s="2">
        <v>54</v>
      </c>
      <c r="K5186" s="2">
        <v>185</v>
      </c>
      <c r="L5186" s="2">
        <v>0</v>
      </c>
      <c r="M5186" s="2"/>
      <c r="N5186" s="8">
        <v>42678.031828703708</v>
      </c>
      <c r="O5186" s="4" t="s">
        <v>324</v>
      </c>
      <c r="P5186" s="3" t="s">
        <v>2723</v>
      </c>
      <c r="Q5186" s="4"/>
      <c r="R5186" s="4"/>
      <c r="S5186" s="9" t="str">
        <f>HYPERLINK("https://pbs.twimg.com/profile_images/796392427875614720/LIrXzTpG.jpg","View")</f>
        <v>View</v>
      </c>
    </row>
    <row r="5187" spans="1:19" ht="30">
      <c r="A5187" s="8">
        <v>43340.782175925924</v>
      </c>
      <c r="B5187" s="11" t="str">
        <f>HYPERLINK("https://twitter.com/mahdikashef","@mahdikashef")</f>
        <v>@mahdikashef</v>
      </c>
      <c r="C5187" s="6" t="s">
        <v>2722</v>
      </c>
      <c r="D5187" s="5" t="s">
        <v>2721</v>
      </c>
      <c r="E5187" s="9" t="str">
        <f>HYPERLINK("https://twitter.com/mahdikashef/status/1034444577137143811","1034444577137143811")</f>
        <v>1034444577137143811</v>
      </c>
      <c r="F5187" s="4"/>
      <c r="G5187" s="4"/>
      <c r="H5187" s="4"/>
      <c r="I5187" s="10" t="str">
        <f>HYPERLINK("http://twitter.com/download/iphone","Twitter for iPhone")</f>
        <v>Twitter for iPhone</v>
      </c>
      <c r="J5187" s="2">
        <v>3282</v>
      </c>
      <c r="K5187" s="2">
        <v>850</v>
      </c>
      <c r="L5187" s="2">
        <v>4</v>
      </c>
      <c r="M5187" s="2"/>
      <c r="N5187" s="8">
        <v>43075.725821759261</v>
      </c>
      <c r="O5187" s="4"/>
      <c r="P5187" s="3" t="s">
        <v>2720</v>
      </c>
      <c r="Q5187" s="4"/>
      <c r="R5187" s="4"/>
      <c r="S5187" s="9" t="str">
        <f>HYPERLINK("https://pbs.twimg.com/profile_images/1004348954270748672/PFfzlhke.jpg","View")</f>
        <v>View</v>
      </c>
    </row>
    <row r="5188" spans="1:19" ht="30">
      <c r="A5188" s="8">
        <v>43340.781412037039</v>
      </c>
      <c r="B5188" s="11" t="str">
        <f>HYPERLINK("https://twitter.com/GomnamAmadim","@GomnamAmadim")</f>
        <v>@GomnamAmadim</v>
      </c>
      <c r="C5188" s="6" t="s">
        <v>210</v>
      </c>
      <c r="D5188" s="5" t="s">
        <v>2719</v>
      </c>
      <c r="E5188" s="9" t="str">
        <f>HYPERLINK("https://twitter.com/GomnamAmadim/status/1034444297079324672","1034444297079324672")</f>
        <v>1034444297079324672</v>
      </c>
      <c r="F5188" s="4"/>
      <c r="G5188" s="4"/>
      <c r="H5188" s="4"/>
      <c r="I5188" s="10" t="str">
        <f>HYPERLINK("http://twitter.com/download/android","Twitter for Android")</f>
        <v>Twitter for Android</v>
      </c>
      <c r="J5188" s="2">
        <v>1150</v>
      </c>
      <c r="K5188" s="2">
        <v>915</v>
      </c>
      <c r="L5188" s="2">
        <v>3</v>
      </c>
      <c r="M5188" s="2"/>
      <c r="N5188" s="8">
        <v>43143.865787037037</v>
      </c>
      <c r="O5188" s="4" t="s">
        <v>208</v>
      </c>
      <c r="P5188" s="3" t="s">
        <v>207</v>
      </c>
      <c r="Q5188" s="4"/>
      <c r="R5188" s="4"/>
      <c r="S5188" s="9" t="str">
        <f>HYPERLINK("https://pbs.twimg.com/profile_images/1002234261431255049/AZXPDV7r.jpg","View")</f>
        <v>View</v>
      </c>
    </row>
    <row r="5189" spans="1:19" ht="60">
      <c r="A5189" s="8">
        <v>43340.781307870369</v>
      </c>
      <c r="B5189" s="11" t="str">
        <f>HYPERLINK("https://twitter.com/Khakestarist","@Khakestarist")</f>
        <v>@Khakestarist</v>
      </c>
      <c r="C5189" s="6" t="s">
        <v>2718</v>
      </c>
      <c r="D5189" s="5" t="s">
        <v>2717</v>
      </c>
      <c r="E5189" s="9" t="str">
        <f>HYPERLINK("https://twitter.com/Khakestarist/status/1034444259947163648","1034444259947163648")</f>
        <v>1034444259947163648</v>
      </c>
      <c r="F5189" s="10" t="s">
        <v>2716</v>
      </c>
      <c r="G5189" s="4"/>
      <c r="H5189" s="4"/>
      <c r="I5189" s="10" t="str">
        <f>HYPERLINK("http://twitter.com/download/android","Twitter for Android")</f>
        <v>Twitter for Android</v>
      </c>
      <c r="J5189" s="2">
        <v>820</v>
      </c>
      <c r="K5189" s="2">
        <v>695</v>
      </c>
      <c r="L5189" s="2">
        <v>4</v>
      </c>
      <c r="M5189" s="2"/>
      <c r="N5189" s="8">
        <v>41340.085451388892</v>
      </c>
      <c r="O5189" s="4"/>
      <c r="P5189" s="3" t="s">
        <v>2715</v>
      </c>
      <c r="Q5189" s="4"/>
      <c r="R5189" s="4"/>
      <c r="S5189" s="9" t="str">
        <f>HYPERLINK("https://pbs.twimg.com/profile_images/945013382503190529/KiOcxaln.jpg","View")</f>
        <v>View</v>
      </c>
    </row>
    <row r="5190" spans="1:19" ht="30">
      <c r="A5190" s="8">
        <v>43340.781284722223</v>
      </c>
      <c r="B5190" s="11" t="str">
        <f>HYPERLINK("https://twitter.com/Farrokh631","@Farrokh631")</f>
        <v>@Farrokh631</v>
      </c>
      <c r="C5190" s="6" t="s">
        <v>2714</v>
      </c>
      <c r="D5190" s="5" t="s">
        <v>2713</v>
      </c>
      <c r="E5190" s="9" t="str">
        <f>HYPERLINK("https://twitter.com/Farrokh631/status/1034444250631614465","1034444250631614465")</f>
        <v>1034444250631614465</v>
      </c>
      <c r="F5190" s="4"/>
      <c r="G5190" s="4"/>
      <c r="H5190" s="4"/>
      <c r="I5190" s="10" t="str">
        <f>HYPERLINK("http://twitter.com","Twitter Web Client")</f>
        <v>Twitter Web Client</v>
      </c>
      <c r="J5190" s="2">
        <v>88</v>
      </c>
      <c r="K5190" s="2">
        <v>80</v>
      </c>
      <c r="L5190" s="2">
        <v>0</v>
      </c>
      <c r="M5190" s="2"/>
      <c r="N5190" s="8">
        <v>43069.015092592592</v>
      </c>
      <c r="O5190" s="4" t="s">
        <v>34</v>
      </c>
      <c r="P5190" s="3" t="s">
        <v>2712</v>
      </c>
      <c r="Q5190" s="4"/>
      <c r="R5190" s="4"/>
      <c r="S5190" s="9" t="str">
        <f>HYPERLINK("https://pbs.twimg.com/profile_images/944317757448949760/Lvj8icjq.jpg","View")</f>
        <v>View</v>
      </c>
    </row>
    <row r="5191" spans="1:19" ht="20">
      <c r="A5191" s="8">
        <v>43340.781145833331</v>
      </c>
      <c r="B5191" s="11" t="str">
        <f>HYPERLINK("https://twitter.com/mehrreporter","@mehrreporter")</f>
        <v>@mehrreporter</v>
      </c>
      <c r="C5191" s="6" t="s">
        <v>2711</v>
      </c>
      <c r="D5191" s="5" t="s">
        <v>2710</v>
      </c>
      <c r="E5191" s="9" t="str">
        <f>HYPERLINK("https://twitter.com/mehrreporter/status/1034444203298906113","1034444203298906113")</f>
        <v>1034444203298906113</v>
      </c>
      <c r="F5191" s="4"/>
      <c r="G5191" s="4"/>
      <c r="H5191" s="4"/>
      <c r="I5191" s="10" t="str">
        <f>HYPERLINK("https://mobile.twitter.com","Twitter Lite")</f>
        <v>Twitter Lite</v>
      </c>
      <c r="J5191" s="2">
        <v>557</v>
      </c>
      <c r="K5191" s="2">
        <v>605</v>
      </c>
      <c r="L5191" s="2">
        <v>10</v>
      </c>
      <c r="M5191" s="2"/>
      <c r="N5191" s="8">
        <v>40970.658900462964</v>
      </c>
      <c r="O5191" s="4" t="s">
        <v>133</v>
      </c>
      <c r="P5191" s="3" t="s">
        <v>2709</v>
      </c>
      <c r="Q5191" s="4"/>
      <c r="R5191" s="4"/>
      <c r="S5191" s="9" t="str">
        <f>HYPERLINK("https://pbs.twimg.com/profile_images/937341754017280001/2ot2Neup.jpg","View")</f>
        <v>View</v>
      </c>
    </row>
    <row r="5192" spans="1:19" ht="40">
      <c r="A5192" s="8">
        <v>43340.780821759261</v>
      </c>
      <c r="B5192" s="11" t="str">
        <f>HYPERLINK("https://twitter.com/samira_ebrahimy","@samira_ebrahimy")</f>
        <v>@samira_ebrahimy</v>
      </c>
      <c r="C5192" s="6" t="s">
        <v>2708</v>
      </c>
      <c r="D5192" s="5" t="s">
        <v>2707</v>
      </c>
      <c r="E5192" s="9" t="str">
        <f>HYPERLINK("https://twitter.com/samira_ebrahimy/status/1034444085929508865","1034444085929508865")</f>
        <v>1034444085929508865</v>
      </c>
      <c r="F5192" s="4"/>
      <c r="G5192" s="4"/>
      <c r="H5192" s="4"/>
      <c r="I5192" s="10" t="str">
        <f>HYPERLINK("http://twitter.com","Twitter Web Client")</f>
        <v>Twitter Web Client</v>
      </c>
      <c r="J5192" s="2">
        <v>144</v>
      </c>
      <c r="K5192" s="2">
        <v>105</v>
      </c>
      <c r="L5192" s="2">
        <v>1</v>
      </c>
      <c r="M5192" s="2"/>
      <c r="N5192" s="8">
        <v>42139.605578703704</v>
      </c>
      <c r="O5192" s="4"/>
      <c r="P5192" s="3" t="s">
        <v>2706</v>
      </c>
      <c r="Q5192" s="4"/>
      <c r="R5192" s="4"/>
      <c r="S5192" s="9" t="str">
        <f>HYPERLINK("https://pbs.twimg.com/profile_images/920958227172356096/3ULcLxoN.jpg","View")</f>
        <v>View</v>
      </c>
    </row>
    <row r="5193" spans="1:19" ht="40">
      <c r="A5193" s="8">
        <v>43340.780729166669</v>
      </c>
      <c r="B5193" s="11" t="str">
        <f>HYPERLINK("https://twitter.com/jansakht9","@jansakht9")</f>
        <v>@jansakht9</v>
      </c>
      <c r="C5193" s="6" t="s">
        <v>2705</v>
      </c>
      <c r="D5193" s="5" t="s">
        <v>2704</v>
      </c>
      <c r="E5193" s="9" t="str">
        <f>HYPERLINK("https://twitter.com/jansakht9/status/1034444050143895553","1034444050143895553")</f>
        <v>1034444050143895553</v>
      </c>
      <c r="F5193" s="4"/>
      <c r="G5193" s="4"/>
      <c r="H5193" s="4"/>
      <c r="I5193" s="10" t="str">
        <f>HYPERLINK("https://mobile.twitter.com","Twitter Lite")</f>
        <v>Twitter Lite</v>
      </c>
      <c r="J5193" s="2">
        <v>21</v>
      </c>
      <c r="K5193" s="2">
        <v>144</v>
      </c>
      <c r="L5193" s="2">
        <v>0</v>
      </c>
      <c r="M5193" s="2"/>
      <c r="N5193" s="8">
        <v>43257.262488425928</v>
      </c>
      <c r="O5193" s="4"/>
      <c r="P5193" s="3"/>
      <c r="Q5193" s="4"/>
      <c r="R5193" s="4"/>
      <c r="S5193" s="9" t="str">
        <f>HYPERLINK("https://pbs.twimg.com/profile_images/1033645501730549760/kne9Mzqf.jpg","View")</f>
        <v>View</v>
      </c>
    </row>
    <row r="5194" spans="1:19" ht="30">
      <c r="A5194" s="8">
        <v>43340.780324074076</v>
      </c>
      <c r="B5194" s="11" t="str">
        <f>HYPERLINK("https://twitter.com/Beyraqam","@Beyraqam")</f>
        <v>@Beyraqam</v>
      </c>
      <c r="C5194" s="6" t="s">
        <v>2703</v>
      </c>
      <c r="D5194" s="5" t="s">
        <v>2702</v>
      </c>
      <c r="E5194" s="9" t="str">
        <f>HYPERLINK("https://twitter.com/Beyraqam/status/1034443904286945281","1034443904286945281")</f>
        <v>1034443904286945281</v>
      </c>
      <c r="F5194" s="4"/>
      <c r="G5194" s="4"/>
      <c r="H5194" s="4"/>
      <c r="I5194" s="10" t="str">
        <f>HYPERLINK("http://twitter.com/download/iphone","Twitter for iPhone")</f>
        <v>Twitter for iPhone</v>
      </c>
      <c r="J5194" s="2">
        <v>112</v>
      </c>
      <c r="K5194" s="2">
        <v>46</v>
      </c>
      <c r="L5194" s="2">
        <v>0</v>
      </c>
      <c r="M5194" s="2"/>
      <c r="N5194" s="8">
        <v>42737.223032407404</v>
      </c>
      <c r="O5194" s="4"/>
      <c r="P5194" s="3" t="s">
        <v>2701</v>
      </c>
      <c r="Q5194" s="4"/>
      <c r="R5194" s="4"/>
      <c r="S5194" s="9" t="str">
        <f>HYPERLINK("https://pbs.twimg.com/profile_images/1031268582779437057/vqushrbR.jpg","View")</f>
        <v>View</v>
      </c>
    </row>
    <row r="5195" spans="1:19" ht="20">
      <c r="A5195" s="8">
        <v>43340.780185185184</v>
      </c>
      <c r="B5195" s="11" t="str">
        <f>HYPERLINK("https://twitter.com/q_m_asl","@q_m_asl")</f>
        <v>@q_m_asl</v>
      </c>
      <c r="C5195" s="6" t="s">
        <v>2700</v>
      </c>
      <c r="D5195" s="5" t="s">
        <v>2699</v>
      </c>
      <c r="E5195" s="9" t="str">
        <f>HYPERLINK("https://twitter.com/q_m_asl/status/1034443854215372800","1034443854215372800")</f>
        <v>1034443854215372800</v>
      </c>
      <c r="F5195" s="4"/>
      <c r="G5195" s="4"/>
      <c r="H5195" s="4"/>
      <c r="I5195" s="10" t="str">
        <f>HYPERLINK("http://twitter.com/download/android","Twitter for Android")</f>
        <v>Twitter for Android</v>
      </c>
      <c r="J5195" s="2">
        <v>1303</v>
      </c>
      <c r="K5195" s="2">
        <v>1210</v>
      </c>
      <c r="L5195" s="2">
        <v>1</v>
      </c>
      <c r="M5195" s="2"/>
      <c r="N5195" s="8">
        <v>43142.699965277774</v>
      </c>
      <c r="O5195" s="4" t="s">
        <v>2193</v>
      </c>
      <c r="P5195" s="3" t="s">
        <v>2698</v>
      </c>
      <c r="Q5195" s="10" t="s">
        <v>2697</v>
      </c>
      <c r="R5195" s="4"/>
      <c r="S5195" s="9" t="str">
        <f>HYPERLINK("https://pbs.twimg.com/profile_images/1007351441080676352/IKnd1H_R.jpg","View")</f>
        <v>View</v>
      </c>
    </row>
    <row r="5196" spans="1:19" ht="20">
      <c r="A5196" s="8">
        <v>43340.780023148152</v>
      </c>
      <c r="B5196" s="11" t="str">
        <f>HYPERLINK("https://twitter.com/vaditowa","@vaditowa")</f>
        <v>@vaditowa</v>
      </c>
      <c r="C5196" s="6" t="s">
        <v>2696</v>
      </c>
      <c r="D5196" s="5" t="s">
        <v>2695</v>
      </c>
      <c r="E5196" s="9" t="str">
        <f>HYPERLINK("https://twitter.com/vaditowa/status/1034443796736630785","1034443796736630785")</f>
        <v>1034443796736630785</v>
      </c>
      <c r="F5196" s="4"/>
      <c r="G5196" s="4"/>
      <c r="H5196" s="4"/>
      <c r="I5196" s="10" t="str">
        <f>HYPERLINK("http://twitter.com/download/android","Twitter for Android")</f>
        <v>Twitter for Android</v>
      </c>
      <c r="J5196" s="2">
        <v>24</v>
      </c>
      <c r="K5196" s="2">
        <v>55</v>
      </c>
      <c r="L5196" s="2">
        <v>1</v>
      </c>
      <c r="M5196" s="2"/>
      <c r="N5196" s="8">
        <v>43251.727939814809</v>
      </c>
      <c r="O5196" s="4"/>
      <c r="P5196" s="3" t="s">
        <v>2694</v>
      </c>
      <c r="Q5196" s="4"/>
      <c r="R5196" s="4"/>
      <c r="S5196" s="9" t="str">
        <f>HYPERLINK("https://pbs.twimg.com/profile_images/1015583536655552513/48qnrxDh.jpg","View")</f>
        <v>View</v>
      </c>
    </row>
    <row r="5197" spans="1:19" ht="20">
      <c r="A5197" s="8">
        <v>43340.779733796298</v>
      </c>
      <c r="B5197" s="11" t="str">
        <f>HYPERLINK("https://twitter.com/FaaezehQ","@FaaezehQ")</f>
        <v>@FaaezehQ</v>
      </c>
      <c r="C5197" s="6" t="s">
        <v>2693</v>
      </c>
      <c r="D5197" s="5" t="s">
        <v>2692</v>
      </c>
      <c r="E5197" s="9" t="str">
        <f>HYPERLINK("https://twitter.com/FaaezehQ/status/1034443689572089856","1034443689572089856")</f>
        <v>1034443689572089856</v>
      </c>
      <c r="F5197" s="4"/>
      <c r="G5197" s="10" t="s">
        <v>2691</v>
      </c>
      <c r="H5197" s="4"/>
      <c r="I5197" s="10" t="str">
        <f>HYPERLINK("http://twitter.com/download/iphone","Twitter for iPhone")</f>
        <v>Twitter for iPhone</v>
      </c>
      <c r="J5197" s="2">
        <v>707</v>
      </c>
      <c r="K5197" s="2">
        <v>606</v>
      </c>
      <c r="L5197" s="2">
        <v>1</v>
      </c>
      <c r="M5197" s="2"/>
      <c r="N5197" s="8">
        <v>43045.352962962963</v>
      </c>
      <c r="O5197" s="4" t="s">
        <v>34</v>
      </c>
      <c r="P5197" s="3" t="s">
        <v>2690</v>
      </c>
      <c r="Q5197" s="4"/>
      <c r="R5197" s="4"/>
      <c r="S5197" s="9" t="str">
        <f>HYPERLINK("https://pbs.twimg.com/profile_images/927599643432714245/odhoWIFn.jpg","View")</f>
        <v>View</v>
      </c>
    </row>
    <row r="5198" spans="1:19" ht="40">
      <c r="A5198" s="8">
        <v>43340.77957175926</v>
      </c>
      <c r="B5198" s="11" t="str">
        <f>HYPERLINK("https://twitter.com/Soltani65592237","@Soltani65592237")</f>
        <v>@Soltani65592237</v>
      </c>
      <c r="C5198" s="6" t="s">
        <v>2670</v>
      </c>
      <c r="D5198" s="5" t="s">
        <v>2689</v>
      </c>
      <c r="E5198" s="9" t="str">
        <f>HYPERLINK("https://twitter.com/Soltani65592237/status/1034443632579895296","1034443632579895296")</f>
        <v>1034443632579895296</v>
      </c>
      <c r="F5198" s="4"/>
      <c r="G5198" s="4"/>
      <c r="H5198" s="4"/>
      <c r="I5198" s="10" t="str">
        <f>HYPERLINK("http://twitter.com/download/android","Twitter for Android")</f>
        <v>Twitter for Android</v>
      </c>
      <c r="J5198" s="2">
        <v>12</v>
      </c>
      <c r="K5198" s="2">
        <v>64</v>
      </c>
      <c r="L5198" s="2">
        <v>0</v>
      </c>
      <c r="M5198" s="2"/>
      <c r="N5198" s="8">
        <v>43329.781736111108</v>
      </c>
      <c r="O5198" s="4"/>
      <c r="P5198" s="3"/>
      <c r="Q5198" s="4"/>
      <c r="R5198" s="4"/>
      <c r="S5198" s="9" t="str">
        <f>HYPERLINK("https://pbs.twimg.com/profile_images/1030720919147298816/EEMGSxH6.jpg","View")</f>
        <v>View</v>
      </c>
    </row>
    <row r="5199" spans="1:19" ht="20">
      <c r="A5199" s="8">
        <v>43340.763113425928</v>
      </c>
      <c r="B5199" s="11" t="str">
        <f>HYPERLINK("https://twitter.com/xavier_piadoso","@xavier_piadoso")</f>
        <v>@xavier_piadoso</v>
      </c>
      <c r="C5199" s="6" t="s">
        <v>2688</v>
      </c>
      <c r="D5199" s="5" t="s">
        <v>2687</v>
      </c>
      <c r="E5199" s="9" t="str">
        <f>HYPERLINK("https://twitter.com/xavier_piadoso/status/1034437665595301889","1034437665595301889")</f>
        <v>1034437665595301889</v>
      </c>
      <c r="F5199" s="4"/>
      <c r="G5199" s="4"/>
      <c r="H5199" s="4"/>
      <c r="I5199" s="10" t="str">
        <f>HYPERLINK("http://twitter.com/download/android","Twitter for Android")</f>
        <v>Twitter for Android</v>
      </c>
      <c r="J5199" s="2">
        <v>2053</v>
      </c>
      <c r="K5199" s="2">
        <v>425</v>
      </c>
      <c r="L5199" s="2">
        <v>19</v>
      </c>
      <c r="M5199" s="2"/>
      <c r="N5199" s="8">
        <v>41538.060381944444</v>
      </c>
      <c r="O5199" s="4"/>
      <c r="P5199" s="3" t="s">
        <v>2686</v>
      </c>
      <c r="Q5199" s="4"/>
      <c r="R5199" s="4"/>
      <c r="S5199" s="9" t="str">
        <f>HYPERLINK("https://pbs.twimg.com/profile_images/1006320418775601152/3yBl7RIy.jpg","View")</f>
        <v>View</v>
      </c>
    </row>
    <row r="5200" spans="1:19" ht="40">
      <c r="A5200" s="8">
        <v>43340.762789351851</v>
      </c>
      <c r="B5200" s="11" t="str">
        <f>HYPERLINK("https://twitter.com/ShahrnazS","@ShahrnazS")</f>
        <v>@ShahrnazS</v>
      </c>
      <c r="C5200" s="6" t="s">
        <v>2685</v>
      </c>
      <c r="D5200" s="5" t="s">
        <v>2684</v>
      </c>
      <c r="E5200" s="9" t="str">
        <f>HYPERLINK("https://twitter.com/ShahrnazS/status/1034437551879143425","1034437551879143425")</f>
        <v>1034437551879143425</v>
      </c>
      <c r="F5200" s="4"/>
      <c r="G5200" s="4"/>
      <c r="H5200" s="4"/>
      <c r="I5200" s="10" t="str">
        <f>HYPERLINK("http://twitter.com","Twitter Web Client")</f>
        <v>Twitter Web Client</v>
      </c>
      <c r="J5200" s="2">
        <v>53</v>
      </c>
      <c r="K5200" s="2">
        <v>70</v>
      </c>
      <c r="L5200" s="2">
        <v>0</v>
      </c>
      <c r="M5200" s="2"/>
      <c r="N5200" s="8">
        <v>39997.974097222221</v>
      </c>
      <c r="O5200" s="4" t="s">
        <v>145</v>
      </c>
      <c r="P5200" s="3"/>
      <c r="Q5200" s="4"/>
      <c r="R5200" s="4"/>
      <c r="S5200" s="9" t="str">
        <f>HYPERLINK("https://pbs.twimg.com/profile_images/992454610144067584/eigskwrX.jpg","View")</f>
        <v>View</v>
      </c>
    </row>
    <row r="5201" spans="1:19" ht="20">
      <c r="A5201" s="8">
        <v>43340.762638888889</v>
      </c>
      <c r="B5201" s="11" t="str">
        <f>HYPERLINK("https://twitter.com/sepandnews","@sepandnews")</f>
        <v>@sepandnews</v>
      </c>
      <c r="C5201" s="6" t="s">
        <v>2683</v>
      </c>
      <c r="D5201" s="5" t="s">
        <v>2682</v>
      </c>
      <c r="E5201" s="9" t="str">
        <f>HYPERLINK("https://twitter.com/sepandnews/status/1034437497139253248","1034437497139253248")</f>
        <v>1034437497139253248</v>
      </c>
      <c r="F5201" s="4"/>
      <c r="G5201" s="10" t="s">
        <v>2681</v>
      </c>
      <c r="H5201" s="4"/>
      <c r="I5201" s="10" t="str">
        <f>HYPERLINK("http://twitter.com","Twitter Web Client")</f>
        <v>Twitter Web Client</v>
      </c>
      <c r="J5201" s="2">
        <v>494</v>
      </c>
      <c r="K5201" s="2">
        <v>1457</v>
      </c>
      <c r="L5201" s="2">
        <v>0</v>
      </c>
      <c r="M5201" s="2"/>
      <c r="N5201" s="8">
        <v>42953.500335648147</v>
      </c>
      <c r="O5201" s="4" t="s">
        <v>34</v>
      </c>
      <c r="P5201" s="3" t="s">
        <v>2680</v>
      </c>
      <c r="Q5201" s="10" t="s">
        <v>2679</v>
      </c>
      <c r="R5201" s="4"/>
      <c r="S5201" s="9" t="str">
        <f>HYPERLINK("https://pbs.twimg.com/profile_images/955712333300428802/csF3I2iw.jpg","View")</f>
        <v>View</v>
      </c>
    </row>
    <row r="5202" spans="1:19" ht="40">
      <c r="A5202" s="8">
        <v>43340.76258101852</v>
      </c>
      <c r="B5202" s="11" t="str">
        <f>HYPERLINK("https://twitter.com/Mehrant12","@Mehrant12")</f>
        <v>@Mehrant12</v>
      </c>
      <c r="C5202" s="6" t="s">
        <v>2678</v>
      </c>
      <c r="D5202" s="5" t="s">
        <v>2677</v>
      </c>
      <c r="E5202" s="9" t="str">
        <f>HYPERLINK("https://twitter.com/Mehrant12/status/1034437476398583813","1034437476398583813")</f>
        <v>1034437476398583813</v>
      </c>
      <c r="F5202" s="4"/>
      <c r="G5202" s="4"/>
      <c r="H5202" s="4"/>
      <c r="I5202" s="10" t="str">
        <f>HYPERLINK("http://twitter.com/download/android","Twitter for Android")</f>
        <v>Twitter for Android</v>
      </c>
      <c r="J5202" s="2">
        <v>84</v>
      </c>
      <c r="K5202" s="2">
        <v>80</v>
      </c>
      <c r="L5202" s="2">
        <v>0</v>
      </c>
      <c r="M5202" s="2"/>
      <c r="N5202" s="8">
        <v>43275.669502314813</v>
      </c>
      <c r="O5202" s="4"/>
      <c r="P5202" s="3"/>
      <c r="Q5202" s="4"/>
      <c r="R5202" s="4"/>
      <c r="S5202" s="9" t="str">
        <f>HYPERLINK("https://pbs.twimg.com/profile_images/1032683739355258882/xlHJSmTK.jpg","View")</f>
        <v>View</v>
      </c>
    </row>
    <row r="5203" spans="1:19" ht="30">
      <c r="A5203" s="8">
        <v>43340.762546296297</v>
      </c>
      <c r="B5203" s="11" t="str">
        <f>HYPERLINK("https://twitter.com/irane_maa","@irane_maa")</f>
        <v>@irane_maa</v>
      </c>
      <c r="C5203" s="6" t="s">
        <v>1779</v>
      </c>
      <c r="D5203" s="5" t="s">
        <v>2676</v>
      </c>
      <c r="E5203" s="9" t="str">
        <f>HYPERLINK("https://twitter.com/irane_maa/status/1034437462532214784","1034437462532214784")</f>
        <v>1034437462532214784</v>
      </c>
      <c r="F5203" s="4"/>
      <c r="G5203" s="4"/>
      <c r="H5203" s="4"/>
      <c r="I5203" s="10" t="str">
        <f>HYPERLINK("http://twitter.com/download/android","Twitter for Android")</f>
        <v>Twitter for Android</v>
      </c>
      <c r="J5203" s="2">
        <v>285</v>
      </c>
      <c r="K5203" s="2">
        <v>1752</v>
      </c>
      <c r="L5203" s="2">
        <v>0</v>
      </c>
      <c r="M5203" s="2"/>
      <c r="N5203" s="8">
        <v>42861.755393518513</v>
      </c>
      <c r="O5203" s="4" t="s">
        <v>682</v>
      </c>
      <c r="P5203" s="3" t="s">
        <v>1777</v>
      </c>
      <c r="Q5203" s="4"/>
      <c r="R5203" s="4"/>
      <c r="S5203" s="9" t="str">
        <f>HYPERLINK("https://pbs.twimg.com/profile_images/1011634468459827203/_vZL6lRc.jpg","View")</f>
        <v>View</v>
      </c>
    </row>
    <row r="5204" spans="1:19" ht="20">
      <c r="A5204" s="8">
        <v>43340.762523148151</v>
      </c>
      <c r="B5204" s="11" t="str">
        <f>HYPERLINK("https://twitter.com/mashtiiiiiiiiii","@mashtiiiiiiiiii")</f>
        <v>@mashtiiiiiiiiii</v>
      </c>
      <c r="C5204" s="6" t="s">
        <v>2675</v>
      </c>
      <c r="D5204" s="5" t="s">
        <v>2674</v>
      </c>
      <c r="E5204" s="9" t="str">
        <f>HYPERLINK("https://twitter.com/mashtiiiiiiiiii/status/1034437452306571264","1034437452306571264")</f>
        <v>1034437452306571264</v>
      </c>
      <c r="F5204" s="4"/>
      <c r="G5204" s="4"/>
      <c r="H5204" s="4"/>
      <c r="I5204" s="10" t="str">
        <f>HYPERLINK("http://twitter.com/download/android","Twitter for Android")</f>
        <v>Twitter for Android</v>
      </c>
      <c r="J5204" s="2">
        <v>320</v>
      </c>
      <c r="K5204" s="2">
        <v>218</v>
      </c>
      <c r="L5204" s="2">
        <v>2</v>
      </c>
      <c r="M5204" s="2"/>
      <c r="N5204" s="8">
        <v>40514.118310185186</v>
      </c>
      <c r="O5204" s="4" t="s">
        <v>2673</v>
      </c>
      <c r="P5204" s="14" t="s">
        <v>2672</v>
      </c>
      <c r="Q5204" s="4"/>
      <c r="R5204" s="4"/>
      <c r="S5204" s="9" t="str">
        <f>HYPERLINK("https://pbs.twimg.com/profile_images/980929453701435392/wK1nR9qC.jpg","View")</f>
        <v>View</v>
      </c>
    </row>
    <row r="5205" spans="1:19" ht="40">
      <c r="A5205" s="8">
        <v>43340.762476851851</v>
      </c>
      <c r="B5205" s="11" t="str">
        <f>HYPERLINK("https://twitter.com/Sogolparvian","@Sogolparvian")</f>
        <v>@Sogolparvian</v>
      </c>
      <c r="C5205" s="11" t="s">
        <v>2518</v>
      </c>
      <c r="D5205" s="5" t="s">
        <v>2671</v>
      </c>
      <c r="E5205" s="9" t="str">
        <f>HYPERLINK("https://twitter.com/Sogolparvian/status/1034437438784118785","1034437438784118785")</f>
        <v>1034437438784118785</v>
      </c>
      <c r="F5205" s="4"/>
      <c r="G5205" s="4"/>
      <c r="H5205" s="4"/>
      <c r="I5205" s="10" t="str">
        <f>HYPERLINK("http://twitter.com/download/android","Twitter for Android")</f>
        <v>Twitter for Android</v>
      </c>
      <c r="J5205" s="2">
        <v>33</v>
      </c>
      <c r="K5205" s="2">
        <v>57</v>
      </c>
      <c r="L5205" s="2">
        <v>0</v>
      </c>
      <c r="M5205" s="2"/>
      <c r="N5205" s="8">
        <v>43099.036192129628</v>
      </c>
      <c r="O5205" s="4" t="s">
        <v>34</v>
      </c>
      <c r="P5205" s="3" t="s">
        <v>2516</v>
      </c>
      <c r="Q5205" s="4"/>
      <c r="R5205" s="4"/>
      <c r="S5205" s="9" t="str">
        <f>HYPERLINK("https://pbs.twimg.com/profile_images/1028949551250644993/HYpZfAhf.jpg","View")</f>
        <v>View</v>
      </c>
    </row>
    <row r="5206" spans="1:19" ht="30">
      <c r="A5206" s="8">
        <v>43340.761956018519</v>
      </c>
      <c r="B5206" s="11" t="str">
        <f>HYPERLINK("https://twitter.com/Soltani65592237","@Soltani65592237")</f>
        <v>@Soltani65592237</v>
      </c>
      <c r="C5206" s="6" t="s">
        <v>2670</v>
      </c>
      <c r="D5206" s="5" t="s">
        <v>2669</v>
      </c>
      <c r="E5206" s="9" t="str">
        <f>HYPERLINK("https://twitter.com/Soltani65592237/status/1034437246605303808","1034437246605303808")</f>
        <v>1034437246605303808</v>
      </c>
      <c r="F5206" s="4"/>
      <c r="G5206" s="4"/>
      <c r="H5206" s="4"/>
      <c r="I5206" s="10" t="str">
        <f>HYPERLINK("http://twitter.com/download/android","Twitter for Android")</f>
        <v>Twitter for Android</v>
      </c>
      <c r="J5206" s="2">
        <v>10</v>
      </c>
      <c r="K5206" s="2">
        <v>53</v>
      </c>
      <c r="L5206" s="2">
        <v>0</v>
      </c>
      <c r="M5206" s="2"/>
      <c r="N5206" s="8">
        <v>43329.781736111108</v>
      </c>
      <c r="O5206" s="4"/>
      <c r="P5206" s="3"/>
      <c r="Q5206" s="4"/>
      <c r="R5206" s="4"/>
      <c r="S5206" s="9" t="str">
        <f>HYPERLINK("https://pbs.twimg.com/profile_images/1030720919147298816/EEMGSxH6.jpg","View")</f>
        <v>View</v>
      </c>
    </row>
    <row r="5207" spans="1:19" ht="30">
      <c r="A5207" s="8">
        <v>43340.76180555555</v>
      </c>
      <c r="B5207" s="11" t="str">
        <f>HYPERLINK("https://twitter.com/revayateman","@revayateman")</f>
        <v>@revayateman</v>
      </c>
      <c r="C5207" s="6" t="s">
        <v>2668</v>
      </c>
      <c r="D5207" s="5" t="s">
        <v>2667</v>
      </c>
      <c r="E5207" s="9" t="str">
        <f>HYPERLINK("https://twitter.com/revayateman/status/1034437192406450176","1034437192406450176")</f>
        <v>1034437192406450176</v>
      </c>
      <c r="F5207" s="4"/>
      <c r="G5207" s="4"/>
      <c r="H5207" s="4"/>
      <c r="I5207" s="10" t="str">
        <f>HYPERLINK("http://twitter.com/download/android","Twitter for Android")</f>
        <v>Twitter for Android</v>
      </c>
      <c r="J5207" s="2">
        <v>1171</v>
      </c>
      <c r="K5207" s="2">
        <v>1575</v>
      </c>
      <c r="L5207" s="2">
        <v>2</v>
      </c>
      <c r="M5207" s="2"/>
      <c r="N5207" s="8">
        <v>43142.102812500001</v>
      </c>
      <c r="O5207" s="4"/>
      <c r="P5207" s="3"/>
      <c r="Q5207" s="4"/>
      <c r="R5207" s="4"/>
      <c r="S5207" s="9" t="str">
        <f>HYPERLINK("https://pbs.twimg.com/profile_images/1009529903597879296/HjmoU0O9.jpg","View")</f>
        <v>View</v>
      </c>
    </row>
    <row r="5208" spans="1:19" ht="40">
      <c r="A5208" s="8">
        <v>43340.761782407411</v>
      </c>
      <c r="B5208" s="11" t="str">
        <f>HYPERLINK("https://twitter.com/medunamun_","@medunamun_")</f>
        <v>@medunamun_</v>
      </c>
      <c r="C5208" s="6" t="s">
        <v>2508</v>
      </c>
      <c r="D5208" s="5" t="s">
        <v>2666</v>
      </c>
      <c r="E5208" s="9" t="str">
        <f>HYPERLINK("https://twitter.com/medunamun_/status/1034437184407969793","1034437184407969793")</f>
        <v>1034437184407969793</v>
      </c>
      <c r="F5208" s="4"/>
      <c r="G5208" s="10" t="s">
        <v>2665</v>
      </c>
      <c r="H5208" s="4"/>
      <c r="I5208" s="10" t="str">
        <f>HYPERLINK("http://twitter.com/download/android","Twitter for Android")</f>
        <v>Twitter for Android</v>
      </c>
      <c r="J5208" s="2">
        <v>87</v>
      </c>
      <c r="K5208" s="2">
        <v>107</v>
      </c>
      <c r="L5208" s="2">
        <v>0</v>
      </c>
      <c r="M5208" s="2"/>
      <c r="N5208" s="8">
        <v>42754.114085648151</v>
      </c>
      <c r="O5208" s="4" t="s">
        <v>34</v>
      </c>
      <c r="P5208" s="3" t="s">
        <v>2506</v>
      </c>
      <c r="Q5208" s="4"/>
      <c r="R5208" s="4"/>
      <c r="S5208" s="9" t="str">
        <f>HYPERLINK("https://pbs.twimg.com/profile_images/981504888629878784/Q84j3Atd.jpg","View")</f>
        <v>View</v>
      </c>
    </row>
    <row r="5209" spans="1:19" ht="30">
      <c r="A5209" s="8">
        <v>43340.76152777778</v>
      </c>
      <c r="B5209" s="11" t="str">
        <f>HYPERLINK("https://twitter.com/MalcolmSardar","@MalcolmSardar")</f>
        <v>@MalcolmSardar</v>
      </c>
      <c r="C5209" s="6" t="s">
        <v>2664</v>
      </c>
      <c r="D5209" s="5" t="s">
        <v>2663</v>
      </c>
      <c r="E5209" s="9" t="str">
        <f>HYPERLINK("https://twitter.com/MalcolmSardar/status/1034437094100357120","1034437094100357120")</f>
        <v>1034437094100357120</v>
      </c>
      <c r="F5209" s="4"/>
      <c r="G5209" s="4"/>
      <c r="H5209" s="4"/>
      <c r="I5209" s="10" t="str">
        <f>HYPERLINK("http://twitter.com/download/android","Twitter for Android")</f>
        <v>Twitter for Android</v>
      </c>
      <c r="J5209" s="2">
        <v>1470</v>
      </c>
      <c r="K5209" s="2">
        <v>713</v>
      </c>
      <c r="L5209" s="2">
        <v>2</v>
      </c>
      <c r="M5209" s="2"/>
      <c r="N5209" s="8">
        <v>43159.496840277774</v>
      </c>
      <c r="O5209" s="4"/>
      <c r="P5209" s="3" t="s">
        <v>2662</v>
      </c>
      <c r="Q5209" s="4"/>
      <c r="R5209" s="4"/>
      <c r="S5209" s="9" t="str">
        <f>HYPERLINK("https://pbs.twimg.com/profile_images/1011365979543269376/HZoqxlLs.jpg","View")</f>
        <v>View</v>
      </c>
    </row>
    <row r="5210" spans="1:19" ht="20">
      <c r="A5210" s="8">
        <v>43340.761493055557</v>
      </c>
      <c r="B5210" s="11" t="str">
        <f>HYPERLINK("https://twitter.com/m_nassert","@m_nassert")</f>
        <v>@m_nassert</v>
      </c>
      <c r="C5210" s="6" t="s">
        <v>2661</v>
      </c>
      <c r="D5210" s="5" t="s">
        <v>2660</v>
      </c>
      <c r="E5210" s="9" t="str">
        <f>HYPERLINK("https://twitter.com/m_nassert/status/1034437081773289472","1034437081773289472")</f>
        <v>1034437081773289472</v>
      </c>
      <c r="F5210" s="4"/>
      <c r="G5210" s="10" t="s">
        <v>2659</v>
      </c>
      <c r="H5210" s="4"/>
      <c r="I5210" s="10" t="str">
        <f>HYPERLINK("http://twitter.com/download/android","Twitter for Android")</f>
        <v>Twitter for Android</v>
      </c>
      <c r="J5210" s="2">
        <v>2888</v>
      </c>
      <c r="K5210" s="2">
        <v>578</v>
      </c>
      <c r="L5210" s="2">
        <v>15</v>
      </c>
      <c r="M5210" s="2"/>
      <c r="N5210" s="8">
        <v>42922.008645833332</v>
      </c>
      <c r="O5210" s="4"/>
      <c r="P5210" s="3" t="s">
        <v>2658</v>
      </c>
      <c r="Q5210" s="4"/>
      <c r="R5210" s="4"/>
      <c r="S5210" s="9" t="str">
        <f>HYPERLINK("https://pbs.twimg.com/profile_images/1033104984827731975/ISTANT_2.jpg","View")</f>
        <v>View</v>
      </c>
    </row>
    <row r="5211" spans="1:19" ht="40">
      <c r="A5211" s="8">
        <v>43340.761249999996</v>
      </c>
      <c r="B5211" s="11" t="str">
        <f>HYPERLINK("https://twitter.com/AliTavakkoli5","@AliTavakkoli5")</f>
        <v>@AliTavakkoli5</v>
      </c>
      <c r="C5211" s="6" t="s">
        <v>2657</v>
      </c>
      <c r="D5211" s="5" t="s">
        <v>2656</v>
      </c>
      <c r="E5211" s="9" t="str">
        <f>HYPERLINK("https://twitter.com/AliTavakkoli5/status/1034436992745041921","1034436992745041921")</f>
        <v>1034436992745041921</v>
      </c>
      <c r="F5211" s="4"/>
      <c r="G5211" s="10" t="s">
        <v>2655</v>
      </c>
      <c r="H5211" s="4"/>
      <c r="I5211" s="10" t="str">
        <f>HYPERLINK("http://twitter.com/download/android","Twitter for Android")</f>
        <v>Twitter for Android</v>
      </c>
      <c r="J5211" s="2">
        <v>881</v>
      </c>
      <c r="K5211" s="2">
        <v>3459</v>
      </c>
      <c r="L5211" s="2">
        <v>2</v>
      </c>
      <c r="M5211" s="2"/>
      <c r="N5211" s="8">
        <v>43284.381041666667</v>
      </c>
      <c r="O5211" s="4" t="s">
        <v>2654</v>
      </c>
      <c r="P5211" s="3" t="s">
        <v>2653</v>
      </c>
      <c r="Q5211" s="4"/>
      <c r="R5211" s="4"/>
      <c r="S5211" s="9" t="str">
        <f>HYPERLINK("https://pbs.twimg.com/profile_images/1014029880718131201/2HxXZ4-i.jpg","View")</f>
        <v>View</v>
      </c>
    </row>
    <row r="5212" spans="1:19" ht="20">
      <c r="A5212" s="8">
        <v>43340.761180555557</v>
      </c>
      <c r="B5212" s="11" t="str">
        <f>HYPERLINK("https://twitter.com/magnalibertatem","@magnalibertatem")</f>
        <v>@magnalibertatem</v>
      </c>
      <c r="C5212" s="6" t="s">
        <v>2652</v>
      </c>
      <c r="D5212" s="5" t="s">
        <v>2651</v>
      </c>
      <c r="E5212" s="9" t="str">
        <f>HYPERLINK("https://twitter.com/magnalibertatem/status/1034436966585131010","1034436966585131010")</f>
        <v>1034436966585131010</v>
      </c>
      <c r="F5212" s="4"/>
      <c r="G5212" s="4"/>
      <c r="H5212" s="4"/>
      <c r="I5212" s="10" t="str">
        <f>HYPERLINK("http://twitter.com","Twitter Web Client")</f>
        <v>Twitter Web Client</v>
      </c>
      <c r="J5212" s="2">
        <v>624</v>
      </c>
      <c r="K5212" s="2">
        <v>246</v>
      </c>
      <c r="L5212" s="2">
        <v>2</v>
      </c>
      <c r="M5212" s="2"/>
      <c r="N5212" s="8">
        <v>42868.128125000003</v>
      </c>
      <c r="O5212" s="4" t="s">
        <v>2650</v>
      </c>
      <c r="P5212" s="3" t="s">
        <v>2649</v>
      </c>
      <c r="Q5212" s="4"/>
      <c r="R5212" s="4"/>
      <c r="S5212" s="9" t="str">
        <f>HYPERLINK("https://pbs.twimg.com/profile_images/936410542868172801/5SK1iOF3.jpg","View")</f>
        <v>View</v>
      </c>
    </row>
    <row r="5213" spans="1:19" ht="40">
      <c r="A5213" s="8">
        <v>43340.760891203703</v>
      </c>
      <c r="B5213" s="11" t="str">
        <f>HYPERLINK("https://twitter.com/Ansarii_Rahim","@Ansarii_Rahim")</f>
        <v>@Ansarii_Rahim</v>
      </c>
      <c r="C5213" s="6" t="s">
        <v>2648</v>
      </c>
      <c r="D5213" s="5" t="s">
        <v>2647</v>
      </c>
      <c r="E5213" s="9" t="str">
        <f>HYPERLINK("https://twitter.com/Ansarii_Rahim/status/1034436860133756928","1034436860133756928")</f>
        <v>1034436860133756928</v>
      </c>
      <c r="F5213" s="4"/>
      <c r="G5213" s="4"/>
      <c r="H5213" s="4"/>
      <c r="I5213" s="10" t="str">
        <f>HYPERLINK("http://twitter.com/download/android","Twitter for Android")</f>
        <v>Twitter for Android</v>
      </c>
      <c r="J5213" s="2">
        <v>1440</v>
      </c>
      <c r="K5213" s="2">
        <v>830</v>
      </c>
      <c r="L5213" s="2">
        <v>1</v>
      </c>
      <c r="M5213" s="2"/>
      <c r="N5213" s="8">
        <v>43219.401423611111</v>
      </c>
      <c r="O5213" s="4" t="s">
        <v>34</v>
      </c>
      <c r="P5213" s="3" t="s">
        <v>2646</v>
      </c>
      <c r="Q5213" s="10" t="s">
        <v>2645</v>
      </c>
      <c r="R5213" s="4"/>
      <c r="S5213" s="9" t="str">
        <f>HYPERLINK("https://pbs.twimg.com/profile_images/1008452856209444867/qvSPcULB.jpg","View")</f>
        <v>View</v>
      </c>
    </row>
    <row r="5214" spans="1:19" ht="40">
      <c r="A5214" s="8">
        <v>43340.760289351849</v>
      </c>
      <c r="B5214" s="11" t="str">
        <f>HYPERLINK("https://twitter.com/atash_be_ekhtia","@atash_be_ekhtia")</f>
        <v>@atash_be_ekhtia</v>
      </c>
      <c r="C5214" s="6" t="s">
        <v>2644</v>
      </c>
      <c r="D5214" s="5" t="s">
        <v>2643</v>
      </c>
      <c r="E5214" s="9" t="str">
        <f>HYPERLINK("https://twitter.com/atash_be_ekhtia/status/1034436643019735040","1034436643019735040")</f>
        <v>1034436643019735040</v>
      </c>
      <c r="F5214" s="4"/>
      <c r="G5214" s="4"/>
      <c r="H5214" s="4"/>
      <c r="I5214" s="10" t="str">
        <f>HYPERLINK("http://twitter.com/download/android","Twitter for Android")</f>
        <v>Twitter for Android</v>
      </c>
      <c r="J5214" s="2">
        <v>252</v>
      </c>
      <c r="K5214" s="2">
        <v>348</v>
      </c>
      <c r="L5214" s="2">
        <v>0</v>
      </c>
      <c r="M5214" s="2"/>
      <c r="N5214" s="8">
        <v>43119.420775462961</v>
      </c>
      <c r="O5214" s="4" t="s">
        <v>2642</v>
      </c>
      <c r="P5214" s="3" t="s">
        <v>2641</v>
      </c>
      <c r="Q5214" s="4"/>
      <c r="R5214" s="4"/>
      <c r="S5214" s="9" t="str">
        <f>HYPERLINK("https://pbs.twimg.com/profile_images/993226038669971459/JZpaImb6.jpg","View")</f>
        <v>View</v>
      </c>
    </row>
    <row r="5215" spans="1:19" ht="12.5">
      <c r="A5215" s="8">
        <v>43340.760081018518</v>
      </c>
      <c r="B5215" s="11" t="str">
        <f>HYPERLINK("https://twitter.com/hadint83","@hadint83")</f>
        <v>@hadint83</v>
      </c>
      <c r="C5215" s="6" t="s">
        <v>2640</v>
      </c>
      <c r="D5215" s="5" t="s">
        <v>2639</v>
      </c>
      <c r="E5215" s="9" t="str">
        <f>HYPERLINK("https://twitter.com/hadint83/status/1034436569342652416","1034436569342652416")</f>
        <v>1034436569342652416</v>
      </c>
      <c r="F5215" s="4"/>
      <c r="G5215" s="4"/>
      <c r="H5215" s="4"/>
      <c r="I5215" s="10" t="str">
        <f>HYPERLINK("http://twitter.com/download/android","Twitter for Android")</f>
        <v>Twitter for Android</v>
      </c>
      <c r="J5215" s="2">
        <v>397</v>
      </c>
      <c r="K5215" s="2">
        <v>310</v>
      </c>
      <c r="L5215" s="2">
        <v>0</v>
      </c>
      <c r="M5215" s="2"/>
      <c r="N5215" s="8">
        <v>43301.92523148148</v>
      </c>
      <c r="O5215" s="4"/>
      <c r="P5215" s="3" t="s">
        <v>2638</v>
      </c>
      <c r="Q5215" s="4"/>
      <c r="R5215" s="4"/>
      <c r="S5215" s="9" t="str">
        <f>HYPERLINK("https://pbs.twimg.com/profile_images/1020395540633202688/Rz_1rpdK.jpg","View")</f>
        <v>View</v>
      </c>
    </row>
    <row r="5216" spans="1:19" ht="40">
      <c r="A5216" s="8">
        <v>43340.759872685187</v>
      </c>
      <c r="B5216" s="11" t="str">
        <f>HYPERLINK("https://twitter.com/aminsafari1365","@aminsafari1365")</f>
        <v>@aminsafari1365</v>
      </c>
      <c r="C5216" s="6" t="s">
        <v>2637</v>
      </c>
      <c r="D5216" s="5" t="s">
        <v>2636</v>
      </c>
      <c r="E5216" s="9" t="str">
        <f>HYPERLINK("https://twitter.com/aminsafari1365/status/1034436494474149889","1034436494474149889")</f>
        <v>1034436494474149889</v>
      </c>
      <c r="F5216" s="4"/>
      <c r="G5216" s="4"/>
      <c r="H5216" s="4"/>
      <c r="I5216" s="10" t="str">
        <f>HYPERLINK("http://twitter.com","Twitter Web Client")</f>
        <v>Twitter Web Client</v>
      </c>
      <c r="J5216" s="2">
        <v>1174</v>
      </c>
      <c r="K5216" s="2">
        <v>4901</v>
      </c>
      <c r="L5216" s="2">
        <v>1</v>
      </c>
      <c r="M5216" s="2"/>
      <c r="N5216" s="8">
        <v>42527.762708333335</v>
      </c>
      <c r="O5216" s="4" t="s">
        <v>2635</v>
      </c>
      <c r="P5216" s="3" t="s">
        <v>2634</v>
      </c>
      <c r="Q5216" s="4"/>
      <c r="R5216" s="4"/>
      <c r="S5216" s="9" t="str">
        <f>HYPERLINK("https://pbs.twimg.com/profile_images/1020696911693529089/mVaYfjeo.jpg","View")</f>
        <v>View</v>
      </c>
    </row>
    <row r="5217" spans="1:19" ht="80">
      <c r="A5217" s="8">
        <v>43340.75953703704</v>
      </c>
      <c r="B5217" s="11" t="str">
        <f>HYPERLINK("https://twitter.com/d_papillonn","@d_papillonn")</f>
        <v>@d_papillonn</v>
      </c>
      <c r="C5217" s="6" t="s">
        <v>390</v>
      </c>
      <c r="D5217" s="5" t="s">
        <v>2633</v>
      </c>
      <c r="E5217" s="9" t="str">
        <f>HYPERLINK("https://twitter.com/d_papillonn/status/1034436369819598848","1034436369819598848")</f>
        <v>1034436369819598848</v>
      </c>
      <c r="F5217" s="10" t="s">
        <v>2632</v>
      </c>
      <c r="G5217" s="4"/>
      <c r="H5217" s="4"/>
      <c r="I5217" s="10" t="str">
        <f>HYPERLINK("http://twitter.com/download/android","Twitter for Android")</f>
        <v>Twitter for Android</v>
      </c>
      <c r="J5217" s="2">
        <v>600</v>
      </c>
      <c r="K5217" s="2">
        <v>474</v>
      </c>
      <c r="L5217" s="2">
        <v>6</v>
      </c>
      <c r="M5217" s="2"/>
      <c r="N5217" s="8">
        <v>40626.263680555552</v>
      </c>
      <c r="O5217" s="4" t="s">
        <v>388</v>
      </c>
      <c r="P5217" s="3" t="s">
        <v>387</v>
      </c>
      <c r="Q5217" s="10" t="s">
        <v>386</v>
      </c>
      <c r="R5217" s="4"/>
      <c r="S5217" s="9" t="str">
        <f>HYPERLINK("https://pbs.twimg.com/profile_images/1027869671020744705/1ratNSjB.jpg","View")</f>
        <v>View</v>
      </c>
    </row>
    <row r="5218" spans="1:19" ht="20">
      <c r="A5218" s="8">
        <v>43340.75953703704</v>
      </c>
      <c r="B5218" s="11" t="str">
        <f>HYPERLINK("https://twitter.com/omidirani1991","@omidirani1991")</f>
        <v>@omidirani1991</v>
      </c>
      <c r="C5218" s="6" t="s">
        <v>2631</v>
      </c>
      <c r="D5218" s="5" t="s">
        <v>2630</v>
      </c>
      <c r="E5218" s="9" t="str">
        <f>HYPERLINK("https://twitter.com/omidirani1991/status/1034436369484001289","1034436369484001289")</f>
        <v>1034436369484001289</v>
      </c>
      <c r="F5218" s="4"/>
      <c r="G5218" s="4"/>
      <c r="H5218" s="4"/>
      <c r="I5218" s="10" t="str">
        <f>HYPERLINK("http://twitter.com/download/android","Twitter for Android")</f>
        <v>Twitter for Android</v>
      </c>
      <c r="J5218" s="2">
        <v>732</v>
      </c>
      <c r="K5218" s="2">
        <v>502</v>
      </c>
      <c r="L5218" s="2">
        <v>1</v>
      </c>
      <c r="M5218" s="2"/>
      <c r="N5218" s="8">
        <v>42741.400243055556</v>
      </c>
      <c r="O5218" s="4" t="s">
        <v>2629</v>
      </c>
      <c r="P5218" s="3" t="s">
        <v>2628</v>
      </c>
      <c r="Q5218" s="4"/>
      <c r="R5218" s="4"/>
      <c r="S5218" s="9" t="str">
        <f>HYPERLINK("https://pbs.twimg.com/profile_images/1012094465459347456/oo-zjgJk.jpg","View")</f>
        <v>View</v>
      </c>
    </row>
    <row r="5219" spans="1:19" ht="40">
      <c r="A5219" s="8">
        <v>43340.759432870371</v>
      </c>
      <c r="B5219" s="11" t="str">
        <f>HYPERLINK("https://twitter.com/nakhoda_azad","@nakhoda_azad")</f>
        <v>@nakhoda_azad</v>
      </c>
      <c r="C5219" s="6" t="s">
        <v>2627</v>
      </c>
      <c r="D5219" s="5" t="s">
        <v>2626</v>
      </c>
      <c r="E5219" s="9" t="str">
        <f>HYPERLINK("https://twitter.com/nakhoda_azad/status/1034436332578254854","1034436332578254854")</f>
        <v>1034436332578254854</v>
      </c>
      <c r="F5219" s="4"/>
      <c r="G5219" s="10" t="s">
        <v>2625</v>
      </c>
      <c r="H5219" s="4"/>
      <c r="I5219" s="10" t="str">
        <f>HYPERLINK("http://twitter.com/download/android","Twitter for Android")</f>
        <v>Twitter for Android</v>
      </c>
      <c r="J5219" s="2">
        <v>119</v>
      </c>
      <c r="K5219" s="2">
        <v>710</v>
      </c>
      <c r="L5219" s="2">
        <v>0</v>
      </c>
      <c r="M5219" s="2"/>
      <c r="N5219" s="8">
        <v>40205.597939814819</v>
      </c>
      <c r="O5219" s="4"/>
      <c r="P5219" s="3"/>
      <c r="Q5219" s="4"/>
      <c r="R5219" s="4"/>
      <c r="S5219" s="9" t="str">
        <f>HYPERLINK("https://pbs.twimg.com/profile_images/853341957405286400/p2Tmp2gr.jpg","View")</f>
        <v>View</v>
      </c>
    </row>
    <row r="5220" spans="1:19" ht="30">
      <c r="A5220" s="8">
        <v>43340.759409722217</v>
      </c>
      <c r="B5220" s="11" t="str">
        <f>HYPERLINK("https://twitter.com/ertebatm2013","@ertebatm2013")</f>
        <v>@ertebatm2013</v>
      </c>
      <c r="C5220" s="6" t="s">
        <v>2624</v>
      </c>
      <c r="D5220" s="5" t="s">
        <v>2623</v>
      </c>
      <c r="E5220" s="9" t="str">
        <f>HYPERLINK("https://twitter.com/ertebatm2013/status/1034436325179617280","1034436325179617280")</f>
        <v>1034436325179617280</v>
      </c>
      <c r="F5220" s="10" t="s">
        <v>1771</v>
      </c>
      <c r="G5220" s="4"/>
      <c r="H5220" s="4"/>
      <c r="I5220" s="10" t="str">
        <f>HYPERLINK("http://twitter.com","Twitter Web Client")</f>
        <v>Twitter Web Client</v>
      </c>
      <c r="J5220" s="2">
        <v>5762</v>
      </c>
      <c r="K5220" s="2">
        <v>4075</v>
      </c>
      <c r="L5220" s="2">
        <v>43</v>
      </c>
      <c r="M5220" s="2"/>
      <c r="N5220" s="8">
        <v>41043.794652777782</v>
      </c>
      <c r="O5220" s="4"/>
      <c r="P5220" s="3"/>
      <c r="Q5220" s="4"/>
      <c r="R5220" s="4"/>
      <c r="S5220" s="9" t="str">
        <f>HYPERLINK("https://pbs.twimg.com/profile_images/715903421749051392/4dBAOkJm.jpg","View")</f>
        <v>View</v>
      </c>
    </row>
    <row r="5221" spans="1:19" ht="40">
      <c r="A5221" s="8">
        <v>43340.759108796294</v>
      </c>
      <c r="B5221" s="11" t="str">
        <f>HYPERLINK("https://twitter.com/nazdikerooze","@nazdikerooze")</f>
        <v>@nazdikerooze</v>
      </c>
      <c r="C5221" s="6" t="s">
        <v>2622</v>
      </c>
      <c r="D5221" s="5" t="s">
        <v>2621</v>
      </c>
      <c r="E5221" s="9" t="str">
        <f>HYPERLINK("https://twitter.com/nazdikerooze/status/1034436215481802752","1034436215481802752")</f>
        <v>1034436215481802752</v>
      </c>
      <c r="F5221" s="4"/>
      <c r="G5221" s="4"/>
      <c r="H5221" s="4"/>
      <c r="I5221" s="10" t="str">
        <f>HYPERLINK("http://twitter.com","Twitter Web Client")</f>
        <v>Twitter Web Client</v>
      </c>
      <c r="J5221" s="2">
        <v>2</v>
      </c>
      <c r="K5221" s="2">
        <v>96</v>
      </c>
      <c r="L5221" s="2">
        <v>0</v>
      </c>
      <c r="M5221" s="2"/>
      <c r="N5221" s="8">
        <v>43340.63826388889</v>
      </c>
      <c r="O5221" s="4"/>
      <c r="P5221" s="3" t="s">
        <v>2620</v>
      </c>
      <c r="Q5221" s="4"/>
      <c r="R5221" s="4"/>
      <c r="S5221" s="9" t="str">
        <f>HYPERLINK("https://pbs.twimg.com/profile_images/1034394699123978245/7i81RP1g.jpg","View")</f>
        <v>View</v>
      </c>
    </row>
    <row r="5222" spans="1:19" ht="20">
      <c r="A5222" s="8">
        <v>43340.758622685185</v>
      </c>
      <c r="B5222" s="11" t="str">
        <f>HYPERLINK("https://twitter.com/hoseinizadeh2","@hoseinizadeh2")</f>
        <v>@hoseinizadeh2</v>
      </c>
      <c r="C5222" s="6" t="s">
        <v>2619</v>
      </c>
      <c r="D5222" s="5" t="s">
        <v>2618</v>
      </c>
      <c r="E5222" s="9" t="str">
        <f>HYPERLINK("https://twitter.com/hoseinizadeh2/status/1034436041325727746","1034436041325727746")</f>
        <v>1034436041325727746</v>
      </c>
      <c r="F5222" s="4"/>
      <c r="G5222" s="4"/>
      <c r="H5222" s="4"/>
      <c r="I5222" s="10" t="str">
        <f>HYPERLINK("http://twitter.com/download/android","Twitter for Android")</f>
        <v>Twitter for Android</v>
      </c>
      <c r="J5222" s="2">
        <v>421</v>
      </c>
      <c r="K5222" s="2">
        <v>921</v>
      </c>
      <c r="L5222" s="2">
        <v>1</v>
      </c>
      <c r="M5222" s="2"/>
      <c r="N5222" s="8">
        <v>42836.590821759259</v>
      </c>
      <c r="O5222" s="4" t="s">
        <v>34</v>
      </c>
      <c r="P5222" s="3" t="s">
        <v>2617</v>
      </c>
      <c r="Q5222" s="4"/>
      <c r="R5222" s="4"/>
      <c r="S5222" s="9" t="str">
        <f>HYPERLINK("https://pbs.twimg.com/profile_images/946969283036372993/y83ljPlK.jpg","View")</f>
        <v>View</v>
      </c>
    </row>
    <row r="5223" spans="1:19" ht="40">
      <c r="A5223" s="8">
        <v>43340.758564814816</v>
      </c>
      <c r="B5223" s="11" t="str">
        <f>HYPERLINK("https://twitter.com/Alliibbddi1357","@Alliibbddi1357")</f>
        <v>@Alliibbddi1357</v>
      </c>
      <c r="C5223" s="6" t="s">
        <v>2616</v>
      </c>
      <c r="D5223" s="5" t="s">
        <v>2615</v>
      </c>
      <c r="E5223" s="9" t="str">
        <f>HYPERLINK("https://twitter.com/Alliibbddi1357/status/1034436017615511554","1034436017615511554")</f>
        <v>1034436017615511554</v>
      </c>
      <c r="F5223" s="4"/>
      <c r="G5223" s="4"/>
      <c r="H5223" s="4"/>
      <c r="I5223" s="10" t="str">
        <f>HYPERLINK("http://twitter.com/download/android","Twitter for Android")</f>
        <v>Twitter for Android</v>
      </c>
      <c r="J5223" s="2">
        <v>5792</v>
      </c>
      <c r="K5223" s="2">
        <v>5442</v>
      </c>
      <c r="L5223" s="2">
        <v>15</v>
      </c>
      <c r="M5223" s="2"/>
      <c r="N5223" s="8">
        <v>42879.022557870368</v>
      </c>
      <c r="O5223" s="4" t="s">
        <v>17</v>
      </c>
      <c r="P5223" s="3" t="s">
        <v>2614</v>
      </c>
      <c r="Q5223" s="4"/>
      <c r="R5223" s="4"/>
      <c r="S5223" s="9" t="str">
        <f>HYPERLINK("https://pbs.twimg.com/profile_images/1022879521341628422/_Yw7AIsb.jpg","View")</f>
        <v>View</v>
      </c>
    </row>
    <row r="5224" spans="1:19" ht="30">
      <c r="A5224" s="8">
        <v>43340.757719907408</v>
      </c>
      <c r="B5224" s="11" t="str">
        <f>HYPERLINK("https://twitter.com/E_Nikbakht_75","@E_Nikbakht_75")</f>
        <v>@E_Nikbakht_75</v>
      </c>
      <c r="C5224" s="6" t="s">
        <v>2613</v>
      </c>
      <c r="D5224" s="5" t="s">
        <v>2612</v>
      </c>
      <c r="E5224" s="9" t="str">
        <f>HYPERLINK("https://twitter.com/E_Nikbakht_75/status/1034435712374976513","1034435712374976513")</f>
        <v>1034435712374976513</v>
      </c>
      <c r="F5224" s="4"/>
      <c r="G5224" s="10" t="s">
        <v>2611</v>
      </c>
      <c r="H5224" s="4"/>
      <c r="I5224" s="10" t="str">
        <f>HYPERLINK("http://twitter.com/download/android","Twitter for Android")</f>
        <v>Twitter for Android</v>
      </c>
      <c r="J5224" s="2">
        <v>2902</v>
      </c>
      <c r="K5224" s="2">
        <v>4067</v>
      </c>
      <c r="L5224" s="2">
        <v>2</v>
      </c>
      <c r="M5224" s="2"/>
      <c r="N5224" s="8">
        <v>41615.807210648149</v>
      </c>
      <c r="O5224" s="4" t="s">
        <v>2610</v>
      </c>
      <c r="P5224" s="3" t="s">
        <v>2609</v>
      </c>
      <c r="Q5224" s="4"/>
      <c r="R5224" s="4"/>
      <c r="S5224" s="9" t="str">
        <f>HYPERLINK("https://pbs.twimg.com/profile_images/1030942235007823874/vfH_TgjY.jpg","View")</f>
        <v>View</v>
      </c>
    </row>
    <row r="5225" spans="1:19" ht="30">
      <c r="A5225" s="8">
        <v>43340.757696759261</v>
      </c>
      <c r="B5225" s="11" t="str">
        <f>HYPERLINK("https://twitter.com/Nasersobhi1","@Nasersobhi1")</f>
        <v>@Nasersobhi1</v>
      </c>
      <c r="C5225" s="6" t="s">
        <v>2608</v>
      </c>
      <c r="D5225" s="5" t="s">
        <v>2607</v>
      </c>
      <c r="E5225" s="9" t="str">
        <f>HYPERLINK("https://twitter.com/Nasersobhi1/status/1034435703042699265","1034435703042699265")</f>
        <v>1034435703042699265</v>
      </c>
      <c r="F5225" s="4"/>
      <c r="G5225" s="4"/>
      <c r="H5225" s="4"/>
      <c r="I5225" s="10" t="str">
        <f>HYPERLINK("http://twitter.com/download/android","Twitter for Android")</f>
        <v>Twitter for Android</v>
      </c>
      <c r="J5225" s="2">
        <v>2</v>
      </c>
      <c r="K5225" s="2">
        <v>0</v>
      </c>
      <c r="L5225" s="2">
        <v>0</v>
      </c>
      <c r="M5225" s="2"/>
      <c r="N5225" s="8">
        <v>43214.100069444445</v>
      </c>
      <c r="O5225" s="4"/>
      <c r="P5225" s="3"/>
      <c r="Q5225" s="4"/>
      <c r="R5225" s="4"/>
      <c r="S5225" s="2" t="s">
        <v>155</v>
      </c>
    </row>
    <row r="5226" spans="1:19" ht="20">
      <c r="A5226" s="8">
        <v>43340.757430555561</v>
      </c>
      <c r="B5226" s="11" t="str">
        <f>HYPERLINK("https://twitter.com/oshes11","@oshes11")</f>
        <v>@oshes11</v>
      </c>
      <c r="C5226" s="6" t="s">
        <v>2411</v>
      </c>
      <c r="D5226" s="5" t="s">
        <v>2606</v>
      </c>
      <c r="E5226" s="9" t="str">
        <f>HYPERLINK("https://twitter.com/oshes11/status/1034435609757134848","1034435609757134848")</f>
        <v>1034435609757134848</v>
      </c>
      <c r="F5226" s="4"/>
      <c r="G5226" s="4"/>
      <c r="H5226" s="4"/>
      <c r="I5226" s="10" t="str">
        <f>HYPERLINK("http://twitter.com/download/android","Twitter for Android")</f>
        <v>Twitter for Android</v>
      </c>
      <c r="J5226" s="2">
        <v>139</v>
      </c>
      <c r="K5226" s="2">
        <v>295</v>
      </c>
      <c r="L5226" s="2">
        <v>0</v>
      </c>
      <c r="M5226" s="2"/>
      <c r="N5226" s="8">
        <v>43299.989317129628</v>
      </c>
      <c r="O5226" s="4"/>
      <c r="P5226" s="3"/>
      <c r="Q5226" s="4"/>
      <c r="R5226" s="4"/>
      <c r="S5226" s="9" t="str">
        <f>HYPERLINK("https://pbs.twimg.com/profile_images/1028978474214739970/hFAVkJ7L.jpg","View")</f>
        <v>View</v>
      </c>
    </row>
    <row r="5227" spans="1:19" ht="80">
      <c r="A5227" s="8">
        <v>43340.757187499999</v>
      </c>
      <c r="B5227" s="11" t="str">
        <f>HYPERLINK("https://twitter.com/Luxelinii","@Luxelinii")</f>
        <v>@Luxelinii</v>
      </c>
      <c r="C5227" s="6" t="s">
        <v>2605</v>
      </c>
      <c r="D5227" s="5" t="s">
        <v>2604</v>
      </c>
      <c r="E5227" s="9" t="str">
        <f>HYPERLINK("https://twitter.com/Luxelinii/status/1034435517927092226","1034435517927092226")</f>
        <v>1034435517927092226</v>
      </c>
      <c r="F5227" s="10" t="s">
        <v>2603</v>
      </c>
      <c r="G5227" s="10" t="s">
        <v>2602</v>
      </c>
      <c r="H5227" s="4"/>
      <c r="I5227" s="10" t="str">
        <f>HYPERLINK("http://twitter.com","Twitter Web Client")</f>
        <v>Twitter Web Client</v>
      </c>
      <c r="J5227" s="2">
        <v>390</v>
      </c>
      <c r="K5227" s="2">
        <v>256</v>
      </c>
      <c r="L5227" s="2">
        <v>0</v>
      </c>
      <c r="M5227" s="2"/>
      <c r="N5227" s="8">
        <v>43105.146203703705</v>
      </c>
      <c r="O5227" s="4" t="s">
        <v>2601</v>
      </c>
      <c r="P5227" s="3" t="s">
        <v>2600</v>
      </c>
      <c r="Q5227" s="4"/>
      <c r="R5227" s="4"/>
      <c r="S5227" s="9" t="str">
        <f>HYPERLINK("https://pbs.twimg.com/profile_images/1010018521932165122/oT7IocqS.jpg","View")</f>
        <v>View</v>
      </c>
    </row>
    <row r="5228" spans="1:19" ht="20">
      <c r="A5228" s="8">
        <v>43340.75717592593</v>
      </c>
      <c r="B5228" s="11" t="str">
        <f>HYPERLINK("https://twitter.com/mahya_vk","@mahya_vk")</f>
        <v>@mahya_vk</v>
      </c>
      <c r="C5228" s="6" t="s">
        <v>2599</v>
      </c>
      <c r="D5228" s="5" t="s">
        <v>2598</v>
      </c>
      <c r="E5228" s="9" t="str">
        <f>HYPERLINK("https://twitter.com/mahya_vk/status/1034435514189922306","1034435514189922306")</f>
        <v>1034435514189922306</v>
      </c>
      <c r="F5228" s="4"/>
      <c r="G5228" s="4"/>
      <c r="H5228" s="4"/>
      <c r="I5228" s="10" t="str">
        <f>HYPERLINK("http://twitter.com/download/android","Twitter for Android")</f>
        <v>Twitter for Android</v>
      </c>
      <c r="J5228" s="2">
        <v>1629</v>
      </c>
      <c r="K5228" s="2">
        <v>160</v>
      </c>
      <c r="L5228" s="2">
        <v>3</v>
      </c>
      <c r="M5228" s="2"/>
      <c r="N5228" s="8">
        <v>42737.641064814816</v>
      </c>
      <c r="O5228" s="4"/>
      <c r="P5228" s="3" t="s">
        <v>2597</v>
      </c>
      <c r="Q5228" s="4"/>
      <c r="R5228" s="4"/>
      <c r="S5228" s="9" t="str">
        <f>HYPERLINK("https://pbs.twimg.com/profile_images/979665979335692288/q_5e_Hf0.jpg","View")</f>
        <v>View</v>
      </c>
    </row>
    <row r="5229" spans="1:19" ht="20">
      <c r="A5229" s="8">
        <v>43340.757152777776</v>
      </c>
      <c r="B5229" s="11" t="str">
        <f>HYPERLINK("https://twitter.com/IranIntl","@IranIntl")</f>
        <v>@IranIntl</v>
      </c>
      <c r="C5229" s="6" t="s">
        <v>2253</v>
      </c>
      <c r="D5229" s="5" t="s">
        <v>2596</v>
      </c>
      <c r="E5229" s="9" t="str">
        <f>HYPERLINK("https://twitter.com/IranIntl/status/1034435505826488322","1034435505826488322")</f>
        <v>1034435505826488322</v>
      </c>
      <c r="F5229" s="4"/>
      <c r="G5229" s="10" t="s">
        <v>2595</v>
      </c>
      <c r="H5229" s="4"/>
      <c r="I5229" s="10" t="str">
        <f>HYPERLINK("http://twitter.com","Twitter Web Client")</f>
        <v>Twitter Web Client</v>
      </c>
      <c r="J5229" s="2">
        <v>10274</v>
      </c>
      <c r="K5229" s="2">
        <v>37</v>
      </c>
      <c r="L5229" s="2">
        <v>71</v>
      </c>
      <c r="M5229" s="2"/>
      <c r="N5229" s="8">
        <v>42495.854155092587</v>
      </c>
      <c r="O5229" s="4" t="s">
        <v>2250</v>
      </c>
      <c r="P5229" s="3" t="s">
        <v>2249</v>
      </c>
      <c r="Q5229" s="10" t="s">
        <v>2248</v>
      </c>
      <c r="R5229" s="4"/>
      <c r="S5229" s="9" t="str">
        <f>HYPERLINK("https://pbs.twimg.com/profile_images/959109044987416576/LIHHUain.jpg","View")</f>
        <v>View</v>
      </c>
    </row>
    <row r="5230" spans="1:19" ht="20">
      <c r="A5230" s="8">
        <v>43340.756932870368</v>
      </c>
      <c r="B5230" s="11" t="str">
        <f>HYPERLINK("https://twitter.com/negaraneto","@negaraneto")</f>
        <v>@negaraneto</v>
      </c>
      <c r="C5230" s="6" t="s">
        <v>2594</v>
      </c>
      <c r="D5230" s="5" t="s">
        <v>2593</v>
      </c>
      <c r="E5230" s="9" t="str">
        <f>HYPERLINK("https://twitter.com/negaraneto/status/1034435429754445824","1034435429754445824")</f>
        <v>1034435429754445824</v>
      </c>
      <c r="F5230" s="4"/>
      <c r="G5230" s="4"/>
      <c r="H5230" s="4"/>
      <c r="I5230" s="10" t="str">
        <f>HYPERLINK("http://twitter.com/download/android","Twitter for Android")</f>
        <v>Twitter for Android</v>
      </c>
      <c r="J5230" s="2">
        <v>100</v>
      </c>
      <c r="K5230" s="2">
        <v>128</v>
      </c>
      <c r="L5230" s="2">
        <v>1</v>
      </c>
      <c r="M5230" s="2"/>
      <c r="N5230" s="8">
        <v>43336.493263888886</v>
      </c>
      <c r="O5230" s="4" t="s">
        <v>104</v>
      </c>
      <c r="P5230" s="3" t="s">
        <v>2592</v>
      </c>
      <c r="Q5230" s="4"/>
      <c r="R5230" s="4"/>
      <c r="S5230" s="9" t="str">
        <f>HYPERLINK("https://pbs.twimg.com/profile_images/1032893996224446464/aqWZ4V2h.jpg","View")</f>
        <v>View</v>
      </c>
    </row>
    <row r="5231" spans="1:19" ht="12.5">
      <c r="A5231" s="8">
        <v>43340.756886574076</v>
      </c>
      <c r="B5231" s="11" t="str">
        <f>HYPERLINK("https://twitter.com/Montaqed_Azad","@Montaqed_Azad")</f>
        <v>@Montaqed_Azad</v>
      </c>
      <c r="C5231" s="6" t="s">
        <v>2591</v>
      </c>
      <c r="D5231" s="5" t="s">
        <v>2590</v>
      </c>
      <c r="E5231" s="9" t="str">
        <f>HYPERLINK("https://twitter.com/Montaqed_Azad/status/1034435412465537026","1034435412465537026")</f>
        <v>1034435412465537026</v>
      </c>
      <c r="F5231" s="4"/>
      <c r="G5231" s="10" t="s">
        <v>2589</v>
      </c>
      <c r="H5231" s="4"/>
      <c r="I5231" s="10" t="str">
        <f>HYPERLINK("https://mobile.twitter.com","Twitter Lite")</f>
        <v>Twitter Lite</v>
      </c>
      <c r="J5231" s="2">
        <v>2</v>
      </c>
      <c r="K5231" s="2">
        <v>5</v>
      </c>
      <c r="L5231" s="2">
        <v>0</v>
      </c>
      <c r="M5231" s="2"/>
      <c r="N5231" s="8">
        <v>43319.033680555556</v>
      </c>
      <c r="O5231" s="4"/>
      <c r="P5231" s="3"/>
      <c r="Q5231" s="4"/>
      <c r="R5231" s="4"/>
      <c r="S5231" s="2" t="s">
        <v>155</v>
      </c>
    </row>
    <row r="5232" spans="1:19" ht="20">
      <c r="A5232" s="8">
        <v>43340.756597222222</v>
      </c>
      <c r="B5232" s="11" t="str">
        <f>HYPERLINK("https://twitter.com/BigBang2088","@BigBang2088")</f>
        <v>@BigBang2088</v>
      </c>
      <c r="C5232" s="6" t="s">
        <v>2588</v>
      </c>
      <c r="D5232" s="5" t="s">
        <v>2587</v>
      </c>
      <c r="E5232" s="9" t="str">
        <f>HYPERLINK("https://twitter.com/BigBang2088/status/1034435307297488897","1034435307297488897")</f>
        <v>1034435307297488897</v>
      </c>
      <c r="F5232" s="4"/>
      <c r="G5232" s="4"/>
      <c r="H5232" s="4"/>
      <c r="I5232" s="10" t="str">
        <f>HYPERLINK("http://twitter.com/download/android","Twitter for Android")</f>
        <v>Twitter for Android</v>
      </c>
      <c r="J5232" s="2">
        <v>25</v>
      </c>
      <c r="K5232" s="2">
        <v>10</v>
      </c>
      <c r="L5232" s="2">
        <v>0</v>
      </c>
      <c r="M5232" s="2"/>
      <c r="N5232" s="8">
        <v>43304.43922453704</v>
      </c>
      <c r="O5232" s="4"/>
      <c r="P5232" s="3" t="s">
        <v>2586</v>
      </c>
      <c r="Q5232" s="4"/>
      <c r="R5232" s="4"/>
      <c r="S5232" s="9" t="str">
        <f>HYPERLINK("https://pbs.twimg.com/profile_images/1033470510666006534/7F18wFpQ.jpg","View")</f>
        <v>View</v>
      </c>
    </row>
    <row r="5233" spans="1:19" ht="40">
      <c r="A5233" s="8">
        <v>43340.756342592591</v>
      </c>
      <c r="B5233" s="11" t="str">
        <f>HYPERLINK("https://twitter.com/Amir84541935","@Amir84541935")</f>
        <v>@Amir84541935</v>
      </c>
      <c r="C5233" s="6" t="s">
        <v>2585</v>
      </c>
      <c r="D5233" s="5" t="s">
        <v>2584</v>
      </c>
      <c r="E5233" s="9" t="str">
        <f>HYPERLINK("https://twitter.com/Amir84541935/status/1034435214259499012","1034435214259499012")</f>
        <v>1034435214259499012</v>
      </c>
      <c r="F5233" s="4"/>
      <c r="G5233" s="10" t="s">
        <v>2583</v>
      </c>
      <c r="H5233" s="4"/>
      <c r="I5233" s="10" t="str">
        <f>HYPERLINK("http://twitter.com/download/android","Twitter for Android")</f>
        <v>Twitter for Android</v>
      </c>
      <c r="J5233" s="2">
        <v>0</v>
      </c>
      <c r="K5233" s="2">
        <v>10</v>
      </c>
      <c r="L5233" s="2">
        <v>0</v>
      </c>
      <c r="M5233" s="2"/>
      <c r="N5233" s="8">
        <v>43230.913298611107</v>
      </c>
      <c r="O5233" s="4" t="s">
        <v>17</v>
      </c>
      <c r="P5233" s="3" t="s">
        <v>2582</v>
      </c>
      <c r="Q5233" s="4"/>
      <c r="R5233" s="4"/>
      <c r="S5233" s="9" t="str">
        <f>HYPERLINK("https://pbs.twimg.com/profile_images/994630776175067136/6x83KCY3.jpg","View")</f>
        <v>View</v>
      </c>
    </row>
    <row r="5234" spans="1:19" ht="40">
      <c r="A5234" s="8">
        <v>43340.756273148145</v>
      </c>
      <c r="B5234" s="11" t="str">
        <f>HYPERLINK("https://twitter.com/YvG3s","@YvG3s")</f>
        <v>@YvG3s</v>
      </c>
      <c r="C5234" s="6" t="s">
        <v>2581</v>
      </c>
      <c r="D5234" s="5" t="s">
        <v>2580</v>
      </c>
      <c r="E5234" s="9" t="str">
        <f>HYPERLINK("https://twitter.com/YvG3s/status/1034435188292505600","1034435188292505600")</f>
        <v>1034435188292505600</v>
      </c>
      <c r="F5234" s="4"/>
      <c r="G5234" s="4"/>
      <c r="H5234" s="4"/>
      <c r="I5234" s="10" t="str">
        <f>HYPERLINK("http://twitter.com/download/iphone","Twitter for iPhone")</f>
        <v>Twitter for iPhone</v>
      </c>
      <c r="J5234" s="2">
        <v>456</v>
      </c>
      <c r="K5234" s="2">
        <v>830</v>
      </c>
      <c r="L5234" s="2">
        <v>3</v>
      </c>
      <c r="M5234" s="2"/>
      <c r="N5234" s="8">
        <v>42983.092766203699</v>
      </c>
      <c r="O5234" s="4" t="s">
        <v>104</v>
      </c>
      <c r="P5234" s="3" t="s">
        <v>2579</v>
      </c>
      <c r="Q5234" s="10" t="s">
        <v>2578</v>
      </c>
      <c r="R5234" s="4"/>
      <c r="S5234" s="9" t="str">
        <f>HYPERLINK("https://pbs.twimg.com/profile_images/913025576612646912/OLgVPein.jpg","View")</f>
        <v>View</v>
      </c>
    </row>
    <row r="5235" spans="1:19" ht="30">
      <c r="A5235" s="8">
        <v>43340.75613425926</v>
      </c>
      <c r="B5235" s="11" t="str">
        <f>HYPERLINK("https://twitter.com/mehrAsa450","@mehrAsa450")</f>
        <v>@mehrAsa450</v>
      </c>
      <c r="C5235" s="6" t="s">
        <v>2577</v>
      </c>
      <c r="D5235" s="5" t="s">
        <v>2576</v>
      </c>
      <c r="E5235" s="9" t="str">
        <f>HYPERLINK("https://twitter.com/mehrAsa450/status/1034435140221579265","1034435140221579265")</f>
        <v>1034435140221579265</v>
      </c>
      <c r="F5235" s="4"/>
      <c r="G5235" s="10" t="s">
        <v>2575</v>
      </c>
      <c r="H5235" s="4"/>
      <c r="I5235" s="10" t="str">
        <f>HYPERLINK("http://twitter.com/download/android","Twitter for Android")</f>
        <v>Twitter for Android</v>
      </c>
      <c r="J5235" s="2">
        <v>96</v>
      </c>
      <c r="K5235" s="2">
        <v>88</v>
      </c>
      <c r="L5235" s="2">
        <v>0</v>
      </c>
      <c r="M5235" s="2"/>
      <c r="N5235" s="8">
        <v>43164.008692129632</v>
      </c>
      <c r="O5235" s="4" t="s">
        <v>17</v>
      </c>
      <c r="P5235" s="3" t="s">
        <v>2574</v>
      </c>
      <c r="Q5235" s="4"/>
      <c r="R5235" s="4"/>
      <c r="S5235" s="9" t="str">
        <f>HYPERLINK("https://pbs.twimg.com/profile_images/972542691644002304/2Aj9USgq.jpg","View")</f>
        <v>View</v>
      </c>
    </row>
    <row r="5236" spans="1:19" ht="30">
      <c r="A5236" s="8">
        <v>43340.75608796296</v>
      </c>
      <c r="B5236" s="11" t="str">
        <f>HYPERLINK("https://twitter.com/mehdiahmadi68","@mehdiahmadi68")</f>
        <v>@mehdiahmadi68</v>
      </c>
      <c r="C5236" s="6" t="s">
        <v>2573</v>
      </c>
      <c r="D5236" s="5" t="s">
        <v>2572</v>
      </c>
      <c r="E5236" s="9" t="str">
        <f>HYPERLINK("https://twitter.com/mehdiahmadi68/status/1034435123436036102","1034435123436036102")</f>
        <v>1034435123436036102</v>
      </c>
      <c r="F5236" s="4"/>
      <c r="G5236" s="4"/>
      <c r="H5236" s="4"/>
      <c r="I5236" s="10" t="str">
        <f>HYPERLINK("http://twitter.com/download/iphone","Twitter for iPhone")</f>
        <v>Twitter for iPhone</v>
      </c>
      <c r="J5236" s="2">
        <v>186</v>
      </c>
      <c r="K5236" s="2">
        <v>195</v>
      </c>
      <c r="L5236" s="2">
        <v>1</v>
      </c>
      <c r="M5236" s="2"/>
      <c r="N5236" s="8">
        <v>41652.703738425924</v>
      </c>
      <c r="O5236" s="4" t="s">
        <v>1601</v>
      </c>
      <c r="P5236" s="3" t="s">
        <v>2571</v>
      </c>
      <c r="Q5236" s="4"/>
      <c r="R5236" s="4"/>
      <c r="S5236" s="9" t="str">
        <f>HYPERLINK("https://pbs.twimg.com/profile_images/1031798302986182656/yB75nA-y.jpg","View")</f>
        <v>View</v>
      </c>
    </row>
    <row r="5237" spans="1:19" ht="40">
      <c r="A5237" s="8">
        <v>43340.756006944444</v>
      </c>
      <c r="B5237" s="11" t="str">
        <f>HYPERLINK("https://twitter.com/mojhezsev","@mojhezsev")</f>
        <v>@mojhezsev</v>
      </c>
      <c r="C5237" s="6" t="s">
        <v>2570</v>
      </c>
      <c r="D5237" s="5" t="s">
        <v>2569</v>
      </c>
      <c r="E5237" s="9" t="str">
        <f>HYPERLINK("https://twitter.com/mojhezsev/status/1034435093304098816","1034435093304098816")</f>
        <v>1034435093304098816</v>
      </c>
      <c r="F5237" s="4"/>
      <c r="G5237" s="4"/>
      <c r="H5237" s="4"/>
      <c r="I5237" s="10" t="str">
        <f>HYPERLINK("http://twitter.com/download/iphone","Twitter for iPhone")</f>
        <v>Twitter for iPhone</v>
      </c>
      <c r="J5237" s="2">
        <v>1403</v>
      </c>
      <c r="K5237" s="2">
        <v>5000</v>
      </c>
      <c r="L5237" s="2">
        <v>1</v>
      </c>
      <c r="M5237" s="2"/>
      <c r="N5237" s="8">
        <v>41663.179895833331</v>
      </c>
      <c r="O5237" s="4"/>
      <c r="P5237" s="3" t="s">
        <v>2568</v>
      </c>
      <c r="Q5237" s="4"/>
      <c r="R5237" s="4"/>
      <c r="S5237" s="9" t="str">
        <f>HYPERLINK("https://pbs.twimg.com/profile_images/991971884299321345/4lAkf9tI.jpg","View")</f>
        <v>View</v>
      </c>
    </row>
    <row r="5238" spans="1:19" ht="12.5">
      <c r="A5238" s="8">
        <v>43340.755949074075</v>
      </c>
      <c r="B5238" s="11" t="str">
        <f>HYPERLINK("https://twitter.com/dangerclash2016","@dangerclash2016")</f>
        <v>@dangerclash2016</v>
      </c>
      <c r="C5238" s="6" t="s">
        <v>2567</v>
      </c>
      <c r="D5238" s="5" t="s">
        <v>2566</v>
      </c>
      <c r="E5238" s="9" t="str">
        <f>HYPERLINK("https://twitter.com/dangerclash2016/status/1034435070956851200","1034435070956851200")</f>
        <v>1034435070956851200</v>
      </c>
      <c r="F5238" s="4"/>
      <c r="G5238" s="10" t="s">
        <v>2565</v>
      </c>
      <c r="H5238" s="4"/>
      <c r="I5238" s="10" t="str">
        <f>HYPERLINK("http://twitter.com/download/android","Twitter for Android")</f>
        <v>Twitter for Android</v>
      </c>
      <c r="J5238" s="2">
        <v>352</v>
      </c>
      <c r="K5238" s="2">
        <v>373</v>
      </c>
      <c r="L5238" s="2">
        <v>0</v>
      </c>
      <c r="M5238" s="2"/>
      <c r="N5238" s="8">
        <v>43304.419988425929</v>
      </c>
      <c r="O5238" s="4"/>
      <c r="P5238" s="3" t="s">
        <v>2564</v>
      </c>
      <c r="Q5238" s="4"/>
      <c r="R5238" s="4"/>
      <c r="S5238" s="9" t="str">
        <f>HYPERLINK("https://pbs.twimg.com/profile_images/1021454207176593409/IdwVdz9c.jpg","View")</f>
        <v>View</v>
      </c>
    </row>
    <row r="5239" spans="1:19" ht="30">
      <c r="A5239" s="8">
        <v>43340.755740740744</v>
      </c>
      <c r="B5239" s="11" t="str">
        <f>HYPERLINK("https://twitter.com/SocratesQomi","@SocratesQomi")</f>
        <v>@SocratesQomi</v>
      </c>
      <c r="C5239" s="6" t="s">
        <v>2563</v>
      </c>
      <c r="D5239" s="5" t="s">
        <v>2562</v>
      </c>
      <c r="E5239" s="9" t="str">
        <f>HYPERLINK("https://twitter.com/SocratesQomi/status/1034434997724295168","1034434997724295168")</f>
        <v>1034434997724295168</v>
      </c>
      <c r="F5239" s="4"/>
      <c r="G5239" s="10" t="s">
        <v>2561</v>
      </c>
      <c r="H5239" s="4"/>
      <c r="I5239" s="10" t="str">
        <f>HYPERLINK("http://twitter.com/download/android","Twitter for Android")</f>
        <v>Twitter for Android</v>
      </c>
      <c r="J5239" s="2">
        <v>1406</v>
      </c>
      <c r="K5239" s="2">
        <v>716</v>
      </c>
      <c r="L5239" s="2">
        <v>6</v>
      </c>
      <c r="M5239" s="2"/>
      <c r="N5239" s="8">
        <v>43111.609143518523</v>
      </c>
      <c r="O5239" s="4" t="s">
        <v>2560</v>
      </c>
      <c r="P5239" s="3" t="s">
        <v>2559</v>
      </c>
      <c r="Q5239" s="10" t="s">
        <v>2558</v>
      </c>
      <c r="R5239" s="4"/>
      <c r="S5239" s="9" t="str">
        <f>HYPERLINK("https://pbs.twimg.com/profile_images/990429110685044737/AlyWGvoy.jpg","View")</f>
        <v>View</v>
      </c>
    </row>
    <row r="5240" spans="1:19" ht="50">
      <c r="A5240" s="8">
        <v>43340.755671296298</v>
      </c>
      <c r="B5240" s="11" t="str">
        <f>HYPERLINK("https://twitter.com/medunamun_","@medunamun_")</f>
        <v>@medunamun_</v>
      </c>
      <c r="C5240" s="6" t="s">
        <v>2508</v>
      </c>
      <c r="D5240" s="5" t="s">
        <v>2557</v>
      </c>
      <c r="E5240" s="9" t="str">
        <f>HYPERLINK("https://twitter.com/medunamun_/status/1034434970591391744","1034434970591391744")</f>
        <v>1034434970591391744</v>
      </c>
      <c r="F5240" s="4"/>
      <c r="G5240" s="4"/>
      <c r="H5240" s="4"/>
      <c r="I5240" s="10" t="str">
        <f>HYPERLINK("http://twitter.com/download/android","Twitter for Android")</f>
        <v>Twitter for Android</v>
      </c>
      <c r="J5240" s="2">
        <v>87</v>
      </c>
      <c r="K5240" s="2">
        <v>107</v>
      </c>
      <c r="L5240" s="2">
        <v>0</v>
      </c>
      <c r="M5240" s="2"/>
      <c r="N5240" s="8">
        <v>42754.114085648151</v>
      </c>
      <c r="O5240" s="4" t="s">
        <v>34</v>
      </c>
      <c r="P5240" s="3" t="s">
        <v>2506</v>
      </c>
      <c r="Q5240" s="4"/>
      <c r="R5240" s="4"/>
      <c r="S5240" s="9" t="str">
        <f>HYPERLINK("https://pbs.twimg.com/profile_images/981504888629878784/Q84j3Atd.jpg","View")</f>
        <v>View</v>
      </c>
    </row>
    <row r="5241" spans="1:19" ht="12.5">
      <c r="A5241" s="8">
        <v>43340.755648148144</v>
      </c>
      <c r="B5241" s="11" t="str">
        <f>HYPERLINK("https://twitter.com/ArmanHaj","@ArmanHaj")</f>
        <v>@ArmanHaj</v>
      </c>
      <c r="C5241" s="6" t="s">
        <v>2556</v>
      </c>
      <c r="D5241" s="5" t="s">
        <v>2555</v>
      </c>
      <c r="E5241" s="9" t="str">
        <f>HYPERLINK("https://twitter.com/ArmanHaj/status/1034434960357306368","1034434960357306368")</f>
        <v>1034434960357306368</v>
      </c>
      <c r="F5241" s="4"/>
      <c r="G5241" s="4"/>
      <c r="H5241" s="4"/>
      <c r="I5241" s="10" t="str">
        <f>HYPERLINK("https://mobile.twitter.com","Twitter Lite")</f>
        <v>Twitter Lite</v>
      </c>
      <c r="J5241" s="2">
        <v>83</v>
      </c>
      <c r="K5241" s="2">
        <v>63</v>
      </c>
      <c r="L5241" s="2">
        <v>0</v>
      </c>
      <c r="M5241" s="2"/>
      <c r="N5241" s="8">
        <v>43273.735185185185</v>
      </c>
      <c r="O5241" s="4" t="s">
        <v>2554</v>
      </c>
      <c r="P5241" s="3" t="s">
        <v>2553</v>
      </c>
      <c r="Q5241" s="4"/>
      <c r="R5241" s="4"/>
      <c r="S5241" s="9" t="str">
        <f>HYPERLINK("https://pbs.twimg.com/profile_images/1032949021323812865/jXZMiOlc.jpg","View")</f>
        <v>View</v>
      </c>
    </row>
    <row r="5242" spans="1:19" ht="20">
      <c r="A5242" s="8">
        <v>43340.755254629628</v>
      </c>
      <c r="B5242" s="11" t="str">
        <f>HYPERLINK("https://twitter.com/ali_mashayekh_","@ali_mashayekh_")</f>
        <v>@ali_mashayekh_</v>
      </c>
      <c r="C5242" s="6" t="s">
        <v>2552</v>
      </c>
      <c r="D5242" s="5" t="s">
        <v>2551</v>
      </c>
      <c r="E5242" s="9" t="str">
        <f>HYPERLINK("https://twitter.com/ali_mashayekh_/status/1034434819638407169","1034434819638407169")</f>
        <v>1034434819638407169</v>
      </c>
      <c r="F5242" s="4"/>
      <c r="G5242" s="4"/>
      <c r="H5242" s="4"/>
      <c r="I5242" s="10" t="str">
        <f>HYPERLINK("http://twitter.com/download/iphone","Twitter for iPhone")</f>
        <v>Twitter for iPhone</v>
      </c>
      <c r="J5242" s="2">
        <v>222</v>
      </c>
      <c r="K5242" s="2">
        <v>170</v>
      </c>
      <c r="L5242" s="2">
        <v>2</v>
      </c>
      <c r="M5242" s="2"/>
      <c r="N5242" s="8">
        <v>42934.508263888885</v>
      </c>
      <c r="O5242" s="4" t="s">
        <v>34</v>
      </c>
      <c r="P5242" s="3" t="s">
        <v>2550</v>
      </c>
      <c r="Q5242" s="4"/>
      <c r="R5242" s="4"/>
      <c r="S5242" s="9" t="str">
        <f>HYPERLINK("https://pbs.twimg.com/profile_images/944306225688317952/TLINizWu.jpg","View")</f>
        <v>View</v>
      </c>
    </row>
    <row r="5243" spans="1:19" ht="40">
      <c r="A5243" s="8">
        <v>43340.755231481482</v>
      </c>
      <c r="B5243" s="11" t="str">
        <f>HYPERLINK("https://twitter.com/mohammad1908","@mohammad1908")</f>
        <v>@mohammad1908</v>
      </c>
      <c r="C5243" s="6" t="s">
        <v>2549</v>
      </c>
      <c r="D5243" s="5" t="s">
        <v>2548</v>
      </c>
      <c r="E5243" s="9" t="str">
        <f>HYPERLINK("https://twitter.com/mohammad1908/status/1034434812642091011","1034434812642091011")</f>
        <v>1034434812642091011</v>
      </c>
      <c r="F5243" s="4"/>
      <c r="G5243" s="4"/>
      <c r="H5243" s="4"/>
      <c r="I5243" s="10" t="str">
        <f>HYPERLINK("http://twitter.com/download/iphone","Twitter for iPhone")</f>
        <v>Twitter for iPhone</v>
      </c>
      <c r="J5243" s="2">
        <v>88</v>
      </c>
      <c r="K5243" s="2">
        <v>141</v>
      </c>
      <c r="L5243" s="2">
        <v>2</v>
      </c>
      <c r="M5243" s="2"/>
      <c r="N5243" s="8">
        <v>40998.572083333333</v>
      </c>
      <c r="O5243" s="4" t="s">
        <v>34</v>
      </c>
      <c r="P5243" s="3" t="s">
        <v>2547</v>
      </c>
      <c r="Q5243" s="4"/>
      <c r="R5243" s="4"/>
      <c r="S5243" s="9" t="str">
        <f>HYPERLINK("https://pbs.twimg.com/profile_images/698054305706852353/zsvD1zJV.jpg","View")</f>
        <v>View</v>
      </c>
    </row>
    <row r="5244" spans="1:19" ht="30">
      <c r="A5244" s="8">
        <v>43340.755104166667</v>
      </c>
      <c r="B5244" s="11" t="str">
        <f>HYPERLINK("https://twitter.com/Taamogh","@Taamogh")</f>
        <v>@Taamogh</v>
      </c>
      <c r="C5244" s="6" t="s">
        <v>2546</v>
      </c>
      <c r="D5244" s="5" t="s">
        <v>2545</v>
      </c>
      <c r="E5244" s="9" t="str">
        <f>HYPERLINK("https://twitter.com/Taamogh/status/1034434764500029440","1034434764500029440")</f>
        <v>1034434764500029440</v>
      </c>
      <c r="F5244" s="4"/>
      <c r="G5244" s="4"/>
      <c r="H5244" s="4"/>
      <c r="I5244" s="10" t="str">
        <f>HYPERLINK("http://twitter.com/download/android","Twitter for Android")</f>
        <v>Twitter for Android</v>
      </c>
      <c r="J5244" s="2">
        <v>39</v>
      </c>
      <c r="K5244" s="2">
        <v>178</v>
      </c>
      <c r="L5244" s="2">
        <v>0</v>
      </c>
      <c r="M5244" s="2"/>
      <c r="N5244" s="8">
        <v>43114.609965277778</v>
      </c>
      <c r="O5244" s="4" t="s">
        <v>2544</v>
      </c>
      <c r="P5244" s="3" t="s">
        <v>2543</v>
      </c>
      <c r="Q5244" s="4"/>
      <c r="R5244" s="4"/>
      <c r="S5244" s="9" t="str">
        <f>HYPERLINK("https://pbs.twimg.com/profile_images/999267296865542146/RrZ9bi01.jpg","View")</f>
        <v>View</v>
      </c>
    </row>
    <row r="5245" spans="1:19" ht="30">
      <c r="A5245" s="8">
        <v>43340.755057870367</v>
      </c>
      <c r="B5245" s="11" t="str">
        <f>HYPERLINK("https://twitter.com/AkhbarFori","@AkhbarFori")</f>
        <v>@AkhbarFori</v>
      </c>
      <c r="C5245" s="6" t="s">
        <v>703</v>
      </c>
      <c r="D5245" s="5" t="s">
        <v>2542</v>
      </c>
      <c r="E5245" s="9" t="str">
        <f>HYPERLINK("https://twitter.com/AkhbarFori/status/1034434746166718465","1034434746166718465")</f>
        <v>1034434746166718465</v>
      </c>
      <c r="F5245" s="10" t="s">
        <v>2541</v>
      </c>
      <c r="G5245" s="4"/>
      <c r="H5245" s="4"/>
      <c r="I5245" s="10" t="str">
        <f>HYPERLINK("http://twitter.com/download/android","Twitter for Android")</f>
        <v>Twitter for Android</v>
      </c>
      <c r="J5245" s="2">
        <v>2275</v>
      </c>
      <c r="K5245" s="2">
        <v>56</v>
      </c>
      <c r="L5245" s="2">
        <v>10</v>
      </c>
      <c r="M5245" s="2"/>
      <c r="N5245" s="8">
        <v>42681.433865740742</v>
      </c>
      <c r="O5245" s="4" t="s">
        <v>34</v>
      </c>
      <c r="P5245" s="3" t="s">
        <v>700</v>
      </c>
      <c r="Q5245" s="10" t="s">
        <v>699</v>
      </c>
      <c r="R5245" s="4"/>
      <c r="S5245" s="9" t="str">
        <f>HYPERLINK("https://pbs.twimg.com/profile_images/966310274599964674/M_bW7CfD.jpg","View")</f>
        <v>View</v>
      </c>
    </row>
    <row r="5246" spans="1:19" ht="30">
      <c r="A5246" s="8">
        <v>43340.754432870366</v>
      </c>
      <c r="B5246" s="11" t="str">
        <f>HYPERLINK("https://twitter.com/shoresh61","@shoresh61")</f>
        <v>@shoresh61</v>
      </c>
      <c r="C5246" s="6" t="s">
        <v>2540</v>
      </c>
      <c r="D5246" s="5" t="s">
        <v>2539</v>
      </c>
      <c r="E5246" s="9" t="str">
        <f>HYPERLINK("https://twitter.com/shoresh61/status/1034434519875678208","1034434519875678208")</f>
        <v>1034434519875678208</v>
      </c>
      <c r="F5246" s="4"/>
      <c r="G5246" s="4"/>
      <c r="H5246" s="4"/>
      <c r="I5246" s="10" t="str">
        <f>HYPERLINK("http://twitter.com/download/android","Twitter for Android")</f>
        <v>Twitter for Android</v>
      </c>
      <c r="J5246" s="2">
        <v>12169</v>
      </c>
      <c r="K5246" s="2">
        <v>7317</v>
      </c>
      <c r="L5246" s="2">
        <v>16</v>
      </c>
      <c r="M5246" s="2"/>
      <c r="N5246" s="8">
        <v>41707.846446759257</v>
      </c>
      <c r="O5246" s="4" t="s">
        <v>2538</v>
      </c>
      <c r="P5246" s="3" t="s">
        <v>2537</v>
      </c>
      <c r="Q5246" s="10" t="s">
        <v>2536</v>
      </c>
      <c r="R5246" s="4"/>
      <c r="S5246" s="9" t="str">
        <f>HYPERLINK("https://pbs.twimg.com/profile_images/944544717194301442/frY1ROFo.jpg","View")</f>
        <v>View</v>
      </c>
    </row>
    <row r="5247" spans="1:19" ht="40">
      <c r="A5247" s="8">
        <v>43340.754143518519</v>
      </c>
      <c r="B5247" s="11" t="str">
        <f>HYPERLINK("https://twitter.com/KheirkhahMasoud","@KheirkhahMasoud")</f>
        <v>@KheirkhahMasoud</v>
      </c>
      <c r="C5247" s="6" t="s">
        <v>2535</v>
      </c>
      <c r="D5247" s="5" t="s">
        <v>2534</v>
      </c>
      <c r="E5247" s="9" t="str">
        <f>HYPERLINK("https://twitter.com/KheirkhahMasoud/status/1034434415596896258","1034434415596896258")</f>
        <v>1034434415596896258</v>
      </c>
      <c r="F5247" s="4"/>
      <c r="G5247" s="10" t="s">
        <v>2533</v>
      </c>
      <c r="H5247" s="4"/>
      <c r="I5247" s="10" t="str">
        <f>HYPERLINK("http://twitter.com","Twitter Web Client")</f>
        <v>Twitter Web Client</v>
      </c>
      <c r="J5247" s="2">
        <v>44</v>
      </c>
      <c r="K5247" s="2">
        <v>105</v>
      </c>
      <c r="L5247" s="2">
        <v>1</v>
      </c>
      <c r="M5247" s="2"/>
      <c r="N5247" s="8">
        <v>42310.619606481487</v>
      </c>
      <c r="O5247" s="4" t="s">
        <v>1415</v>
      </c>
      <c r="P5247" s="3" t="s">
        <v>2532</v>
      </c>
      <c r="Q5247" s="10" t="s">
        <v>2531</v>
      </c>
      <c r="R5247" s="4"/>
      <c r="S5247" s="9" t="str">
        <f>HYPERLINK("https://pbs.twimg.com/profile_images/661142975372627968/tYrmdel7.jpg","View")</f>
        <v>View</v>
      </c>
    </row>
    <row r="5248" spans="1:19" ht="30">
      <c r="A5248" s="8">
        <v>43340.75408564815</v>
      </c>
      <c r="B5248" s="11" t="str">
        <f>HYPERLINK("https://twitter.com/mosizeinali","@mosizeinali")</f>
        <v>@mosizeinali</v>
      </c>
      <c r="C5248" s="6" t="s">
        <v>2530</v>
      </c>
      <c r="D5248" s="5" t="s">
        <v>2529</v>
      </c>
      <c r="E5248" s="9" t="str">
        <f>HYPERLINK("https://twitter.com/mosizeinali/status/1034434394302435328","1034434394302435328")</f>
        <v>1034434394302435328</v>
      </c>
      <c r="F5248" s="4"/>
      <c r="G5248" s="4"/>
      <c r="H5248" s="4"/>
      <c r="I5248" s="10" t="str">
        <f>HYPERLINK("http://twitter.com/download/iphone","Twitter for iPhone")</f>
        <v>Twitter for iPhone</v>
      </c>
      <c r="J5248" s="2">
        <v>28</v>
      </c>
      <c r="K5248" s="2">
        <v>53</v>
      </c>
      <c r="L5248" s="2">
        <v>0</v>
      </c>
      <c r="M5248" s="2"/>
      <c r="N5248" s="8">
        <v>41833.473599537036</v>
      </c>
      <c r="O5248" s="4" t="s">
        <v>133</v>
      </c>
      <c r="P5248" s="3"/>
      <c r="Q5248" s="4"/>
      <c r="R5248" s="4"/>
      <c r="S5248" s="9" t="str">
        <f>HYPERLINK("https://pbs.twimg.com/profile_images/849349680798597121/WKmy2NMD.jpg","View")</f>
        <v>View</v>
      </c>
    </row>
    <row r="5249" spans="1:19" ht="20">
      <c r="A5249" s="8">
        <v>43340.753275462965</v>
      </c>
      <c r="B5249" s="11" t="str">
        <f>HYPERLINK("https://twitter.com/hamedpaydaar","@hamedpaydaar")</f>
        <v>@hamedpaydaar</v>
      </c>
      <c r="C5249" s="6" t="s">
        <v>2528</v>
      </c>
      <c r="D5249" s="5" t="s">
        <v>2527</v>
      </c>
      <c r="E5249" s="9" t="str">
        <f>HYPERLINK("https://twitter.com/hamedpaydaar/status/1034434102102056962","1034434102102056962")</f>
        <v>1034434102102056962</v>
      </c>
      <c r="F5249" s="4"/>
      <c r="G5249" s="10" t="s">
        <v>2526</v>
      </c>
      <c r="H5249" s="4"/>
      <c r="I5249" s="10" t="str">
        <f>HYPERLINK("http://twitter.com/download/android","Twitter for Android")</f>
        <v>Twitter for Android</v>
      </c>
      <c r="J5249" s="2">
        <v>1497</v>
      </c>
      <c r="K5249" s="2">
        <v>1017</v>
      </c>
      <c r="L5249" s="2">
        <v>3</v>
      </c>
      <c r="M5249" s="2"/>
      <c r="N5249" s="8">
        <v>43167.774745370371</v>
      </c>
      <c r="O5249" s="4" t="s">
        <v>34</v>
      </c>
      <c r="P5249" s="3" t="s">
        <v>2525</v>
      </c>
      <c r="Q5249" s="4"/>
      <c r="R5249" s="4"/>
      <c r="S5249" s="9" t="str">
        <f>HYPERLINK("https://pbs.twimg.com/profile_images/1023978123346489346/QRdYVLrH.jpg","View")</f>
        <v>View</v>
      </c>
    </row>
    <row r="5250" spans="1:19" ht="60">
      <c r="A5250" s="8">
        <v>43340.753009259264</v>
      </c>
      <c r="B5250" s="11" t="str">
        <f>HYPERLINK("https://twitter.com/sayedshoja","@sayedshoja")</f>
        <v>@sayedshoja</v>
      </c>
      <c r="C5250" s="6" t="s">
        <v>2524</v>
      </c>
      <c r="D5250" s="5" t="s">
        <v>2523</v>
      </c>
      <c r="E5250" s="9" t="str">
        <f>HYPERLINK("https://twitter.com/sayedshoja/status/1034434004903256064","1034434004903256064")</f>
        <v>1034434004903256064</v>
      </c>
      <c r="F5250" s="10" t="s">
        <v>2522</v>
      </c>
      <c r="G5250" s="10" t="s">
        <v>2521</v>
      </c>
      <c r="H5250" s="4"/>
      <c r="I5250" s="10" t="str">
        <f>HYPERLINK("http://twitter.com/download/android","Twitter for Android")</f>
        <v>Twitter for Android</v>
      </c>
      <c r="J5250" s="2">
        <v>313</v>
      </c>
      <c r="K5250" s="2">
        <v>116</v>
      </c>
      <c r="L5250" s="2">
        <v>2</v>
      </c>
      <c r="M5250" s="2"/>
      <c r="N5250" s="8">
        <v>42828.623703703706</v>
      </c>
      <c r="O5250" s="4" t="s">
        <v>2520</v>
      </c>
      <c r="P5250" s="3" t="s">
        <v>2519</v>
      </c>
      <c r="Q5250" s="4"/>
      <c r="R5250" s="4"/>
      <c r="S5250" s="9" t="str">
        <f>HYPERLINK("https://pbs.twimg.com/profile_images/923240848967589888/Y_oysmwc.jpg","View")</f>
        <v>View</v>
      </c>
    </row>
    <row r="5251" spans="1:19" ht="40">
      <c r="A5251" s="8">
        <v>43340.752893518518</v>
      </c>
      <c r="B5251" s="11" t="str">
        <f>HYPERLINK("https://twitter.com/Sogolparvian","@Sogolparvian")</f>
        <v>@Sogolparvian</v>
      </c>
      <c r="C5251" s="11" t="s">
        <v>2518</v>
      </c>
      <c r="D5251" s="5" t="s">
        <v>2517</v>
      </c>
      <c r="E5251" s="9" t="str">
        <f>HYPERLINK("https://twitter.com/Sogolparvian/status/1034433962247114752","1034433962247114752")</f>
        <v>1034433962247114752</v>
      </c>
      <c r="F5251" s="4"/>
      <c r="G5251" s="4"/>
      <c r="H5251" s="4"/>
      <c r="I5251" s="10" t="str">
        <f>HYPERLINK("http://twitter.com/download/android","Twitter for Android")</f>
        <v>Twitter for Android</v>
      </c>
      <c r="J5251" s="2">
        <v>33</v>
      </c>
      <c r="K5251" s="2">
        <v>57</v>
      </c>
      <c r="L5251" s="2">
        <v>0</v>
      </c>
      <c r="M5251" s="2"/>
      <c r="N5251" s="8">
        <v>43099.036192129628</v>
      </c>
      <c r="O5251" s="4" t="s">
        <v>34</v>
      </c>
      <c r="P5251" s="3" t="s">
        <v>2516</v>
      </c>
      <c r="Q5251" s="4"/>
      <c r="R5251" s="4"/>
      <c r="S5251" s="9" t="str">
        <f>HYPERLINK("https://pbs.twimg.com/profile_images/1028949551250644993/HYpZfAhf.jpg","View")</f>
        <v>View</v>
      </c>
    </row>
    <row r="5252" spans="1:19" ht="40">
      <c r="A5252" s="8">
        <v>43340.75236111111</v>
      </c>
      <c r="B5252" s="11" t="str">
        <f>HYPERLINK("https://twitter.com/patriiikkk","@patriiikkk")</f>
        <v>@patriiikkk</v>
      </c>
      <c r="C5252" s="6" t="s">
        <v>2515</v>
      </c>
      <c r="D5252" s="5" t="s">
        <v>2514</v>
      </c>
      <c r="E5252" s="9" t="str">
        <f>HYPERLINK("https://twitter.com/patriiikkk/status/1034433772689731587","1034433772689731587")</f>
        <v>1034433772689731587</v>
      </c>
      <c r="F5252" s="4" t="s">
        <v>2513</v>
      </c>
      <c r="G5252" s="4"/>
      <c r="H5252" s="4"/>
      <c r="I5252" s="10" t="str">
        <f>HYPERLINK("http://twitter.com/download/iphone","Twitter for iPhone")</f>
        <v>Twitter for iPhone</v>
      </c>
      <c r="J5252" s="2">
        <v>403</v>
      </c>
      <c r="K5252" s="2">
        <v>3446</v>
      </c>
      <c r="L5252" s="2">
        <v>3</v>
      </c>
      <c r="M5252" s="2"/>
      <c r="N5252" s="8">
        <v>42350.722557870366</v>
      </c>
      <c r="O5252" s="4"/>
      <c r="P5252" s="3"/>
      <c r="Q5252" s="4"/>
      <c r="R5252" s="4"/>
      <c r="S5252" s="9" t="str">
        <f>HYPERLINK("https://pbs.twimg.com/profile_images/1015733947186253825/F4Pl5U__.jpg","View")</f>
        <v>View</v>
      </c>
    </row>
    <row r="5253" spans="1:19" ht="30">
      <c r="A5253" s="8">
        <v>43340.751828703702</v>
      </c>
      <c r="B5253" s="11" t="str">
        <f>HYPERLINK("https://twitter.com/MstfArt","@MstfArt")</f>
        <v>@MstfArt</v>
      </c>
      <c r="C5253" s="6" t="s">
        <v>2512</v>
      </c>
      <c r="D5253" s="5" t="s">
        <v>2511</v>
      </c>
      <c r="E5253" s="9" t="str">
        <f>HYPERLINK("https://twitter.com/MstfArt/status/1034433577537167360","1034433577537167360")</f>
        <v>1034433577537167360</v>
      </c>
      <c r="F5253" s="4"/>
      <c r="G5253" s="4"/>
      <c r="H5253" s="4"/>
      <c r="I5253" s="10" t="str">
        <f>HYPERLINK("http://twitter.com","Twitter Web Client")</f>
        <v>Twitter Web Client</v>
      </c>
      <c r="J5253" s="2">
        <v>2406</v>
      </c>
      <c r="K5253" s="2">
        <v>4255</v>
      </c>
      <c r="L5253" s="2">
        <v>3</v>
      </c>
      <c r="M5253" s="2"/>
      <c r="N5253" s="8">
        <v>42700.005173611113</v>
      </c>
      <c r="O5253" s="4" t="s">
        <v>2510</v>
      </c>
      <c r="P5253" s="3" t="s">
        <v>2509</v>
      </c>
      <c r="Q5253" s="4"/>
      <c r="R5253" s="4"/>
      <c r="S5253" s="9" t="str">
        <f>HYPERLINK("https://pbs.twimg.com/profile_images/1019207607846866944/5I86CCs9.jpg","View")</f>
        <v>View</v>
      </c>
    </row>
    <row r="5254" spans="1:19" ht="20">
      <c r="A5254" s="8">
        <v>43340.751736111109</v>
      </c>
      <c r="B5254" s="11" t="str">
        <f>HYPERLINK("https://twitter.com/medunamun_","@medunamun_")</f>
        <v>@medunamun_</v>
      </c>
      <c r="C5254" s="6" t="s">
        <v>2508</v>
      </c>
      <c r="D5254" s="5" t="s">
        <v>2507</v>
      </c>
      <c r="E5254" s="9" t="str">
        <f>HYPERLINK("https://twitter.com/medunamun_/status/1034433544137965568","1034433544137965568")</f>
        <v>1034433544137965568</v>
      </c>
      <c r="F5254" s="4"/>
      <c r="G5254" s="4"/>
      <c r="H5254" s="4"/>
      <c r="I5254" s="10" t="str">
        <f>HYPERLINK("http://twitter.com/download/android","Twitter for Android")</f>
        <v>Twitter for Android</v>
      </c>
      <c r="J5254" s="2">
        <v>87</v>
      </c>
      <c r="K5254" s="2">
        <v>107</v>
      </c>
      <c r="L5254" s="2">
        <v>0</v>
      </c>
      <c r="M5254" s="2"/>
      <c r="N5254" s="8">
        <v>42754.114085648151</v>
      </c>
      <c r="O5254" s="4" t="s">
        <v>34</v>
      </c>
      <c r="P5254" s="3" t="s">
        <v>2506</v>
      </c>
      <c r="Q5254" s="4"/>
      <c r="R5254" s="4"/>
      <c r="S5254" s="9" t="str">
        <f>HYPERLINK("https://pbs.twimg.com/profile_images/981504888629878784/Q84j3Atd.jpg","View")</f>
        <v>View</v>
      </c>
    </row>
    <row r="5255" spans="1:19" ht="20">
      <c r="A5255" s="8">
        <v>43340.751504629632</v>
      </c>
      <c r="B5255" s="11" t="str">
        <f>HYPERLINK("https://twitter.com/BlackMi74769355","@BlackMi74769355")</f>
        <v>@BlackMi74769355</v>
      </c>
      <c r="C5255" s="6" t="s">
        <v>2347</v>
      </c>
      <c r="D5255" s="5" t="s">
        <v>2505</v>
      </c>
      <c r="E5255" s="9" t="str">
        <f>HYPERLINK("https://twitter.com/BlackMi74769355/status/1034433459438141440","1034433459438141440")</f>
        <v>1034433459438141440</v>
      </c>
      <c r="F5255" s="4"/>
      <c r="G5255" s="10" t="s">
        <v>2504</v>
      </c>
      <c r="H5255" s="4"/>
      <c r="I5255" s="10" t="str">
        <f>HYPERLINK("http://twitter.com/download/android","Twitter for Android")</f>
        <v>Twitter for Android</v>
      </c>
      <c r="J5255" s="2">
        <v>1</v>
      </c>
      <c r="K5255" s="2">
        <v>21</v>
      </c>
      <c r="L5255" s="2">
        <v>1</v>
      </c>
      <c r="M5255" s="2"/>
      <c r="N5255" s="8">
        <v>43315.430185185185</v>
      </c>
      <c r="O5255" s="4" t="s">
        <v>2344</v>
      </c>
      <c r="P5255" s="3" t="s">
        <v>2343</v>
      </c>
      <c r="Q5255" s="4"/>
      <c r="R5255" s="4"/>
      <c r="S5255" s="9" t="str">
        <f>HYPERLINK("https://pbs.twimg.com/profile_images/1028958496589524992/HlLCYSzx.jpg","View")</f>
        <v>View</v>
      </c>
    </row>
    <row r="5256" spans="1:19" ht="20">
      <c r="A5256" s="8">
        <v>43340.751412037032</v>
      </c>
      <c r="B5256" s="11" t="str">
        <f>HYPERLINK("https://twitter.com/Nezamolmolk1","@Nezamolmolk1")</f>
        <v>@Nezamolmolk1</v>
      </c>
      <c r="C5256" s="6" t="s">
        <v>2503</v>
      </c>
      <c r="D5256" s="5" t="s">
        <v>2502</v>
      </c>
      <c r="E5256" s="9" t="str">
        <f>HYPERLINK("https://twitter.com/Nezamolmolk1/status/1034433428513599488","1034433428513599488")</f>
        <v>1034433428513599488</v>
      </c>
      <c r="F5256" s="4"/>
      <c r="G5256" s="10" t="s">
        <v>2501</v>
      </c>
      <c r="H5256" s="4"/>
      <c r="I5256" s="10" t="str">
        <f>HYPERLINK("http://twitter.com/download/android","Twitter for Android")</f>
        <v>Twitter for Android</v>
      </c>
      <c r="J5256" s="2">
        <v>83</v>
      </c>
      <c r="K5256" s="2">
        <v>88</v>
      </c>
      <c r="L5256" s="2">
        <v>0</v>
      </c>
      <c r="M5256" s="2"/>
      <c r="N5256" s="8">
        <v>43332.591944444444</v>
      </c>
      <c r="O5256" s="4" t="s">
        <v>1770</v>
      </c>
      <c r="P5256" s="3" t="s">
        <v>1498</v>
      </c>
      <c r="Q5256" s="4"/>
      <c r="R5256" s="4"/>
      <c r="S5256" s="9" t="str">
        <f>HYPERLINK("https://pbs.twimg.com/profile_images/1031498417984479233/VITSNvsm.jpg","View")</f>
        <v>View</v>
      </c>
    </row>
    <row r="5257" spans="1:19" ht="30">
      <c r="A5257" s="8">
        <v>43340.751284722224</v>
      </c>
      <c r="B5257" s="11" t="str">
        <f>HYPERLINK("https://twitter.com/MashayekhMeysam","@MashayekhMeysam")</f>
        <v>@MashayekhMeysam</v>
      </c>
      <c r="C5257" s="6" t="s">
        <v>2500</v>
      </c>
      <c r="D5257" s="5" t="s">
        <v>2499</v>
      </c>
      <c r="E5257" s="9" t="str">
        <f>HYPERLINK("https://twitter.com/MashayekhMeysam/status/1034433379427659777","1034433379427659777")</f>
        <v>1034433379427659777</v>
      </c>
      <c r="F5257" s="4"/>
      <c r="G5257" s="4"/>
      <c r="H5257" s="4"/>
      <c r="I5257" s="10" t="str">
        <f>HYPERLINK("http://twitter.com/download/android","Twitter for Android")</f>
        <v>Twitter for Android</v>
      </c>
      <c r="J5257" s="2">
        <v>1383</v>
      </c>
      <c r="K5257" s="2">
        <v>488</v>
      </c>
      <c r="L5257" s="2">
        <v>2</v>
      </c>
      <c r="M5257" s="2"/>
      <c r="N5257" s="8">
        <v>42093.025173611109</v>
      </c>
      <c r="O5257" s="4"/>
      <c r="P5257" s="3" t="s">
        <v>2498</v>
      </c>
      <c r="Q5257" s="4"/>
      <c r="R5257" s="4"/>
      <c r="S5257" s="9" t="str">
        <f>HYPERLINK("https://pbs.twimg.com/profile_images/969432597997785089/TzFLZ7cd.jpg","View")</f>
        <v>View</v>
      </c>
    </row>
    <row r="5258" spans="1:19" ht="20">
      <c r="A5258" s="8">
        <v>43340.750532407408</v>
      </c>
      <c r="B5258" s="11" t="str">
        <f>HYPERLINK("https://twitter.com/SabaRasane","@SabaRasane")</f>
        <v>@SabaRasane</v>
      </c>
      <c r="C5258" s="6" t="s">
        <v>2497</v>
      </c>
      <c r="D5258" s="5" t="s">
        <v>2496</v>
      </c>
      <c r="E5258" s="9" t="str">
        <f>HYPERLINK("https://twitter.com/SabaRasane/status/1034433106902745088","1034433106902745088")</f>
        <v>1034433106902745088</v>
      </c>
      <c r="F5258" s="4"/>
      <c r="G5258" s="10" t="s">
        <v>2495</v>
      </c>
      <c r="H5258" s="4"/>
      <c r="I5258" s="10" t="str">
        <f>HYPERLINK("https://sabamedia.info","sabamediabot")</f>
        <v>sabamediabot</v>
      </c>
      <c r="J5258" s="2">
        <v>818</v>
      </c>
      <c r="K5258" s="2">
        <v>339</v>
      </c>
      <c r="L5258" s="2">
        <v>2</v>
      </c>
      <c r="M5258" s="2"/>
      <c r="N5258" s="8">
        <v>43079.744155092594</v>
      </c>
      <c r="O5258" s="4" t="s">
        <v>34</v>
      </c>
      <c r="P5258" s="3" t="s">
        <v>2494</v>
      </c>
      <c r="Q5258" s="10" t="s">
        <v>2493</v>
      </c>
      <c r="R5258" s="4"/>
      <c r="S5258" s="9" t="str">
        <f>HYPERLINK("https://pbs.twimg.com/profile_images/961293475831599104/gCXPDkFe.jpg","View")</f>
        <v>View</v>
      </c>
    </row>
    <row r="5259" spans="1:19" ht="30">
      <c r="A5259" s="8">
        <v>43340.750520833331</v>
      </c>
      <c r="B5259" s="11" t="str">
        <f>HYPERLINK("https://twitter.com/royabolouri","@royabolouri")</f>
        <v>@royabolouri</v>
      </c>
      <c r="C5259" s="6" t="s">
        <v>2492</v>
      </c>
      <c r="D5259" s="5" t="s">
        <v>2491</v>
      </c>
      <c r="E5259" s="9" t="str">
        <f>HYPERLINK("https://twitter.com/royabolouri/status/1034433104709148673","1034433104709148673")</f>
        <v>1034433104709148673</v>
      </c>
      <c r="F5259" s="4"/>
      <c r="G5259" s="4"/>
      <c r="H5259" s="4"/>
      <c r="I5259" s="10" t="str">
        <f>HYPERLINK("http://twitter.com/download/iphone","Twitter for iPhone")</f>
        <v>Twitter for iPhone</v>
      </c>
      <c r="J5259" s="2">
        <v>734</v>
      </c>
      <c r="K5259" s="2">
        <v>783</v>
      </c>
      <c r="L5259" s="2">
        <v>1</v>
      </c>
      <c r="M5259" s="2"/>
      <c r="N5259" s="8">
        <v>41993.645486111112</v>
      </c>
      <c r="O5259" s="4" t="s">
        <v>17</v>
      </c>
      <c r="P5259" s="3" t="s">
        <v>2490</v>
      </c>
      <c r="Q5259" s="4"/>
      <c r="R5259" s="4"/>
      <c r="S5259" s="9" t="str">
        <f>HYPERLINK("https://pbs.twimg.com/profile_images/546348619495120897/_DW9yWQZ.png","View")</f>
        <v>View</v>
      </c>
    </row>
    <row r="5260" spans="1:19" ht="20">
      <c r="A5260" s="8">
        <v>43340.750347222223</v>
      </c>
      <c r="B5260" s="11" t="str">
        <f>HYPERLINK("https://twitter.com/behzadghobadi_","@behzadghobadi_")</f>
        <v>@behzadghobadi_</v>
      </c>
      <c r="C5260" s="6" t="s">
        <v>2489</v>
      </c>
      <c r="D5260" s="5" t="s">
        <v>2488</v>
      </c>
      <c r="E5260" s="9" t="str">
        <f>HYPERLINK("https://twitter.com/behzadghobadi_/status/1034433039839850497","1034433039839850497")</f>
        <v>1034433039839850497</v>
      </c>
      <c r="F5260" s="4"/>
      <c r="G5260" s="4"/>
      <c r="H5260" s="4"/>
      <c r="I5260" s="10" t="str">
        <f>HYPERLINK("http://twitter.com","Twitter Web Client")</f>
        <v>Twitter Web Client</v>
      </c>
      <c r="J5260" s="2">
        <v>24</v>
      </c>
      <c r="K5260" s="2">
        <v>111</v>
      </c>
      <c r="L5260" s="2">
        <v>0</v>
      </c>
      <c r="M5260" s="2"/>
      <c r="N5260" s="8">
        <v>42914.156643518523</v>
      </c>
      <c r="O5260" s="4"/>
      <c r="P5260" s="3" t="s">
        <v>2487</v>
      </c>
      <c r="Q5260" s="4"/>
      <c r="R5260" s="4"/>
      <c r="S5260" s="9" t="str">
        <f>HYPERLINK("https://pbs.twimg.com/profile_images/1034401444579880961/Uj4S_Mvg.jpg","View")</f>
        <v>View</v>
      </c>
    </row>
    <row r="5261" spans="1:19" ht="30">
      <c r="A5261" s="8">
        <v>43340.75001157407</v>
      </c>
      <c r="B5261" s="11" t="str">
        <f>HYPERLINK("https://twitter.com/iamomidvar","@iamomidvar")</f>
        <v>@iamomidvar</v>
      </c>
      <c r="C5261" s="6" t="s">
        <v>2486</v>
      </c>
      <c r="D5261" s="5" t="s">
        <v>2485</v>
      </c>
      <c r="E5261" s="9" t="str">
        <f>HYPERLINK("https://twitter.com/iamomidvar/status/1034432919400579077","1034432919400579077")</f>
        <v>1034432919400579077</v>
      </c>
      <c r="F5261" s="4"/>
      <c r="G5261" s="4"/>
      <c r="H5261" s="4"/>
      <c r="I5261" s="10" t="str">
        <f>HYPERLINK("http://twitter.com/download/android","Twitter for Android")</f>
        <v>Twitter for Android</v>
      </c>
      <c r="J5261" s="2">
        <v>323</v>
      </c>
      <c r="K5261" s="2">
        <v>398</v>
      </c>
      <c r="L5261" s="2">
        <v>1</v>
      </c>
      <c r="M5261" s="2"/>
      <c r="N5261" s="8">
        <v>42034.912314814814</v>
      </c>
      <c r="O5261" s="4" t="s">
        <v>17</v>
      </c>
      <c r="P5261" s="3" t="s">
        <v>2484</v>
      </c>
      <c r="Q5261" s="4"/>
      <c r="R5261" s="4"/>
      <c r="S5261" s="9" t="str">
        <f>HYPERLINK("https://pbs.twimg.com/profile_images/956156145965682688/Uti_s9xq.jpg","View")</f>
        <v>View</v>
      </c>
    </row>
    <row r="5262" spans="1:19" ht="30">
      <c r="A5262" s="8">
        <v>43340.749953703707</v>
      </c>
      <c r="B5262" s="11" t="str">
        <f>HYPERLINK("https://twitter.com/ahekolahdar","@ahekolahdar")</f>
        <v>@ahekolahdar</v>
      </c>
      <c r="C5262" s="6" t="s">
        <v>2483</v>
      </c>
      <c r="D5262" s="5" t="s">
        <v>2482</v>
      </c>
      <c r="E5262" s="9" t="str">
        <f>HYPERLINK("https://twitter.com/ahekolahdar/status/1034432896474308608","1034432896474308608")</f>
        <v>1034432896474308608</v>
      </c>
      <c r="F5262" s="4"/>
      <c r="G5262" s="10" t="s">
        <v>2481</v>
      </c>
      <c r="H5262" s="4"/>
      <c r="I5262" s="10" t="str">
        <f>HYPERLINK("http://twitter.com","Twitter Web Client")</f>
        <v>Twitter Web Client</v>
      </c>
      <c r="J5262" s="2">
        <v>247</v>
      </c>
      <c r="K5262" s="2">
        <v>335</v>
      </c>
      <c r="L5262" s="2">
        <v>0</v>
      </c>
      <c r="M5262" s="2"/>
      <c r="N5262" s="8">
        <v>43053.714525462958</v>
      </c>
      <c r="O5262" s="4" t="s">
        <v>34</v>
      </c>
      <c r="P5262" s="3" t="s">
        <v>2480</v>
      </c>
      <c r="Q5262" s="4"/>
      <c r="R5262" s="4"/>
      <c r="S5262" s="9" t="str">
        <f>HYPERLINK("https://pbs.twimg.com/profile_images/1008665318485471232/QC0FOkm4.jpg","View")</f>
        <v>View</v>
      </c>
    </row>
    <row r="5263" spans="1:19" ht="12.5">
      <c r="A5263" s="8">
        <v>43340.7497337963</v>
      </c>
      <c r="B5263" s="11" t="str">
        <f>HYPERLINK("https://twitter.com/Mohammad_Massom","@Mohammad_Massom")</f>
        <v>@Mohammad_Massom</v>
      </c>
      <c r="C5263" s="6" t="s">
        <v>2479</v>
      </c>
      <c r="D5263" s="5" t="s">
        <v>2478</v>
      </c>
      <c r="E5263" s="9" t="str">
        <f>HYPERLINK("https://twitter.com/Mohammad_Massom/status/1034432818468671489","1034432818468671489")</f>
        <v>1034432818468671489</v>
      </c>
      <c r="F5263" s="4"/>
      <c r="G5263" s="10" t="s">
        <v>2477</v>
      </c>
      <c r="H5263" s="4"/>
      <c r="I5263" s="10" t="str">
        <f>HYPERLINK("http://twitter.com","Twitter Web Client")</f>
        <v>Twitter Web Client</v>
      </c>
      <c r="J5263" s="2">
        <v>68</v>
      </c>
      <c r="K5263" s="2">
        <v>454</v>
      </c>
      <c r="L5263" s="2">
        <v>2</v>
      </c>
      <c r="M5263" s="2"/>
      <c r="N5263" s="8">
        <v>42187.584791666668</v>
      </c>
      <c r="O5263" s="4"/>
      <c r="P5263" s="3"/>
      <c r="Q5263" s="4"/>
      <c r="R5263" s="4"/>
      <c r="S5263" s="9" t="str">
        <f>HYPERLINK("https://pbs.twimg.com/profile_images/626095620650995712/y4liGh0A.jpg","View")</f>
        <v>View</v>
      </c>
    </row>
    <row r="5264" spans="1:19" ht="20">
      <c r="A5264" s="8">
        <v>43340.7496412037</v>
      </c>
      <c r="B5264" s="11" t="str">
        <f>HYPERLINK("https://twitter.com/KvMir","@KvMir")</f>
        <v>@KvMir</v>
      </c>
      <c r="C5264" s="6" t="s">
        <v>2476</v>
      </c>
      <c r="D5264" s="5" t="s">
        <v>2475</v>
      </c>
      <c r="E5264" s="9" t="str">
        <f>HYPERLINK("https://twitter.com/KvMir/status/1034432785153511425","1034432785153511425")</f>
        <v>1034432785153511425</v>
      </c>
      <c r="F5264" s="4"/>
      <c r="G5264" s="4"/>
      <c r="H5264" s="4"/>
      <c r="I5264" s="10" t="str">
        <f>HYPERLINK("http://twitter.com/download/iphone","Twitter for iPhone")</f>
        <v>Twitter for iPhone</v>
      </c>
      <c r="J5264" s="2">
        <v>325</v>
      </c>
      <c r="K5264" s="2">
        <v>324</v>
      </c>
      <c r="L5264" s="2">
        <v>2</v>
      </c>
      <c r="M5264" s="2"/>
      <c r="N5264" s="8">
        <v>41599.173402777778</v>
      </c>
      <c r="O5264" s="4"/>
      <c r="P5264" s="3" t="s">
        <v>2474</v>
      </c>
      <c r="Q5264" s="4"/>
      <c r="R5264" s="4"/>
      <c r="S5264" s="9" t="str">
        <f>HYPERLINK("https://pbs.twimg.com/profile_images/378800000768051562/7b71c38b54ba8ab45957c6fa16ed3f83.jpeg","View")</f>
        <v>View</v>
      </c>
    </row>
    <row r="5265" spans="1:19" ht="40">
      <c r="A5265" s="8">
        <v>43340.74962962963</v>
      </c>
      <c r="B5265" s="11" t="str">
        <f>HYPERLINK("https://twitter.com/MehdiMardani10","@MehdiMardani10")</f>
        <v>@MehdiMardani10</v>
      </c>
      <c r="C5265" s="6" t="s">
        <v>2473</v>
      </c>
      <c r="D5265" s="5" t="s">
        <v>2472</v>
      </c>
      <c r="E5265" s="9" t="str">
        <f>HYPERLINK("https://twitter.com/MehdiMardani10/status/1034432781835755520","1034432781835755520")</f>
        <v>1034432781835755520</v>
      </c>
      <c r="F5265" s="4"/>
      <c r="G5265" s="4"/>
      <c r="H5265" s="4"/>
      <c r="I5265" s="10" t="str">
        <f>HYPERLINK("http://twitter.com/download/android","Twitter for Android")</f>
        <v>Twitter for Android</v>
      </c>
      <c r="J5265" s="2">
        <v>0</v>
      </c>
      <c r="K5265" s="2">
        <v>3</v>
      </c>
      <c r="L5265" s="2">
        <v>0</v>
      </c>
      <c r="M5265" s="2"/>
      <c r="N5265" s="8">
        <v>43047.607222222221</v>
      </c>
      <c r="O5265" s="4"/>
      <c r="P5265" s="3"/>
      <c r="Q5265" s="4"/>
      <c r="R5265" s="4"/>
      <c r="S5265" s="9" t="str">
        <f>HYPERLINK("https://pbs.twimg.com/profile_images/928218862398640129/5r8eaISQ.jpg","View")</f>
        <v>View</v>
      </c>
    </row>
    <row r="5266" spans="1:19" ht="20">
      <c r="A5266" s="8">
        <v>43340.749212962968</v>
      </c>
      <c r="B5266" s="11" t="str">
        <f>HYPERLINK("https://twitter.com/oshes11","@oshes11")</f>
        <v>@oshes11</v>
      </c>
      <c r="C5266" s="6" t="s">
        <v>2411</v>
      </c>
      <c r="D5266" s="5" t="s">
        <v>2471</v>
      </c>
      <c r="E5266" s="9" t="str">
        <f>HYPERLINK("https://twitter.com/oshes11/status/1034432630903779329","1034432630903779329")</f>
        <v>1034432630903779329</v>
      </c>
      <c r="F5266" s="4"/>
      <c r="G5266" s="4"/>
      <c r="H5266" s="4"/>
      <c r="I5266" s="10" t="str">
        <f>HYPERLINK("http://twitter.com/download/android","Twitter for Android")</f>
        <v>Twitter for Android</v>
      </c>
      <c r="J5266" s="2">
        <v>139</v>
      </c>
      <c r="K5266" s="2">
        <v>295</v>
      </c>
      <c r="L5266" s="2">
        <v>0</v>
      </c>
      <c r="M5266" s="2"/>
      <c r="N5266" s="8">
        <v>43299.989317129628</v>
      </c>
      <c r="O5266" s="4"/>
      <c r="P5266" s="3"/>
      <c r="Q5266" s="4"/>
      <c r="R5266" s="4"/>
      <c r="S5266" s="9" t="str">
        <f>HYPERLINK("https://pbs.twimg.com/profile_images/1028978474214739970/hFAVkJ7L.jpg","View")</f>
        <v>View</v>
      </c>
    </row>
    <row r="5267" spans="1:19" ht="20">
      <c r="A5267" s="8">
        <v>43340.749131944445</v>
      </c>
      <c r="B5267" s="11" t="str">
        <f>HYPERLINK("https://twitter.com/Rezapourhassan2","@Rezapourhassan2")</f>
        <v>@Rezapourhassan2</v>
      </c>
      <c r="C5267" s="6" t="s">
        <v>2470</v>
      </c>
      <c r="D5267" s="5" t="s">
        <v>2469</v>
      </c>
      <c r="E5267" s="9" t="str">
        <f>HYPERLINK("https://twitter.com/Rezapourhassan2/status/1034432599257743360","1034432599257743360")</f>
        <v>1034432599257743360</v>
      </c>
      <c r="F5267" s="4"/>
      <c r="G5267" s="4"/>
      <c r="H5267" s="4"/>
      <c r="I5267" s="10" t="str">
        <f>HYPERLINK("http://twitter.com/download/android","Twitter for Android")</f>
        <v>Twitter for Android</v>
      </c>
      <c r="J5267" s="2">
        <v>29</v>
      </c>
      <c r="K5267" s="2">
        <v>125</v>
      </c>
      <c r="L5267" s="2">
        <v>0</v>
      </c>
      <c r="M5267" s="2"/>
      <c r="N5267" s="8">
        <v>43079.887372685189</v>
      </c>
      <c r="O5267" s="4"/>
      <c r="P5267" s="3"/>
      <c r="Q5267" s="4"/>
      <c r="R5267" s="4"/>
      <c r="S5267" s="9" t="str">
        <f>HYPERLINK("https://pbs.twimg.com/profile_images/980725923770232832/exqWPO67.jpg","View")</f>
        <v>View</v>
      </c>
    </row>
    <row r="5268" spans="1:19" ht="40">
      <c r="A5268" s="8">
        <v>43340.749016203699</v>
      </c>
      <c r="B5268" s="11" t="str">
        <f>HYPERLINK("https://twitter.com/Raspoutein","@Raspoutein")</f>
        <v>@Raspoutein</v>
      </c>
      <c r="C5268" s="6" t="s">
        <v>2468</v>
      </c>
      <c r="D5268" s="5" t="s">
        <v>2467</v>
      </c>
      <c r="E5268" s="9" t="str">
        <f>HYPERLINK("https://twitter.com/Raspoutein/status/1034432557830615051","1034432557830615051")</f>
        <v>1034432557830615051</v>
      </c>
      <c r="F5268" s="4"/>
      <c r="G5268" s="4"/>
      <c r="H5268" s="4"/>
      <c r="I5268" s="10" t="str">
        <f>HYPERLINK("http://twitter.com/download/android","Twitter for Android")</f>
        <v>Twitter for Android</v>
      </c>
      <c r="J5268" s="2">
        <v>139</v>
      </c>
      <c r="K5268" s="2">
        <v>141</v>
      </c>
      <c r="L5268" s="2">
        <v>0</v>
      </c>
      <c r="M5268" s="2"/>
      <c r="N5268" s="8">
        <v>42608.756689814814</v>
      </c>
      <c r="O5268" s="4" t="s">
        <v>2466</v>
      </c>
      <c r="P5268" s="3" t="s">
        <v>2465</v>
      </c>
      <c r="Q5268" s="4"/>
      <c r="R5268" s="4"/>
      <c r="S5268" s="9" t="str">
        <f>HYPERLINK("https://pbs.twimg.com/profile_images/994598977776574464/hhMJF96W.jpg","View")</f>
        <v>View</v>
      </c>
    </row>
    <row r="5269" spans="1:19" ht="20">
      <c r="A5269" s="8">
        <v>43340.74894675926</v>
      </c>
      <c r="B5269" s="11" t="str">
        <f>HYPERLINK("https://twitter.com/didi_dekster","@didi_dekster")</f>
        <v>@didi_dekster</v>
      </c>
      <c r="C5269" s="6" t="s">
        <v>2464</v>
      </c>
      <c r="D5269" s="5" t="s">
        <v>2463</v>
      </c>
      <c r="E5269" s="9" t="str">
        <f>HYPERLINK("https://twitter.com/didi_dekster/status/1034432533054795777","1034432533054795777")</f>
        <v>1034432533054795777</v>
      </c>
      <c r="F5269" s="4"/>
      <c r="G5269" s="4"/>
      <c r="H5269" s="4"/>
      <c r="I5269" s="10" t="str">
        <f>HYPERLINK("http://twitter.com/download/iphone","Twitter for iPhone")</f>
        <v>Twitter for iPhone</v>
      </c>
      <c r="J5269" s="2">
        <v>11</v>
      </c>
      <c r="K5269" s="2">
        <v>24</v>
      </c>
      <c r="L5269" s="2">
        <v>0</v>
      </c>
      <c r="M5269" s="2"/>
      <c r="N5269" s="8">
        <v>41164.128506944442</v>
      </c>
      <c r="O5269" s="4"/>
      <c r="P5269" s="3"/>
      <c r="Q5269" s="4"/>
      <c r="R5269" s="4"/>
      <c r="S5269" s="9" t="str">
        <f>HYPERLINK("https://pbs.twimg.com/profile_images/2600609775/image.jpg","View")</f>
        <v>View</v>
      </c>
    </row>
    <row r="5270" spans="1:19" ht="40">
      <c r="A5270" s="8">
        <v>43340.748460648145</v>
      </c>
      <c r="B5270" s="11" t="str">
        <f>HYPERLINK("https://twitter.com/mohsen__rezaee","@mohsen__rezaee")</f>
        <v>@mohsen__rezaee</v>
      </c>
      <c r="C5270" s="6" t="s">
        <v>2462</v>
      </c>
      <c r="D5270" s="5" t="s">
        <v>2461</v>
      </c>
      <c r="E5270" s="9" t="str">
        <f>HYPERLINK("https://twitter.com/mohsen__rezaee/status/1034432359012225024","1034432359012225024")</f>
        <v>1034432359012225024</v>
      </c>
      <c r="F5270" s="4"/>
      <c r="G5270" s="4"/>
      <c r="H5270" s="4"/>
      <c r="I5270" s="10" t="str">
        <f>HYPERLINK("http://twitter.com/download/android","Twitter for Android")</f>
        <v>Twitter for Android</v>
      </c>
      <c r="J5270" s="2">
        <v>79</v>
      </c>
      <c r="K5270" s="2">
        <v>89</v>
      </c>
      <c r="L5270" s="2">
        <v>1</v>
      </c>
      <c r="M5270" s="2"/>
      <c r="N5270" s="8">
        <v>43131.679039351853</v>
      </c>
      <c r="O5270" s="4" t="s">
        <v>17</v>
      </c>
      <c r="P5270" s="3" t="s">
        <v>2460</v>
      </c>
      <c r="Q5270" s="10" t="s">
        <v>2459</v>
      </c>
      <c r="R5270" s="4"/>
      <c r="S5270" s="9" t="str">
        <f>HYPERLINK("https://pbs.twimg.com/profile_images/961347514015338497/jsbsMa2y.jpg","View")</f>
        <v>View</v>
      </c>
    </row>
    <row r="5271" spans="1:19" ht="40">
      <c r="A5271" s="8">
        <v>43340.748171296298</v>
      </c>
      <c r="B5271" s="11" t="str">
        <f>HYPERLINK("https://twitter.com/vahid46ES","@vahid46ES")</f>
        <v>@vahid46ES</v>
      </c>
      <c r="C5271" s="6" t="s">
        <v>2458</v>
      </c>
      <c r="D5271" s="5" t="s">
        <v>2457</v>
      </c>
      <c r="E5271" s="9" t="str">
        <f>HYPERLINK("https://twitter.com/vahid46ES/status/1034432252468441088","1034432252468441088")</f>
        <v>1034432252468441088</v>
      </c>
      <c r="F5271" s="4"/>
      <c r="G5271" s="4"/>
      <c r="H5271" s="4"/>
      <c r="I5271" s="10" t="str">
        <f>HYPERLINK("http://twitter.com","Twitter Web Client")</f>
        <v>Twitter Web Client</v>
      </c>
      <c r="J5271" s="2">
        <v>2029</v>
      </c>
      <c r="K5271" s="2">
        <v>817</v>
      </c>
      <c r="L5271" s="2">
        <v>3</v>
      </c>
      <c r="M5271" s="2"/>
      <c r="N5271" s="8">
        <v>42968.819976851853</v>
      </c>
      <c r="O5271" s="4" t="s">
        <v>2456</v>
      </c>
      <c r="P5271" s="3" t="s">
        <v>2455</v>
      </c>
      <c r="Q5271" s="10" t="s">
        <v>2454</v>
      </c>
      <c r="R5271" s="4"/>
      <c r="S5271" s="9" t="str">
        <f>HYPERLINK("https://pbs.twimg.com/profile_images/981549865334460417/EQSbCiwJ.jpg","View")</f>
        <v>View</v>
      </c>
    </row>
    <row r="5272" spans="1:19" ht="30">
      <c r="A5272" s="8">
        <v>43340.747974537036</v>
      </c>
      <c r="B5272" s="11" t="str">
        <f>HYPERLINK("https://twitter.com/talabekermani","@talabekermani")</f>
        <v>@talabekermani</v>
      </c>
      <c r="C5272" s="6" t="s">
        <v>2375</v>
      </c>
      <c r="D5272" s="5" t="s">
        <v>2453</v>
      </c>
      <c r="E5272" s="9" t="str">
        <f>HYPERLINK("https://twitter.com/talabekermani/status/1034432182230626306","1034432182230626306")</f>
        <v>1034432182230626306</v>
      </c>
      <c r="F5272" s="4"/>
      <c r="G5272" s="4"/>
      <c r="H5272" s="4"/>
      <c r="I5272" s="10" t="str">
        <f>HYPERLINK("http://twitter.com/download/android","Twitter for Android")</f>
        <v>Twitter for Android</v>
      </c>
      <c r="J5272" s="2">
        <v>5496</v>
      </c>
      <c r="K5272" s="2">
        <v>5568</v>
      </c>
      <c r="L5272" s="2">
        <v>14</v>
      </c>
      <c r="M5272" s="2"/>
      <c r="N5272" s="8">
        <v>42841.076469907406</v>
      </c>
      <c r="O5272" s="4" t="s">
        <v>2373</v>
      </c>
      <c r="P5272" s="3" t="s">
        <v>2372</v>
      </c>
      <c r="Q5272" s="4"/>
      <c r="R5272" s="4"/>
      <c r="S5272" s="9" t="str">
        <f>HYPERLINK("https://pbs.twimg.com/profile_images/1028579423820435456/sczrVymO.jpg","View")</f>
        <v>View</v>
      </c>
    </row>
    <row r="5273" spans="1:19" ht="30">
      <c r="A5273" s="8">
        <v>43340.747939814813</v>
      </c>
      <c r="B5273" s="11" t="str">
        <f>HYPERLINK("https://twitter.com/khameneism","@khameneism")</f>
        <v>@khameneism</v>
      </c>
      <c r="C5273" s="6" t="s">
        <v>2452</v>
      </c>
      <c r="D5273" s="5" t="s">
        <v>2451</v>
      </c>
      <c r="E5273" s="9" t="str">
        <f>HYPERLINK("https://twitter.com/khameneism/status/1034432167986778112","1034432167986778112")</f>
        <v>1034432167986778112</v>
      </c>
      <c r="F5273" s="4"/>
      <c r="G5273" s="10" t="s">
        <v>2450</v>
      </c>
      <c r="H5273" s="4"/>
      <c r="I5273" s="10" t="str">
        <f>HYPERLINK("http://twitter.com/download/android","Twitter for Android")</f>
        <v>Twitter for Android</v>
      </c>
      <c r="J5273" s="2">
        <v>1044</v>
      </c>
      <c r="K5273" s="2">
        <v>969</v>
      </c>
      <c r="L5273" s="2">
        <v>0</v>
      </c>
      <c r="M5273" s="2"/>
      <c r="N5273" s="8">
        <v>43183.945960648147</v>
      </c>
      <c r="O5273" s="4" t="s">
        <v>2449</v>
      </c>
      <c r="P5273" s="3" t="s">
        <v>2448</v>
      </c>
      <c r="Q5273" s="4"/>
      <c r="R5273" s="4"/>
      <c r="S5273" s="9" t="str">
        <f>HYPERLINK("https://pbs.twimg.com/profile_images/1012761699055820801/dN3C-PJx.jpg","View")</f>
        <v>View</v>
      </c>
    </row>
    <row r="5274" spans="1:19" ht="40">
      <c r="A5274" s="8">
        <v>43340.747916666667</v>
      </c>
      <c r="B5274" s="11" t="str">
        <f>HYPERLINK("https://twitter.com/mehrnews_fa","@mehrnews_fa")</f>
        <v>@mehrnews_fa</v>
      </c>
      <c r="C5274" s="6" t="s">
        <v>2447</v>
      </c>
      <c r="D5274" s="5" t="s">
        <v>2446</v>
      </c>
      <c r="E5274" s="9" t="str">
        <f>HYPERLINK("https://twitter.com/mehrnews_fa/status/1034432162307694592","1034432162307694592")</f>
        <v>1034432162307694592</v>
      </c>
      <c r="F5274" s="10" t="s">
        <v>2445</v>
      </c>
      <c r="G5274" s="4"/>
      <c r="H5274" s="4"/>
      <c r="I5274" s="10" t="str">
        <f>HYPERLINK("http://twitter.com/download/iphone","Twitter for iPhone")</f>
        <v>Twitter for iPhone</v>
      </c>
      <c r="J5274" s="2">
        <v>23959</v>
      </c>
      <c r="K5274" s="2">
        <v>8</v>
      </c>
      <c r="L5274" s="2">
        <v>132</v>
      </c>
      <c r="M5274" s="2"/>
      <c r="N5274" s="8">
        <v>42113.452511574069</v>
      </c>
      <c r="O5274" s="4" t="s">
        <v>17</v>
      </c>
      <c r="P5274" s="3" t="s">
        <v>2444</v>
      </c>
      <c r="Q5274" s="10" t="s">
        <v>2443</v>
      </c>
      <c r="R5274" s="4"/>
      <c r="S5274" s="9" t="str">
        <f>HYPERLINK("https://pbs.twimg.com/profile_images/963011131404177408/MUZXzT7V.jpg","View")</f>
        <v>View</v>
      </c>
    </row>
    <row r="5275" spans="1:19" ht="12.5">
      <c r="A5275" s="8">
        <v>43340.747789351852</v>
      </c>
      <c r="B5275" s="11" t="str">
        <f>HYPERLINK("https://twitter.com/Navidkalahroud1","@Navidkalahroud1")</f>
        <v>@Navidkalahroud1</v>
      </c>
      <c r="C5275" s="6" t="s">
        <v>2442</v>
      </c>
      <c r="D5275" s="5" t="s">
        <v>2441</v>
      </c>
      <c r="E5275" s="9" t="str">
        <f>HYPERLINK("https://twitter.com/Navidkalahroud1/status/1034432115759304704","1034432115759304704")</f>
        <v>1034432115759304704</v>
      </c>
      <c r="F5275" s="4"/>
      <c r="G5275" s="4"/>
      <c r="H5275" s="4"/>
      <c r="I5275" s="10" t="str">
        <f>HYPERLINK("http://twitter.com/download/android","Twitter for Android")</f>
        <v>Twitter for Android</v>
      </c>
      <c r="J5275" s="2">
        <v>1313</v>
      </c>
      <c r="K5275" s="2">
        <v>376</v>
      </c>
      <c r="L5275" s="2">
        <v>2</v>
      </c>
      <c r="M5275" s="2"/>
      <c r="N5275" s="8">
        <v>42891.848159722227</v>
      </c>
      <c r="O5275" s="4" t="s">
        <v>2440</v>
      </c>
      <c r="P5275" s="3" t="s">
        <v>2439</v>
      </c>
      <c r="Q5275" s="4"/>
      <c r="R5275" s="4"/>
      <c r="S5275" s="9" t="str">
        <f>HYPERLINK("https://pbs.twimg.com/profile_images/977086049628418049/ZnygFKDj.jpg","View")</f>
        <v>View</v>
      </c>
    </row>
    <row r="5276" spans="1:19" ht="30">
      <c r="A5276" s="8">
        <v>43340.747546296298</v>
      </c>
      <c r="B5276" s="11" t="str">
        <f>HYPERLINK("https://twitter.com/abu_aliiiiii","@abu_aliiiiii")</f>
        <v>@abu_aliiiiii</v>
      </c>
      <c r="C5276" s="6" t="s">
        <v>2438</v>
      </c>
      <c r="D5276" s="5" t="s">
        <v>2437</v>
      </c>
      <c r="E5276" s="9" t="str">
        <f>HYPERLINK("https://twitter.com/abu_aliiiiii/status/1034432024042528771","1034432024042528771")</f>
        <v>1034432024042528771</v>
      </c>
      <c r="F5276" s="4"/>
      <c r="G5276" s="4"/>
      <c r="H5276" s="4"/>
      <c r="I5276" s="10" t="str">
        <f>HYPERLINK("http://twitter.com/download/android","Twitter for Android")</f>
        <v>Twitter for Android</v>
      </c>
      <c r="J5276" s="2">
        <v>18</v>
      </c>
      <c r="K5276" s="2">
        <v>46</v>
      </c>
      <c r="L5276" s="2">
        <v>0</v>
      </c>
      <c r="M5276" s="2"/>
      <c r="N5276" s="8">
        <v>43320.731921296298</v>
      </c>
      <c r="O5276" s="4"/>
      <c r="P5276" s="3" t="s">
        <v>2436</v>
      </c>
      <c r="Q5276" s="4"/>
      <c r="R5276" s="4"/>
      <c r="S5276" s="9" t="str">
        <f>HYPERLINK("https://pbs.twimg.com/profile_images/1030494180907331585/g_3ty4QL.jpg","View")</f>
        <v>View</v>
      </c>
    </row>
    <row r="5277" spans="1:19" ht="20">
      <c r="A5277" s="8">
        <v>43340.747499999998</v>
      </c>
      <c r="B5277" s="11" t="str">
        <f>HYPERLINK("https://twitter.com/FarhaD_iR_","@FarhaD_iR_")</f>
        <v>@FarhaD_iR_</v>
      </c>
      <c r="C5277" s="6" t="s">
        <v>2435</v>
      </c>
      <c r="D5277" s="5" t="s">
        <v>2434</v>
      </c>
      <c r="E5277" s="9" t="str">
        <f>HYPERLINK("https://twitter.com/FarhaD_iR_/status/1034432008414482432","1034432008414482432")</f>
        <v>1034432008414482432</v>
      </c>
      <c r="F5277" s="4"/>
      <c r="G5277" s="4"/>
      <c r="H5277" s="4"/>
      <c r="I5277" s="10" t="str">
        <f>HYPERLINK("http://twitter.com/download/android","Twitter for Android")</f>
        <v>Twitter for Android</v>
      </c>
      <c r="J5277" s="2">
        <v>278</v>
      </c>
      <c r="K5277" s="2">
        <v>389</v>
      </c>
      <c r="L5277" s="2">
        <v>0</v>
      </c>
      <c r="M5277" s="2"/>
      <c r="N5277" s="8">
        <v>43306.831574074073</v>
      </c>
      <c r="O5277" s="4" t="s">
        <v>2433</v>
      </c>
      <c r="P5277" s="3" t="s">
        <v>2432</v>
      </c>
      <c r="Q5277" s="4"/>
      <c r="R5277" s="4"/>
      <c r="S5277" s="9" t="str">
        <f>HYPERLINK("https://pbs.twimg.com/profile_images/1026014973947006976/mgyY6X0G.jpg","View")</f>
        <v>View</v>
      </c>
    </row>
    <row r="5278" spans="1:19" ht="30">
      <c r="A5278" s="8">
        <v>43340.747337962966</v>
      </c>
      <c r="B5278" s="11" t="str">
        <f>HYPERLINK("https://twitter.com/Belal_taheri","@Belal_taheri")</f>
        <v>@Belal_taheri</v>
      </c>
      <c r="C5278" s="6" t="s">
        <v>2431</v>
      </c>
      <c r="D5278" s="5" t="s">
        <v>2430</v>
      </c>
      <c r="E5278" s="9" t="str">
        <f>HYPERLINK("https://twitter.com/Belal_taheri/status/1034431951208374273","1034431951208374273")</f>
        <v>1034431951208374273</v>
      </c>
      <c r="F5278" s="4"/>
      <c r="G5278" s="4"/>
      <c r="H5278" s="4"/>
      <c r="I5278" s="10" t="str">
        <f>HYPERLINK("http://twitter.com/download/android","Twitter for Android")</f>
        <v>Twitter for Android</v>
      </c>
      <c r="J5278" s="2">
        <v>3109</v>
      </c>
      <c r="K5278" s="2">
        <v>563</v>
      </c>
      <c r="L5278" s="2">
        <v>17</v>
      </c>
      <c r="M5278" s="2"/>
      <c r="N5278" s="8">
        <v>40419.248553240745</v>
      </c>
      <c r="O5278" s="4" t="s">
        <v>2338</v>
      </c>
      <c r="P5278" s="3" t="s">
        <v>2429</v>
      </c>
      <c r="Q5278" s="10" t="s">
        <v>2428</v>
      </c>
      <c r="R5278" s="4"/>
      <c r="S5278" s="9" t="str">
        <f>HYPERLINK("https://pbs.twimg.com/profile_images/775305955890298880/u0QewbU1.jpg","View")</f>
        <v>View</v>
      </c>
    </row>
    <row r="5279" spans="1:19" ht="40">
      <c r="A5279" s="8">
        <v>43340.747210648144</v>
      </c>
      <c r="B5279" s="11" t="str">
        <f>HYPERLINK("https://twitter.com/amirmo36","@amirmo36")</f>
        <v>@amirmo36</v>
      </c>
      <c r="C5279" s="6" t="s">
        <v>2427</v>
      </c>
      <c r="D5279" s="5" t="s">
        <v>2426</v>
      </c>
      <c r="E5279" s="9" t="str">
        <f>HYPERLINK("https://twitter.com/amirmo36/status/1034431903825387521","1034431903825387521")</f>
        <v>1034431903825387521</v>
      </c>
      <c r="F5279" s="4"/>
      <c r="G5279" s="4"/>
      <c r="H5279" s="4"/>
      <c r="I5279" s="10" t="str">
        <f>HYPERLINK("http://twitter.com/download/iphone","Twitter for iPhone")</f>
        <v>Twitter for iPhone</v>
      </c>
      <c r="J5279" s="2">
        <v>5</v>
      </c>
      <c r="K5279" s="2">
        <v>22</v>
      </c>
      <c r="L5279" s="2">
        <v>0</v>
      </c>
      <c r="M5279" s="2"/>
      <c r="N5279" s="8">
        <v>41710.074976851851</v>
      </c>
      <c r="O5279" s="4" t="s">
        <v>34</v>
      </c>
      <c r="P5279" s="3"/>
      <c r="Q5279" s="4"/>
      <c r="R5279" s="4"/>
      <c r="S5279" s="9" t="str">
        <f>HYPERLINK("https://pbs.twimg.com/profile_images/443661458149097472/31IuR-Z1.jpeg","View")</f>
        <v>View</v>
      </c>
    </row>
    <row r="5280" spans="1:19" ht="20">
      <c r="A5280" s="8">
        <v>43340.747164351851</v>
      </c>
      <c r="B5280" s="11" t="str">
        <f>HYPERLINK("https://twitter.com/galloniii","@galloniii")</f>
        <v>@galloniii</v>
      </c>
      <c r="C5280" s="6" t="s">
        <v>2418</v>
      </c>
      <c r="D5280" s="5" t="s">
        <v>2425</v>
      </c>
      <c r="E5280" s="9" t="str">
        <f>HYPERLINK("https://twitter.com/galloniii/status/1034431887270445056","1034431887270445056")</f>
        <v>1034431887270445056</v>
      </c>
      <c r="F5280" s="4"/>
      <c r="G5280" s="4"/>
      <c r="H5280" s="4"/>
      <c r="I5280" s="10" t="str">
        <f>HYPERLINK("http://twitter.com/download/android","Twitter for Android")</f>
        <v>Twitter for Android</v>
      </c>
      <c r="J5280" s="2">
        <v>85</v>
      </c>
      <c r="K5280" s="2">
        <v>45</v>
      </c>
      <c r="L5280" s="2">
        <v>0</v>
      </c>
      <c r="M5280" s="2"/>
      <c r="N5280" s="8">
        <v>42882.533159722225</v>
      </c>
      <c r="O5280" s="4" t="s">
        <v>2416</v>
      </c>
      <c r="P5280" s="3" t="s">
        <v>2415</v>
      </c>
      <c r="Q5280" s="4"/>
      <c r="R5280" s="4"/>
      <c r="S5280" s="9" t="str">
        <f>HYPERLINK("https://pbs.twimg.com/profile_images/999086683084668928/KapZywJf.jpg","View")</f>
        <v>View</v>
      </c>
    </row>
    <row r="5281" spans="1:19" ht="30">
      <c r="A5281" s="8">
        <v>43340.746944444443</v>
      </c>
      <c r="B5281" s="11" t="str">
        <f>HYPERLINK("https://twitter.com/Ser_Bronn1","@Ser_Bronn1")</f>
        <v>@Ser_Bronn1</v>
      </c>
      <c r="C5281" s="6" t="s">
        <v>2424</v>
      </c>
      <c r="D5281" s="5" t="s">
        <v>2423</v>
      </c>
      <c r="E5281" s="9" t="str">
        <f>HYPERLINK("https://twitter.com/Ser_Bronn1/status/1034431808853696512","1034431808853696512")</f>
        <v>1034431808853696512</v>
      </c>
      <c r="F5281" s="4"/>
      <c r="G5281" s="10" t="s">
        <v>2422</v>
      </c>
      <c r="H5281" s="4"/>
      <c r="I5281" s="10" t="str">
        <f>HYPERLINK("http://twitter.com","Twitter Web Client")</f>
        <v>Twitter Web Client</v>
      </c>
      <c r="J5281" s="2">
        <v>1637</v>
      </c>
      <c r="K5281" s="2">
        <v>2414</v>
      </c>
      <c r="L5281" s="2">
        <v>0</v>
      </c>
      <c r="M5281" s="2"/>
      <c r="N5281" s="8">
        <v>43001.990162037036</v>
      </c>
      <c r="O5281" s="4"/>
      <c r="P5281" s="3" t="s">
        <v>2421</v>
      </c>
      <c r="Q5281" s="4"/>
      <c r="R5281" s="4"/>
      <c r="S5281" s="9" t="str">
        <f>HYPERLINK("https://pbs.twimg.com/profile_images/911686545731735553/jf5LLRGs.jpg","View")</f>
        <v>View</v>
      </c>
    </row>
    <row r="5282" spans="1:19" ht="30">
      <c r="A5282" s="8">
        <v>43340.746400462958</v>
      </c>
      <c r="B5282" s="11" t="str">
        <f>HYPERLINK("https://twitter.com/hodhod_97","@hodhod_97")</f>
        <v>@hodhod_97</v>
      </c>
      <c r="C5282" s="6" t="s">
        <v>1874</v>
      </c>
      <c r="D5282" s="5" t="s">
        <v>2420</v>
      </c>
      <c r="E5282" s="9" t="str">
        <f>HYPERLINK("https://twitter.com/hodhod_97/status/1034431611071340544","1034431611071340544")</f>
        <v>1034431611071340544</v>
      </c>
      <c r="F5282" s="4"/>
      <c r="G5282" s="4"/>
      <c r="H5282" s="4"/>
      <c r="I5282" s="10" t="str">
        <f>HYPERLINK("http://twitter.com","Twitter Web Client")</f>
        <v>Twitter Web Client</v>
      </c>
      <c r="J5282" s="2">
        <v>667</v>
      </c>
      <c r="K5282" s="2">
        <v>2191</v>
      </c>
      <c r="L5282" s="2">
        <v>0</v>
      </c>
      <c r="M5282" s="2"/>
      <c r="N5282" s="8">
        <v>43337.775081018517</v>
      </c>
      <c r="O5282" s="4"/>
      <c r="P5282" s="3"/>
      <c r="Q5282" s="4"/>
      <c r="R5282" s="4"/>
      <c r="S5282" s="9" t="str">
        <f>HYPERLINK("https://pbs.twimg.com/profile_images/1033370478411431937/5d84V1tk.jpg","View")</f>
        <v>View</v>
      </c>
    </row>
    <row r="5283" spans="1:19" ht="30">
      <c r="A5283" s="8">
        <v>43340.746365740742</v>
      </c>
      <c r="B5283" s="11" t="str">
        <f>HYPERLINK("https://twitter.com/IranIntl","@IranIntl")</f>
        <v>@IranIntl</v>
      </c>
      <c r="C5283" s="6" t="s">
        <v>2253</v>
      </c>
      <c r="D5283" s="5" t="s">
        <v>2419</v>
      </c>
      <c r="E5283" s="9" t="str">
        <f>HYPERLINK("https://twitter.com/IranIntl/status/1034431598358417408","1034431598358417408")</f>
        <v>1034431598358417408</v>
      </c>
      <c r="F5283" s="4"/>
      <c r="G5283" s="4"/>
      <c r="H5283" s="4"/>
      <c r="I5283" s="10" t="str">
        <f>HYPERLINK("http://www.falcon.io","Falcon Social Media Management ")</f>
        <v xml:space="preserve">Falcon Social Media Management </v>
      </c>
      <c r="J5283" s="2">
        <v>10274</v>
      </c>
      <c r="K5283" s="2">
        <v>37</v>
      </c>
      <c r="L5283" s="2">
        <v>71</v>
      </c>
      <c r="M5283" s="2"/>
      <c r="N5283" s="8">
        <v>42495.854155092587</v>
      </c>
      <c r="O5283" s="4" t="s">
        <v>2250</v>
      </c>
      <c r="P5283" s="3" t="s">
        <v>2249</v>
      </c>
      <c r="Q5283" s="10" t="s">
        <v>2248</v>
      </c>
      <c r="R5283" s="4"/>
      <c r="S5283" s="9" t="str">
        <f>HYPERLINK("https://pbs.twimg.com/profile_images/959109044987416576/LIHHUain.jpg","View")</f>
        <v>View</v>
      </c>
    </row>
    <row r="5284" spans="1:19" ht="20">
      <c r="A5284" s="8">
        <v>43340.746296296296</v>
      </c>
      <c r="B5284" s="11" t="str">
        <f>HYPERLINK("https://twitter.com/galloniii","@galloniii")</f>
        <v>@galloniii</v>
      </c>
      <c r="C5284" s="6" t="s">
        <v>2418</v>
      </c>
      <c r="D5284" s="5" t="s">
        <v>2417</v>
      </c>
      <c r="E5284" s="9" t="str">
        <f>HYPERLINK("https://twitter.com/galloniii/status/1034431571380588544","1034431571380588544")</f>
        <v>1034431571380588544</v>
      </c>
      <c r="F5284" s="4"/>
      <c r="G5284" s="4"/>
      <c r="H5284" s="4"/>
      <c r="I5284" s="10" t="str">
        <f>HYPERLINK("http://twitter.com/download/android","Twitter for Android")</f>
        <v>Twitter for Android</v>
      </c>
      <c r="J5284" s="2">
        <v>85</v>
      </c>
      <c r="K5284" s="2">
        <v>45</v>
      </c>
      <c r="L5284" s="2">
        <v>0</v>
      </c>
      <c r="M5284" s="2"/>
      <c r="N5284" s="8">
        <v>42882.533159722225</v>
      </c>
      <c r="O5284" s="4" t="s">
        <v>2416</v>
      </c>
      <c r="P5284" s="3" t="s">
        <v>2415</v>
      </c>
      <c r="Q5284" s="4"/>
      <c r="R5284" s="4"/>
      <c r="S5284" s="9" t="str">
        <f>HYPERLINK("https://pbs.twimg.com/profile_images/999086683084668928/KapZywJf.jpg","View")</f>
        <v>View</v>
      </c>
    </row>
    <row r="5285" spans="1:19" ht="30">
      <c r="A5285" s="8">
        <v>43340.746238425927</v>
      </c>
      <c r="B5285" s="11" t="str">
        <f>HYPERLINK("https://twitter.com/aidin_fateh","@aidin_fateh")</f>
        <v>@aidin_fateh</v>
      </c>
      <c r="C5285" s="6" t="s">
        <v>2414</v>
      </c>
      <c r="D5285" s="5" t="s">
        <v>2413</v>
      </c>
      <c r="E5285" s="9" t="str">
        <f>HYPERLINK("https://twitter.com/aidin_fateh/status/1034431551470284800","1034431551470284800")</f>
        <v>1034431551470284800</v>
      </c>
      <c r="F5285" s="4"/>
      <c r="G5285" s="4"/>
      <c r="H5285" s="4"/>
      <c r="I5285" s="10" t="str">
        <f>HYPERLINK("http://twitter.com","Twitter Web Client")</f>
        <v>Twitter Web Client</v>
      </c>
      <c r="J5285" s="2">
        <v>141</v>
      </c>
      <c r="K5285" s="2">
        <v>244</v>
      </c>
      <c r="L5285" s="2">
        <v>0</v>
      </c>
      <c r="M5285" s="2"/>
      <c r="N5285" s="8">
        <v>39573.849733796298</v>
      </c>
      <c r="O5285" s="4" t="s">
        <v>133</v>
      </c>
      <c r="P5285" s="3" t="s">
        <v>2412</v>
      </c>
      <c r="Q5285" s="4"/>
      <c r="R5285" s="4"/>
      <c r="S5285" s="9" t="str">
        <f>HYPERLINK("https://pbs.twimg.com/profile_images/968854388436586497/kzkbEREM.jpg","View")</f>
        <v>View</v>
      </c>
    </row>
    <row r="5286" spans="1:19" ht="20">
      <c r="A5286" s="8">
        <v>43340.746192129634</v>
      </c>
      <c r="B5286" s="11" t="str">
        <f>HYPERLINK("https://twitter.com/oshes11","@oshes11")</f>
        <v>@oshes11</v>
      </c>
      <c r="C5286" s="6" t="s">
        <v>2411</v>
      </c>
      <c r="D5286" s="5" t="s">
        <v>2410</v>
      </c>
      <c r="E5286" s="9" t="str">
        <f>HYPERLINK("https://twitter.com/oshes11/status/1034431535527747584","1034431535527747584")</f>
        <v>1034431535527747584</v>
      </c>
      <c r="F5286" s="4"/>
      <c r="G5286" s="4"/>
      <c r="H5286" s="4"/>
      <c r="I5286" s="10" t="str">
        <f>HYPERLINK("http://twitter.com/download/android","Twitter for Android")</f>
        <v>Twitter for Android</v>
      </c>
      <c r="J5286" s="2">
        <v>139</v>
      </c>
      <c r="K5286" s="2">
        <v>295</v>
      </c>
      <c r="L5286" s="2">
        <v>0</v>
      </c>
      <c r="M5286" s="2"/>
      <c r="N5286" s="8">
        <v>43299.989317129628</v>
      </c>
      <c r="O5286" s="4"/>
      <c r="P5286" s="3"/>
      <c r="Q5286" s="4"/>
      <c r="R5286" s="4"/>
      <c r="S5286" s="9" t="str">
        <f>HYPERLINK("https://pbs.twimg.com/profile_images/1028978474214739970/hFAVkJ7L.jpg","View")</f>
        <v>View</v>
      </c>
    </row>
    <row r="5287" spans="1:19" ht="20">
      <c r="A5287" s="8">
        <v>43340.746168981481</v>
      </c>
      <c r="B5287" s="11" t="str">
        <f>HYPERLINK("https://twitter.com/chayedagh","@chayedagh")</f>
        <v>@chayedagh</v>
      </c>
      <c r="C5287" s="6" t="s">
        <v>2409</v>
      </c>
      <c r="D5287" s="5" t="s">
        <v>2408</v>
      </c>
      <c r="E5287" s="9" t="str">
        <f>HYPERLINK("https://twitter.com/chayedagh/status/1034431525880823808","1034431525880823808")</f>
        <v>1034431525880823808</v>
      </c>
      <c r="F5287" s="4"/>
      <c r="G5287" s="4"/>
      <c r="H5287" s="4"/>
      <c r="I5287" s="10" t="str">
        <f>HYPERLINK("http://twitter.com/download/android","Twitter for Android")</f>
        <v>Twitter for Android</v>
      </c>
      <c r="J5287" s="2">
        <v>187</v>
      </c>
      <c r="K5287" s="2">
        <v>102</v>
      </c>
      <c r="L5287" s="2">
        <v>1</v>
      </c>
      <c r="M5287" s="2"/>
      <c r="N5287" s="8">
        <v>41794.77884259259</v>
      </c>
      <c r="O5287" s="4" t="s">
        <v>2407</v>
      </c>
      <c r="P5287" s="3" t="s">
        <v>2406</v>
      </c>
      <c r="Q5287" s="4"/>
      <c r="R5287" s="4"/>
      <c r="S5287" s="9" t="str">
        <f>HYPERLINK("https://pbs.twimg.com/profile_images/1030628916715773952/3_4rMA_i.jpg","View")</f>
        <v>View</v>
      </c>
    </row>
    <row r="5288" spans="1:19" ht="40">
      <c r="A5288" s="8">
        <v>43340.746168981481</v>
      </c>
      <c r="B5288" s="11" t="str">
        <f>HYPERLINK("https://twitter.com/emelianozpt","@emelianozpt")</f>
        <v>@emelianozpt</v>
      </c>
      <c r="C5288" s="6" t="s">
        <v>2405</v>
      </c>
      <c r="D5288" s="5" t="s">
        <v>2404</v>
      </c>
      <c r="E5288" s="9" t="str">
        <f>HYPERLINK("https://twitter.com/emelianozpt/status/1034431525859803137","1034431525859803137")</f>
        <v>1034431525859803137</v>
      </c>
      <c r="F5288" s="4"/>
      <c r="G5288" s="4"/>
      <c r="H5288" s="4"/>
      <c r="I5288" s="10" t="str">
        <f>HYPERLINK("http://twitter.com","Twitter Web Client")</f>
        <v>Twitter Web Client</v>
      </c>
      <c r="J5288" s="2">
        <v>7754</v>
      </c>
      <c r="K5288" s="2">
        <v>2022</v>
      </c>
      <c r="L5288" s="2">
        <v>33</v>
      </c>
      <c r="M5288" s="2"/>
      <c r="N5288" s="8">
        <v>42841.908067129625</v>
      </c>
      <c r="O5288" s="4" t="s">
        <v>2403</v>
      </c>
      <c r="P5288" s="3" t="s">
        <v>2402</v>
      </c>
      <c r="Q5288" s="4"/>
      <c r="R5288" s="4"/>
      <c r="S5288" s="9" t="str">
        <f>HYPERLINK("https://pbs.twimg.com/profile_images/1025257729127075840/yKvSI7yL.jpg","View")</f>
        <v>View</v>
      </c>
    </row>
    <row r="5289" spans="1:19" ht="20">
      <c r="A5289" s="8">
        <v>43340.746122685188</v>
      </c>
      <c r="B5289" s="11" t="str">
        <f>HYPERLINK("https://twitter.com/szamanii","@szamanii")</f>
        <v>@szamanii</v>
      </c>
      <c r="C5289" s="6" t="s">
        <v>2401</v>
      </c>
      <c r="D5289" s="5" t="s">
        <v>2400</v>
      </c>
      <c r="E5289" s="9" t="str">
        <f>HYPERLINK("https://twitter.com/szamanii/status/1034431508180819968","1034431508180819968")</f>
        <v>1034431508180819968</v>
      </c>
      <c r="F5289" s="4"/>
      <c r="G5289" s="4"/>
      <c r="H5289" s="4"/>
      <c r="I5289" s="10" t="str">
        <f>HYPERLINK("http://twitter.com/download/android","Twitter for Android")</f>
        <v>Twitter for Android</v>
      </c>
      <c r="J5289" s="2">
        <v>2600</v>
      </c>
      <c r="K5289" s="2">
        <v>2485</v>
      </c>
      <c r="L5289" s="2">
        <v>6</v>
      </c>
      <c r="M5289" s="2"/>
      <c r="N5289" s="8">
        <v>42615.146203703705</v>
      </c>
      <c r="O5289" s="4" t="s">
        <v>894</v>
      </c>
      <c r="P5289" s="3" t="s">
        <v>2399</v>
      </c>
      <c r="Q5289" s="4"/>
      <c r="R5289" s="4"/>
      <c r="S5289" s="9" t="str">
        <f>HYPERLINK("https://pbs.twimg.com/profile_images/1030144676182073344/bmcpM32a.jpg","View")</f>
        <v>View</v>
      </c>
    </row>
    <row r="5290" spans="1:19" ht="12.5">
      <c r="A5290" s="8">
        <v>43340.746099537035</v>
      </c>
      <c r="B5290" s="11" t="str">
        <f>HYPERLINK("https://twitter.com/rezak1346","@rezak1346")</f>
        <v>@rezak1346</v>
      </c>
      <c r="C5290" s="6" t="s">
        <v>2398</v>
      </c>
      <c r="D5290" s="5" t="s">
        <v>2397</v>
      </c>
      <c r="E5290" s="9" t="str">
        <f>HYPERLINK("https://twitter.com/rezak1346/status/1034431501822316544","1034431501822316544")</f>
        <v>1034431501822316544</v>
      </c>
      <c r="F5290" s="4"/>
      <c r="G5290" s="4"/>
      <c r="H5290" s="4"/>
      <c r="I5290" s="10" t="str">
        <f>HYPERLINK("http://twitter.com/download/android","Twitter for Android")</f>
        <v>Twitter for Android</v>
      </c>
      <c r="J5290" s="2">
        <v>53</v>
      </c>
      <c r="K5290" s="2">
        <v>128</v>
      </c>
      <c r="L5290" s="2">
        <v>0</v>
      </c>
      <c r="M5290" s="2"/>
      <c r="N5290" s="8">
        <v>42930.728749999995</v>
      </c>
      <c r="O5290" s="4" t="s">
        <v>324</v>
      </c>
      <c r="P5290" s="3"/>
      <c r="Q5290" s="4"/>
      <c r="R5290" s="4"/>
      <c r="S5290" s="9" t="str">
        <f>HYPERLINK("https://pbs.twimg.com/profile_images/1030528112453410822/1dXapEKK.jpg","View")</f>
        <v>View</v>
      </c>
    </row>
    <row r="5291" spans="1:19" ht="40">
      <c r="A5291" s="8">
        <v>43340.745937500003</v>
      </c>
      <c r="B5291" s="11" t="str">
        <f>HYPERLINK("https://twitter.com/sinBasid","@sinBasid")</f>
        <v>@sinBasid</v>
      </c>
      <c r="C5291" s="6" t="s">
        <v>2396</v>
      </c>
      <c r="D5291" s="5" t="s">
        <v>2395</v>
      </c>
      <c r="E5291" s="9" t="str">
        <f>HYPERLINK("https://twitter.com/sinBasid/status/1034431444993617920","1034431444993617920")</f>
        <v>1034431444993617920</v>
      </c>
      <c r="F5291" s="4"/>
      <c r="G5291" s="4"/>
      <c r="H5291" s="4"/>
      <c r="I5291" s="10" t="str">
        <f>HYPERLINK("http://twitter.com/download/iphone","Twitter for iPhone")</f>
        <v>Twitter for iPhone</v>
      </c>
      <c r="J5291" s="2">
        <v>391</v>
      </c>
      <c r="K5291" s="2">
        <v>425</v>
      </c>
      <c r="L5291" s="2">
        <v>6</v>
      </c>
      <c r="M5291" s="2"/>
      <c r="N5291" s="8">
        <v>41746.052546296298</v>
      </c>
      <c r="O5291" s="4" t="s">
        <v>894</v>
      </c>
      <c r="P5291" s="3" t="s">
        <v>2394</v>
      </c>
      <c r="Q5291" s="4"/>
      <c r="R5291" s="4"/>
      <c r="S5291" s="9" t="str">
        <f>HYPERLINK("https://pbs.twimg.com/profile_images/1021052297923710979/H1ZS4gid.jpg","View")</f>
        <v>View</v>
      </c>
    </row>
    <row r="5292" spans="1:19" ht="40">
      <c r="A5292" s="8">
        <v>43340.745856481481</v>
      </c>
      <c r="B5292" s="11" t="str">
        <f>HYPERLINK("https://twitter.com/MMoteshareei","@MMoteshareei")</f>
        <v>@MMoteshareei</v>
      </c>
      <c r="C5292" s="6" t="s">
        <v>2393</v>
      </c>
      <c r="D5292" s="5" t="s">
        <v>2392</v>
      </c>
      <c r="E5292" s="9" t="str">
        <f>HYPERLINK("https://twitter.com/MMoteshareei/status/1034431415771901952","1034431415771901952")</f>
        <v>1034431415771901952</v>
      </c>
      <c r="F5292" s="4"/>
      <c r="G5292" s="4"/>
      <c r="H5292" s="4"/>
      <c r="I5292" s="10" t="str">
        <f>HYPERLINK("http://twitter.com/download/android","Twitter for Android")</f>
        <v>Twitter for Android</v>
      </c>
      <c r="J5292" s="2">
        <v>171</v>
      </c>
      <c r="K5292" s="2">
        <v>463</v>
      </c>
      <c r="L5292" s="2">
        <v>0</v>
      </c>
      <c r="M5292" s="2"/>
      <c r="N5292" s="8">
        <v>43139.262314814812</v>
      </c>
      <c r="O5292" s="4" t="s">
        <v>34</v>
      </c>
      <c r="P5292" s="3" t="s">
        <v>2391</v>
      </c>
      <c r="Q5292" s="4"/>
      <c r="R5292" s="4"/>
      <c r="S5292" s="9" t="str">
        <f>HYPERLINK("https://pbs.twimg.com/profile_images/1029241485764505601/i-dOYrB_.jpg","View")</f>
        <v>View</v>
      </c>
    </row>
    <row r="5293" spans="1:19" ht="40">
      <c r="A5293" s="8">
        <v>43340.744699074072</v>
      </c>
      <c r="B5293" s="11" t="str">
        <f>HYPERLINK("https://twitter.com/DalghakIrani","@DalghakIrani")</f>
        <v>@DalghakIrani</v>
      </c>
      <c r="C5293" s="6" t="s">
        <v>2390</v>
      </c>
      <c r="D5293" s="5" t="s">
        <v>2389</v>
      </c>
      <c r="E5293" s="9" t="str">
        <f>HYPERLINK("https://twitter.com/DalghakIrani/status/1034430992453447682","1034430992453447682")</f>
        <v>1034430992453447682</v>
      </c>
      <c r="F5293" s="4"/>
      <c r="G5293" s="4"/>
      <c r="H5293" s="4"/>
      <c r="I5293" s="10" t="str">
        <f>HYPERLINK("http://twitter.com","Twitter Web Client")</f>
        <v>Twitter Web Client</v>
      </c>
      <c r="J5293" s="2">
        <v>1041</v>
      </c>
      <c r="K5293" s="2">
        <v>610</v>
      </c>
      <c r="L5293" s="2">
        <v>5</v>
      </c>
      <c r="M5293" s="2"/>
      <c r="N5293" s="8">
        <v>41504.594212962962</v>
      </c>
      <c r="O5293" s="4" t="s">
        <v>2250</v>
      </c>
      <c r="P5293" s="3" t="s">
        <v>2388</v>
      </c>
      <c r="Q5293" s="10" t="s">
        <v>2387</v>
      </c>
      <c r="R5293" s="4"/>
      <c r="S5293" s="9" t="str">
        <f>HYPERLINK("https://pbs.twimg.com/profile_images/939146036798517248/f8s5BAPT.jpg","View")</f>
        <v>View</v>
      </c>
    </row>
    <row r="5294" spans="1:19" ht="30">
      <c r="A5294" s="8">
        <v>43340.744675925926</v>
      </c>
      <c r="B5294" s="11" t="str">
        <f>HYPERLINK("https://twitter.com/Tasnimnews_Fa","@Tasnimnews_Fa")</f>
        <v>@Tasnimnews_Fa</v>
      </c>
      <c r="C5294" s="6" t="s">
        <v>603</v>
      </c>
      <c r="D5294" s="5" t="s">
        <v>2386</v>
      </c>
      <c r="E5294" s="9" t="str">
        <f>HYPERLINK("https://twitter.com/Tasnimnews_Fa/status/1034430984962289666","1034430984962289666")</f>
        <v>1034430984962289666</v>
      </c>
      <c r="F5294" s="10" t="s">
        <v>2385</v>
      </c>
      <c r="G5294" s="10" t="s">
        <v>2384</v>
      </c>
      <c r="H5294" s="4"/>
      <c r="I5294" s="10" t="str">
        <f>HYPERLINK("http://twitter.com","Twitter Web Client")</f>
        <v>Twitter Web Client</v>
      </c>
      <c r="J5294" s="2">
        <v>109379</v>
      </c>
      <c r="K5294" s="2">
        <v>20</v>
      </c>
      <c r="L5294" s="2">
        <v>377</v>
      </c>
      <c r="M5294" s="2" t="s">
        <v>80</v>
      </c>
      <c r="N5294" s="8">
        <v>41868.671585648146</v>
      </c>
      <c r="O5294" s="4" t="s">
        <v>133</v>
      </c>
      <c r="P5294" s="3" t="s">
        <v>599</v>
      </c>
      <c r="Q5294" s="10" t="s">
        <v>598</v>
      </c>
      <c r="R5294" s="4"/>
      <c r="S5294" s="9" t="str">
        <f>HYPERLINK("https://pbs.twimg.com/profile_images/942003149430239232/hvLw_1_E.jpg","View")</f>
        <v>View</v>
      </c>
    </row>
    <row r="5295" spans="1:19" ht="30">
      <c r="A5295" s="8">
        <v>43340.744652777779</v>
      </c>
      <c r="B5295" s="11" t="str">
        <f>HYPERLINK("https://twitter.com/ittallloo","@ittallloo")</f>
        <v>@ittallloo</v>
      </c>
      <c r="C5295" s="6" t="s">
        <v>2273</v>
      </c>
      <c r="D5295" s="5" t="s">
        <v>2383</v>
      </c>
      <c r="E5295" s="9" t="str">
        <f>HYPERLINK("https://twitter.com/ittallloo/status/1034430977135845382","1034430977135845382")</f>
        <v>1034430977135845382</v>
      </c>
      <c r="F5295" s="4"/>
      <c r="G5295" s="4"/>
      <c r="H5295" s="4"/>
      <c r="I5295" s="10" t="str">
        <f>HYPERLINK("http://twitter.com/download/android","Twitter for Android")</f>
        <v>Twitter for Android</v>
      </c>
      <c r="J5295" s="2">
        <v>74</v>
      </c>
      <c r="K5295" s="2">
        <v>131</v>
      </c>
      <c r="L5295" s="2">
        <v>0</v>
      </c>
      <c r="M5295" s="2"/>
      <c r="N5295" s="8">
        <v>43258.659131944441</v>
      </c>
      <c r="O5295" s="4"/>
      <c r="P5295" s="3" t="s">
        <v>2271</v>
      </c>
      <c r="Q5295" s="4"/>
      <c r="R5295" s="4"/>
      <c r="S5295" s="9" t="str">
        <f>HYPERLINK("https://pbs.twimg.com/profile_images/1007254137459888128/smqz4kwY.jpg","View")</f>
        <v>View</v>
      </c>
    </row>
    <row r="5296" spans="1:19" ht="40">
      <c r="A5296" s="8">
        <v>43340.744456018518</v>
      </c>
      <c r="B5296" s="11" t="str">
        <f>HYPERLINK("https://twitter.com/soorennn","@soorennn")</f>
        <v>@soorennn</v>
      </c>
      <c r="C5296" s="6" t="s">
        <v>2382</v>
      </c>
      <c r="D5296" s="5" t="s">
        <v>2381</v>
      </c>
      <c r="E5296" s="9" t="str">
        <f>HYPERLINK("https://twitter.com/soorennn/status/1034430905128034305","1034430905128034305")</f>
        <v>1034430905128034305</v>
      </c>
      <c r="F5296" s="4"/>
      <c r="G5296" s="10" t="s">
        <v>2380</v>
      </c>
      <c r="H5296" s="4"/>
      <c r="I5296" s="10" t="str">
        <f>HYPERLINK("http://twitter.com/download/android","Twitter for Android")</f>
        <v>Twitter for Android</v>
      </c>
      <c r="J5296" s="2">
        <v>1393</v>
      </c>
      <c r="K5296" s="2">
        <v>1371</v>
      </c>
      <c r="L5296" s="2">
        <v>0</v>
      </c>
      <c r="M5296" s="2"/>
      <c r="N5296" s="8">
        <v>41341.522962962961</v>
      </c>
      <c r="O5296" s="4"/>
      <c r="P5296" s="3" t="s">
        <v>2379</v>
      </c>
      <c r="Q5296" s="4"/>
      <c r="R5296" s="4"/>
      <c r="S5296" s="9" t="str">
        <f>HYPERLINK("https://pbs.twimg.com/profile_images/1029698655085887488/0wdK9gJY.jpg","View")</f>
        <v>View</v>
      </c>
    </row>
    <row r="5297" spans="1:19" ht="40">
      <c r="A5297" s="8">
        <v>43340.744097222225</v>
      </c>
      <c r="B5297" s="11" t="str">
        <f>HYPERLINK("https://twitter.com/kafka1300","@kafka1300")</f>
        <v>@kafka1300</v>
      </c>
      <c r="C5297" s="6" t="s">
        <v>2378</v>
      </c>
      <c r="D5297" s="5" t="s">
        <v>2377</v>
      </c>
      <c r="E5297" s="9" t="str">
        <f>HYPERLINK("https://twitter.com/kafka1300/status/1034430774693584896","1034430774693584896")</f>
        <v>1034430774693584896</v>
      </c>
      <c r="F5297" s="4"/>
      <c r="G5297" s="4"/>
      <c r="H5297" s="4"/>
      <c r="I5297" s="10" t="str">
        <f>HYPERLINK("http://twitter.com/download/android","Twitter for Android")</f>
        <v>Twitter for Android</v>
      </c>
      <c r="J5297" s="2">
        <v>785</v>
      </c>
      <c r="K5297" s="2">
        <v>1054</v>
      </c>
      <c r="L5297" s="2">
        <v>7</v>
      </c>
      <c r="M5297" s="2"/>
      <c r="N5297" s="8">
        <v>42452.001099537039</v>
      </c>
      <c r="O5297" s="4" t="s">
        <v>17</v>
      </c>
      <c r="P5297" s="3" t="s">
        <v>2376</v>
      </c>
      <c r="Q5297" s="4"/>
      <c r="R5297" s="4"/>
      <c r="S5297" s="9" t="str">
        <f>HYPERLINK("https://pbs.twimg.com/profile_images/713058953693933571/WDLIoeiD.jpg","View")</f>
        <v>View</v>
      </c>
    </row>
    <row r="5298" spans="1:19" ht="12.5">
      <c r="A5298" s="8">
        <v>43340.743923611109</v>
      </c>
      <c r="B5298" s="11" t="str">
        <f>HYPERLINK("https://twitter.com/talabekermani","@talabekermani")</f>
        <v>@talabekermani</v>
      </c>
      <c r="C5298" s="6" t="s">
        <v>2375</v>
      </c>
      <c r="D5298" s="5" t="s">
        <v>2374</v>
      </c>
      <c r="E5298" s="9" t="str">
        <f>HYPERLINK("https://twitter.com/talabekermani/status/1034430712592646145","1034430712592646145")</f>
        <v>1034430712592646145</v>
      </c>
      <c r="F5298" s="4"/>
      <c r="G5298" s="4"/>
      <c r="H5298" s="4"/>
      <c r="I5298" s="10" t="str">
        <f>HYPERLINK("http://twitter.com/download/android","Twitter for Android")</f>
        <v>Twitter for Android</v>
      </c>
      <c r="J5298" s="2">
        <v>5496</v>
      </c>
      <c r="K5298" s="2">
        <v>5568</v>
      </c>
      <c r="L5298" s="2">
        <v>14</v>
      </c>
      <c r="M5298" s="2"/>
      <c r="N5298" s="8">
        <v>42841.076469907406</v>
      </c>
      <c r="O5298" s="4" t="s">
        <v>2373</v>
      </c>
      <c r="P5298" s="3" t="s">
        <v>2372</v>
      </c>
      <c r="Q5298" s="4"/>
      <c r="R5298" s="4"/>
      <c r="S5298" s="9" t="str">
        <f>HYPERLINK("https://pbs.twimg.com/profile_images/1028579423820435456/sczrVymO.jpg","View")</f>
        <v>View</v>
      </c>
    </row>
    <row r="5299" spans="1:19" ht="40">
      <c r="A5299" s="8">
        <v>43340.72152777778</v>
      </c>
      <c r="B5299" s="11" t="str">
        <f>HYPERLINK("https://twitter.com/ardavan_sijani","@ardavan_sijani")</f>
        <v>@ardavan_sijani</v>
      </c>
      <c r="C5299" s="6" t="s">
        <v>2371</v>
      </c>
      <c r="D5299" s="5" t="s">
        <v>2370</v>
      </c>
      <c r="E5299" s="9" t="str">
        <f>HYPERLINK("https://twitter.com/ardavan_sijani/status/1034422597763706880","1034422597763706880")</f>
        <v>1034422597763706880</v>
      </c>
      <c r="F5299" s="4"/>
      <c r="G5299" s="10" t="s">
        <v>2369</v>
      </c>
      <c r="H5299" s="4"/>
      <c r="I5299" s="10" t="str">
        <f>HYPERLINK("http://twitter.com/download/android","Twitter for Android")</f>
        <v>Twitter for Android</v>
      </c>
      <c r="J5299" s="2">
        <v>723</v>
      </c>
      <c r="K5299" s="2">
        <v>1348</v>
      </c>
      <c r="L5299" s="2">
        <v>3</v>
      </c>
      <c r="M5299" s="2"/>
      <c r="N5299" s="8">
        <v>42496.528865740736</v>
      </c>
      <c r="O5299" s="4" t="s">
        <v>2368</v>
      </c>
      <c r="P5299" s="3" t="s">
        <v>2367</v>
      </c>
      <c r="Q5299" s="10" t="s">
        <v>2366</v>
      </c>
      <c r="R5299" s="4"/>
      <c r="S5299" s="9" t="str">
        <f>HYPERLINK("https://pbs.twimg.com/profile_images/871020529758720000/deDU-kB0.jpg","View")</f>
        <v>View</v>
      </c>
    </row>
    <row r="5300" spans="1:19" ht="20">
      <c r="A5300" s="8">
        <v>43340.721400462964</v>
      </c>
      <c r="B5300" s="11" t="str">
        <f>HYPERLINK("https://twitter.com/roozbahany","@roozbahany")</f>
        <v>@roozbahany</v>
      </c>
      <c r="C5300" s="6" t="s">
        <v>2365</v>
      </c>
      <c r="D5300" s="5" t="s">
        <v>2364</v>
      </c>
      <c r="E5300" s="9" t="str">
        <f>HYPERLINK("https://twitter.com/roozbahany/status/1034422549319503874","1034422549319503874")</f>
        <v>1034422549319503874</v>
      </c>
      <c r="F5300" s="4"/>
      <c r="G5300" s="10" t="s">
        <v>2363</v>
      </c>
      <c r="H5300" s="4"/>
      <c r="I5300" s="10" t="str">
        <f>HYPERLINK("http://twitter.com/download/android","Twitter for Android")</f>
        <v>Twitter for Android</v>
      </c>
      <c r="J5300" s="2">
        <v>87</v>
      </c>
      <c r="K5300" s="2">
        <v>238</v>
      </c>
      <c r="L5300" s="2">
        <v>0</v>
      </c>
      <c r="M5300" s="2"/>
      <c r="N5300" s="8">
        <v>42174.595023148147</v>
      </c>
      <c r="O5300" s="4" t="s">
        <v>682</v>
      </c>
      <c r="P5300" s="3" t="s">
        <v>2362</v>
      </c>
      <c r="Q5300" s="10" t="s">
        <v>2361</v>
      </c>
      <c r="R5300" s="4"/>
      <c r="S5300" s="9" t="str">
        <f>HYPERLINK("https://pbs.twimg.com/profile_images/984847903624712192/9F1AVFhN.jpg","View")</f>
        <v>View</v>
      </c>
    </row>
    <row r="5301" spans="1:19" ht="20">
      <c r="A5301" s="8">
        <v>43340.721354166672</v>
      </c>
      <c r="B5301" s="11" t="str">
        <f>HYPERLINK("https://twitter.com/khorshidkha","@khorshidkha")</f>
        <v>@khorshidkha</v>
      </c>
      <c r="C5301" s="6" t="s">
        <v>2360</v>
      </c>
      <c r="D5301" s="5" t="s">
        <v>2359</v>
      </c>
      <c r="E5301" s="9" t="str">
        <f>HYPERLINK("https://twitter.com/khorshidkha/status/1034422532923895809","1034422532923895809")</f>
        <v>1034422532923895809</v>
      </c>
      <c r="F5301" s="4"/>
      <c r="G5301" s="4"/>
      <c r="H5301" s="4"/>
      <c r="I5301" s="10" t="str">
        <f>HYPERLINK("http://twitter.com/download/iphone","Twitter for iPhone")</f>
        <v>Twitter for iPhone</v>
      </c>
      <c r="J5301" s="2">
        <v>68</v>
      </c>
      <c r="K5301" s="2">
        <v>137</v>
      </c>
      <c r="L5301" s="2">
        <v>0</v>
      </c>
      <c r="M5301" s="2"/>
      <c r="N5301" s="8">
        <v>42835.867835648147</v>
      </c>
      <c r="O5301" s="4"/>
      <c r="P5301" s="3" t="s">
        <v>2358</v>
      </c>
      <c r="Q5301" s="4"/>
      <c r="R5301" s="4"/>
      <c r="S5301" s="9" t="str">
        <f>HYPERLINK("https://pbs.twimg.com/profile_images/1018225243310182400/FvVQ0HsF.jpg","View")</f>
        <v>View</v>
      </c>
    </row>
    <row r="5302" spans="1:19" ht="40">
      <c r="A5302" s="8">
        <v>43340.720960648148</v>
      </c>
      <c r="B5302" s="11" t="str">
        <f>HYPERLINK("https://twitter.com/Tinapormanocheh","@Tinapormanocheh")</f>
        <v>@Tinapormanocheh</v>
      </c>
      <c r="C5302" s="6" t="s">
        <v>2357</v>
      </c>
      <c r="D5302" s="5" t="s">
        <v>2356</v>
      </c>
      <c r="E5302" s="9" t="str">
        <f>HYPERLINK("https://twitter.com/Tinapormanocheh/status/1034422393169620992","1034422393169620992")</f>
        <v>1034422393169620992</v>
      </c>
      <c r="F5302" s="4"/>
      <c r="G5302" s="4"/>
      <c r="H5302" s="4"/>
      <c r="I5302" s="10" t="str">
        <f>HYPERLINK("http://twitter.com","Twitter Web Client")</f>
        <v>Twitter Web Client</v>
      </c>
      <c r="J5302" s="2">
        <v>69</v>
      </c>
      <c r="K5302" s="2">
        <v>347</v>
      </c>
      <c r="L5302" s="2">
        <v>0</v>
      </c>
      <c r="M5302" s="2"/>
      <c r="N5302" s="8">
        <v>42991.381840277776</v>
      </c>
      <c r="O5302" s="4" t="s">
        <v>34</v>
      </c>
      <c r="P5302" s="3" t="s">
        <v>2355</v>
      </c>
      <c r="Q5302" s="4"/>
      <c r="R5302" s="4"/>
      <c r="S5302" s="9" t="str">
        <f>HYPERLINK("https://pbs.twimg.com/profile_images/910032117744140288/y10-ObWN.jpg","View")</f>
        <v>View</v>
      </c>
    </row>
    <row r="5303" spans="1:19" ht="40">
      <c r="A5303" s="8">
        <v>43340.720902777779</v>
      </c>
      <c r="B5303" s="11" t="str">
        <f>HYPERLINK("https://twitter.com/manOfMistakes","@manOfMistakes")</f>
        <v>@manOfMistakes</v>
      </c>
      <c r="C5303" s="6" t="s">
        <v>368</v>
      </c>
      <c r="D5303" s="5" t="s">
        <v>2354</v>
      </c>
      <c r="E5303" s="9" t="str">
        <f>HYPERLINK("https://twitter.com/manOfMistakes/status/1034422368838406146","1034422368838406146")</f>
        <v>1034422368838406146</v>
      </c>
      <c r="F5303" s="4"/>
      <c r="G5303" s="4"/>
      <c r="H5303" s="4"/>
      <c r="I5303" s="10" t="str">
        <f>HYPERLINK("http://twitter.com/download/iphone","Twitter for iPhone")</f>
        <v>Twitter for iPhone</v>
      </c>
      <c r="J5303" s="2">
        <v>130</v>
      </c>
      <c r="K5303" s="2">
        <v>250</v>
      </c>
      <c r="L5303" s="2">
        <v>0</v>
      </c>
      <c r="M5303" s="2"/>
      <c r="N5303" s="8">
        <v>43304.329965277779</v>
      </c>
      <c r="O5303" s="4" t="s">
        <v>34</v>
      </c>
      <c r="P5303" s="3" t="s">
        <v>366</v>
      </c>
      <c r="Q5303" s="4"/>
      <c r="R5303" s="4"/>
      <c r="S5303" s="9" t="str">
        <f>HYPERLINK("https://pbs.twimg.com/profile_images/1028755362831204352/MbdRKhM9.jpg","View")</f>
        <v>View</v>
      </c>
    </row>
    <row r="5304" spans="1:19" ht="40">
      <c r="A5304" s="8">
        <v>43340.720532407402</v>
      </c>
      <c r="B5304" s="11" t="str">
        <f>HYPERLINK("https://twitter.com/SherVn23","@SherVn23")</f>
        <v>@SherVn23</v>
      </c>
      <c r="C5304" s="6" t="s">
        <v>2353</v>
      </c>
      <c r="D5304" s="5" t="s">
        <v>2352</v>
      </c>
      <c r="E5304" s="9" t="str">
        <f>HYPERLINK("https://twitter.com/SherVn23/status/1034422238643150860","1034422238643150860")</f>
        <v>1034422238643150860</v>
      </c>
      <c r="F5304" s="4"/>
      <c r="G5304" s="4"/>
      <c r="H5304" s="4"/>
      <c r="I5304" s="10" t="str">
        <f>HYPERLINK("http://twitter.com/download/iphone","Twitter for iPhone")</f>
        <v>Twitter for iPhone</v>
      </c>
      <c r="J5304" s="2">
        <v>37</v>
      </c>
      <c r="K5304" s="2">
        <v>77</v>
      </c>
      <c r="L5304" s="2">
        <v>0</v>
      </c>
      <c r="M5304" s="2"/>
      <c r="N5304" s="8">
        <v>40829.770740740743</v>
      </c>
      <c r="O5304" s="4"/>
      <c r="P5304" s="3"/>
      <c r="Q5304" s="4"/>
      <c r="R5304" s="4"/>
      <c r="S5304" s="9" t="str">
        <f>HYPERLINK("https://pbs.twimg.com/profile_images/968401629786640384/evFJwmN4.jpg","View")</f>
        <v>View</v>
      </c>
    </row>
    <row r="5305" spans="1:19" ht="40">
      <c r="A5305" s="8">
        <v>43340.72042824074</v>
      </c>
      <c r="B5305" s="11" t="str">
        <f>HYPERLINK("https://twitter.com/GhoreishiG","@GhoreishiG")</f>
        <v>@GhoreishiG</v>
      </c>
      <c r="C5305" s="6" t="s">
        <v>2351</v>
      </c>
      <c r="D5305" s="5" t="s">
        <v>2350</v>
      </c>
      <c r="E5305" s="9" t="str">
        <f>HYPERLINK("https://twitter.com/GhoreishiG/status/1034422197404807168","1034422197404807168")</f>
        <v>1034422197404807168</v>
      </c>
      <c r="F5305" s="4"/>
      <c r="G5305" s="4"/>
      <c r="H5305" s="4"/>
      <c r="I5305" s="10" t="str">
        <f>HYPERLINK("http://twitter.com/download/android","Twitter for Android")</f>
        <v>Twitter for Android</v>
      </c>
      <c r="J5305" s="2">
        <v>191</v>
      </c>
      <c r="K5305" s="2">
        <v>247</v>
      </c>
      <c r="L5305" s="2">
        <v>0</v>
      </c>
      <c r="M5305" s="2"/>
      <c r="N5305" s="8">
        <v>43102.098576388889</v>
      </c>
      <c r="O5305" s="4" t="s">
        <v>2250</v>
      </c>
      <c r="P5305" s="3" t="s">
        <v>2349</v>
      </c>
      <c r="Q5305" s="4"/>
      <c r="R5305" s="4"/>
      <c r="S5305" s="9" t="str">
        <f>HYPERLINK("https://pbs.twimg.com/profile_images/1026413008514371584/zl2j7k28.jpg","View")</f>
        <v>View</v>
      </c>
    </row>
    <row r="5306" spans="1:19" ht="30">
      <c r="A5306" s="8">
        <v>43340.720138888893</v>
      </c>
      <c r="B5306" s="11" t="str">
        <f>HYPERLINK("https://twitter.com/hodhod_97","@hodhod_97")</f>
        <v>@hodhod_97</v>
      </c>
      <c r="C5306" s="6" t="s">
        <v>1874</v>
      </c>
      <c r="D5306" s="5" t="s">
        <v>2348</v>
      </c>
      <c r="E5306" s="9" t="str">
        <f>HYPERLINK("https://twitter.com/hodhod_97/status/1034422095642550272","1034422095642550272")</f>
        <v>1034422095642550272</v>
      </c>
      <c r="F5306" s="4"/>
      <c r="G5306" s="4"/>
      <c r="H5306" s="4"/>
      <c r="I5306" s="10" t="str">
        <f>HYPERLINK("http://twitter.com","Twitter Web Client")</f>
        <v>Twitter Web Client</v>
      </c>
      <c r="J5306" s="2">
        <v>659</v>
      </c>
      <c r="K5306" s="2">
        <v>2191</v>
      </c>
      <c r="L5306" s="2">
        <v>0</v>
      </c>
      <c r="M5306" s="2"/>
      <c r="N5306" s="8">
        <v>43337.775081018517</v>
      </c>
      <c r="O5306" s="4"/>
      <c r="P5306" s="3"/>
      <c r="Q5306" s="4"/>
      <c r="R5306" s="4"/>
      <c r="S5306" s="9" t="str">
        <f>HYPERLINK("https://pbs.twimg.com/profile_images/1033370478411431937/5d84V1tk.jpg","View")</f>
        <v>View</v>
      </c>
    </row>
    <row r="5307" spans="1:19" ht="40">
      <c r="A5307" s="8">
        <v>43340.720057870371</v>
      </c>
      <c r="B5307" s="11" t="str">
        <f>HYPERLINK("https://twitter.com/BlackMi74769355","@BlackMi74769355")</f>
        <v>@BlackMi74769355</v>
      </c>
      <c r="C5307" s="6" t="s">
        <v>2347</v>
      </c>
      <c r="D5307" s="5" t="s">
        <v>2346</v>
      </c>
      <c r="E5307" s="9" t="str">
        <f>HYPERLINK("https://twitter.com/BlackMi74769355/status/1034422065024180225","1034422065024180225")</f>
        <v>1034422065024180225</v>
      </c>
      <c r="F5307" s="4"/>
      <c r="G5307" s="10" t="s">
        <v>2345</v>
      </c>
      <c r="H5307" s="4"/>
      <c r="I5307" s="10" t="str">
        <f>HYPERLINK("http://twitter.com/download/android","Twitter for Android")</f>
        <v>Twitter for Android</v>
      </c>
      <c r="J5307" s="2">
        <v>1</v>
      </c>
      <c r="K5307" s="2">
        <v>21</v>
      </c>
      <c r="L5307" s="2">
        <v>1</v>
      </c>
      <c r="M5307" s="2"/>
      <c r="N5307" s="8">
        <v>43315.430185185185</v>
      </c>
      <c r="O5307" s="4" t="s">
        <v>2344</v>
      </c>
      <c r="P5307" s="3" t="s">
        <v>2343</v>
      </c>
      <c r="Q5307" s="4"/>
      <c r="R5307" s="4"/>
      <c r="S5307" s="9" t="str">
        <f>HYPERLINK("https://pbs.twimg.com/profile_images/1028958496589524992/HlLCYSzx.jpg","View")</f>
        <v>View</v>
      </c>
    </row>
    <row r="5308" spans="1:19" ht="20">
      <c r="A5308" s="8">
        <v>43340.719375000001</v>
      </c>
      <c r="B5308" s="11" t="str">
        <f>HYPERLINK("https://twitter.com/farzaneh_1371","@farzaneh_1371")</f>
        <v>@farzaneh_1371</v>
      </c>
      <c r="C5308" s="6" t="s">
        <v>2342</v>
      </c>
      <c r="D5308" s="5" t="s">
        <v>2341</v>
      </c>
      <c r="E5308" s="9" t="str">
        <f>HYPERLINK("https://twitter.com/farzaneh_1371/status/1034421818839511040","1034421818839511040")</f>
        <v>1034421818839511040</v>
      </c>
      <c r="F5308" s="4"/>
      <c r="G5308" s="4"/>
      <c r="H5308" s="4"/>
      <c r="I5308" s="10" t="str">
        <f>HYPERLINK("http://twitter.com/download/android","Twitter for Android")</f>
        <v>Twitter for Android</v>
      </c>
      <c r="J5308" s="2">
        <v>218</v>
      </c>
      <c r="K5308" s="2">
        <v>229</v>
      </c>
      <c r="L5308" s="2">
        <v>1</v>
      </c>
      <c r="M5308" s="2"/>
      <c r="N5308" s="8">
        <v>42920.886736111112</v>
      </c>
      <c r="O5308" s="4"/>
      <c r="P5308" s="3"/>
      <c r="Q5308" s="4"/>
      <c r="R5308" s="4"/>
      <c r="S5308" s="9" t="str">
        <f>HYPERLINK("https://pbs.twimg.com/profile_images/935126822584487936/0uj4B8Y5.jpg","View")</f>
        <v>View</v>
      </c>
    </row>
    <row r="5309" spans="1:19" ht="20">
      <c r="A5309" s="8">
        <v>43340.719340277778</v>
      </c>
      <c r="B5309" s="11" t="str">
        <f>HYPERLINK("https://twitter.com/kahookar_h","@kahookar_h")</f>
        <v>@kahookar_h</v>
      </c>
      <c r="C5309" s="6" t="s">
        <v>2340</v>
      </c>
      <c r="D5309" s="5" t="s">
        <v>2339</v>
      </c>
      <c r="E5309" s="9" t="str">
        <f>HYPERLINK("https://twitter.com/kahookar_h/status/1034421803911925765","1034421803911925765")</f>
        <v>1034421803911925765</v>
      </c>
      <c r="F5309" s="4"/>
      <c r="G5309" s="4"/>
      <c r="H5309" s="4"/>
      <c r="I5309" s="10" t="str">
        <f>HYPERLINK("http://twitter.com/download/iphone","Twitter for iPhone")</f>
        <v>Twitter for iPhone</v>
      </c>
      <c r="J5309" s="2">
        <v>2384</v>
      </c>
      <c r="K5309" s="2">
        <v>2507</v>
      </c>
      <c r="L5309" s="2">
        <v>1</v>
      </c>
      <c r="M5309" s="2"/>
      <c r="N5309" s="8">
        <v>42996.145567129628</v>
      </c>
      <c r="O5309" s="4" t="s">
        <v>2338</v>
      </c>
      <c r="P5309" s="3" t="s">
        <v>2337</v>
      </c>
      <c r="Q5309" s="4"/>
      <c r="R5309" s="4"/>
      <c r="S5309" s="9" t="str">
        <f>HYPERLINK("https://pbs.twimg.com/profile_images/1017840605383229444/Bswb0Y1W.jpg","View")</f>
        <v>View</v>
      </c>
    </row>
    <row r="5310" spans="1:19" ht="40">
      <c r="A5310" s="8">
        <v>43340.719259259262</v>
      </c>
      <c r="B5310" s="11" t="str">
        <f>HYPERLINK("https://twitter.com/Sabzalipour","@Sabzalipour")</f>
        <v>@Sabzalipour</v>
      </c>
      <c r="C5310" s="6" t="s">
        <v>2336</v>
      </c>
      <c r="D5310" s="5" t="s">
        <v>2335</v>
      </c>
      <c r="E5310" s="9" t="str">
        <f>HYPERLINK("https://twitter.com/Sabzalipour/status/1034421776258723841","1034421776258723841")</f>
        <v>1034421776258723841</v>
      </c>
      <c r="F5310" s="4"/>
      <c r="G5310" s="4"/>
      <c r="H5310" s="4"/>
      <c r="I5310" s="10" t="str">
        <f>HYPERLINK("http://twitter.com","Twitter Web Client")</f>
        <v>Twitter Web Client</v>
      </c>
      <c r="J5310" s="2">
        <v>1429</v>
      </c>
      <c r="K5310" s="2">
        <v>49</v>
      </c>
      <c r="L5310" s="2">
        <v>41</v>
      </c>
      <c r="M5310" s="2"/>
      <c r="N5310" s="8">
        <v>40898.603854166664</v>
      </c>
      <c r="O5310" s="4" t="s">
        <v>34</v>
      </c>
      <c r="P5310" s="3" t="s">
        <v>2334</v>
      </c>
      <c r="Q5310" s="10" t="s">
        <v>2333</v>
      </c>
      <c r="R5310" s="4"/>
      <c r="S5310" s="9" t="str">
        <f>HYPERLINK("https://pbs.twimg.com/profile_images/633056942420692992/IgG8V4KJ.jpg","View")</f>
        <v>View</v>
      </c>
    </row>
    <row r="5311" spans="1:19" ht="30">
      <c r="A5311" s="8">
        <v>43340.719247685185</v>
      </c>
      <c r="B5311" s="11" t="str">
        <f>HYPERLINK("https://twitter.com/yR0dveTOiEXLvBk","@yR0dveTOiEXLvBk")</f>
        <v>@yR0dveTOiEXLvBk</v>
      </c>
      <c r="C5311" s="6" t="s">
        <v>2332</v>
      </c>
      <c r="D5311" s="5" t="s">
        <v>2331</v>
      </c>
      <c r="E5311" s="9" t="str">
        <f>HYPERLINK("https://twitter.com/yR0dveTOiEXLvBk/status/1034421770609205248","1034421770609205248")</f>
        <v>1034421770609205248</v>
      </c>
      <c r="F5311" s="4"/>
      <c r="G5311" s="4"/>
      <c r="H5311" s="4"/>
      <c r="I5311" s="10" t="str">
        <f>HYPERLINK("http://twitter.com/download/android","Twitter for Android")</f>
        <v>Twitter for Android</v>
      </c>
      <c r="J5311" s="2">
        <v>3</v>
      </c>
      <c r="K5311" s="2">
        <v>50</v>
      </c>
      <c r="L5311" s="2">
        <v>0</v>
      </c>
      <c r="M5311" s="2"/>
      <c r="N5311" s="8">
        <v>43293.638159722221</v>
      </c>
      <c r="O5311" s="4"/>
      <c r="P5311" s="3"/>
      <c r="Q5311" s="4"/>
      <c r="R5311" s="4"/>
      <c r="S5311" s="9" t="str">
        <f>HYPERLINK("https://pbs.twimg.com/profile_images/1017362862422089729/yia_Q9bg.jpg","View")</f>
        <v>View</v>
      </c>
    </row>
    <row r="5312" spans="1:19" ht="40">
      <c r="A5312" s="8">
        <v>43340.718807870369</v>
      </c>
      <c r="B5312" s="11" t="str">
        <f>HYPERLINK("https://twitter.com/trenditter","@trenditter")</f>
        <v>@trenditter</v>
      </c>
      <c r="C5312" s="6" t="s">
        <v>961</v>
      </c>
      <c r="D5312" s="5" t="s">
        <v>2330</v>
      </c>
      <c r="E5312" s="9" t="str">
        <f>HYPERLINK("https://twitter.com/trenditter/status/1034421610076413954","1034421610076413954")</f>
        <v>1034421610076413954</v>
      </c>
      <c r="F5312" s="4"/>
      <c r="G5312" s="4"/>
      <c r="H5312" s="4"/>
      <c r="I5312" s="10" t="str">
        <f>HYPERLINK("https://vahedinia.me","BestOfTwitterFa")</f>
        <v>BestOfTwitterFa</v>
      </c>
      <c r="J5312" s="2">
        <v>5216</v>
      </c>
      <c r="K5312" s="2">
        <v>29</v>
      </c>
      <c r="L5312" s="2">
        <v>34</v>
      </c>
      <c r="M5312" s="2"/>
      <c r="N5312" s="8">
        <v>42824.77443287037</v>
      </c>
      <c r="O5312" s="4" t="s">
        <v>959</v>
      </c>
      <c r="P5312" s="3" t="s">
        <v>958</v>
      </c>
      <c r="Q5312" s="10" t="s">
        <v>957</v>
      </c>
      <c r="R5312" s="4"/>
      <c r="S5312" s="9" t="str">
        <f>HYPERLINK("https://pbs.twimg.com/profile_images/847507136720637953/mQCv6V9W.jpg","View")</f>
        <v>View</v>
      </c>
    </row>
    <row r="5313" spans="1:19" ht="40">
      <c r="A5313" s="8">
        <v>43340.718680555554</v>
      </c>
      <c r="B5313" s="11" t="str">
        <f>HYPERLINK("https://twitter.com/MohsenYas64","@MohsenYas64")</f>
        <v>@MohsenYas64</v>
      </c>
      <c r="C5313" s="6" t="s">
        <v>2329</v>
      </c>
      <c r="D5313" s="5" t="s">
        <v>2328</v>
      </c>
      <c r="E5313" s="9" t="str">
        <f>HYPERLINK("https://twitter.com/MohsenYas64/status/1034421566765842438","1034421566765842438")</f>
        <v>1034421566765842438</v>
      </c>
      <c r="F5313" s="4"/>
      <c r="G5313" s="4"/>
      <c r="H5313" s="4"/>
      <c r="I5313" s="10" t="str">
        <f>HYPERLINK("http://twitter.com/download/android","Twitter for Android")</f>
        <v>Twitter for Android</v>
      </c>
      <c r="J5313" s="2">
        <v>3225</v>
      </c>
      <c r="K5313" s="2">
        <v>1692</v>
      </c>
      <c r="L5313" s="2">
        <v>6</v>
      </c>
      <c r="M5313" s="2"/>
      <c r="N5313" s="8">
        <v>42309.907592592594</v>
      </c>
      <c r="O5313" s="4" t="s">
        <v>2327</v>
      </c>
      <c r="P5313" s="3" t="s">
        <v>2326</v>
      </c>
      <c r="Q5313" s="4"/>
      <c r="R5313" s="4"/>
      <c r="S5313" s="9" t="str">
        <f>HYPERLINK("https://pbs.twimg.com/profile_images/1000836669933748224/ThZFdZWi.jpg","View")</f>
        <v>View</v>
      </c>
    </row>
    <row r="5314" spans="1:19" ht="40">
      <c r="A5314" s="8">
        <v>43340.718611111108</v>
      </c>
      <c r="B5314" s="11" t="str">
        <f>HYPERLINK("https://twitter.com/news365_online","@news365_online")</f>
        <v>@news365_online</v>
      </c>
      <c r="C5314" s="6" t="s">
        <v>2325</v>
      </c>
      <c r="D5314" s="5" t="s">
        <v>2324</v>
      </c>
      <c r="E5314" s="9" t="str">
        <f>HYPERLINK("https://twitter.com/news365_online/status/1034421539905650688","1034421539905650688")</f>
        <v>1034421539905650688</v>
      </c>
      <c r="F5314" s="4"/>
      <c r="G5314" s="10" t="s">
        <v>2323</v>
      </c>
      <c r="H5314" s="4"/>
      <c r="I5314" s="10" t="str">
        <f>HYPERLINK("http://twitter.com/download/android","Twitter for Android")</f>
        <v>Twitter for Android</v>
      </c>
      <c r="J5314" s="2">
        <v>802</v>
      </c>
      <c r="K5314" s="2">
        <v>333</v>
      </c>
      <c r="L5314" s="2">
        <v>7</v>
      </c>
      <c r="M5314" s="2"/>
      <c r="N5314" s="8">
        <v>42809.003078703703</v>
      </c>
      <c r="O5314" s="4" t="s">
        <v>34</v>
      </c>
      <c r="P5314" s="3" t="s">
        <v>2322</v>
      </c>
      <c r="Q5314" s="10" t="s">
        <v>2321</v>
      </c>
      <c r="R5314" s="4"/>
      <c r="S5314" s="9" t="str">
        <f>HYPERLINK("https://pbs.twimg.com/profile_images/923199727667220480/A0Mv4a_i.jpg","View")</f>
        <v>View</v>
      </c>
    </row>
    <row r="5315" spans="1:19" ht="40">
      <c r="A5315" s="8">
        <v>43340.718564814815</v>
      </c>
      <c r="B5315" s="11" t="str">
        <f>HYPERLINK("https://twitter.com/shokrinia","@shokrinia")</f>
        <v>@shokrinia</v>
      </c>
      <c r="C5315" s="6" t="s">
        <v>2320</v>
      </c>
      <c r="D5315" s="5" t="s">
        <v>2319</v>
      </c>
      <c r="E5315" s="9" t="str">
        <f>HYPERLINK("https://twitter.com/shokrinia/status/1034421523476570112","1034421523476570112")</f>
        <v>1034421523476570112</v>
      </c>
      <c r="F5315" s="4"/>
      <c r="G5315" s="4"/>
      <c r="H5315" s="4"/>
      <c r="I5315" s="10" t="str">
        <f>HYPERLINK("http://twitter.com","Twitter Web Client")</f>
        <v>Twitter Web Client</v>
      </c>
      <c r="J5315" s="2">
        <v>1517</v>
      </c>
      <c r="K5315" s="2">
        <v>644</v>
      </c>
      <c r="L5315" s="2">
        <v>3</v>
      </c>
      <c r="M5315" s="2"/>
      <c r="N5315" s="8">
        <v>42737.533761574072</v>
      </c>
      <c r="O5315" s="4"/>
      <c r="P5315" s="3" t="s">
        <v>2318</v>
      </c>
      <c r="Q5315" s="10" t="s">
        <v>2317</v>
      </c>
      <c r="R5315" s="4"/>
      <c r="S5315" s="9" t="str">
        <f>HYPERLINK("https://pbs.twimg.com/profile_images/897040488141692928/X5jD95MO.jpg","View")</f>
        <v>View</v>
      </c>
    </row>
    <row r="5316" spans="1:19" ht="20">
      <c r="A5316" s="8">
        <v>43340.718564814815</v>
      </c>
      <c r="B5316" s="11" t="str">
        <f>HYPERLINK("https://twitter.com/haj_pourya","@haj_pourya")</f>
        <v>@haj_pourya</v>
      </c>
      <c r="C5316" s="6" t="s">
        <v>1120</v>
      </c>
      <c r="D5316" s="5" t="s">
        <v>2316</v>
      </c>
      <c r="E5316" s="9" t="str">
        <f>HYPERLINK("https://twitter.com/haj_pourya/status/1034421522096631809","1034421522096631809")</f>
        <v>1034421522096631809</v>
      </c>
      <c r="F5316" s="4"/>
      <c r="G5316" s="10" t="s">
        <v>2315</v>
      </c>
      <c r="H5316" s="4"/>
      <c r="I5316" s="10" t="str">
        <f>HYPERLINK("http://twitter.com/download/android","Twitter for Android")</f>
        <v>Twitter for Android</v>
      </c>
      <c r="J5316" s="2">
        <v>313</v>
      </c>
      <c r="K5316" s="2">
        <v>340</v>
      </c>
      <c r="L5316" s="2">
        <v>0</v>
      </c>
      <c r="M5316" s="2"/>
      <c r="N5316" s="8">
        <v>43311.01262731482</v>
      </c>
      <c r="O5316" s="4" t="s">
        <v>1117</v>
      </c>
      <c r="P5316" s="3" t="s">
        <v>1116</v>
      </c>
      <c r="Q5316" s="4"/>
      <c r="R5316" s="4"/>
      <c r="S5316" s="9" t="str">
        <f>HYPERLINK("https://pbs.twimg.com/profile_images/1024224573112414208/e2fVor1D.jpg","View")</f>
        <v>View</v>
      </c>
    </row>
    <row r="5317" spans="1:19" ht="40">
      <c r="A5317" s="8">
        <v>43340.718495370369</v>
      </c>
      <c r="B5317" s="11" t="str">
        <f>HYPERLINK("https://twitter.com/kourosh_torabi","@kourosh_torabi")</f>
        <v>@kourosh_torabi</v>
      </c>
      <c r="C5317" s="6" t="s">
        <v>2314</v>
      </c>
      <c r="D5317" s="5" t="s">
        <v>2313</v>
      </c>
      <c r="E5317" s="9" t="str">
        <f>HYPERLINK("https://twitter.com/kourosh_torabi/status/1034421499023609856","1034421499023609856")</f>
        <v>1034421499023609856</v>
      </c>
      <c r="F5317" s="4"/>
      <c r="G5317" s="4"/>
      <c r="H5317" s="4"/>
      <c r="I5317" s="10" t="str">
        <f>HYPERLINK("http://twitter.com/download/android","Twitter for Android")</f>
        <v>Twitter for Android</v>
      </c>
      <c r="J5317" s="2">
        <v>403</v>
      </c>
      <c r="K5317" s="2">
        <v>2119</v>
      </c>
      <c r="L5317" s="2">
        <v>1</v>
      </c>
      <c r="M5317" s="2"/>
      <c r="N5317" s="8">
        <v>42899.699155092589</v>
      </c>
      <c r="O5317" s="4" t="s">
        <v>34</v>
      </c>
      <c r="P5317" s="3" t="s">
        <v>2312</v>
      </c>
      <c r="Q5317" s="4"/>
      <c r="R5317" s="4"/>
      <c r="S5317" s="9" t="str">
        <f>HYPERLINK("https://pbs.twimg.com/profile_images/879795634764750849/34v1vnrg.jpg","View")</f>
        <v>View</v>
      </c>
    </row>
    <row r="5318" spans="1:19" ht="30">
      <c r="A5318" s="8">
        <v>43340.717835648145</v>
      </c>
      <c r="B5318" s="11" t="str">
        <f>HYPERLINK("https://twitter.com/m_yarmahmoodi","@m_yarmahmoodi")</f>
        <v>@m_yarmahmoodi</v>
      </c>
      <c r="C5318" s="6" t="s">
        <v>2311</v>
      </c>
      <c r="D5318" s="5" t="s">
        <v>2310</v>
      </c>
      <c r="E5318" s="9" t="str">
        <f>HYPERLINK("https://twitter.com/m_yarmahmoodi/status/1034421261311651840","1034421261311651840")</f>
        <v>1034421261311651840</v>
      </c>
      <c r="F5318" s="4"/>
      <c r="G5318" s="4"/>
      <c r="H5318" s="4"/>
      <c r="I5318" s="10" t="str">
        <f>HYPERLINK("http://twitter.com/download/android","Twitter for Android")</f>
        <v>Twitter for Android</v>
      </c>
      <c r="J5318" s="2">
        <v>1242</v>
      </c>
      <c r="K5318" s="2">
        <v>416</v>
      </c>
      <c r="L5318" s="2">
        <v>10</v>
      </c>
      <c r="M5318" s="2"/>
      <c r="N5318" s="8">
        <v>42981.667129629626</v>
      </c>
      <c r="O5318" s="4" t="s">
        <v>2309</v>
      </c>
      <c r="P5318" s="3" t="s">
        <v>2308</v>
      </c>
      <c r="Q5318" s="4"/>
      <c r="R5318" s="4"/>
      <c r="S5318" s="9" t="str">
        <f>HYPERLINK("https://pbs.twimg.com/profile_images/1031282334241382403/Sj59d6HD.jpg","View")</f>
        <v>View</v>
      </c>
    </row>
    <row r="5319" spans="1:19" ht="30">
      <c r="A5319" s="8">
        <v>43340.717789351853</v>
      </c>
      <c r="B5319" s="11" t="str">
        <f>HYPERLINK("https://twitter.com/y51NYjZYZMqympJ","@y51NYjZYZMqympJ")</f>
        <v>@y51NYjZYZMqympJ</v>
      </c>
      <c r="C5319" s="6" t="s">
        <v>2307</v>
      </c>
      <c r="D5319" s="5" t="s">
        <v>2306</v>
      </c>
      <c r="E5319" s="9" t="str">
        <f>HYPERLINK("https://twitter.com/y51NYjZYZMqympJ/status/1034421244060258304","1034421244060258304")</f>
        <v>1034421244060258304</v>
      </c>
      <c r="F5319" s="4"/>
      <c r="G5319" s="4"/>
      <c r="H5319" s="4"/>
      <c r="I5319" s="10" t="str">
        <f>HYPERLINK("http://twitter.com/download/iphone","Twitter for iPhone")</f>
        <v>Twitter for iPhone</v>
      </c>
      <c r="J5319" s="2">
        <v>1973</v>
      </c>
      <c r="K5319" s="2">
        <v>2031</v>
      </c>
      <c r="L5319" s="2">
        <v>0</v>
      </c>
      <c r="M5319" s="2"/>
      <c r="N5319" s="8">
        <v>43224.33393518519</v>
      </c>
      <c r="O5319" s="4"/>
      <c r="P5319" s="3" t="s">
        <v>2305</v>
      </c>
      <c r="Q5319" s="4"/>
      <c r="R5319" s="4"/>
      <c r="S5319" s="9" t="str">
        <f>HYPERLINK("https://pbs.twimg.com/profile_images/1007676908077658112/e4wgReq9.jpg","View")</f>
        <v>View</v>
      </c>
    </row>
    <row r="5320" spans="1:19" ht="40">
      <c r="A5320" s="8">
        <v>43340.717777777776</v>
      </c>
      <c r="B5320" s="11" t="str">
        <f>HYPERLINK("https://twitter.com/theguyufallfor","@theguyufallfor")</f>
        <v>@theguyufallfor</v>
      </c>
      <c r="C5320" s="6" t="s">
        <v>2304</v>
      </c>
      <c r="D5320" s="5" t="s">
        <v>2303</v>
      </c>
      <c r="E5320" s="9" t="str">
        <f>HYPERLINK("https://twitter.com/theguyufallfor/status/1034421238175879168","1034421238175879168")</f>
        <v>1034421238175879168</v>
      </c>
      <c r="F5320" s="4"/>
      <c r="G5320" s="4"/>
      <c r="H5320" s="4"/>
      <c r="I5320" s="10" t="str">
        <f>HYPERLINK("http://twitter.com/download/iphone","Twitter for iPhone")</f>
        <v>Twitter for iPhone</v>
      </c>
      <c r="J5320" s="2">
        <v>73</v>
      </c>
      <c r="K5320" s="2">
        <v>290</v>
      </c>
      <c r="L5320" s="2">
        <v>0</v>
      </c>
      <c r="M5320" s="2"/>
      <c r="N5320" s="8">
        <v>43230.389803240745</v>
      </c>
      <c r="O5320" s="4" t="s">
        <v>2302</v>
      </c>
      <c r="P5320" s="3" t="s">
        <v>2301</v>
      </c>
      <c r="Q5320" s="4"/>
      <c r="R5320" s="4"/>
      <c r="S5320" s="9" t="str">
        <f>HYPERLINK("https://pbs.twimg.com/profile_images/1023784748135731200/DsKD--p6.jpg","View")</f>
        <v>View</v>
      </c>
    </row>
    <row r="5321" spans="1:19" ht="40">
      <c r="A5321" s="8">
        <v>43340.717337962968</v>
      </c>
      <c r="B5321" s="11" t="str">
        <f>HYPERLINK("https://twitter.com/didbaniran","@didbaniran")</f>
        <v>@didbaniran</v>
      </c>
      <c r="C5321" s="6" t="s">
        <v>2300</v>
      </c>
      <c r="D5321" s="5" t="s">
        <v>2299</v>
      </c>
      <c r="E5321" s="9" t="str">
        <f>HYPERLINK("https://twitter.com/didbaniran/status/1034421077198471168","1034421077198471168")</f>
        <v>1034421077198471168</v>
      </c>
      <c r="F5321" s="4"/>
      <c r="G5321" s="10" t="s">
        <v>2298</v>
      </c>
      <c r="H5321" s="4"/>
      <c r="I5321" s="10" t="str">
        <f>HYPERLINK("http://twitter.com/download/android","Twitter for Android")</f>
        <v>Twitter for Android</v>
      </c>
      <c r="J5321" s="2">
        <v>1080</v>
      </c>
      <c r="K5321" s="2">
        <v>892</v>
      </c>
      <c r="L5321" s="2">
        <v>12</v>
      </c>
      <c r="M5321" s="2"/>
      <c r="N5321" s="8">
        <v>42729.689722222218</v>
      </c>
      <c r="O5321" s="4" t="s">
        <v>17</v>
      </c>
      <c r="P5321" s="3" t="s">
        <v>2297</v>
      </c>
      <c r="Q5321" s="10" t="s">
        <v>2296</v>
      </c>
      <c r="R5321" s="4"/>
      <c r="S5321" s="9" t="str">
        <f>HYPERLINK("https://pbs.twimg.com/profile_images/965358068581240832/VvMemCNx.jpg","View")</f>
        <v>View</v>
      </c>
    </row>
    <row r="5322" spans="1:19" ht="30">
      <c r="A5322" s="8">
        <v>43340.717256944445</v>
      </c>
      <c r="B5322" s="11" t="str">
        <f>HYPERLINK("https://twitter.com/Mohammad_7mz","@Mohammad_7mz")</f>
        <v>@Mohammad_7mz</v>
      </c>
      <c r="C5322" s="6" t="s">
        <v>2295</v>
      </c>
      <c r="D5322" s="5" t="s">
        <v>2294</v>
      </c>
      <c r="E5322" s="9" t="str">
        <f>HYPERLINK("https://twitter.com/Mohammad_7mz/status/1034421050115846144","1034421050115846144")</f>
        <v>1034421050115846144</v>
      </c>
      <c r="F5322" s="4"/>
      <c r="G5322" s="4"/>
      <c r="H5322" s="4"/>
      <c r="I5322" s="10" t="str">
        <f>HYPERLINK("http://twitter.com/download/android","Twitter for Android")</f>
        <v>Twitter for Android</v>
      </c>
      <c r="J5322" s="2">
        <v>619</v>
      </c>
      <c r="K5322" s="2">
        <v>1097</v>
      </c>
      <c r="L5322" s="2">
        <v>0</v>
      </c>
      <c r="M5322" s="2"/>
      <c r="N5322" s="8">
        <v>43054.439583333333</v>
      </c>
      <c r="O5322" s="4" t="s">
        <v>34</v>
      </c>
      <c r="P5322" s="3" t="s">
        <v>2293</v>
      </c>
      <c r="Q5322" s="4"/>
      <c r="R5322" s="4"/>
      <c r="S5322" s="9" t="str">
        <f>HYPERLINK("https://pbs.twimg.com/profile_images/1026127133184348161/gwKfgppN.jpg","View")</f>
        <v>View</v>
      </c>
    </row>
    <row r="5323" spans="1:19" ht="20">
      <c r="A5323" s="8">
        <v>43340.716909722221</v>
      </c>
      <c r="B5323" s="11" t="str">
        <f>HYPERLINK("https://twitter.com/abolfazlramazan","@abolfazlramazan")</f>
        <v>@abolfazlramazan</v>
      </c>
      <c r="C5323" s="11" t="s">
        <v>2292</v>
      </c>
      <c r="D5323" s="5" t="s">
        <v>2291</v>
      </c>
      <c r="E5323" s="9" t="str">
        <f>HYPERLINK("https://twitter.com/abolfazlramazan/status/1034420922470621184","1034420922470621184")</f>
        <v>1034420922470621184</v>
      </c>
      <c r="F5323" s="4"/>
      <c r="G5323" s="4"/>
      <c r="H5323" s="4"/>
      <c r="I5323" s="10" t="str">
        <f>HYPERLINK("https://mobile.twitter.com","Twitter Lite")</f>
        <v>Twitter Lite</v>
      </c>
      <c r="J5323" s="2">
        <v>61</v>
      </c>
      <c r="K5323" s="2">
        <v>44</v>
      </c>
      <c r="L5323" s="2">
        <v>0</v>
      </c>
      <c r="M5323" s="2"/>
      <c r="N5323" s="8">
        <v>42985.487685185188</v>
      </c>
      <c r="O5323" s="4"/>
      <c r="P5323" s="3" t="s">
        <v>2290</v>
      </c>
      <c r="Q5323" s="4"/>
      <c r="R5323" s="4"/>
      <c r="S5323" s="9" t="str">
        <f>HYPERLINK("https://pbs.twimg.com/profile_images/993586867026132992/9al0-9Qb.jpg","View")</f>
        <v>View</v>
      </c>
    </row>
    <row r="5324" spans="1:19" ht="30">
      <c r="A5324" s="8">
        <v>43340.716643518521</v>
      </c>
      <c r="B5324" s="11" t="str">
        <f>HYPERLINK("https://twitter.com/sajad_farahmand","@sajad_farahmand")</f>
        <v>@sajad_farahmand</v>
      </c>
      <c r="C5324" s="6" t="s">
        <v>2289</v>
      </c>
      <c r="D5324" s="5" t="s">
        <v>2288</v>
      </c>
      <c r="E5324" s="9" t="str">
        <f>HYPERLINK("https://twitter.com/sajad_farahmand/status/1034420827649912832","1034420827649912832")</f>
        <v>1034420827649912832</v>
      </c>
      <c r="F5324" s="4"/>
      <c r="G5324" s="4"/>
      <c r="H5324" s="4"/>
      <c r="I5324" s="10" t="str">
        <f>HYPERLINK("http://twitter.com/download/android","Twitter for Android")</f>
        <v>Twitter for Android</v>
      </c>
      <c r="J5324" s="2">
        <v>255</v>
      </c>
      <c r="K5324" s="2">
        <v>455</v>
      </c>
      <c r="L5324" s="2">
        <v>0</v>
      </c>
      <c r="M5324" s="2"/>
      <c r="N5324" s="8">
        <v>43224.811249999999</v>
      </c>
      <c r="O5324" s="4" t="s">
        <v>2287</v>
      </c>
      <c r="P5324" s="3" t="s">
        <v>2286</v>
      </c>
      <c r="Q5324" s="4"/>
      <c r="R5324" s="4"/>
      <c r="S5324" s="9" t="str">
        <f>HYPERLINK("https://pbs.twimg.com/profile_images/992425224254697474/sqFZJ3Cg.jpg","View")</f>
        <v>View</v>
      </c>
    </row>
    <row r="5325" spans="1:19" ht="20">
      <c r="A5325" s="8">
        <v>43340.716539351852</v>
      </c>
      <c r="B5325" s="11" t="str">
        <f>HYPERLINK("https://twitter.com/lord_of_time1","@lord_of_time1")</f>
        <v>@lord_of_time1</v>
      </c>
      <c r="C5325" s="6" t="s">
        <v>2285</v>
      </c>
      <c r="D5325" s="5" t="s">
        <v>2284</v>
      </c>
      <c r="E5325" s="9" t="str">
        <f>HYPERLINK("https://twitter.com/lord_of_time1/status/1034420788231917568","1034420788231917568")</f>
        <v>1034420788231917568</v>
      </c>
      <c r="F5325" s="4"/>
      <c r="G5325" s="10" t="s">
        <v>2283</v>
      </c>
      <c r="H5325" s="4"/>
      <c r="I5325" s="10" t="str">
        <f>HYPERLINK("http://twitter.com/download/android","Twitter for Android")</f>
        <v>Twitter for Android</v>
      </c>
      <c r="J5325" s="2">
        <v>17</v>
      </c>
      <c r="K5325" s="2">
        <v>37</v>
      </c>
      <c r="L5325" s="2">
        <v>0</v>
      </c>
      <c r="M5325" s="2"/>
      <c r="N5325" s="8">
        <v>43329.626886574071</v>
      </c>
      <c r="O5325" s="4"/>
      <c r="P5325" s="3"/>
      <c r="Q5325" s="4"/>
      <c r="R5325" s="4"/>
      <c r="S5325" s="2" t="s">
        <v>155</v>
      </c>
    </row>
    <row r="5326" spans="1:19" ht="30">
      <c r="A5326" s="8">
        <v>43340.716527777782</v>
      </c>
      <c r="B5326" s="11" t="str">
        <f>HYPERLINK("https://twitter.com/SushiansH","@SushiansH")</f>
        <v>@SushiansH</v>
      </c>
      <c r="C5326" s="6" t="s">
        <v>2231</v>
      </c>
      <c r="D5326" s="5" t="s">
        <v>2282</v>
      </c>
      <c r="E5326" s="9" t="str">
        <f>HYPERLINK("https://twitter.com/SushiansH/status/1034420784230551554","1034420784230551554")</f>
        <v>1034420784230551554</v>
      </c>
      <c r="F5326" s="4"/>
      <c r="G5326" s="4"/>
      <c r="H5326" s="4"/>
      <c r="I5326" s="10" t="str">
        <f>HYPERLINK("http://twitter.com/download/android","Twitter for Android")</f>
        <v>Twitter for Android</v>
      </c>
      <c r="J5326" s="2">
        <v>56</v>
      </c>
      <c r="K5326" s="2">
        <v>141</v>
      </c>
      <c r="L5326" s="2">
        <v>0</v>
      </c>
      <c r="M5326" s="2"/>
      <c r="N5326" s="8">
        <v>43261.064687499995</v>
      </c>
      <c r="O5326" s="4" t="s">
        <v>34</v>
      </c>
      <c r="P5326" s="3" t="s">
        <v>2229</v>
      </c>
      <c r="Q5326" s="4"/>
      <c r="R5326" s="4"/>
      <c r="S5326" s="9" t="str">
        <f>HYPERLINK("https://pbs.twimg.com/profile_images/1005558117738926080/jT-GBMIX.jpg","View")</f>
        <v>View</v>
      </c>
    </row>
    <row r="5327" spans="1:19" ht="50">
      <c r="A5327" s="8">
        <v>43340.716319444444</v>
      </c>
      <c r="B5327" s="11" t="str">
        <f>HYPERLINK("https://twitter.com/_mohammadl","@_mohammadl")</f>
        <v>@_mohammadl</v>
      </c>
      <c r="C5327" s="6" t="s">
        <v>2281</v>
      </c>
      <c r="D5327" s="5" t="s">
        <v>2280</v>
      </c>
      <c r="E5327" s="9" t="str">
        <f>HYPERLINK("https://twitter.com/_mohammadl/status/1034420707982225411","1034420707982225411")</f>
        <v>1034420707982225411</v>
      </c>
      <c r="F5327" s="4"/>
      <c r="G5327" s="10" t="s">
        <v>2279</v>
      </c>
      <c r="H5327" s="4"/>
      <c r="I5327" s="10" t="str">
        <f>HYPERLINK("http://twitter.com/download/android","Twitter for Android")</f>
        <v>Twitter for Android</v>
      </c>
      <c r="J5327" s="2">
        <v>208</v>
      </c>
      <c r="K5327" s="2">
        <v>71</v>
      </c>
      <c r="L5327" s="2">
        <v>0</v>
      </c>
      <c r="M5327" s="2"/>
      <c r="N5327" s="8">
        <v>43101.782060185185</v>
      </c>
      <c r="O5327" s="4" t="s">
        <v>1415</v>
      </c>
      <c r="P5327" s="3" t="s">
        <v>2278</v>
      </c>
      <c r="Q5327" s="4"/>
      <c r="R5327" s="4"/>
      <c r="S5327" s="9" t="str">
        <f>HYPERLINK("https://pbs.twimg.com/profile_images/1028700634198016001/UemjohHq.jpg","View")</f>
        <v>View</v>
      </c>
    </row>
    <row r="5328" spans="1:19" ht="20">
      <c r="A5328" s="8">
        <v>43340.716273148151</v>
      </c>
      <c r="B5328" s="11" t="str">
        <f>HYPERLINK("https://twitter.com/Virgin_Wolf","@Virgin_Wolf")</f>
        <v>@Virgin_Wolf</v>
      </c>
      <c r="C5328" s="6" t="s">
        <v>2277</v>
      </c>
      <c r="D5328" s="5" t="s">
        <v>2276</v>
      </c>
      <c r="E5328" s="9" t="str">
        <f>HYPERLINK("https://twitter.com/Virgin_Wolf/status/1034420691943284736","1034420691943284736")</f>
        <v>1034420691943284736</v>
      </c>
      <c r="F5328" s="4"/>
      <c r="G5328" s="10" t="s">
        <v>2275</v>
      </c>
      <c r="H5328" s="4"/>
      <c r="I5328" s="10" t="str">
        <f>HYPERLINK("http://twitter.com/download/android","Twitter for Android")</f>
        <v>Twitter for Android</v>
      </c>
      <c r="J5328" s="2">
        <v>2901</v>
      </c>
      <c r="K5328" s="2">
        <v>475</v>
      </c>
      <c r="L5328" s="2">
        <v>27</v>
      </c>
      <c r="M5328" s="2"/>
      <c r="N5328" s="8">
        <v>40893.835358796292</v>
      </c>
      <c r="O5328" s="4"/>
      <c r="P5328" s="3" t="s">
        <v>2274</v>
      </c>
      <c r="Q5328" s="4"/>
      <c r="R5328" s="4"/>
      <c r="S5328" s="9" t="str">
        <f>HYPERLINK("https://pbs.twimg.com/profile_images/1030527025327554560/nnbUcEUM.jpg","View")</f>
        <v>View</v>
      </c>
    </row>
    <row r="5329" spans="1:19" ht="40">
      <c r="A5329" s="8">
        <v>43340.715775462959</v>
      </c>
      <c r="B5329" s="11" t="str">
        <f>HYPERLINK("https://twitter.com/ittallloo","@ittallloo")</f>
        <v>@ittallloo</v>
      </c>
      <c r="C5329" s="6" t="s">
        <v>2273</v>
      </c>
      <c r="D5329" s="5" t="s">
        <v>2272</v>
      </c>
      <c r="E5329" s="9" t="str">
        <f>HYPERLINK("https://twitter.com/ittallloo/status/1034420511764373504","1034420511764373504")</f>
        <v>1034420511764373504</v>
      </c>
      <c r="F5329" s="4"/>
      <c r="G5329" s="4"/>
      <c r="H5329" s="4"/>
      <c r="I5329" s="10" t="str">
        <f>HYPERLINK("http://twitter.com/download/android","Twitter for Android")</f>
        <v>Twitter for Android</v>
      </c>
      <c r="J5329" s="2">
        <v>74</v>
      </c>
      <c r="K5329" s="2">
        <v>131</v>
      </c>
      <c r="L5329" s="2">
        <v>0</v>
      </c>
      <c r="M5329" s="2"/>
      <c r="N5329" s="8">
        <v>43258.659131944441</v>
      </c>
      <c r="O5329" s="4"/>
      <c r="P5329" s="3" t="s">
        <v>2271</v>
      </c>
      <c r="Q5329" s="4"/>
      <c r="R5329" s="4"/>
      <c r="S5329" s="9" t="str">
        <f>HYPERLINK("https://pbs.twimg.com/profile_images/1007254137459888128/smqz4kwY.jpg","View")</f>
        <v>View</v>
      </c>
    </row>
    <row r="5330" spans="1:19" ht="30">
      <c r="A5330" s="8">
        <v>43340.715439814812</v>
      </c>
      <c r="B5330" s="11" t="str">
        <f>HYPERLINK("https://twitter.com/shiiriiinn","@shiiriiinn")</f>
        <v>@shiiriiinn</v>
      </c>
      <c r="C5330" s="6" t="s">
        <v>2270</v>
      </c>
      <c r="D5330" s="5" t="s">
        <v>2269</v>
      </c>
      <c r="E5330" s="9" t="str">
        <f>HYPERLINK("https://twitter.com/shiiriiinn/status/1034420391366873090","1034420391366873090")</f>
        <v>1034420391366873090</v>
      </c>
      <c r="F5330" s="4"/>
      <c r="G5330" s="10" t="s">
        <v>2268</v>
      </c>
      <c r="H5330" s="4"/>
      <c r="I5330" s="10" t="str">
        <f>HYPERLINK("http://twitter.com/download/android","Twitter for Android")</f>
        <v>Twitter for Android</v>
      </c>
      <c r="J5330" s="2">
        <v>938</v>
      </c>
      <c r="K5330" s="2">
        <v>647</v>
      </c>
      <c r="L5330" s="2">
        <v>5</v>
      </c>
      <c r="M5330" s="2"/>
      <c r="N5330" s="8">
        <v>43231.069965277777</v>
      </c>
      <c r="O5330" s="4" t="s">
        <v>324</v>
      </c>
      <c r="P5330" s="3" t="s">
        <v>2267</v>
      </c>
      <c r="Q5330" s="4"/>
      <c r="R5330" s="4"/>
      <c r="S5330" s="9" t="str">
        <f>HYPERLINK("https://pbs.twimg.com/profile_images/1001154802544513031/vy5K2CTb.jpg","View")</f>
        <v>View</v>
      </c>
    </row>
    <row r="5331" spans="1:19" ht="90">
      <c r="A5331" s="8">
        <v>43340.715254629627</v>
      </c>
      <c r="B5331" s="11" t="str">
        <f>HYPERLINK("https://twitter.com/alirezakey1","@alirezakey1")</f>
        <v>@alirezakey1</v>
      </c>
      <c r="C5331" s="6" t="s">
        <v>2266</v>
      </c>
      <c r="D5331" s="5" t="s">
        <v>2265</v>
      </c>
      <c r="E5331" s="9" t="str">
        <f>HYPERLINK("https://twitter.com/alirezakey1/status/1034420323163222021","1034420323163222021")</f>
        <v>1034420323163222021</v>
      </c>
      <c r="F5331" s="10" t="s">
        <v>2264</v>
      </c>
      <c r="G5331" s="4"/>
      <c r="H5331" s="4"/>
      <c r="I5331" s="10" t="str">
        <f>HYPERLINK("http://twitter.com/download/android","Twitter for Android")</f>
        <v>Twitter for Android</v>
      </c>
      <c r="J5331" s="2">
        <v>1327</v>
      </c>
      <c r="K5331" s="2">
        <v>1858</v>
      </c>
      <c r="L5331" s="2">
        <v>0</v>
      </c>
      <c r="M5331" s="2"/>
      <c r="N5331" s="8">
        <v>42408.702175925922</v>
      </c>
      <c r="O5331" s="4"/>
      <c r="P5331" s="3" t="s">
        <v>2263</v>
      </c>
      <c r="Q5331" s="4"/>
      <c r="R5331" s="4"/>
      <c r="S5331" s="9" t="str">
        <f>HYPERLINK("https://pbs.twimg.com/profile_images/862323835210739713/Nu5ofDZ-.jpg","View")</f>
        <v>View</v>
      </c>
    </row>
    <row r="5332" spans="1:19" ht="20">
      <c r="A5332" s="8">
        <v>43340.715162037042</v>
      </c>
      <c r="B5332" s="11" t="str">
        <f>HYPERLINK("https://twitter.com/ftmezhra","@ftmezhra")</f>
        <v>@ftmezhra</v>
      </c>
      <c r="C5332" s="6" t="s">
        <v>2262</v>
      </c>
      <c r="D5332" s="5" t="s">
        <v>2261</v>
      </c>
      <c r="E5332" s="9" t="str">
        <f>HYPERLINK("https://twitter.com/ftmezhra/status/1034420292528025602","1034420292528025602")</f>
        <v>1034420292528025602</v>
      </c>
      <c r="F5332" s="4"/>
      <c r="G5332" s="4"/>
      <c r="H5332" s="4"/>
      <c r="I5332" s="10" t="str">
        <f>HYPERLINK("http://twitter.com/download/android","Twitter for Android")</f>
        <v>Twitter for Android</v>
      </c>
      <c r="J5332" s="2">
        <v>45</v>
      </c>
      <c r="K5332" s="2">
        <v>25</v>
      </c>
      <c r="L5332" s="2">
        <v>0</v>
      </c>
      <c r="M5332" s="2"/>
      <c r="N5332" s="8">
        <v>42855.132974537039</v>
      </c>
      <c r="O5332" s="4"/>
      <c r="P5332" s="3"/>
      <c r="Q5332" s="4"/>
      <c r="R5332" s="4"/>
      <c r="S5332" s="9" t="str">
        <f>HYPERLINK("https://pbs.twimg.com/profile_images/1031310493485608962/bA-Gv-F5.jpg","View")</f>
        <v>View</v>
      </c>
    </row>
    <row r="5333" spans="1:19" ht="20">
      <c r="A5333" s="8">
        <v>43340.714988425927</v>
      </c>
      <c r="B5333" s="11" t="str">
        <f>HYPERLINK("https://twitter.com/seyedahmadpour","@seyedahmadpour")</f>
        <v>@seyedahmadpour</v>
      </c>
      <c r="C5333" s="6" t="s">
        <v>2260</v>
      </c>
      <c r="D5333" s="5" t="s">
        <v>2259</v>
      </c>
      <c r="E5333" s="9" t="str">
        <f>HYPERLINK("https://twitter.com/seyedahmadpour/status/1034420228275560448","1034420228275560448")</f>
        <v>1034420228275560448</v>
      </c>
      <c r="F5333" s="4"/>
      <c r="G5333" s="4"/>
      <c r="H5333" s="4"/>
      <c r="I5333" s="10" t="str">
        <f>HYPERLINK("http://twitter.com/download/iphone","Twitter for iPhone")</f>
        <v>Twitter for iPhone</v>
      </c>
      <c r="J5333" s="2">
        <v>341</v>
      </c>
      <c r="K5333" s="2">
        <v>495</v>
      </c>
      <c r="L5333" s="2">
        <v>23</v>
      </c>
      <c r="M5333" s="2"/>
      <c r="N5333" s="8">
        <v>40613.411446759259</v>
      </c>
      <c r="O5333" s="4" t="s">
        <v>133</v>
      </c>
      <c r="P5333" s="3" t="s">
        <v>2258</v>
      </c>
      <c r="Q5333" s="10" t="s">
        <v>2257</v>
      </c>
      <c r="R5333" s="4"/>
      <c r="S5333" s="9" t="str">
        <f>HYPERLINK("https://pbs.twimg.com/profile_images/1026722540595699717/nW0r_LTr.jpg","View")</f>
        <v>View</v>
      </c>
    </row>
    <row r="5334" spans="1:19" ht="20">
      <c r="A5334" s="8">
        <v>43340.714965277773</v>
      </c>
      <c r="B5334" s="11" t="str">
        <f>HYPERLINK("https://twitter.com/sajadkhadem1","@sajadkhadem1")</f>
        <v>@sajadkhadem1</v>
      </c>
      <c r="C5334" s="6" t="s">
        <v>2256</v>
      </c>
      <c r="D5334" s="5" t="s">
        <v>2255</v>
      </c>
      <c r="E5334" s="9" t="str">
        <f>HYPERLINK("https://twitter.com/sajadkhadem1/status/1034420220474138624","1034420220474138624")</f>
        <v>1034420220474138624</v>
      </c>
      <c r="F5334" s="4"/>
      <c r="G5334" s="4"/>
      <c r="H5334" s="4"/>
      <c r="I5334" s="10" t="str">
        <f>HYPERLINK("http://twitter.com/download/android","Twitter for Android")</f>
        <v>Twitter for Android</v>
      </c>
      <c r="J5334" s="2">
        <v>2162</v>
      </c>
      <c r="K5334" s="2">
        <v>2132</v>
      </c>
      <c r="L5334" s="2">
        <v>7</v>
      </c>
      <c r="M5334" s="2"/>
      <c r="N5334" s="8">
        <v>42756.436874999999</v>
      </c>
      <c r="O5334" s="4" t="s">
        <v>17</v>
      </c>
      <c r="P5334" s="3" t="s">
        <v>2254</v>
      </c>
      <c r="Q5334" s="4"/>
      <c r="R5334" s="4"/>
      <c r="S5334" s="9" t="str">
        <f>HYPERLINK("https://pbs.twimg.com/profile_images/986120569627205632/j-82nERP.jpg","View")</f>
        <v>View</v>
      </c>
    </row>
    <row r="5335" spans="1:19" ht="30">
      <c r="A5335" s="8">
        <v>43340.714965277773</v>
      </c>
      <c r="B5335" s="11" t="str">
        <f>HYPERLINK("https://twitter.com/IranIntl","@IranIntl")</f>
        <v>@IranIntl</v>
      </c>
      <c r="C5335" s="6" t="s">
        <v>2253</v>
      </c>
      <c r="D5335" s="5" t="s">
        <v>2252</v>
      </c>
      <c r="E5335" s="9" t="str">
        <f>HYPERLINK("https://twitter.com/IranIntl/status/1034420219312308225","1034420219312308225")</f>
        <v>1034420219312308225</v>
      </c>
      <c r="F5335" s="10" t="s">
        <v>2251</v>
      </c>
      <c r="G5335" s="4"/>
      <c r="H5335" s="4"/>
      <c r="I5335" s="10" t="str">
        <f>HYPERLINK("http://www.falcon.io","Falcon Social Media Management ")</f>
        <v xml:space="preserve">Falcon Social Media Management </v>
      </c>
      <c r="J5335" s="2">
        <v>10268</v>
      </c>
      <c r="K5335" s="2">
        <v>37</v>
      </c>
      <c r="L5335" s="2">
        <v>71</v>
      </c>
      <c r="M5335" s="2"/>
      <c r="N5335" s="8">
        <v>42495.854155092587</v>
      </c>
      <c r="O5335" s="4" t="s">
        <v>2250</v>
      </c>
      <c r="P5335" s="3" t="s">
        <v>2249</v>
      </c>
      <c r="Q5335" s="10" t="s">
        <v>2248</v>
      </c>
      <c r="R5335" s="4"/>
      <c r="S5335" s="9" t="str">
        <f>HYPERLINK("https://pbs.twimg.com/profile_images/959109044987416576/LIHHUain.jpg","View")</f>
        <v>View</v>
      </c>
    </row>
    <row r="5336" spans="1:19" ht="30">
      <c r="A5336" s="8">
        <v>43340.714907407411</v>
      </c>
      <c r="B5336" s="11" t="str">
        <f>HYPERLINK("https://twitter.com/milad_uk2000","@milad_uk2000")</f>
        <v>@milad_uk2000</v>
      </c>
      <c r="C5336" s="6" t="s">
        <v>2247</v>
      </c>
      <c r="D5336" s="5" t="s">
        <v>2246</v>
      </c>
      <c r="E5336" s="9" t="str">
        <f>HYPERLINK("https://twitter.com/milad_uk2000/status/1034420198785384448","1034420198785384448")</f>
        <v>1034420198785384448</v>
      </c>
      <c r="F5336" s="4"/>
      <c r="G5336" s="4"/>
      <c r="H5336" s="4"/>
      <c r="I5336" s="10" t="str">
        <f>HYPERLINK("http://twitter.com/download/iphone","Twitter for iPhone")</f>
        <v>Twitter for iPhone</v>
      </c>
      <c r="J5336" s="2">
        <v>17</v>
      </c>
      <c r="K5336" s="2">
        <v>162</v>
      </c>
      <c r="L5336" s="2">
        <v>0</v>
      </c>
      <c r="M5336" s="2"/>
      <c r="N5336" s="8">
        <v>41787.925150462965</v>
      </c>
      <c r="O5336" s="4" t="s">
        <v>682</v>
      </c>
      <c r="P5336" s="3"/>
      <c r="Q5336" s="4"/>
      <c r="R5336" s="4"/>
      <c r="S5336" s="9" t="str">
        <f>HYPERLINK("https://pbs.twimg.com/profile_images/985583289594470400/0pJj8Zu0.jpg","View")</f>
        <v>View</v>
      </c>
    </row>
    <row r="5337" spans="1:19" ht="30">
      <c r="A5337" s="8">
        <v>43340.71471064815</v>
      </c>
      <c r="B5337" s="11" t="str">
        <f>HYPERLINK("https://twitter.com/motavaled","@motavaled")</f>
        <v>@motavaled</v>
      </c>
      <c r="C5337" s="6" t="s">
        <v>2245</v>
      </c>
      <c r="D5337" s="5" t="s">
        <v>2244</v>
      </c>
      <c r="E5337" s="9" t="str">
        <f>HYPERLINK("https://twitter.com/motavaled/status/1034420127209607168","1034420127209607168")</f>
        <v>1034420127209607168</v>
      </c>
      <c r="F5337" s="4"/>
      <c r="G5337" s="4"/>
      <c r="H5337" s="4"/>
      <c r="I5337" s="10" t="str">
        <f>HYPERLINK("http://twitter.com/download/android","Twitter for Android")</f>
        <v>Twitter for Android</v>
      </c>
      <c r="J5337" s="2">
        <v>6</v>
      </c>
      <c r="K5337" s="2">
        <v>42</v>
      </c>
      <c r="L5337" s="2">
        <v>0</v>
      </c>
      <c r="M5337" s="2"/>
      <c r="N5337" s="8">
        <v>43297.105266203704</v>
      </c>
      <c r="O5337" s="4"/>
      <c r="P5337" s="3"/>
      <c r="Q5337" s="4"/>
      <c r="R5337" s="4"/>
      <c r="S5337" s="9" t="str">
        <f>HYPERLINK("https://pbs.twimg.com/profile_images/1020632956182978561/lnWuUixe.jpg","View")</f>
        <v>View</v>
      </c>
    </row>
    <row r="5338" spans="1:19" ht="30">
      <c r="A5338" s="8">
        <v>43340.714618055557</v>
      </c>
      <c r="B5338" s="11" t="str">
        <f>HYPERLINK("https://twitter.com/simayazaditv","@simayazaditv")</f>
        <v>@simayazaditv</v>
      </c>
      <c r="C5338" s="6" t="s">
        <v>1758</v>
      </c>
      <c r="D5338" s="5" t="s">
        <v>2243</v>
      </c>
      <c r="E5338" s="9" t="str">
        <f>HYPERLINK("https://twitter.com/simayazaditv/status/1034420094938632192","1034420094938632192")</f>
        <v>1034420094938632192</v>
      </c>
      <c r="F5338" s="10" t="s">
        <v>2242</v>
      </c>
      <c r="G5338" s="10" t="s">
        <v>2241</v>
      </c>
      <c r="H5338" s="4"/>
      <c r="I5338" s="10" t="str">
        <f>HYPERLINK("http://twitter.com","Twitter Web Client")</f>
        <v>Twitter Web Client</v>
      </c>
      <c r="J5338" s="2">
        <v>6029</v>
      </c>
      <c r="K5338" s="2">
        <v>1</v>
      </c>
      <c r="L5338" s="2">
        <v>100</v>
      </c>
      <c r="M5338" s="2"/>
      <c r="N5338" s="8">
        <v>42209.662442129629</v>
      </c>
      <c r="O5338" s="4" t="s">
        <v>252</v>
      </c>
      <c r="P5338" s="3"/>
      <c r="Q5338" s="10" t="s">
        <v>1755</v>
      </c>
      <c r="R5338" s="4"/>
      <c r="S5338" s="9" t="str">
        <f>HYPERLINK("https://pbs.twimg.com/profile_images/624546008937144321/5aqccHix.png","View")</f>
        <v>View</v>
      </c>
    </row>
    <row r="5339" spans="1:19" ht="30">
      <c r="A5339" s="8">
        <v>43340.714537037042</v>
      </c>
      <c r="B5339" s="11" t="str">
        <f>HYPERLINK("https://twitter.com/Coollouse","@Coollouse")</f>
        <v>@Coollouse</v>
      </c>
      <c r="C5339" s="6" t="s">
        <v>2240</v>
      </c>
      <c r="D5339" s="5" t="s">
        <v>2239</v>
      </c>
      <c r="E5339" s="9" t="str">
        <f>HYPERLINK("https://twitter.com/Coollouse/status/1034420063313571841","1034420063313571841")</f>
        <v>1034420063313571841</v>
      </c>
      <c r="F5339" s="4"/>
      <c r="G5339" s="4"/>
      <c r="H5339" s="4"/>
      <c r="I5339" s="10" t="str">
        <f>HYPERLINK("http://twitter.com/download/android","Twitter for Android")</f>
        <v>Twitter for Android</v>
      </c>
      <c r="J5339" s="2">
        <v>365</v>
      </c>
      <c r="K5339" s="2">
        <v>415</v>
      </c>
      <c r="L5339" s="2">
        <v>1</v>
      </c>
      <c r="M5339" s="2"/>
      <c r="N5339" s="8">
        <v>43102.604664351849</v>
      </c>
      <c r="O5339" s="4" t="s">
        <v>2238</v>
      </c>
      <c r="P5339" s="3" t="s">
        <v>2237</v>
      </c>
      <c r="Q5339" s="4"/>
      <c r="R5339" s="4"/>
      <c r="S5339" s="9" t="str">
        <f>HYPERLINK("https://pbs.twimg.com/profile_images/989147124184043520/YPhYw4A3.jpg","View")</f>
        <v>View</v>
      </c>
    </row>
    <row r="5340" spans="1:19" ht="50">
      <c r="A5340" s="8">
        <v>43340.714490740742</v>
      </c>
      <c r="B5340" s="11" t="str">
        <f>HYPERLINK("https://twitter.com/sanaznikan2","@sanaznikan2")</f>
        <v>@sanaznikan2</v>
      </c>
      <c r="C5340" s="6" t="s">
        <v>2236</v>
      </c>
      <c r="D5340" s="5" t="s">
        <v>2235</v>
      </c>
      <c r="E5340" s="9" t="str">
        <f>HYPERLINK("https://twitter.com/sanaznikan2/status/1034420048105013248","1034420048105013248")</f>
        <v>1034420048105013248</v>
      </c>
      <c r="F5340" s="10" t="s">
        <v>2234</v>
      </c>
      <c r="G5340" s="4" t="s">
        <v>2233</v>
      </c>
      <c r="H5340" s="4"/>
      <c r="I5340" s="10" t="str">
        <f>HYPERLINK("http://twitter.com","Twitter Web Client")</f>
        <v>Twitter Web Client</v>
      </c>
      <c r="J5340" s="2">
        <v>208</v>
      </c>
      <c r="K5340" s="2">
        <v>114</v>
      </c>
      <c r="L5340" s="2">
        <v>0</v>
      </c>
      <c r="M5340" s="2"/>
      <c r="N5340" s="8">
        <v>43125.426921296297</v>
      </c>
      <c r="O5340" s="4"/>
      <c r="P5340" s="3" t="s">
        <v>2232</v>
      </c>
      <c r="Q5340" s="4"/>
      <c r="R5340" s="4"/>
      <c r="S5340" s="9" t="str">
        <f>HYPERLINK("https://pbs.twimg.com/profile_images/966066305756549124/l1u8ODXE.jpg","View")</f>
        <v>View</v>
      </c>
    </row>
    <row r="5341" spans="1:19" ht="40">
      <c r="A5341" s="8">
        <v>43340.714131944449</v>
      </c>
      <c r="B5341" s="11" t="str">
        <f>HYPERLINK("https://twitter.com/SushiansH","@SushiansH")</f>
        <v>@SushiansH</v>
      </c>
      <c r="C5341" s="6" t="s">
        <v>2231</v>
      </c>
      <c r="D5341" s="5" t="s">
        <v>2230</v>
      </c>
      <c r="E5341" s="9" t="str">
        <f>HYPERLINK("https://twitter.com/SushiansH/status/1034419918043787265","1034419918043787265")</f>
        <v>1034419918043787265</v>
      </c>
      <c r="F5341" s="4"/>
      <c r="G5341" s="4"/>
      <c r="H5341" s="4"/>
      <c r="I5341" s="10" t="str">
        <f>HYPERLINK("http://twitter.com/download/android","Twitter for Android")</f>
        <v>Twitter for Android</v>
      </c>
      <c r="J5341" s="2">
        <v>56</v>
      </c>
      <c r="K5341" s="2">
        <v>141</v>
      </c>
      <c r="L5341" s="2">
        <v>0</v>
      </c>
      <c r="M5341" s="2"/>
      <c r="N5341" s="8">
        <v>43261.064687499995</v>
      </c>
      <c r="O5341" s="4" t="s">
        <v>34</v>
      </c>
      <c r="P5341" s="3" t="s">
        <v>2229</v>
      </c>
      <c r="Q5341" s="4"/>
      <c r="R5341" s="4"/>
      <c r="S5341" s="9" t="str">
        <f>HYPERLINK("https://pbs.twimg.com/profile_images/1005558117738926080/jT-GBMIX.jpg","View")</f>
        <v>View</v>
      </c>
    </row>
    <row r="5342" spans="1:19" ht="30">
      <c r="A5342" s="8">
        <v>43340.714039351849</v>
      </c>
      <c r="B5342" s="11" t="str">
        <f>HYPERLINK("https://twitter.com/the_pandafather","@the_pandafather")</f>
        <v>@the_pandafather</v>
      </c>
      <c r="C5342" s="6" t="s">
        <v>2228</v>
      </c>
      <c r="D5342" s="5" t="s">
        <v>2227</v>
      </c>
      <c r="E5342" s="9" t="str">
        <f>HYPERLINK("https://twitter.com/the_pandafather/status/1034419884745097216","1034419884745097216")</f>
        <v>1034419884745097216</v>
      </c>
      <c r="F5342" s="4"/>
      <c r="G5342" s="10" t="s">
        <v>2226</v>
      </c>
      <c r="H5342" s="4"/>
      <c r="I5342" s="10" t="str">
        <f>HYPERLINK("http://twitter.com/download/android","Twitter for Android")</f>
        <v>Twitter for Android</v>
      </c>
      <c r="J5342" s="2">
        <v>270</v>
      </c>
      <c r="K5342" s="2">
        <v>554</v>
      </c>
      <c r="L5342" s="2">
        <v>1</v>
      </c>
      <c r="M5342" s="2"/>
      <c r="N5342" s="8">
        <v>42752.926261574074</v>
      </c>
      <c r="O5342" s="4" t="s">
        <v>2225</v>
      </c>
      <c r="P5342" s="3" t="s">
        <v>2224</v>
      </c>
      <c r="Q5342" s="4"/>
      <c r="R5342" s="4"/>
      <c r="S5342" s="9" t="str">
        <f>HYPERLINK("https://pbs.twimg.com/profile_images/1032898363530784768/AueCBw22.jpg","View")</f>
        <v>View</v>
      </c>
    </row>
    <row r="5343" spans="1:19" ht="20">
      <c r="A5343" s="8">
        <v>43340.71393518518</v>
      </c>
      <c r="B5343" s="11" t="str">
        <f>HYPERLINK("https://twitter.com/seyedmohammad_","@seyedmohammad_")</f>
        <v>@seyedmohammad_</v>
      </c>
      <c r="C5343" s="6" t="s">
        <v>2223</v>
      </c>
      <c r="D5343" s="5" t="s">
        <v>2222</v>
      </c>
      <c r="E5343" s="9" t="str">
        <f>HYPERLINK("https://twitter.com/seyedmohammad_/status/1034419844635140097","1034419844635140097")</f>
        <v>1034419844635140097</v>
      </c>
      <c r="F5343" s="4"/>
      <c r="G5343" s="4"/>
      <c r="H5343" s="4"/>
      <c r="I5343" s="10" t="str">
        <f>HYPERLINK("http://twitter.com/download/android","Twitter for Android")</f>
        <v>Twitter for Android</v>
      </c>
      <c r="J5343" s="2">
        <v>65</v>
      </c>
      <c r="K5343" s="2">
        <v>279</v>
      </c>
      <c r="L5343" s="2">
        <v>0</v>
      </c>
      <c r="M5343" s="2"/>
      <c r="N5343" s="8">
        <v>42389.527997685189</v>
      </c>
      <c r="O5343" s="4" t="s">
        <v>2221</v>
      </c>
      <c r="P5343" s="3" t="s">
        <v>2220</v>
      </c>
      <c r="Q5343" s="4"/>
      <c r="R5343" s="4"/>
      <c r="S5343" s="9" t="str">
        <f>HYPERLINK("https://pbs.twimg.com/profile_images/689738194867322881/f5VAuLs6.jpg","View")</f>
        <v>View</v>
      </c>
    </row>
    <row r="5344" spans="1:19" ht="40">
      <c r="A5344" s="8">
        <v>43340.71329861111</v>
      </c>
      <c r="B5344" s="11" t="str">
        <f>HYPERLINK("https://twitter.com/hoseinrazzagh","@hoseinrazzagh")</f>
        <v>@hoseinrazzagh</v>
      </c>
      <c r="C5344" s="6" t="s">
        <v>2219</v>
      </c>
      <c r="D5344" s="5" t="s">
        <v>2218</v>
      </c>
      <c r="E5344" s="9" t="str">
        <f>HYPERLINK("https://twitter.com/hoseinrazzagh/status/1034419614355271681","1034419614355271681")</f>
        <v>1034419614355271681</v>
      </c>
      <c r="F5344" s="4"/>
      <c r="G5344" s="10" t="s">
        <v>2217</v>
      </c>
      <c r="H5344" s="4"/>
      <c r="I5344" s="10" t="str">
        <f>HYPERLINK("http://twitter.com/download/iphone","Twitter for iPhone")</f>
        <v>Twitter for iPhone</v>
      </c>
      <c r="J5344" s="2">
        <v>336</v>
      </c>
      <c r="K5344" s="2">
        <v>338</v>
      </c>
      <c r="L5344" s="2">
        <v>0</v>
      </c>
      <c r="M5344" s="2"/>
      <c r="N5344" s="8">
        <v>43270.740949074076</v>
      </c>
      <c r="O5344" s="4" t="s">
        <v>324</v>
      </c>
      <c r="P5344" s="3" t="s">
        <v>2216</v>
      </c>
      <c r="Q5344" s="4"/>
      <c r="R5344" s="4"/>
      <c r="S5344" s="9" t="str">
        <f>HYPERLINK("https://pbs.twimg.com/profile_images/1009066462127034371/vXoQ6wua.jpg","View")</f>
        <v>View</v>
      </c>
    </row>
    <row r="5345" spans="1:19" ht="20">
      <c r="A5345" s="8">
        <v>43340.713194444441</v>
      </c>
      <c r="B5345" s="11" t="str">
        <f>HYPERLINK("https://twitter.com/AlamAlhoda4","@AlamAlhoda4")</f>
        <v>@AlamAlhoda4</v>
      </c>
      <c r="C5345" s="6" t="s">
        <v>2215</v>
      </c>
      <c r="D5345" s="5" t="s">
        <v>2214</v>
      </c>
      <c r="E5345" s="9" t="str">
        <f>HYPERLINK("https://twitter.com/AlamAlhoda4/status/1034419576929308673","1034419576929308673")</f>
        <v>1034419576929308673</v>
      </c>
      <c r="F5345" s="4"/>
      <c r="G5345" s="10" t="s">
        <v>2213</v>
      </c>
      <c r="H5345" s="4"/>
      <c r="I5345" s="10" t="str">
        <f>HYPERLINK("http://twitter.com/download/android","Twitter for Android")</f>
        <v>Twitter for Android</v>
      </c>
      <c r="J5345" s="2">
        <v>114</v>
      </c>
      <c r="K5345" s="2">
        <v>48</v>
      </c>
      <c r="L5345" s="2">
        <v>0</v>
      </c>
      <c r="M5345" s="2"/>
      <c r="N5345" s="8">
        <v>43302.741759259261</v>
      </c>
      <c r="O5345" s="4" t="s">
        <v>2212</v>
      </c>
      <c r="P5345" s="3" t="s">
        <v>2211</v>
      </c>
      <c r="Q5345" s="4"/>
      <c r="R5345" s="4"/>
      <c r="S5345" s="9" t="str">
        <f>HYPERLINK("https://pbs.twimg.com/profile_images/1020663339914072069/iUOWrnzs.jpg","View")</f>
        <v>View</v>
      </c>
    </row>
    <row r="5346" spans="1:19" ht="20">
      <c r="A5346" s="8">
        <v>43340.713020833333</v>
      </c>
      <c r="B5346" s="11" t="str">
        <f>HYPERLINK("https://twitter.com/Z_Nazarzadeh","@Z_Nazarzadeh")</f>
        <v>@Z_Nazarzadeh</v>
      </c>
      <c r="C5346" s="6" t="s">
        <v>2210</v>
      </c>
      <c r="D5346" s="5" t="s">
        <v>2209</v>
      </c>
      <c r="E5346" s="9" t="str">
        <f>HYPERLINK("https://twitter.com/Z_Nazarzadeh/status/1034419513834569728","1034419513834569728")</f>
        <v>1034419513834569728</v>
      </c>
      <c r="F5346" s="4"/>
      <c r="G5346" s="4"/>
      <c r="H5346" s="4"/>
      <c r="I5346" s="10" t="str">
        <f>HYPERLINK("https://mobile.twitter.com","Twitter Lite")</f>
        <v>Twitter Lite</v>
      </c>
      <c r="J5346" s="2">
        <v>143</v>
      </c>
      <c r="K5346" s="2">
        <v>197</v>
      </c>
      <c r="L5346" s="2">
        <v>1</v>
      </c>
      <c r="M5346" s="2"/>
      <c r="N5346" s="8">
        <v>43134.411585648151</v>
      </c>
      <c r="O5346" s="4"/>
      <c r="P5346" s="3" t="s">
        <v>2208</v>
      </c>
      <c r="Q5346" s="4"/>
      <c r="R5346" s="4"/>
      <c r="S5346" s="9" t="str">
        <f>HYPERLINK("https://pbs.twimg.com/profile_images/960524833024020480/pQVu3NAP.jpg","View")</f>
        <v>View</v>
      </c>
    </row>
    <row r="5347" spans="1:19" ht="20">
      <c r="A5347" s="8">
        <v>43340.712824074071</v>
      </c>
      <c r="B5347" s="11" t="str">
        <f>HYPERLINK("https://twitter.com/alimetali","@alimetali")</f>
        <v>@alimetali</v>
      </c>
      <c r="C5347" s="6" t="s">
        <v>2207</v>
      </c>
      <c r="D5347" s="5" t="s">
        <v>2206</v>
      </c>
      <c r="E5347" s="9" t="str">
        <f>HYPERLINK("https://twitter.com/alimetali/status/1034419443076616193","1034419443076616193")</f>
        <v>1034419443076616193</v>
      </c>
      <c r="F5347" s="4"/>
      <c r="G5347" s="4"/>
      <c r="H5347" s="4"/>
      <c r="I5347" s="10" t="str">
        <f>HYPERLINK("http://twitter.com/download/iphone","Twitter for iPhone")</f>
        <v>Twitter for iPhone</v>
      </c>
      <c r="J5347" s="2">
        <v>535</v>
      </c>
      <c r="K5347" s="2">
        <v>559</v>
      </c>
      <c r="L5347" s="2">
        <v>1</v>
      </c>
      <c r="M5347" s="2"/>
      <c r="N5347" s="8">
        <v>41138.428796296299</v>
      </c>
      <c r="O5347" s="4" t="s">
        <v>2205</v>
      </c>
      <c r="P5347" s="3" t="s">
        <v>2204</v>
      </c>
      <c r="Q5347" s="10" t="s">
        <v>2203</v>
      </c>
      <c r="R5347" s="4"/>
      <c r="S5347" s="9" t="str">
        <f>HYPERLINK("https://pbs.twimg.com/profile_images/1012580775898869761/-IisuljS.jpg","View")</f>
        <v>View</v>
      </c>
    </row>
    <row r="5348" spans="1:19" ht="20">
      <c r="A5348" s="8">
        <v>43340.712314814809</v>
      </c>
      <c r="B5348" s="11" t="str">
        <f>HYPERLINK("https://twitter.com/f_fartout","@f_fartout")</f>
        <v>@f_fartout</v>
      </c>
      <c r="C5348" s="6" t="s">
        <v>2202</v>
      </c>
      <c r="D5348" s="5" t="s">
        <v>2201</v>
      </c>
      <c r="E5348" s="9" t="str">
        <f>HYPERLINK("https://twitter.com/f_fartout/status/1034419258430767104","1034419258430767104")</f>
        <v>1034419258430767104</v>
      </c>
      <c r="F5348" s="4"/>
      <c r="G5348" s="4"/>
      <c r="H5348" s="4"/>
      <c r="I5348" s="10" t="str">
        <f>HYPERLINK("http://twitter.com/download/android","Twitter for Android")</f>
        <v>Twitter for Android</v>
      </c>
      <c r="J5348" s="2">
        <v>28</v>
      </c>
      <c r="K5348" s="2">
        <v>21</v>
      </c>
      <c r="L5348" s="2">
        <v>0</v>
      </c>
      <c r="M5348" s="2"/>
      <c r="N5348" s="8">
        <v>43225.836377314816</v>
      </c>
      <c r="O5348" s="4"/>
      <c r="P5348" s="3" t="s">
        <v>2200</v>
      </c>
      <c r="Q5348" s="4"/>
      <c r="R5348" s="4"/>
      <c r="S5348" s="9" t="str">
        <f>HYPERLINK("https://pbs.twimg.com/profile_images/1028686619338002432/dHQhnoLu.jpg","View")</f>
        <v>View</v>
      </c>
    </row>
    <row r="5349" spans="1:19" ht="40">
      <c r="A5349" s="8">
        <v>43340.711770833332</v>
      </c>
      <c r="B5349" s="11" t="str">
        <f>HYPERLINK("https://twitter.com/4hZDuIubpl2z8QA","@4hZDuIubpl2z8QA")</f>
        <v>@4hZDuIubpl2z8QA</v>
      </c>
      <c r="C5349" s="6" t="s">
        <v>2199</v>
      </c>
      <c r="D5349" s="5" t="s">
        <v>2198</v>
      </c>
      <c r="E5349" s="9" t="str">
        <f>HYPERLINK("https://twitter.com/4hZDuIubpl2z8QA/status/1034419063051755527","1034419063051755527")</f>
        <v>1034419063051755527</v>
      </c>
      <c r="F5349" s="4"/>
      <c r="G5349" s="4"/>
      <c r="H5349" s="4"/>
      <c r="I5349" s="10" t="str">
        <f>HYPERLINK("http://twitter.com/download/android","Twitter for Android")</f>
        <v>Twitter for Android</v>
      </c>
      <c r="J5349" s="2">
        <v>97</v>
      </c>
      <c r="K5349" s="2">
        <v>167</v>
      </c>
      <c r="L5349" s="2">
        <v>1</v>
      </c>
      <c r="M5349" s="2"/>
      <c r="N5349" s="8">
        <v>43322.431331018517</v>
      </c>
      <c r="O5349" s="4" t="s">
        <v>2197</v>
      </c>
      <c r="P5349" s="3" t="s">
        <v>2196</v>
      </c>
      <c r="Q5349" s="4"/>
      <c r="R5349" s="4"/>
      <c r="S5349" s="9" t="str">
        <f>HYPERLINK("https://pbs.twimg.com/profile_images/1028233020216696833/-KtJ87m9.jpg","View")</f>
        <v>View</v>
      </c>
    </row>
    <row r="5350" spans="1:19" ht="20">
      <c r="A5350" s="8">
        <v>43340.711469907408</v>
      </c>
      <c r="B5350" s="11" t="str">
        <f>HYPERLINK("https://twitter.com/cheroee","@cheroee")</f>
        <v>@cheroee</v>
      </c>
      <c r="C5350" s="6" t="s">
        <v>2195</v>
      </c>
      <c r="D5350" s="5" t="s">
        <v>2194</v>
      </c>
      <c r="E5350" s="9" t="str">
        <f>HYPERLINK("https://twitter.com/cheroee/status/1034418951109963782","1034418951109963782")</f>
        <v>1034418951109963782</v>
      </c>
      <c r="F5350" s="4"/>
      <c r="G5350" s="4"/>
      <c r="H5350" s="4"/>
      <c r="I5350" s="10" t="str">
        <f>HYPERLINK("http://twitter.com/download/android","Twitter for Android")</f>
        <v>Twitter for Android</v>
      </c>
      <c r="J5350" s="2">
        <v>1216</v>
      </c>
      <c r="K5350" s="2">
        <v>1395</v>
      </c>
      <c r="L5350" s="2">
        <v>1</v>
      </c>
      <c r="M5350" s="2"/>
      <c r="N5350" s="8">
        <v>43107.905138888891</v>
      </c>
      <c r="O5350" s="4" t="s">
        <v>2193</v>
      </c>
      <c r="P5350" s="3" t="s">
        <v>2192</v>
      </c>
      <c r="Q5350" s="4"/>
      <c r="R5350" s="4"/>
      <c r="S5350" s="9" t="str">
        <f>HYPERLINK("https://pbs.twimg.com/profile_images/950323482784681986/ENPd2fX5.jpg","View")</f>
        <v>View</v>
      </c>
    </row>
    <row r="5351" spans="1:19" ht="20">
      <c r="A5351" s="8">
        <v>43340.711273148147</v>
      </c>
      <c r="B5351" s="11" t="str">
        <f>HYPERLINK("https://twitter.com/eye_illusion","@eye_illusion")</f>
        <v>@eye_illusion</v>
      </c>
      <c r="C5351" s="6" t="s">
        <v>2191</v>
      </c>
      <c r="D5351" s="5" t="s">
        <v>2190</v>
      </c>
      <c r="E5351" s="9" t="str">
        <f>HYPERLINK("https://twitter.com/eye_illusion/status/1034418882453237762","1034418882453237762")</f>
        <v>1034418882453237762</v>
      </c>
      <c r="F5351" s="4"/>
      <c r="G5351" s="4"/>
      <c r="H5351" s="4"/>
      <c r="I5351" s="10" t="str">
        <f>HYPERLINK("https://mobile.twitter.com","Twitter Lite")</f>
        <v>Twitter Lite</v>
      </c>
      <c r="J5351" s="2">
        <v>59</v>
      </c>
      <c r="K5351" s="2">
        <v>148</v>
      </c>
      <c r="L5351" s="2">
        <v>0</v>
      </c>
      <c r="M5351" s="2"/>
      <c r="N5351" s="8">
        <v>43262.562557870369</v>
      </c>
      <c r="O5351" s="4"/>
      <c r="P5351" s="3"/>
      <c r="Q5351" s="4"/>
      <c r="R5351" s="4"/>
      <c r="S5351" s="9" t="str">
        <f>HYPERLINK("https://pbs.twimg.com/profile_images/1006262501011542016/MHOaNIkG.jpg","View")</f>
        <v>View</v>
      </c>
    </row>
    <row r="5352" spans="1:19" ht="20">
      <c r="A5352" s="8">
        <v>43340.711111111115</v>
      </c>
      <c r="B5352" s="11" t="str">
        <f>HYPERLINK("https://twitter.com/meysametammar","@meysametammar")</f>
        <v>@meysametammar</v>
      </c>
      <c r="C5352" s="6" t="s">
        <v>842</v>
      </c>
      <c r="D5352" s="5" t="s">
        <v>2189</v>
      </c>
      <c r="E5352" s="9" t="str">
        <f>HYPERLINK("https://twitter.com/meysametammar/status/1034418820650287104","1034418820650287104")</f>
        <v>1034418820650287104</v>
      </c>
      <c r="F5352" s="4"/>
      <c r="G5352" s="4"/>
      <c r="H5352" s="4"/>
      <c r="I5352" s="10" t="str">
        <f>HYPERLINK("http://twitter.com","Twitter Web Client")</f>
        <v>Twitter Web Client</v>
      </c>
      <c r="J5352" s="2">
        <v>4350</v>
      </c>
      <c r="K5352" s="2">
        <v>4601</v>
      </c>
      <c r="L5352" s="2">
        <v>13</v>
      </c>
      <c r="M5352" s="2"/>
      <c r="N5352" s="8">
        <v>43152.743263888886</v>
      </c>
      <c r="O5352" s="4" t="s">
        <v>17</v>
      </c>
      <c r="P5352" s="3" t="s">
        <v>840</v>
      </c>
      <c r="Q5352" s="4"/>
      <c r="R5352" s="4"/>
      <c r="S5352" s="9" t="str">
        <f>HYPERLINK("https://pbs.twimg.com/profile_images/1010595828493365256/LlIOiiCI.jpg","View")</f>
        <v>View</v>
      </c>
    </row>
    <row r="5353" spans="1:19" ht="20">
      <c r="A5353" s="8">
        <v>43340.711006944446</v>
      </c>
      <c r="B5353" s="11" t="str">
        <f>HYPERLINK("https://twitter.com/ehsangmz","@ehsangmz")</f>
        <v>@ehsangmz</v>
      </c>
      <c r="C5353" s="6" t="s">
        <v>2188</v>
      </c>
      <c r="D5353" s="5" t="s">
        <v>2187</v>
      </c>
      <c r="E5353" s="9" t="str">
        <f>HYPERLINK("https://twitter.com/ehsangmz/status/1034418783128043520","1034418783128043520")</f>
        <v>1034418783128043520</v>
      </c>
      <c r="F5353" s="4"/>
      <c r="G5353" s="4"/>
      <c r="H5353" s="4"/>
      <c r="I5353" s="10" t="str">
        <f>HYPERLINK("https://mobile.twitter.com","Twitter Lite")</f>
        <v>Twitter Lite</v>
      </c>
      <c r="J5353" s="2">
        <v>997</v>
      </c>
      <c r="K5353" s="2">
        <v>905</v>
      </c>
      <c r="L5353" s="2">
        <v>2</v>
      </c>
      <c r="M5353" s="2"/>
      <c r="N5353" s="8">
        <v>41440.411365740743</v>
      </c>
      <c r="O5353" s="4" t="s">
        <v>34</v>
      </c>
      <c r="P5353" s="3" t="s">
        <v>2186</v>
      </c>
      <c r="Q5353" s="10" t="s">
        <v>2185</v>
      </c>
      <c r="R5353" s="4"/>
      <c r="S5353" s="9" t="str">
        <f>HYPERLINK("https://pbs.twimg.com/profile_images/1030690036352774145/PJJ4PhjW.jpg","View")</f>
        <v>View</v>
      </c>
    </row>
    <row r="5354" spans="1:19" ht="40">
      <c r="A5354" s="8">
        <v>43340.710833333331</v>
      </c>
      <c r="B5354" s="11" t="str">
        <f>HYPERLINK("https://twitter.com/Me33542658","@Me33542658")</f>
        <v>@Me33542658</v>
      </c>
      <c r="C5354" s="6" t="s">
        <v>2184</v>
      </c>
      <c r="D5354" s="5" t="s">
        <v>2183</v>
      </c>
      <c r="E5354" s="9" t="str">
        <f>HYPERLINK("https://twitter.com/Me33542658/status/1034418722746851328","1034418722746851328")</f>
        <v>1034418722746851328</v>
      </c>
      <c r="F5354" s="4" t="s">
        <v>2182</v>
      </c>
      <c r="G5354" s="4"/>
      <c r="H5354" s="4"/>
      <c r="I5354" s="10" t="str">
        <f>HYPERLINK("https://mobile.twitter.com","Twitter Lite")</f>
        <v>Twitter Lite</v>
      </c>
      <c r="J5354" s="2">
        <v>203</v>
      </c>
      <c r="K5354" s="2">
        <v>447</v>
      </c>
      <c r="L5354" s="2">
        <v>0</v>
      </c>
      <c r="M5354" s="2"/>
      <c r="N5354" s="8">
        <v>43287.794062500005</v>
      </c>
      <c r="O5354" s="4" t="s">
        <v>2181</v>
      </c>
      <c r="P5354" s="3" t="s">
        <v>2180</v>
      </c>
      <c r="Q5354" s="4"/>
      <c r="R5354" s="4"/>
      <c r="S5354" s="9" t="str">
        <f>HYPERLINK("https://pbs.twimg.com/profile_images/1025317681002676224/FSzSpqir.jpg","View")</f>
        <v>View</v>
      </c>
    </row>
    <row r="5355" spans="1:19" ht="40">
      <c r="A5355" s="8">
        <v>43340.710439814815</v>
      </c>
      <c r="B5355" s="11" t="str">
        <f>HYPERLINK("https://twitter.com/EhsanSalari7","@EhsanSalari7")</f>
        <v>@EhsanSalari7</v>
      </c>
      <c r="C5355" s="6" t="s">
        <v>2179</v>
      </c>
      <c r="D5355" s="5" t="s">
        <v>2178</v>
      </c>
      <c r="E5355" s="9" t="str">
        <f>HYPERLINK("https://twitter.com/EhsanSalari7/status/1034418581243617281","1034418581243617281")</f>
        <v>1034418581243617281</v>
      </c>
      <c r="F5355" s="4"/>
      <c r="G5355" s="4"/>
      <c r="H5355" s="4"/>
      <c r="I5355" s="10" t="str">
        <f>HYPERLINK("http://twitter.com/download/android","Twitter for Android")</f>
        <v>Twitter for Android</v>
      </c>
      <c r="J5355" s="2">
        <v>120</v>
      </c>
      <c r="K5355" s="2">
        <v>240</v>
      </c>
      <c r="L5355" s="2">
        <v>1</v>
      </c>
      <c r="M5355" s="2"/>
      <c r="N5355" s="8">
        <v>43037.758923611109</v>
      </c>
      <c r="O5355" s="4"/>
      <c r="P5355" s="3" t="s">
        <v>2177</v>
      </c>
      <c r="Q5355" s="4"/>
      <c r="R5355" s="4"/>
      <c r="S5355" s="9" t="str">
        <f>HYPERLINK("https://pbs.twimg.com/profile_images/952815861529743360/j8PduNKg.jpg","View")</f>
        <v>View</v>
      </c>
    </row>
    <row r="5356" spans="1:19" ht="20">
      <c r="A5356" s="8">
        <v>43340.710439814815</v>
      </c>
      <c r="B5356" s="11" t="str">
        <f>HYPERLINK("https://twitter.com/MojSavar","@MojSavar")</f>
        <v>@MojSavar</v>
      </c>
      <c r="C5356" s="6" t="s">
        <v>2176</v>
      </c>
      <c r="D5356" s="5" t="s">
        <v>2175</v>
      </c>
      <c r="E5356" s="9" t="str">
        <f>HYPERLINK("https://twitter.com/MojSavar/status/1034418577091293185","1034418577091293185")</f>
        <v>1034418577091293185</v>
      </c>
      <c r="F5356" s="4"/>
      <c r="G5356" s="4"/>
      <c r="H5356" s="4"/>
      <c r="I5356" s="10" t="str">
        <f>HYPERLINK("http://twitter.com/download/android","Twitter for Android")</f>
        <v>Twitter for Android</v>
      </c>
      <c r="J5356" s="2">
        <v>110</v>
      </c>
      <c r="K5356" s="2">
        <v>470</v>
      </c>
      <c r="L5356" s="2">
        <v>0</v>
      </c>
      <c r="M5356" s="2"/>
      <c r="N5356" s="8">
        <v>43320.984236111108</v>
      </c>
      <c r="O5356" s="4" t="s">
        <v>34</v>
      </c>
      <c r="P5356" s="3" t="s">
        <v>2174</v>
      </c>
      <c r="Q5356" s="4"/>
      <c r="R5356" s="4"/>
      <c r="S5356" s="9" t="str">
        <f>HYPERLINK("https://pbs.twimg.com/profile_images/1028651216807518208/8KgOBhpT.jpg","View")</f>
        <v>View</v>
      </c>
    </row>
    <row r="5357" spans="1:19" ht="30">
      <c r="A5357" s="8">
        <v>43340.710428240738</v>
      </c>
      <c r="B5357" s="11" t="str">
        <f>HYPERLINK("https://twitter.com/javanane_irani","@javanane_irani")</f>
        <v>@javanane_irani</v>
      </c>
      <c r="C5357" s="6" t="s">
        <v>2173</v>
      </c>
      <c r="D5357" s="5" t="s">
        <v>2172</v>
      </c>
      <c r="E5357" s="9" t="str">
        <f>HYPERLINK("https://twitter.com/javanane_irani/status/1034418575552008194","1034418575552008194")</f>
        <v>1034418575552008194</v>
      </c>
      <c r="F5357" s="4"/>
      <c r="G5357" s="4"/>
      <c r="H5357" s="4"/>
      <c r="I5357" s="10" t="str">
        <f>HYPERLINK("http://twitter.com","Twitter Web Client")</f>
        <v>Twitter Web Client</v>
      </c>
      <c r="J5357" s="2">
        <v>6525</v>
      </c>
      <c r="K5357" s="2">
        <v>6666</v>
      </c>
      <c r="L5357" s="2">
        <v>3</v>
      </c>
      <c r="M5357" s="2"/>
      <c r="N5357" s="8">
        <v>43134.614490740743</v>
      </c>
      <c r="O5357" s="4" t="s">
        <v>104</v>
      </c>
      <c r="P5357" s="3" t="s">
        <v>2171</v>
      </c>
      <c r="Q5357" s="4"/>
      <c r="R5357" s="4"/>
      <c r="S5357" s="9" t="str">
        <f>HYPERLINK("https://pbs.twimg.com/profile_images/975343201245523973/K32OCytB.jpg","View")</f>
        <v>View</v>
      </c>
    </row>
    <row r="5358" spans="1:19" ht="20">
      <c r="A5358" s="8">
        <v>43340.710196759261</v>
      </c>
      <c r="B5358" s="11" t="str">
        <f>HYPERLINK("https://twitter.com/Plusboy7916","@Plusboy7916")</f>
        <v>@Plusboy7916</v>
      </c>
      <c r="C5358" s="6" t="s">
        <v>2132</v>
      </c>
      <c r="D5358" s="5" t="s">
        <v>2170</v>
      </c>
      <c r="E5358" s="9" t="str">
        <f>HYPERLINK("https://twitter.com/Plusboy7916/status/1034418490218897410","1034418490218897410")</f>
        <v>1034418490218897410</v>
      </c>
      <c r="F5358" s="4"/>
      <c r="G5358" s="4"/>
      <c r="H5358" s="4"/>
      <c r="I5358" s="10" t="str">
        <f>HYPERLINK("https://mobile.twitter.com","Twitter Lite")</f>
        <v>Twitter Lite</v>
      </c>
      <c r="J5358" s="2">
        <v>804</v>
      </c>
      <c r="K5358" s="2">
        <v>927</v>
      </c>
      <c r="L5358" s="2">
        <v>1</v>
      </c>
      <c r="M5358" s="2"/>
      <c r="N5358" s="8">
        <v>43103.001979166671</v>
      </c>
      <c r="O5358" s="4"/>
      <c r="P5358" s="3" t="s">
        <v>2130</v>
      </c>
      <c r="Q5358" s="4"/>
      <c r="R5358" s="4"/>
      <c r="S5358" s="9" t="str">
        <f>HYPERLINK("https://pbs.twimg.com/profile_images/989969258158403584/7PZPWCMH.jpg","View")</f>
        <v>View</v>
      </c>
    </row>
    <row r="5359" spans="1:19" ht="12.5">
      <c r="A5359" s="8">
        <v>43340.709432870368</v>
      </c>
      <c r="B5359" s="11" t="str">
        <f>HYPERLINK("https://twitter.com/masoud_pirhadi","@masoud_pirhadi")</f>
        <v>@masoud_pirhadi</v>
      </c>
      <c r="C5359" s="6" t="s">
        <v>2169</v>
      </c>
      <c r="D5359" s="5" t="s">
        <v>2168</v>
      </c>
      <c r="E5359" s="9" t="str">
        <f>HYPERLINK("https://twitter.com/masoud_pirhadi/status/1034418215823261697","1034418215823261697")</f>
        <v>1034418215823261697</v>
      </c>
      <c r="F5359" s="4"/>
      <c r="G5359" s="4"/>
      <c r="H5359" s="4"/>
      <c r="I5359" s="10" t="str">
        <f>HYPERLINK("http://twitter.com/download/android","Twitter for Android")</f>
        <v>Twitter for Android</v>
      </c>
      <c r="J5359" s="2">
        <v>3317</v>
      </c>
      <c r="K5359" s="2">
        <v>1810</v>
      </c>
      <c r="L5359" s="2">
        <v>11</v>
      </c>
      <c r="M5359" s="2"/>
      <c r="N5359" s="8">
        <v>42776.940844907411</v>
      </c>
      <c r="O5359" s="4" t="s">
        <v>17</v>
      </c>
      <c r="P5359" s="3" t="s">
        <v>2167</v>
      </c>
      <c r="Q5359" s="10" t="s">
        <v>2166</v>
      </c>
      <c r="R5359" s="4"/>
      <c r="S5359" s="9" t="str">
        <f>HYPERLINK("https://pbs.twimg.com/profile_images/1011524650910867456/kapkqeoO.jpg","View")</f>
        <v>View</v>
      </c>
    </row>
    <row r="5360" spans="1:19" ht="20">
      <c r="A5360" s="8">
        <v>43340.709166666667</v>
      </c>
      <c r="B5360" s="11" t="str">
        <f>HYPERLINK("https://twitter.com/hosein_prmhmmd","@hosein_prmhmmd")</f>
        <v>@hosein_prmhmmd</v>
      </c>
      <c r="C5360" s="6" t="s">
        <v>2165</v>
      </c>
      <c r="D5360" s="5" t="s">
        <v>2164</v>
      </c>
      <c r="E5360" s="9" t="str">
        <f>HYPERLINK("https://twitter.com/hosein_prmhmmd/status/1034418119610122241","1034418119610122241")</f>
        <v>1034418119610122241</v>
      </c>
      <c r="F5360" s="4"/>
      <c r="G5360" s="4"/>
      <c r="H5360" s="4"/>
      <c r="I5360" s="10" t="str">
        <f>HYPERLINK("http://twitter.com/download/android","Twitter for Android")</f>
        <v>Twitter for Android</v>
      </c>
      <c r="J5360" s="2">
        <v>1990</v>
      </c>
      <c r="K5360" s="2">
        <v>2299</v>
      </c>
      <c r="L5360" s="2">
        <v>6</v>
      </c>
      <c r="M5360" s="2"/>
      <c r="N5360" s="8">
        <v>42581.630324074074</v>
      </c>
      <c r="O5360" s="4"/>
      <c r="P5360" s="3" t="s">
        <v>2163</v>
      </c>
      <c r="Q5360" s="4"/>
      <c r="R5360" s="4"/>
      <c r="S5360" s="9" t="str">
        <f>HYPERLINK("https://pbs.twimg.com/profile_images/852971198954831872/hZ1pBeC8.jpg","View")</f>
        <v>View</v>
      </c>
    </row>
    <row r="5361" spans="1:19" ht="20">
      <c r="A5361" s="8">
        <v>43340.70893518519</v>
      </c>
      <c r="B5361" s="11" t="str">
        <f>HYPERLINK("https://twitter.com/Kiyanara","@Kiyanara")</f>
        <v>@Kiyanara</v>
      </c>
      <c r="C5361" s="6" t="s">
        <v>2162</v>
      </c>
      <c r="D5361" s="5" t="s">
        <v>2161</v>
      </c>
      <c r="E5361" s="9" t="str">
        <f>HYPERLINK("https://twitter.com/Kiyanara/status/1034418033341554688","1034418033341554688")</f>
        <v>1034418033341554688</v>
      </c>
      <c r="F5361" s="4"/>
      <c r="G5361" s="10" t="s">
        <v>2160</v>
      </c>
      <c r="H5361" s="4"/>
      <c r="I5361" s="10" t="str">
        <f>HYPERLINK("http://twitter.com","Twitter Web Client")</f>
        <v>Twitter Web Client</v>
      </c>
      <c r="J5361" s="2">
        <v>287</v>
      </c>
      <c r="K5361" s="2">
        <v>227</v>
      </c>
      <c r="L5361" s="2">
        <v>2</v>
      </c>
      <c r="M5361" s="2"/>
      <c r="N5361" s="8">
        <v>41155.709988425922</v>
      </c>
      <c r="O5361" s="4" t="s">
        <v>2159</v>
      </c>
      <c r="P5361" s="3" t="s">
        <v>2158</v>
      </c>
      <c r="Q5361" s="4"/>
      <c r="R5361" s="4"/>
      <c r="S5361" s="9" t="str">
        <f>HYPERLINK("https://pbs.twimg.com/profile_images/1016974331086176256/AIsihCYT.jpg","View")</f>
        <v>View</v>
      </c>
    </row>
    <row r="5362" spans="1:19" ht="20">
      <c r="A5362" s="8">
        <v>43340.708680555559</v>
      </c>
      <c r="B5362" s="11" t="str">
        <f>HYPERLINK("https://twitter.com/farzane_salari","@farzane_salari")</f>
        <v>@farzane_salari</v>
      </c>
      <c r="C5362" s="6" t="s">
        <v>2157</v>
      </c>
      <c r="D5362" s="5" t="s">
        <v>2156</v>
      </c>
      <c r="E5362" s="9" t="str">
        <f>HYPERLINK("https://twitter.com/farzane_salari/status/1034417943101231104","1034417943101231104")</f>
        <v>1034417943101231104</v>
      </c>
      <c r="F5362" s="4"/>
      <c r="G5362" s="4"/>
      <c r="H5362" s="4"/>
      <c r="I5362" s="10" t="str">
        <f>HYPERLINK("http://twitter.com/download/android","Twitter for Android")</f>
        <v>Twitter for Android</v>
      </c>
      <c r="J5362" s="2">
        <v>203</v>
      </c>
      <c r="K5362" s="2">
        <v>201</v>
      </c>
      <c r="L5362" s="2">
        <v>1</v>
      </c>
      <c r="M5362" s="2"/>
      <c r="N5362" s="8">
        <v>42966.802361111113</v>
      </c>
      <c r="O5362" s="4"/>
      <c r="P5362" s="3"/>
      <c r="Q5362" s="4"/>
      <c r="R5362" s="4"/>
      <c r="S5362" s="9" t="str">
        <f>HYPERLINK("https://pbs.twimg.com/profile_images/916261706615218176/qzFj-7LV.jpg","View")</f>
        <v>View</v>
      </c>
    </row>
    <row r="5363" spans="1:19" ht="40">
      <c r="A5363" s="8">
        <v>43340.708668981482</v>
      </c>
      <c r="B5363" s="11" t="str">
        <f>HYPERLINK("https://twitter.com/adTwtplus","@adTwtplus")</f>
        <v>@adTwtplus</v>
      </c>
      <c r="C5363" s="6" t="s">
        <v>2155</v>
      </c>
      <c r="D5363" s="5" t="s">
        <v>2154</v>
      </c>
      <c r="E5363" s="9" t="str">
        <f>HYPERLINK("https://twitter.com/adTwtplus/status/1034417937124286464","1034417937124286464")</f>
        <v>1034417937124286464</v>
      </c>
      <c r="F5363" s="4" t="s">
        <v>2153</v>
      </c>
      <c r="G5363" s="10" t="s">
        <v>2152</v>
      </c>
      <c r="H5363" s="4"/>
      <c r="I5363" s="10" t="str">
        <f>HYPERLINK("http://twitter.com","Twitter Web Client")</f>
        <v>Twitter Web Client</v>
      </c>
      <c r="J5363" s="2">
        <v>759</v>
      </c>
      <c r="K5363" s="2">
        <v>597</v>
      </c>
      <c r="L5363" s="2">
        <v>2</v>
      </c>
      <c r="M5363" s="2"/>
      <c r="N5363" s="8">
        <v>43096.412847222222</v>
      </c>
      <c r="O5363" s="4" t="s">
        <v>454</v>
      </c>
      <c r="P5363" s="3" t="s">
        <v>2151</v>
      </c>
      <c r="Q5363" s="10" t="s">
        <v>2150</v>
      </c>
      <c r="R5363" s="4"/>
      <c r="S5363" s="9" t="str">
        <f>HYPERLINK("https://pbs.twimg.com/profile_images/945904396260528130/kK6RkQt9.jpg","View")</f>
        <v>View</v>
      </c>
    </row>
    <row r="5364" spans="1:19" ht="30">
      <c r="A5364" s="8">
        <v>43340.708333333328</v>
      </c>
      <c r="B5364" s="11" t="str">
        <f>HYPERLINK("https://twitter.com/hamshahrinews","@hamshahrinews")</f>
        <v>@hamshahrinews</v>
      </c>
      <c r="C5364" s="6" t="s">
        <v>2149</v>
      </c>
      <c r="D5364" s="5" t="s">
        <v>2148</v>
      </c>
      <c r="E5364" s="9" t="str">
        <f>HYPERLINK("https://twitter.com/hamshahrinews/status/1034417816655613953","1034417816655613953")</f>
        <v>1034417816655613953</v>
      </c>
      <c r="F5364" s="10" t="s">
        <v>2147</v>
      </c>
      <c r="G5364" s="4"/>
      <c r="H5364" s="4"/>
      <c r="I5364" s="10" t="str">
        <f>HYPERLINK("https://about.twitter.com/products/tweetdeck","TweetDeck")</f>
        <v>TweetDeck</v>
      </c>
      <c r="J5364" s="2">
        <v>1845</v>
      </c>
      <c r="K5364" s="2">
        <v>12</v>
      </c>
      <c r="L5364" s="2">
        <v>36</v>
      </c>
      <c r="M5364" s="2"/>
      <c r="N5364" s="8">
        <v>42984.575752314813</v>
      </c>
      <c r="O5364" s="4" t="s">
        <v>133</v>
      </c>
      <c r="P5364" s="3" t="s">
        <v>2146</v>
      </c>
      <c r="Q5364" s="10" t="s">
        <v>2145</v>
      </c>
      <c r="R5364" s="4"/>
      <c r="S5364" s="9" t="str">
        <f>HYPERLINK("https://pbs.twimg.com/profile_images/918008480631533568/-awyAU90.jpg","View")</f>
        <v>View</v>
      </c>
    </row>
    <row r="5365" spans="1:19" ht="40">
      <c r="A5365" s="8">
        <v>43340.708275462966</v>
      </c>
      <c r="B5365" s="11" t="str">
        <f>HYPERLINK("https://twitter.com/a_eshaghi","@a_eshaghi")</f>
        <v>@a_eshaghi</v>
      </c>
      <c r="C5365" s="6" t="s">
        <v>2144</v>
      </c>
      <c r="D5365" s="5" t="s">
        <v>2143</v>
      </c>
      <c r="E5365" s="9" t="str">
        <f>HYPERLINK("https://twitter.com/a_eshaghi/status/1034417796548120577","1034417796548120577")</f>
        <v>1034417796548120577</v>
      </c>
      <c r="F5365" s="4"/>
      <c r="G5365" s="4"/>
      <c r="H5365" s="4"/>
      <c r="I5365" s="10" t="str">
        <f>HYPERLINK("http://twitter.com/download/iphone","Twitter for iPhone")</f>
        <v>Twitter for iPhone</v>
      </c>
      <c r="J5365" s="2">
        <v>48</v>
      </c>
      <c r="K5365" s="2">
        <v>41</v>
      </c>
      <c r="L5365" s="2">
        <v>1</v>
      </c>
      <c r="M5365" s="2"/>
      <c r="N5365" s="8">
        <v>43200.026365740741</v>
      </c>
      <c r="O5365" s="4" t="s">
        <v>324</v>
      </c>
      <c r="P5365" s="3" t="s">
        <v>2142</v>
      </c>
      <c r="Q5365" s="4"/>
      <c r="R5365" s="4"/>
      <c r="S5365" s="9" t="str">
        <f>HYPERLINK("https://pbs.twimg.com/profile_images/1000840471994884097/ji7GgmpA.jpg","View")</f>
        <v>View</v>
      </c>
    </row>
    <row r="5366" spans="1:19" ht="30">
      <c r="A5366" s="8">
        <v>43340.70821759259</v>
      </c>
      <c r="B5366" s="11" t="str">
        <f>HYPERLINK("https://twitter.com/farbod_leyli","@farbod_leyli")</f>
        <v>@farbod_leyli</v>
      </c>
      <c r="C5366" s="6" t="s">
        <v>2141</v>
      </c>
      <c r="D5366" s="5" t="s">
        <v>2140</v>
      </c>
      <c r="E5366" s="9" t="str">
        <f>HYPERLINK("https://twitter.com/farbod_leyli/status/1034417773160669184","1034417773160669184")</f>
        <v>1034417773160669184</v>
      </c>
      <c r="F5366" s="4"/>
      <c r="G5366" s="4"/>
      <c r="H5366" s="4"/>
      <c r="I5366" s="10" t="str">
        <f>HYPERLINK("http://twitter.com/#!/download/ipad","Twitter for iPad")</f>
        <v>Twitter for iPad</v>
      </c>
      <c r="J5366" s="2">
        <v>144</v>
      </c>
      <c r="K5366" s="2">
        <v>107</v>
      </c>
      <c r="L5366" s="2">
        <v>0</v>
      </c>
      <c r="M5366" s="2"/>
      <c r="N5366" s="8">
        <v>42943.960185185184</v>
      </c>
      <c r="O5366" s="4"/>
      <c r="P5366" s="3" t="s">
        <v>2139</v>
      </c>
      <c r="Q5366" s="4"/>
      <c r="R5366" s="4"/>
      <c r="S5366" s="9" t="str">
        <f>HYPERLINK("https://pbs.twimg.com/profile_images/890645301718958080/dgYwFNRF.jpg","View")</f>
        <v>View</v>
      </c>
    </row>
    <row r="5367" spans="1:19" ht="40">
      <c r="A5367" s="8">
        <v>43340.708125000005</v>
      </c>
      <c r="B5367" s="11" t="str">
        <f>HYPERLINK("https://twitter.com/mehdi_m64","@mehdi_m64")</f>
        <v>@mehdi_m64</v>
      </c>
      <c r="C5367" s="6" t="s">
        <v>2138</v>
      </c>
      <c r="D5367" s="5" t="s">
        <v>2137</v>
      </c>
      <c r="E5367" s="9" t="str">
        <f>HYPERLINK("https://twitter.com/mehdi_m64/status/1034417740898070528","1034417740898070528")</f>
        <v>1034417740898070528</v>
      </c>
      <c r="F5367" s="10" t="s">
        <v>644</v>
      </c>
      <c r="G5367" s="4"/>
      <c r="H5367" s="4"/>
      <c r="I5367" s="10" t="str">
        <f>HYPERLINK("http://twitter.com/download/android","Twitter for Android")</f>
        <v>Twitter for Android</v>
      </c>
      <c r="J5367" s="2">
        <v>111</v>
      </c>
      <c r="K5367" s="2">
        <v>201</v>
      </c>
      <c r="L5367" s="2">
        <v>0</v>
      </c>
      <c r="M5367" s="2"/>
      <c r="N5367" s="8">
        <v>42301.675439814819</v>
      </c>
      <c r="O5367" s="4"/>
      <c r="P5367" s="3" t="s">
        <v>2136</v>
      </c>
      <c r="Q5367" s="10" t="s">
        <v>2135</v>
      </c>
      <c r="R5367" s="4"/>
      <c r="S5367" s="9" t="str">
        <f>HYPERLINK("https://pbs.twimg.com/profile_images/960801283740446720/03sy1HDf.jpg","View")</f>
        <v>View</v>
      </c>
    </row>
    <row r="5368" spans="1:19" ht="40">
      <c r="A5368" s="8">
        <v>43340.708078703705</v>
      </c>
      <c r="B5368" s="11" t="str">
        <f>HYPERLINK("https://twitter.com/AdbMohsen","@AdbMohsen")</f>
        <v>@AdbMohsen</v>
      </c>
      <c r="C5368" s="6" t="s">
        <v>2134</v>
      </c>
      <c r="D5368" s="5" t="s">
        <v>2133</v>
      </c>
      <c r="E5368" s="9" t="str">
        <f>HYPERLINK("https://twitter.com/AdbMohsen/status/1034417725085560833","1034417725085560833")</f>
        <v>1034417725085560833</v>
      </c>
      <c r="F5368" s="4"/>
      <c r="G5368" s="4"/>
      <c r="H5368" s="4"/>
      <c r="I5368" s="10" t="str">
        <f>HYPERLINK("http://twitter.com/download/iphone","Twitter for iPhone")</f>
        <v>Twitter for iPhone</v>
      </c>
      <c r="J5368" s="2">
        <v>19</v>
      </c>
      <c r="K5368" s="2">
        <v>113</v>
      </c>
      <c r="L5368" s="2">
        <v>0</v>
      </c>
      <c r="M5368" s="2"/>
      <c r="N5368" s="8">
        <v>43254.962118055555</v>
      </c>
      <c r="O5368" s="4" t="s">
        <v>34</v>
      </c>
      <c r="P5368" s="3"/>
      <c r="Q5368" s="4"/>
      <c r="R5368" s="4"/>
      <c r="S5368" s="9" t="str">
        <f>HYPERLINK("https://pbs.twimg.com/profile_images/1003345547795689473/-xbZ5qh2.jpg","View")</f>
        <v>View</v>
      </c>
    </row>
    <row r="5369" spans="1:19" ht="40">
      <c r="A5369" s="8">
        <v>43340.708078703705</v>
      </c>
      <c r="B5369" s="11" t="str">
        <f>HYPERLINK("https://twitter.com/Plusboy7916","@Plusboy7916")</f>
        <v>@Plusboy7916</v>
      </c>
      <c r="C5369" s="6" t="s">
        <v>2132</v>
      </c>
      <c r="D5369" s="5" t="s">
        <v>2131</v>
      </c>
      <c r="E5369" s="9" t="str">
        <f>HYPERLINK("https://twitter.com/Plusboy7916/status/1034417724607344640","1034417724607344640")</f>
        <v>1034417724607344640</v>
      </c>
      <c r="F5369" s="4"/>
      <c r="G5369" s="4"/>
      <c r="H5369" s="4"/>
      <c r="I5369" s="10" t="str">
        <f>HYPERLINK("https://mobile.twitter.com","Twitter Lite")</f>
        <v>Twitter Lite</v>
      </c>
      <c r="J5369" s="2">
        <v>804</v>
      </c>
      <c r="K5369" s="2">
        <v>927</v>
      </c>
      <c r="L5369" s="2">
        <v>1</v>
      </c>
      <c r="M5369" s="2"/>
      <c r="N5369" s="8">
        <v>43103.001979166671</v>
      </c>
      <c r="O5369" s="4"/>
      <c r="P5369" s="3" t="s">
        <v>2130</v>
      </c>
      <c r="Q5369" s="4"/>
      <c r="R5369" s="4"/>
      <c r="S5369" s="9" t="str">
        <f>HYPERLINK("https://pbs.twimg.com/profile_images/989969258158403584/7PZPWCMH.jpg","View")</f>
        <v>View</v>
      </c>
    </row>
    <row r="5370" spans="1:19" ht="20">
      <c r="A5370" s="8">
        <v>43340.707870370374</v>
      </c>
      <c r="B5370" s="11" t="str">
        <f>HYPERLINK("https://twitter.com/salar_h1374","@salar_h1374")</f>
        <v>@salar_h1374</v>
      </c>
      <c r="C5370" s="6" t="s">
        <v>2129</v>
      </c>
      <c r="D5370" s="5" t="s">
        <v>2128</v>
      </c>
      <c r="E5370" s="9" t="str">
        <f>HYPERLINK("https://twitter.com/salar_h1374/status/1034417646630891520","1034417646630891520")</f>
        <v>1034417646630891520</v>
      </c>
      <c r="F5370" s="4"/>
      <c r="G5370" s="4"/>
      <c r="H5370" s="4"/>
      <c r="I5370" s="10" t="str">
        <f>HYPERLINK("http://twitter.com","Twitter Web Client")</f>
        <v>Twitter Web Client</v>
      </c>
      <c r="J5370" s="2">
        <v>647</v>
      </c>
      <c r="K5370" s="2">
        <v>374</v>
      </c>
      <c r="L5370" s="2">
        <v>2</v>
      </c>
      <c r="M5370" s="2"/>
      <c r="N5370" s="8">
        <v>42746.872071759259</v>
      </c>
      <c r="O5370" s="4"/>
      <c r="P5370" s="3" t="s">
        <v>2127</v>
      </c>
      <c r="Q5370" s="4"/>
      <c r="R5370" s="4"/>
      <c r="S5370" s="9" t="str">
        <f>HYPERLINK("https://pbs.twimg.com/profile_images/975750606328647680/2n6TL7ES.jpg","View")</f>
        <v>View</v>
      </c>
    </row>
    <row r="5371" spans="1:19" ht="40">
      <c r="A5371" s="8">
        <v>43340.706585648149</v>
      </c>
      <c r="B5371" s="11" t="str">
        <f>HYPERLINK("https://twitter.com/mmohseni1122","@mmohseni1122")</f>
        <v>@mmohseni1122</v>
      </c>
      <c r="C5371" s="6" t="s">
        <v>2126</v>
      </c>
      <c r="D5371" s="5" t="s">
        <v>2125</v>
      </c>
      <c r="E5371" s="9" t="str">
        <f>HYPERLINK("https://twitter.com/mmohseni1122/status/1034417182342569986","1034417182342569986")</f>
        <v>1034417182342569986</v>
      </c>
      <c r="F5371" s="4"/>
      <c r="G5371" s="4"/>
      <c r="H5371" s="4"/>
      <c r="I5371" s="10" t="str">
        <f>HYPERLINK("http://twitter.com","Twitter Web Client")</f>
        <v>Twitter Web Client</v>
      </c>
      <c r="J5371" s="2">
        <v>368</v>
      </c>
      <c r="K5371" s="2">
        <v>334</v>
      </c>
      <c r="L5371" s="2">
        <v>0</v>
      </c>
      <c r="M5371" s="2"/>
      <c r="N5371" s="8">
        <v>43106.717233796298</v>
      </c>
      <c r="O5371" s="4"/>
      <c r="P5371" s="3" t="s">
        <v>2124</v>
      </c>
      <c r="Q5371" s="4"/>
      <c r="R5371" s="4"/>
      <c r="S5371" s="9" t="str">
        <f>HYPERLINK("https://pbs.twimg.com/profile_images/951806004991180800/FcFkM1dn.jpg","View")</f>
        <v>View</v>
      </c>
    </row>
    <row r="5372" spans="1:19" ht="30">
      <c r="A5372" s="8">
        <v>43340.706296296295</v>
      </c>
      <c r="B5372" s="11" t="str">
        <f>HYPERLINK("https://twitter.com/hodamirhm","@hodamirhm")</f>
        <v>@hodamirhm</v>
      </c>
      <c r="C5372" s="6" t="s">
        <v>2123</v>
      </c>
      <c r="D5372" s="5" t="s">
        <v>2122</v>
      </c>
      <c r="E5372" s="9" t="str">
        <f>HYPERLINK("https://twitter.com/hodamirhm/status/1034417077564710912","1034417077564710912")</f>
        <v>1034417077564710912</v>
      </c>
      <c r="F5372" s="4"/>
      <c r="G5372" s="4"/>
      <c r="H5372" s="4"/>
      <c r="I5372" s="10" t="str">
        <f>HYPERLINK("http://twitter.com/download/iphone","Twitter for iPhone")</f>
        <v>Twitter for iPhone</v>
      </c>
      <c r="J5372" s="2">
        <v>66</v>
      </c>
      <c r="K5372" s="2">
        <v>251</v>
      </c>
      <c r="L5372" s="2">
        <v>1</v>
      </c>
      <c r="M5372" s="2"/>
      <c r="N5372" s="8">
        <v>42598.156145833331</v>
      </c>
      <c r="O5372" s="4" t="s">
        <v>2121</v>
      </c>
      <c r="P5372" s="3" t="s">
        <v>2120</v>
      </c>
      <c r="Q5372" s="4"/>
      <c r="R5372" s="4"/>
      <c r="S5372" s="9" t="str">
        <f>HYPERLINK("https://pbs.twimg.com/profile_images/875086989258874880/jdngm0yL.jpg","View")</f>
        <v>View</v>
      </c>
    </row>
    <row r="5373" spans="1:19" ht="30">
      <c r="A5373" s="8">
        <v>43340.706099537041</v>
      </c>
      <c r="B5373" s="11" t="str">
        <f>HYPERLINK("https://twitter.com/mmehditajik","@mmehditajik")</f>
        <v>@mmehditajik</v>
      </c>
      <c r="C5373" s="6" t="s">
        <v>2119</v>
      </c>
      <c r="D5373" s="5" t="s">
        <v>2118</v>
      </c>
      <c r="E5373" s="9" t="str">
        <f>HYPERLINK("https://twitter.com/mmehditajik/status/1034417006374731776","1034417006374731776")</f>
        <v>1034417006374731776</v>
      </c>
      <c r="F5373" s="4"/>
      <c r="G5373" s="4"/>
      <c r="H5373" s="4"/>
      <c r="I5373" s="10" t="str">
        <f>HYPERLINK("https://mobile.twitter.com","Twitter Lite")</f>
        <v>Twitter Lite</v>
      </c>
      <c r="J5373" s="2">
        <v>14</v>
      </c>
      <c r="K5373" s="2">
        <v>54</v>
      </c>
      <c r="L5373" s="2">
        <v>0</v>
      </c>
      <c r="M5373" s="2"/>
      <c r="N5373" s="8">
        <v>43323.980844907404</v>
      </c>
      <c r="O5373" s="4"/>
      <c r="P5373" s="3" t="s">
        <v>1088</v>
      </c>
      <c r="Q5373" s="4"/>
      <c r="R5373" s="4"/>
      <c r="S5373" s="9" t="str">
        <f>HYPERLINK("https://pbs.twimg.com/profile_images/1030752917018603521/j6JFYB2-.png","View")</f>
        <v>View</v>
      </c>
    </row>
    <row r="5374" spans="1:19" ht="30">
      <c r="A5374" s="8">
        <v>43340.70585648148</v>
      </c>
      <c r="B5374" s="11" t="str">
        <f>HYPERLINK("https://twitter.com/ShayanFar7","@ShayanFar7")</f>
        <v>@ShayanFar7</v>
      </c>
      <c r="C5374" s="6" t="s">
        <v>2100</v>
      </c>
      <c r="D5374" s="5" t="s">
        <v>2117</v>
      </c>
      <c r="E5374" s="9" t="str">
        <f>HYPERLINK("https://twitter.com/ShayanFar7/status/1034416917413613568","1034416917413613568")</f>
        <v>1034416917413613568</v>
      </c>
      <c r="F5374" s="4"/>
      <c r="G5374" s="4"/>
      <c r="H5374" s="4"/>
      <c r="I5374" s="10" t="str">
        <f>HYPERLINK("http://twitter.com/download/android","Twitter for Android")</f>
        <v>Twitter for Android</v>
      </c>
      <c r="J5374" s="2">
        <v>522</v>
      </c>
      <c r="K5374" s="2">
        <v>647</v>
      </c>
      <c r="L5374" s="2">
        <v>2</v>
      </c>
      <c r="M5374" s="2"/>
      <c r="N5374" s="8">
        <v>43264.437847222223</v>
      </c>
      <c r="O5374" s="4"/>
      <c r="P5374" s="3" t="s">
        <v>2097</v>
      </c>
      <c r="Q5374" s="4"/>
      <c r="R5374" s="4"/>
      <c r="S5374" s="9" t="str">
        <f>HYPERLINK("https://pbs.twimg.com/profile_images/1015585832709869568/3CRMAe40.jpg","View")</f>
        <v>View</v>
      </c>
    </row>
    <row r="5375" spans="1:19" ht="30">
      <c r="A5375" s="8">
        <v>43340.705648148149</v>
      </c>
      <c r="B5375" s="11" t="str">
        <f>HYPERLINK("https://twitter.com/Shabake_baran","@Shabake_baran")</f>
        <v>@Shabake_baran</v>
      </c>
      <c r="C5375" s="6" t="s">
        <v>2025</v>
      </c>
      <c r="D5375" s="5" t="s">
        <v>2116</v>
      </c>
      <c r="E5375" s="9" t="str">
        <f>HYPERLINK("https://twitter.com/Shabake_baran/status/1034416841047846912","1034416841047846912")</f>
        <v>1034416841047846912</v>
      </c>
      <c r="F5375" s="4"/>
      <c r="G5375" s="4"/>
      <c r="H5375" s="4"/>
      <c r="I5375" s="10" t="str">
        <f>HYPERLINK("http://twitter.com/download/android","Twitter for Android")</f>
        <v>Twitter for Android</v>
      </c>
      <c r="J5375" s="2">
        <v>52</v>
      </c>
      <c r="K5375" s="2">
        <v>69</v>
      </c>
      <c r="L5375" s="2">
        <v>0</v>
      </c>
      <c r="M5375" s="2"/>
      <c r="N5375" s="8">
        <v>43314.233032407406</v>
      </c>
      <c r="O5375" s="4"/>
      <c r="P5375" s="3" t="s">
        <v>2023</v>
      </c>
      <c r="Q5375" s="4"/>
      <c r="R5375" s="4"/>
      <c r="S5375" s="9" t="str">
        <f>HYPERLINK("https://pbs.twimg.com/profile_images/1031396136509009920/BrjMYU-2.jpg","View")</f>
        <v>View</v>
      </c>
    </row>
    <row r="5376" spans="1:19" ht="30">
      <c r="A5376" s="8">
        <v>43340.705405092594</v>
      </c>
      <c r="B5376" s="11" t="str">
        <f>HYPERLINK("https://twitter.com/keynoush2","@keynoush2")</f>
        <v>@keynoush2</v>
      </c>
      <c r="C5376" s="6" t="s">
        <v>2115</v>
      </c>
      <c r="D5376" s="5" t="s">
        <v>2114</v>
      </c>
      <c r="E5376" s="9" t="str">
        <f>HYPERLINK("https://twitter.com/keynoush2/status/1034416755777654784","1034416755777654784")</f>
        <v>1034416755777654784</v>
      </c>
      <c r="F5376" s="4"/>
      <c r="G5376" s="4"/>
      <c r="H5376" s="4"/>
      <c r="I5376" s="10" t="str">
        <f>HYPERLINK("http://twitter.com/download/iphone","Twitter for iPhone")</f>
        <v>Twitter for iPhone</v>
      </c>
      <c r="J5376" s="2">
        <v>575</v>
      </c>
      <c r="K5376" s="2">
        <v>699</v>
      </c>
      <c r="L5376" s="2">
        <v>1</v>
      </c>
      <c r="M5376" s="2"/>
      <c r="N5376" s="8">
        <v>43259.787824074076</v>
      </c>
      <c r="O5376" s="4" t="s">
        <v>2113</v>
      </c>
      <c r="P5376" s="3" t="s">
        <v>2112</v>
      </c>
      <c r="Q5376" s="4"/>
      <c r="R5376" s="4"/>
      <c r="S5376" s="9" t="str">
        <f>HYPERLINK("https://pbs.twimg.com/profile_images/1034036479624921088/Glp8tAgC.jpg","View")</f>
        <v>View</v>
      </c>
    </row>
    <row r="5377" spans="1:19" ht="20">
      <c r="A5377" s="8">
        <v>43340.70517361111</v>
      </c>
      <c r="B5377" s="11" t="str">
        <f>HYPERLINK("https://twitter.com/Farshad_ss","@Farshad_ss")</f>
        <v>@Farshad_ss</v>
      </c>
      <c r="C5377" s="6" t="s">
        <v>2111</v>
      </c>
      <c r="D5377" s="5" t="s">
        <v>2110</v>
      </c>
      <c r="E5377" s="9" t="str">
        <f>HYPERLINK("https://twitter.com/Farshad_ss/status/1034416669890957312","1034416669890957312")</f>
        <v>1034416669890957312</v>
      </c>
      <c r="F5377" s="4"/>
      <c r="G5377" s="4"/>
      <c r="H5377" s="4"/>
      <c r="I5377" s="10" t="str">
        <f>HYPERLINK("http://twitter.com/download/android","Twitter for Android")</f>
        <v>Twitter for Android</v>
      </c>
      <c r="J5377" s="2">
        <v>414</v>
      </c>
      <c r="K5377" s="2">
        <v>533</v>
      </c>
      <c r="L5377" s="2">
        <v>2</v>
      </c>
      <c r="M5377" s="2"/>
      <c r="N5377" s="8">
        <v>43331.525775462964</v>
      </c>
      <c r="O5377" s="4" t="s">
        <v>34</v>
      </c>
      <c r="P5377" s="3" t="s">
        <v>2109</v>
      </c>
      <c r="Q5377" s="4"/>
      <c r="R5377" s="4"/>
      <c r="S5377" s="9" t="str">
        <f>HYPERLINK("https://pbs.twimg.com/profile_images/1031106803545849856/NrWr-A_X.jpg","View")</f>
        <v>View</v>
      </c>
    </row>
    <row r="5378" spans="1:19" ht="20">
      <c r="A5378" s="8">
        <v>43340.704687500001</v>
      </c>
      <c r="B5378" s="11" t="str">
        <f>HYPERLINK("https://twitter.com/seyyedjavad92","@seyyedjavad92")</f>
        <v>@seyyedjavad92</v>
      </c>
      <c r="C5378" s="6" t="s">
        <v>2108</v>
      </c>
      <c r="D5378" s="5" t="s">
        <v>2107</v>
      </c>
      <c r="E5378" s="9" t="str">
        <f>HYPERLINK("https://twitter.com/seyyedjavad92/status/1034416493814063104","1034416493814063104")</f>
        <v>1034416493814063104</v>
      </c>
      <c r="F5378" s="4"/>
      <c r="G5378" s="4"/>
      <c r="H5378" s="4"/>
      <c r="I5378" s="10" t="str">
        <f>HYPERLINK("http://twitter.com/download/android","Twitter for Android")</f>
        <v>Twitter for Android</v>
      </c>
      <c r="J5378" s="2">
        <v>131</v>
      </c>
      <c r="K5378" s="2">
        <v>122</v>
      </c>
      <c r="L5378" s="2">
        <v>1</v>
      </c>
      <c r="M5378" s="2"/>
      <c r="N5378" s="8">
        <v>41612.475891203707</v>
      </c>
      <c r="O5378" s="4"/>
      <c r="P5378" s="3" t="s">
        <v>2106</v>
      </c>
      <c r="Q5378" s="4"/>
      <c r="R5378" s="4"/>
      <c r="S5378" s="9" t="str">
        <f>HYPERLINK("https://pbs.twimg.com/profile_images/1004423608138194945/NlJmGAov.jpg","View")</f>
        <v>View</v>
      </c>
    </row>
    <row r="5379" spans="1:19" ht="20">
      <c r="A5379" s="8">
        <v>43340.704155092593</v>
      </c>
      <c r="B5379" s="11" t="str">
        <f>HYPERLINK("https://twitter.com/arefamiri14","@arefamiri14")</f>
        <v>@arefamiri14</v>
      </c>
      <c r="C5379" s="6" t="s">
        <v>2105</v>
      </c>
      <c r="D5379" s="5" t="s">
        <v>2104</v>
      </c>
      <c r="E5379" s="9" t="str">
        <f>HYPERLINK("https://twitter.com/arefamiri14/status/1034416299860996096","1034416299860996096")</f>
        <v>1034416299860996096</v>
      </c>
      <c r="F5379" s="4"/>
      <c r="G5379" s="4"/>
      <c r="H5379" s="4"/>
      <c r="I5379" s="10" t="str">
        <f>HYPERLINK("http://twitter.com","Twitter Web Client")</f>
        <v>Twitter Web Client</v>
      </c>
      <c r="J5379" s="2">
        <v>80</v>
      </c>
      <c r="K5379" s="2">
        <v>74</v>
      </c>
      <c r="L5379" s="2">
        <v>0</v>
      </c>
      <c r="M5379" s="2"/>
      <c r="N5379" s="8">
        <v>43331.773715277777</v>
      </c>
      <c r="O5379" s="4" t="s">
        <v>2103</v>
      </c>
      <c r="P5379" s="3" t="s">
        <v>2102</v>
      </c>
      <c r="Q5379" s="4"/>
      <c r="R5379" s="4"/>
      <c r="S5379" s="9" t="str">
        <f>HYPERLINK("https://pbs.twimg.com/profile_images/1031181221043298309/wrVbEJOO.jpg","View")</f>
        <v>View</v>
      </c>
    </row>
    <row r="5380" spans="1:19" ht="40">
      <c r="A5380" s="8">
        <v>43340.703935185185</v>
      </c>
      <c r="B5380" s="11" t="str">
        <f>HYPERLINK("https://twitter.com/freshte_margh","@freshte_margh")</f>
        <v>@freshte_margh</v>
      </c>
      <c r="C5380" s="6" t="s">
        <v>2084</v>
      </c>
      <c r="D5380" s="5" t="s">
        <v>2101</v>
      </c>
      <c r="E5380" s="9" t="str">
        <f>HYPERLINK("https://twitter.com/freshte_margh/status/1034416223029796864","1034416223029796864")</f>
        <v>1034416223029796864</v>
      </c>
      <c r="F5380" s="4"/>
      <c r="G5380" s="4"/>
      <c r="H5380" s="4"/>
      <c r="I5380" s="10" t="str">
        <f>HYPERLINK("http://twitter.com/download/android","Twitter for Android")</f>
        <v>Twitter for Android</v>
      </c>
      <c r="J5380" s="2">
        <v>94</v>
      </c>
      <c r="K5380" s="2">
        <v>204</v>
      </c>
      <c r="L5380" s="2">
        <v>0</v>
      </c>
      <c r="M5380" s="2"/>
      <c r="N5380" s="8">
        <v>43275.539918981478</v>
      </c>
      <c r="O5380" s="4" t="s">
        <v>34</v>
      </c>
      <c r="P5380" s="3" t="s">
        <v>2082</v>
      </c>
      <c r="Q5380" s="10" t="s">
        <v>2081</v>
      </c>
      <c r="R5380" s="4"/>
      <c r="S5380" s="9" t="str">
        <f>HYPERLINK("https://pbs.twimg.com/profile_images/1010804989655179264/MUKRMPcI.jpg","View")</f>
        <v>View</v>
      </c>
    </row>
    <row r="5381" spans="1:19" ht="60">
      <c r="A5381" s="8">
        <v>43340.703541666662</v>
      </c>
      <c r="B5381" s="11" t="str">
        <f>HYPERLINK("https://twitter.com/ShayanFar7","@ShayanFar7")</f>
        <v>@ShayanFar7</v>
      </c>
      <c r="C5381" s="6" t="s">
        <v>2100</v>
      </c>
      <c r="D5381" s="5" t="s">
        <v>2099</v>
      </c>
      <c r="E5381" s="9" t="str">
        <f>HYPERLINK("https://twitter.com/ShayanFar7/status/1034416080989683718","1034416080989683718")</f>
        <v>1034416080989683718</v>
      </c>
      <c r="F5381" s="10" t="s">
        <v>2098</v>
      </c>
      <c r="G5381" s="4"/>
      <c r="H5381" s="4"/>
      <c r="I5381" s="10" t="str">
        <f>HYPERLINK("http://twitter.com/download/android","Twitter for Android")</f>
        <v>Twitter for Android</v>
      </c>
      <c r="J5381" s="2">
        <v>522</v>
      </c>
      <c r="K5381" s="2">
        <v>647</v>
      </c>
      <c r="L5381" s="2">
        <v>2</v>
      </c>
      <c r="M5381" s="2"/>
      <c r="N5381" s="8">
        <v>43264.437847222223</v>
      </c>
      <c r="O5381" s="4"/>
      <c r="P5381" s="3" t="s">
        <v>2097</v>
      </c>
      <c r="Q5381" s="4"/>
      <c r="R5381" s="4"/>
      <c r="S5381" s="9" t="str">
        <f>HYPERLINK("https://pbs.twimg.com/profile_images/1015585832709869568/3CRMAe40.jpg","View")</f>
        <v>View</v>
      </c>
    </row>
    <row r="5382" spans="1:19" ht="70">
      <c r="A5382" s="8">
        <v>43340.703321759254</v>
      </c>
      <c r="B5382" s="11" t="str">
        <f>HYPERLINK("https://twitter.com/mohammadsedarat","@mohammadsedarat")</f>
        <v>@mohammadsedarat</v>
      </c>
      <c r="C5382" s="6" t="s">
        <v>2096</v>
      </c>
      <c r="D5382" s="5" t="s">
        <v>2095</v>
      </c>
      <c r="E5382" s="9" t="str">
        <f>HYPERLINK("https://twitter.com/mohammadsedarat/status/1034416000702324736","1034416000702324736")</f>
        <v>1034416000702324736</v>
      </c>
      <c r="F5382" s="10" t="s">
        <v>2094</v>
      </c>
      <c r="G5382" s="4"/>
      <c r="H5382" s="4"/>
      <c r="I5382" s="10" t="str">
        <f>HYPERLINK("http://twitter.com/download/android","Twitter for Android")</f>
        <v>Twitter for Android</v>
      </c>
      <c r="J5382" s="2">
        <v>8035</v>
      </c>
      <c r="K5382" s="2">
        <v>1003</v>
      </c>
      <c r="L5382" s="2">
        <v>50</v>
      </c>
      <c r="M5382" s="2"/>
      <c r="N5382" s="8">
        <v>42853.894872685181</v>
      </c>
      <c r="O5382" s="4" t="s">
        <v>17</v>
      </c>
      <c r="P5382" s="3" t="s">
        <v>2093</v>
      </c>
      <c r="Q5382" s="4"/>
      <c r="R5382" s="4"/>
      <c r="S5382" s="9" t="str">
        <f>HYPERLINK("https://pbs.twimg.com/profile_images/969924404997185537/Y41R8uEq.jpg","View")</f>
        <v>View</v>
      </c>
    </row>
    <row r="5383" spans="1:19" ht="30">
      <c r="A5383" s="8">
        <v>43340.7027662037</v>
      </c>
      <c r="B5383" s="11" t="str">
        <f>HYPERLINK("https://twitter.com/MKarbasibaf","@MKarbasibaf")</f>
        <v>@MKarbasibaf</v>
      </c>
      <c r="C5383" s="6" t="s">
        <v>2092</v>
      </c>
      <c r="D5383" s="5" t="s">
        <v>2091</v>
      </c>
      <c r="E5383" s="9" t="str">
        <f>HYPERLINK("https://twitter.com/MKarbasibaf/status/1034415796859142144","1034415796859142144")</f>
        <v>1034415796859142144</v>
      </c>
      <c r="F5383" s="4"/>
      <c r="G5383" s="10" t="s">
        <v>2090</v>
      </c>
      <c r="H5383" s="4"/>
      <c r="I5383" s="10" t="str">
        <f>HYPERLINK("http://twitter.com","Twitter Web Client")</f>
        <v>Twitter Web Client</v>
      </c>
      <c r="J5383" s="2">
        <v>108</v>
      </c>
      <c r="K5383" s="2">
        <v>260</v>
      </c>
      <c r="L5383" s="2">
        <v>0</v>
      </c>
      <c r="M5383" s="2"/>
      <c r="N5383" s="8">
        <v>43222.638368055559</v>
      </c>
      <c r="O5383" s="4"/>
      <c r="P5383" s="3"/>
      <c r="Q5383" s="4"/>
      <c r="R5383" s="4"/>
      <c r="S5383" s="9" t="str">
        <f>HYPERLINK("https://pbs.twimg.com/profile_images/1003254201663680512/kGRl1NyX.jpg","View")</f>
        <v>View</v>
      </c>
    </row>
    <row r="5384" spans="1:19" ht="30">
      <c r="A5384" s="8">
        <v>43340.702523148153</v>
      </c>
      <c r="B5384" s="11" t="str">
        <f>HYPERLINK("https://twitter.com/ADehghandar","@ADehghandar")</f>
        <v>@ADehghandar</v>
      </c>
      <c r="C5384" s="6" t="s">
        <v>2089</v>
      </c>
      <c r="D5384" s="5" t="s">
        <v>2088</v>
      </c>
      <c r="E5384" s="9" t="str">
        <f>HYPERLINK("https://twitter.com/ADehghandar/status/1034415711681175558","1034415711681175558")</f>
        <v>1034415711681175558</v>
      </c>
      <c r="F5384" s="4"/>
      <c r="G5384" s="10" t="s">
        <v>2087</v>
      </c>
      <c r="H5384" s="4"/>
      <c r="I5384" s="10" t="str">
        <f>HYPERLINK("http://twitter.com/download/android","Twitter for Android")</f>
        <v>Twitter for Android</v>
      </c>
      <c r="J5384" s="2">
        <v>3480</v>
      </c>
      <c r="K5384" s="2">
        <v>3808</v>
      </c>
      <c r="L5384" s="2">
        <v>4</v>
      </c>
      <c r="M5384" s="2"/>
      <c r="N5384" s="8">
        <v>43058.451215277775</v>
      </c>
      <c r="O5384" s="4" t="s">
        <v>324</v>
      </c>
      <c r="P5384" s="3" t="s">
        <v>2086</v>
      </c>
      <c r="Q5384" s="4"/>
      <c r="R5384" s="4"/>
      <c r="S5384" s="9" t="str">
        <f>HYPERLINK("https://pbs.twimg.com/profile_images/933694767141150720/kKIIj_v-.jpg","View")</f>
        <v>View</v>
      </c>
    </row>
    <row r="5385" spans="1:19" ht="20">
      <c r="A5385" s="8">
        <v>43340.702268518522</v>
      </c>
      <c r="B5385" s="11" t="str">
        <f>HYPERLINK("https://twitter.com/mas_ser43","@mas_ser43")</f>
        <v>@mas_ser43</v>
      </c>
      <c r="C5385" s="6" t="s">
        <v>1978</v>
      </c>
      <c r="D5385" s="5" t="s">
        <v>2085</v>
      </c>
      <c r="E5385" s="9" t="str">
        <f>HYPERLINK("https://twitter.com/mas_ser43/status/1034415619188375553","1034415619188375553")</f>
        <v>1034415619188375553</v>
      </c>
      <c r="F5385" s="4"/>
      <c r="G5385" s="4"/>
      <c r="H5385" s="4"/>
      <c r="I5385" s="10" t="str">
        <f>HYPERLINK("http://twitter.com/download/android","Twitter for Android")</f>
        <v>Twitter for Android</v>
      </c>
      <c r="J5385" s="2">
        <v>1231</v>
      </c>
      <c r="K5385" s="2">
        <v>95</v>
      </c>
      <c r="L5385" s="2">
        <v>21</v>
      </c>
      <c r="M5385" s="2"/>
      <c r="N5385" s="8">
        <v>42285.958530092597</v>
      </c>
      <c r="O5385" s="4"/>
      <c r="P5385" s="3"/>
      <c r="Q5385" s="4"/>
      <c r="R5385" s="4"/>
      <c r="S5385" s="9" t="str">
        <f>HYPERLINK("https://pbs.twimg.com/profile_images/1025017682150584320/qSEOgPi6.jpg","View")</f>
        <v>View</v>
      </c>
    </row>
    <row r="5386" spans="1:19" ht="40">
      <c r="A5386" s="8">
        <v>43340.702013888891</v>
      </c>
      <c r="B5386" s="11" t="str">
        <f>HYPERLINK("https://twitter.com/freshte_margh","@freshte_margh")</f>
        <v>@freshte_margh</v>
      </c>
      <c r="C5386" s="6" t="s">
        <v>2084</v>
      </c>
      <c r="D5386" s="5" t="s">
        <v>2083</v>
      </c>
      <c r="E5386" s="9" t="str">
        <f>HYPERLINK("https://twitter.com/freshte_margh/status/1034415524875259904","1034415524875259904")</f>
        <v>1034415524875259904</v>
      </c>
      <c r="F5386" s="4"/>
      <c r="G5386" s="4"/>
      <c r="H5386" s="4"/>
      <c r="I5386" s="10" t="str">
        <f>HYPERLINK("http://twitter.com/download/android","Twitter for Android")</f>
        <v>Twitter for Android</v>
      </c>
      <c r="J5386" s="2">
        <v>94</v>
      </c>
      <c r="K5386" s="2">
        <v>204</v>
      </c>
      <c r="L5386" s="2">
        <v>0</v>
      </c>
      <c r="M5386" s="2"/>
      <c r="N5386" s="8">
        <v>43275.539918981478</v>
      </c>
      <c r="O5386" s="4" t="s">
        <v>34</v>
      </c>
      <c r="P5386" s="3" t="s">
        <v>2082</v>
      </c>
      <c r="Q5386" s="10" t="s">
        <v>2081</v>
      </c>
      <c r="R5386" s="4"/>
      <c r="S5386" s="9" t="str">
        <f>HYPERLINK("https://pbs.twimg.com/profile_images/1010804989655179264/MUKRMPcI.jpg","View")</f>
        <v>View</v>
      </c>
    </row>
    <row r="5387" spans="1:19" ht="20">
      <c r="A5387" s="8">
        <v>43340.701724537037</v>
      </c>
      <c r="B5387" s="11" t="str">
        <f>HYPERLINK("https://twitter.com/szarei67","@szarei67")</f>
        <v>@szarei67</v>
      </c>
      <c r="C5387" s="6" t="s">
        <v>1723</v>
      </c>
      <c r="D5387" s="5" t="s">
        <v>2080</v>
      </c>
      <c r="E5387" s="9" t="str">
        <f>HYPERLINK("https://twitter.com/szarei67/status/1034415419917037568","1034415419917037568")</f>
        <v>1034415419917037568</v>
      </c>
      <c r="F5387" s="4"/>
      <c r="G5387" s="4"/>
      <c r="H5387" s="4"/>
      <c r="I5387" s="10" t="str">
        <f>HYPERLINK("http://twitter.com","Twitter Web Client")</f>
        <v>Twitter Web Client</v>
      </c>
      <c r="J5387" s="2">
        <v>753</v>
      </c>
      <c r="K5387" s="2">
        <v>126</v>
      </c>
      <c r="L5387" s="2">
        <v>2</v>
      </c>
      <c r="M5387" s="2"/>
      <c r="N5387" s="8">
        <v>41933.06863425926</v>
      </c>
      <c r="O5387" s="4" t="s">
        <v>17</v>
      </c>
      <c r="P5387" s="3" t="s">
        <v>1721</v>
      </c>
      <c r="Q5387" s="4"/>
      <c r="R5387" s="4"/>
      <c r="S5387" s="9" t="str">
        <f>HYPERLINK("https://pbs.twimg.com/profile_images/969335280569167872/wYlqXtVI.jpg","View")</f>
        <v>View</v>
      </c>
    </row>
    <row r="5388" spans="1:19" ht="12.5">
      <c r="A5388" s="8">
        <v>43340.701643518521</v>
      </c>
      <c r="B5388" s="11" t="str">
        <f>HYPERLINK("https://twitter.com/ebi19730","@ebi19730")</f>
        <v>@ebi19730</v>
      </c>
      <c r="C5388" s="6" t="s">
        <v>2079</v>
      </c>
      <c r="D5388" s="5" t="s">
        <v>2078</v>
      </c>
      <c r="E5388" s="9" t="str">
        <f>HYPERLINK("https://twitter.com/ebi19730/status/1034415391500640261","1034415391500640261")</f>
        <v>1034415391500640261</v>
      </c>
      <c r="F5388" s="4"/>
      <c r="G5388" s="4"/>
      <c r="H5388" s="4"/>
      <c r="I5388" s="10" t="str">
        <f>HYPERLINK("http://twitter.com/download/android","Twitter for Android")</f>
        <v>Twitter for Android</v>
      </c>
      <c r="J5388" s="2">
        <v>1816</v>
      </c>
      <c r="K5388" s="2">
        <v>1432</v>
      </c>
      <c r="L5388" s="2">
        <v>6</v>
      </c>
      <c r="M5388" s="2"/>
      <c r="N5388" s="8">
        <v>42702.629560185189</v>
      </c>
      <c r="O5388" s="4" t="s">
        <v>104</v>
      </c>
      <c r="P5388" s="3" t="s">
        <v>2077</v>
      </c>
      <c r="Q5388" s="10" t="s">
        <v>2076</v>
      </c>
      <c r="R5388" s="4"/>
      <c r="S5388" s="9" t="str">
        <f>HYPERLINK("https://pbs.twimg.com/profile_images/954283267397648386/suO6kchi.jpg","View")</f>
        <v>View</v>
      </c>
    </row>
    <row r="5389" spans="1:19" ht="12.5">
      <c r="A5389" s="8">
        <v>43340.701296296298</v>
      </c>
      <c r="B5389" s="11" t="str">
        <f>HYPERLINK("https://twitter.com/rezatorabnezhad","@rezatorabnezhad")</f>
        <v>@rezatorabnezhad</v>
      </c>
      <c r="C5389" s="6" t="s">
        <v>2075</v>
      </c>
      <c r="D5389" s="5" t="s">
        <v>2074</v>
      </c>
      <c r="E5389" s="9" t="str">
        <f>HYPERLINK("https://twitter.com/rezatorabnezhad/status/1034415263700209664","1034415263700209664")</f>
        <v>1034415263700209664</v>
      </c>
      <c r="F5389" s="4"/>
      <c r="G5389" s="4"/>
      <c r="H5389" s="4"/>
      <c r="I5389" s="10" t="str">
        <f>HYPERLINK("http://twitter.com/download/android","Twitter for Android")</f>
        <v>Twitter for Android</v>
      </c>
      <c r="J5389" s="2">
        <v>142</v>
      </c>
      <c r="K5389" s="2">
        <v>636</v>
      </c>
      <c r="L5389" s="2">
        <v>0</v>
      </c>
      <c r="M5389" s="2"/>
      <c r="N5389" s="8">
        <v>43023.944467592592</v>
      </c>
      <c r="O5389" s="4" t="s">
        <v>133</v>
      </c>
      <c r="P5389" s="3" t="s">
        <v>2073</v>
      </c>
      <c r="Q5389" s="4"/>
      <c r="R5389" s="4"/>
      <c r="S5389" s="9" t="str">
        <f>HYPERLINK("https://pbs.twimg.com/profile_images/995654148887597057/3KzjJxOJ.jpg","View")</f>
        <v>View</v>
      </c>
    </row>
    <row r="5390" spans="1:19" ht="20">
      <c r="A5390" s="8">
        <v>43340.701145833329</v>
      </c>
      <c r="B5390" s="11" t="str">
        <f>HYPERLINK("https://twitter.com/mahmoodjavan","@mahmoodjavan")</f>
        <v>@mahmoodjavan</v>
      </c>
      <c r="C5390" s="6" t="s">
        <v>2072</v>
      </c>
      <c r="D5390" s="5" t="s">
        <v>2071</v>
      </c>
      <c r="E5390" s="9" t="str">
        <f>HYPERLINK("https://twitter.com/mahmoodjavan/status/1034415211296509952","1034415211296509952")</f>
        <v>1034415211296509952</v>
      </c>
      <c r="F5390" s="4"/>
      <c r="G5390" s="10" t="s">
        <v>2070</v>
      </c>
      <c r="H5390" s="4"/>
      <c r="I5390" s="10" t="str">
        <f>HYPERLINK("http://twitter.com/download/android","Twitter for Android")</f>
        <v>Twitter for Android</v>
      </c>
      <c r="J5390" s="2">
        <v>1657</v>
      </c>
      <c r="K5390" s="2">
        <v>2468</v>
      </c>
      <c r="L5390" s="2">
        <v>6</v>
      </c>
      <c r="M5390" s="2"/>
      <c r="N5390" s="8">
        <v>42466.026932870373</v>
      </c>
      <c r="O5390" s="4" t="s">
        <v>2069</v>
      </c>
      <c r="P5390" s="3"/>
      <c r="Q5390" s="10" t="s">
        <v>2068</v>
      </c>
      <c r="R5390" s="4"/>
      <c r="S5390" s="9" t="str">
        <f>HYPERLINK("https://pbs.twimg.com/profile_images/1015659093443448832/aVRJq0n5.jpg","View")</f>
        <v>View</v>
      </c>
    </row>
    <row r="5391" spans="1:19" ht="30">
      <c r="A5391" s="8">
        <v>43340.70112268519</v>
      </c>
      <c r="B5391" s="11" t="str">
        <f>HYPERLINK("https://twitter.com/wOnEJlfBRJzkac5","@wOnEJlfBRJzkac5")</f>
        <v>@wOnEJlfBRJzkac5</v>
      </c>
      <c r="C5391" s="6" t="s">
        <v>2067</v>
      </c>
      <c r="D5391" s="5" t="s">
        <v>2066</v>
      </c>
      <c r="E5391" s="9" t="str">
        <f>HYPERLINK("https://twitter.com/wOnEJlfBRJzkac5/status/1034415203562270720","1034415203562270720")</f>
        <v>1034415203562270720</v>
      </c>
      <c r="F5391" s="4"/>
      <c r="G5391" s="4"/>
      <c r="H5391" s="4"/>
      <c r="I5391" s="10" t="str">
        <f>HYPERLINK("http://twitter.com/download/android","Twitter for Android")</f>
        <v>Twitter for Android</v>
      </c>
      <c r="J5391" s="2">
        <v>0</v>
      </c>
      <c r="K5391" s="2">
        <v>0</v>
      </c>
      <c r="L5391" s="2">
        <v>0</v>
      </c>
      <c r="M5391" s="2"/>
      <c r="N5391" s="8">
        <v>43311.593043981484</v>
      </c>
      <c r="O5391" s="4"/>
      <c r="P5391" s="3"/>
      <c r="Q5391" s="4"/>
      <c r="R5391" s="4"/>
      <c r="S5391" s="2" t="s">
        <v>155</v>
      </c>
    </row>
    <row r="5392" spans="1:19" ht="40">
      <c r="A5392" s="8">
        <v>43340.700138888889</v>
      </c>
      <c r="B5392" s="11" t="str">
        <f>HYPERLINK("https://twitter.com/RicknMoreTea","@RicknMoreTea")</f>
        <v>@RicknMoreTea</v>
      </c>
      <c r="C5392" s="6" t="s">
        <v>2065</v>
      </c>
      <c r="D5392" s="5" t="s">
        <v>2064</v>
      </c>
      <c r="E5392" s="9" t="str">
        <f>HYPERLINK("https://twitter.com/RicknMoreTea/status/1034414847587434497","1034414847587434497")</f>
        <v>1034414847587434497</v>
      </c>
      <c r="F5392" s="4"/>
      <c r="G5392" s="4"/>
      <c r="H5392" s="4"/>
      <c r="I5392" s="10" t="str">
        <f>HYPERLINK("http://twitter.com/download/android","Twitter for Android")</f>
        <v>Twitter for Android</v>
      </c>
      <c r="J5392" s="2">
        <v>48</v>
      </c>
      <c r="K5392" s="2">
        <v>31</v>
      </c>
      <c r="L5392" s="2">
        <v>0</v>
      </c>
      <c r="M5392" s="2"/>
      <c r="N5392" s="8">
        <v>42997.911458333328</v>
      </c>
      <c r="O5392" s="4" t="s">
        <v>2063</v>
      </c>
      <c r="P5392" s="3" t="s">
        <v>2062</v>
      </c>
      <c r="Q5392" s="4"/>
      <c r="R5392" s="4"/>
      <c r="S5392" s="9" t="str">
        <f>HYPERLINK("https://pbs.twimg.com/profile_images/1031571274122907649/TUIJdInv.jpg","View")</f>
        <v>View</v>
      </c>
    </row>
    <row r="5393" spans="1:19" ht="40">
      <c r="A5393" s="8">
        <v>43340.699444444443</v>
      </c>
      <c r="B5393" s="11" t="str">
        <f>HYPERLINK("https://twitter.com/rashid_germi","@rashid_germi")</f>
        <v>@rashid_germi</v>
      </c>
      <c r="C5393" s="6" t="s">
        <v>2061</v>
      </c>
      <c r="D5393" s="5" t="s">
        <v>2060</v>
      </c>
      <c r="E5393" s="9" t="str">
        <f>HYPERLINK("https://twitter.com/rashid_germi/status/1034414595723673600","1034414595723673600")</f>
        <v>1034414595723673600</v>
      </c>
      <c r="F5393" s="4"/>
      <c r="G5393" s="4"/>
      <c r="H5393" s="4"/>
      <c r="I5393" s="10" t="str">
        <f>HYPERLINK("https://mobile.twitter.com","Twitter Lite")</f>
        <v>Twitter Lite</v>
      </c>
      <c r="J5393" s="2">
        <v>2</v>
      </c>
      <c r="K5393" s="2">
        <v>10</v>
      </c>
      <c r="L5393" s="2">
        <v>0</v>
      </c>
      <c r="M5393" s="2"/>
      <c r="N5393" s="8">
        <v>43103.568576388891</v>
      </c>
      <c r="O5393" s="4" t="s">
        <v>2059</v>
      </c>
      <c r="P5393" s="3" t="s">
        <v>2058</v>
      </c>
      <c r="Q5393" s="10" t="s">
        <v>2057</v>
      </c>
      <c r="R5393" s="4"/>
      <c r="S5393" s="9" t="str">
        <f>HYPERLINK("https://pbs.twimg.com/profile_images/948498641148358657/evBrWVTt.jpg","View")</f>
        <v>View</v>
      </c>
    </row>
    <row r="5394" spans="1:19" ht="40">
      <c r="A5394" s="8">
        <v>43340.699120370366</v>
      </c>
      <c r="B5394" s="11" t="str">
        <f>HYPERLINK("https://twitter.com/BehshadJavid","@BehshadJavid")</f>
        <v>@BehshadJavid</v>
      </c>
      <c r="C5394" s="6" t="s">
        <v>2056</v>
      </c>
      <c r="D5394" s="5" t="s">
        <v>2055</v>
      </c>
      <c r="E5394" s="9" t="str">
        <f>HYPERLINK("https://twitter.com/BehshadJavid/status/1034414475204542464","1034414475204542464")</f>
        <v>1034414475204542464</v>
      </c>
      <c r="F5394" s="4"/>
      <c r="G5394" s="4"/>
      <c r="H5394" s="4"/>
      <c r="I5394" s="10" t="str">
        <f>HYPERLINK("http://twitter.com/download/android","Twitter for Android")</f>
        <v>Twitter for Android</v>
      </c>
      <c r="J5394" s="2">
        <v>94</v>
      </c>
      <c r="K5394" s="2">
        <v>117</v>
      </c>
      <c r="L5394" s="2">
        <v>0</v>
      </c>
      <c r="M5394" s="2"/>
      <c r="N5394" s="8">
        <v>41726.599976851852</v>
      </c>
      <c r="O5394" s="4" t="s">
        <v>2054</v>
      </c>
      <c r="P5394" s="3" t="s">
        <v>2053</v>
      </c>
      <c r="Q5394" s="4"/>
      <c r="R5394" s="4"/>
      <c r="S5394" s="9" t="str">
        <f>HYPERLINK("https://pbs.twimg.com/profile_images/1027630246722514944/q9lQa4tn.jpg","View")</f>
        <v>View</v>
      </c>
    </row>
    <row r="5395" spans="1:19" ht="20">
      <c r="A5395" s="8">
        <v>43340.698888888888</v>
      </c>
      <c r="B5395" s="11" t="str">
        <f>HYPERLINK("https://twitter.com/sabzali_ir","@sabzali_ir")</f>
        <v>@sabzali_ir</v>
      </c>
      <c r="C5395" s="6" t="s">
        <v>2052</v>
      </c>
      <c r="D5395" s="5" t="s">
        <v>2051</v>
      </c>
      <c r="E5395" s="9" t="str">
        <f>HYPERLINK("https://twitter.com/sabzali_ir/status/1034414391322701824","1034414391322701824")</f>
        <v>1034414391322701824</v>
      </c>
      <c r="F5395" s="4"/>
      <c r="G5395" s="4"/>
      <c r="H5395" s="4"/>
      <c r="I5395" s="10" t="str">
        <f>HYPERLINK("http://twitter.com/download/iphone","Twitter for iPhone")</f>
        <v>Twitter for iPhone</v>
      </c>
      <c r="J5395" s="2">
        <v>54</v>
      </c>
      <c r="K5395" s="2">
        <v>71</v>
      </c>
      <c r="L5395" s="2">
        <v>0</v>
      </c>
      <c r="M5395" s="2"/>
      <c r="N5395" s="8">
        <v>42712.530266203699</v>
      </c>
      <c r="O5395" s="4" t="s">
        <v>324</v>
      </c>
      <c r="P5395" s="3" t="s">
        <v>2050</v>
      </c>
      <c r="Q5395" s="10" t="s">
        <v>2049</v>
      </c>
      <c r="R5395" s="4"/>
      <c r="S5395" s="9" t="str">
        <f>HYPERLINK("https://pbs.twimg.com/profile_images/965000244575563777/canwjJc-.jpg","View")</f>
        <v>View</v>
      </c>
    </row>
    <row r="5396" spans="1:19" ht="40">
      <c r="A5396" s="8">
        <v>43340.698715277773</v>
      </c>
      <c r="B5396" s="11" t="str">
        <f>HYPERLINK("https://twitter.com/redoublez","@redoublez")</f>
        <v>@redoublez</v>
      </c>
      <c r="C5396" s="6" t="s">
        <v>2048</v>
      </c>
      <c r="D5396" s="5" t="s">
        <v>2047</v>
      </c>
      <c r="E5396" s="9" t="str">
        <f>HYPERLINK("https://twitter.com/redoublez/status/1034414331608399873","1034414331608399873")</f>
        <v>1034414331608399873</v>
      </c>
      <c r="F5396" s="4"/>
      <c r="G5396" s="4"/>
      <c r="H5396" s="4"/>
      <c r="I5396" s="10" t="str">
        <f>HYPERLINK("http://twitter.com","Twitter Web Client")</f>
        <v>Twitter Web Client</v>
      </c>
      <c r="J5396" s="2">
        <v>93</v>
      </c>
      <c r="K5396" s="2">
        <v>274</v>
      </c>
      <c r="L5396" s="2">
        <v>0</v>
      </c>
      <c r="M5396" s="2"/>
      <c r="N5396" s="8">
        <v>41366.990486111114</v>
      </c>
      <c r="O5396" s="4"/>
      <c r="P5396" s="3" t="s">
        <v>2046</v>
      </c>
      <c r="Q5396" s="4"/>
      <c r="R5396" s="4"/>
      <c r="S5396" s="9" t="str">
        <f>HYPERLINK("https://pbs.twimg.com/profile_images/872014358775296000/owaFnAw-.jpg","View")</f>
        <v>View</v>
      </c>
    </row>
    <row r="5397" spans="1:19" ht="30">
      <c r="A5397" s="8">
        <v>43340.698206018518</v>
      </c>
      <c r="B5397" s="11" t="str">
        <f>HYPERLINK("https://twitter.com/Fsmirsharifi","@Fsmirsharifi")</f>
        <v>@Fsmirsharifi</v>
      </c>
      <c r="C5397" s="6" t="s">
        <v>2045</v>
      </c>
      <c r="D5397" s="5" t="s">
        <v>2044</v>
      </c>
      <c r="E5397" s="9" t="str">
        <f>HYPERLINK("https://twitter.com/Fsmirsharifi/status/1034414145620398081","1034414145620398081")</f>
        <v>1034414145620398081</v>
      </c>
      <c r="F5397" s="4"/>
      <c r="G5397" s="4"/>
      <c r="H5397" s="4"/>
      <c r="I5397" s="10" t="str">
        <f>HYPERLINK("http://twitter.com/download/android","Twitter for Android")</f>
        <v>Twitter for Android</v>
      </c>
      <c r="J5397" s="2">
        <v>10</v>
      </c>
      <c r="K5397" s="2">
        <v>32</v>
      </c>
      <c r="L5397" s="2">
        <v>0</v>
      </c>
      <c r="M5397" s="2"/>
      <c r="N5397" s="8">
        <v>42727.988136574073</v>
      </c>
      <c r="O5397" s="4"/>
      <c r="P5397" s="3"/>
      <c r="Q5397" s="4"/>
      <c r="R5397" s="4"/>
      <c r="S5397" s="9" t="str">
        <f>HYPERLINK("https://pbs.twimg.com/profile_images/825775863123820544/o6Jn5jOy.jpg","View")</f>
        <v>View</v>
      </c>
    </row>
    <row r="5398" spans="1:19" ht="20">
      <c r="A5398" s="8">
        <v>43340.697384259256</v>
      </c>
      <c r="B5398" s="11" t="str">
        <f>HYPERLINK("https://twitter.com/AfiNSh","@AfiNSh")</f>
        <v>@AfiNSh</v>
      </c>
      <c r="C5398" s="6" t="s">
        <v>2043</v>
      </c>
      <c r="D5398" s="5" t="s">
        <v>2042</v>
      </c>
      <c r="E5398" s="9" t="str">
        <f>HYPERLINK("https://twitter.com/AfiNSh/status/1034413849053724677","1034413849053724677")</f>
        <v>1034413849053724677</v>
      </c>
      <c r="F5398" s="4"/>
      <c r="G5398" s="4"/>
      <c r="H5398" s="4"/>
      <c r="I5398" s="10" t="str">
        <f>HYPERLINK("http://twitter.com/download/android","Twitter for Android")</f>
        <v>Twitter for Android</v>
      </c>
      <c r="J5398" s="2">
        <v>60</v>
      </c>
      <c r="K5398" s="2">
        <v>125</v>
      </c>
      <c r="L5398" s="2">
        <v>0</v>
      </c>
      <c r="M5398" s="2"/>
      <c r="N5398" s="8">
        <v>42538.462523148148</v>
      </c>
      <c r="O5398" s="4" t="s">
        <v>133</v>
      </c>
      <c r="P5398" s="3" t="s">
        <v>2041</v>
      </c>
      <c r="Q5398" s="4"/>
      <c r="R5398" s="4"/>
      <c r="S5398" s="9" t="str">
        <f>HYPERLINK("https://pbs.twimg.com/profile_images/1025749066708336640/c65Xy2VM.jpg","View")</f>
        <v>View</v>
      </c>
    </row>
    <row r="5399" spans="1:19" ht="20">
      <c r="A5399" s="8">
        <v>43340.679560185185</v>
      </c>
      <c r="B5399" s="11" t="str">
        <f>HYPERLINK("https://twitter.com/s_ferdosian","@s_ferdosian")</f>
        <v>@s_ferdosian</v>
      </c>
      <c r="C5399" s="6" t="s">
        <v>2040</v>
      </c>
      <c r="D5399" s="5" t="s">
        <v>2039</v>
      </c>
      <c r="E5399" s="9" t="str">
        <f>HYPERLINK("https://twitter.com/s_ferdosian/status/1034407388370096133","1034407388370096133")</f>
        <v>1034407388370096133</v>
      </c>
      <c r="F5399" s="4"/>
      <c r="G5399" s="4"/>
      <c r="H5399" s="4"/>
      <c r="I5399" s="10" t="str">
        <f>HYPERLINK("http://twitter.com/download/android","Twitter for Android")</f>
        <v>Twitter for Android</v>
      </c>
      <c r="J5399" s="2">
        <v>395</v>
      </c>
      <c r="K5399" s="2">
        <v>329</v>
      </c>
      <c r="L5399" s="2">
        <v>1</v>
      </c>
      <c r="M5399" s="2"/>
      <c r="N5399" s="8">
        <v>43145.748657407406</v>
      </c>
      <c r="O5399" s="4" t="s">
        <v>133</v>
      </c>
      <c r="P5399" s="3" t="s">
        <v>2038</v>
      </c>
      <c r="Q5399" s="4"/>
      <c r="R5399" s="4"/>
      <c r="S5399" s="9" t="str">
        <f>HYPERLINK("https://pbs.twimg.com/profile_images/964095656779571200/rQYOqZkp.jpg","View")</f>
        <v>View</v>
      </c>
    </row>
    <row r="5400" spans="1:19" ht="20">
      <c r="A5400" s="8">
        <v>43340.679548611108</v>
      </c>
      <c r="B5400" s="11" t="str">
        <f>HYPERLINK("https://twitter.com/Marzieazimii","@Marzieazimii")</f>
        <v>@Marzieazimii</v>
      </c>
      <c r="C5400" s="6" t="s">
        <v>2037</v>
      </c>
      <c r="D5400" s="5" t="s">
        <v>2036</v>
      </c>
      <c r="E5400" s="9" t="str">
        <f>HYPERLINK("https://twitter.com/Marzieazimii/status/1034407382829289475","1034407382829289475")</f>
        <v>1034407382829289475</v>
      </c>
      <c r="F5400" s="4"/>
      <c r="G5400" s="4"/>
      <c r="H5400" s="4"/>
      <c r="I5400" s="10" t="str">
        <f>HYPERLINK("http://twitter.com/download/android","Twitter for Android")</f>
        <v>Twitter for Android</v>
      </c>
      <c r="J5400" s="2">
        <v>94</v>
      </c>
      <c r="K5400" s="2">
        <v>102</v>
      </c>
      <c r="L5400" s="2">
        <v>0</v>
      </c>
      <c r="M5400" s="2"/>
      <c r="N5400" s="8">
        <v>43328.496736111112</v>
      </c>
      <c r="O5400" s="4"/>
      <c r="P5400" s="3" t="s">
        <v>2035</v>
      </c>
      <c r="Q5400" s="4"/>
      <c r="R5400" s="4"/>
      <c r="S5400" s="9" t="str">
        <f>HYPERLINK("https://pbs.twimg.com/profile_images/1034406525270458369/-Upc5w8i.jpg","View")</f>
        <v>View</v>
      </c>
    </row>
    <row r="5401" spans="1:19" ht="40">
      <c r="A5401" s="8">
        <v>43340.67931712963</v>
      </c>
      <c r="B5401" s="11" t="str">
        <f>HYPERLINK("https://twitter.com/hrouhani_ir","@hrouhani_ir")</f>
        <v>@hrouhani_ir</v>
      </c>
      <c r="C5401" s="6" t="s">
        <v>832</v>
      </c>
      <c r="D5401" s="5" t="s">
        <v>2034</v>
      </c>
      <c r="E5401" s="9" t="str">
        <f>HYPERLINK("https://twitter.com/hrouhani_ir/status/1034407302261026817","1034407302261026817")</f>
        <v>1034407302261026817</v>
      </c>
      <c r="F5401" s="4"/>
      <c r="G5401" s="4"/>
      <c r="H5401" s="4"/>
      <c r="I5401" s="10" t="str">
        <f>HYPERLINK("http://twitter.com/download/android","Twitter for Android")</f>
        <v>Twitter for Android</v>
      </c>
      <c r="J5401" s="2">
        <v>46</v>
      </c>
      <c r="K5401" s="2">
        <v>18</v>
      </c>
      <c r="L5401" s="2">
        <v>0</v>
      </c>
      <c r="M5401" s="2"/>
      <c r="N5401" s="8">
        <v>43314.604131944448</v>
      </c>
      <c r="O5401" s="4" t="s">
        <v>830</v>
      </c>
      <c r="P5401" s="3" t="s">
        <v>829</v>
      </c>
      <c r="Q5401" s="4"/>
      <c r="R5401" s="4"/>
      <c r="S5401" s="9" t="str">
        <f>HYPERLINK("https://pbs.twimg.com/profile_images/1034327202966462464/OpmNODgt.jpg","View")</f>
        <v>View</v>
      </c>
    </row>
    <row r="5402" spans="1:19" ht="20">
      <c r="A5402" s="8">
        <v>43340.679212962961</v>
      </c>
      <c r="B5402" s="11" t="str">
        <f>HYPERLINK("https://twitter.com/MoeinMahdavinia","@MoeinMahdavinia")</f>
        <v>@MoeinMahdavinia</v>
      </c>
      <c r="C5402" s="6" t="s">
        <v>2033</v>
      </c>
      <c r="D5402" s="5" t="s">
        <v>2032</v>
      </c>
      <c r="E5402" s="9" t="str">
        <f>HYPERLINK("https://twitter.com/MoeinMahdavinia/status/1034407262012497922","1034407262012497922")</f>
        <v>1034407262012497922</v>
      </c>
      <c r="F5402" s="4"/>
      <c r="G5402" s="10" t="s">
        <v>2031</v>
      </c>
      <c r="H5402" s="4"/>
      <c r="I5402" s="10" t="str">
        <f>HYPERLINK("http://twitter.com/download/android","Twitter for Android")</f>
        <v>Twitter for Android</v>
      </c>
      <c r="J5402" s="2">
        <v>562</v>
      </c>
      <c r="K5402" s="2">
        <v>463</v>
      </c>
      <c r="L5402" s="2">
        <v>0</v>
      </c>
      <c r="M5402" s="2"/>
      <c r="N5402" s="8">
        <v>42405.809432870374</v>
      </c>
      <c r="O5402" s="4" t="s">
        <v>34</v>
      </c>
      <c r="P5402" s="3" t="s">
        <v>2030</v>
      </c>
      <c r="Q5402" s="10" t="s">
        <v>2029</v>
      </c>
      <c r="R5402" s="4"/>
      <c r="S5402" s="9" t="str">
        <f>HYPERLINK("https://pbs.twimg.com/profile_images/980903830593441792/M2DQeR6z.jpg","View")</f>
        <v>View</v>
      </c>
    </row>
    <row r="5403" spans="1:19" ht="40">
      <c r="A5403" s="8">
        <v>43340.67900462963</v>
      </c>
      <c r="B5403" s="11" t="str">
        <f>HYPERLINK("https://twitter.com/TheVahed","@TheVahed")</f>
        <v>@TheVahed</v>
      </c>
      <c r="C5403" s="6" t="s">
        <v>2028</v>
      </c>
      <c r="D5403" s="5" t="s">
        <v>2027</v>
      </c>
      <c r="E5403" s="9" t="str">
        <f>HYPERLINK("https://twitter.com/TheVahed/status/1034407186569543682","1034407186569543682")</f>
        <v>1034407186569543682</v>
      </c>
      <c r="F5403" s="4"/>
      <c r="G5403" s="4"/>
      <c r="H5403" s="4"/>
      <c r="I5403" s="10" t="str">
        <f>HYPERLINK("http://twitter.com/download/android","Twitter for Android")</f>
        <v>Twitter for Android</v>
      </c>
      <c r="J5403" s="2">
        <v>14</v>
      </c>
      <c r="K5403" s="2">
        <v>10</v>
      </c>
      <c r="L5403" s="2">
        <v>0</v>
      </c>
      <c r="M5403" s="2"/>
      <c r="N5403" s="8">
        <v>43332.913784722223</v>
      </c>
      <c r="O5403" s="4" t="s">
        <v>34</v>
      </c>
      <c r="P5403" s="3" t="s">
        <v>2026</v>
      </c>
      <c r="Q5403" s="4"/>
      <c r="R5403" s="4"/>
      <c r="S5403" s="9" t="str">
        <f>HYPERLINK("https://pbs.twimg.com/profile_images/1031595256016457730/BwYVsEIF.jpg","View")</f>
        <v>View</v>
      </c>
    </row>
    <row r="5404" spans="1:19" ht="30">
      <c r="A5404" s="8">
        <v>43340.678865740745</v>
      </c>
      <c r="B5404" s="11" t="str">
        <f>HYPERLINK("https://twitter.com/Shabake_baran","@Shabake_baran")</f>
        <v>@Shabake_baran</v>
      </c>
      <c r="C5404" s="6" t="s">
        <v>2025</v>
      </c>
      <c r="D5404" s="5" t="s">
        <v>2024</v>
      </c>
      <c r="E5404" s="9" t="str">
        <f>HYPERLINK("https://twitter.com/Shabake_baran/status/1034407136577703936","1034407136577703936")</f>
        <v>1034407136577703936</v>
      </c>
      <c r="F5404" s="4"/>
      <c r="G5404" s="4"/>
      <c r="H5404" s="4"/>
      <c r="I5404" s="10" t="str">
        <f>HYPERLINK("http://twitter.com/download/android","Twitter for Android")</f>
        <v>Twitter for Android</v>
      </c>
      <c r="J5404" s="2">
        <v>48</v>
      </c>
      <c r="K5404" s="2">
        <v>56</v>
      </c>
      <c r="L5404" s="2">
        <v>0</v>
      </c>
      <c r="M5404" s="2"/>
      <c r="N5404" s="8">
        <v>43314.233032407406</v>
      </c>
      <c r="O5404" s="4"/>
      <c r="P5404" s="3" t="s">
        <v>2023</v>
      </c>
      <c r="Q5404" s="4"/>
      <c r="R5404" s="4"/>
      <c r="S5404" s="9" t="str">
        <f>HYPERLINK("https://pbs.twimg.com/profile_images/1031396136509009920/BrjMYU-2.jpg","View")</f>
        <v>View</v>
      </c>
    </row>
    <row r="5405" spans="1:19" ht="30">
      <c r="A5405" s="8">
        <v>43340.678738425922</v>
      </c>
      <c r="B5405" s="11" t="str">
        <f>HYPERLINK("https://twitter.com/madamazi","@madamazi")</f>
        <v>@madamazi</v>
      </c>
      <c r="C5405" s="6" t="s">
        <v>2022</v>
      </c>
      <c r="D5405" s="5" t="s">
        <v>2021</v>
      </c>
      <c r="E5405" s="9" t="str">
        <f>HYPERLINK("https://twitter.com/madamazi/status/1034407090461270016","1034407090461270016")</f>
        <v>1034407090461270016</v>
      </c>
      <c r="F5405" s="4"/>
      <c r="G5405" s="4"/>
      <c r="H5405" s="4"/>
      <c r="I5405" s="10" t="str">
        <f>HYPERLINK("http://twitter.com/download/android","Twitter for Android")</f>
        <v>Twitter for Android</v>
      </c>
      <c r="J5405" s="2">
        <v>1372</v>
      </c>
      <c r="K5405" s="2">
        <v>1705</v>
      </c>
      <c r="L5405" s="2">
        <v>1</v>
      </c>
      <c r="M5405" s="2"/>
      <c r="N5405" s="8">
        <v>43152.440949074073</v>
      </c>
      <c r="O5405" s="4"/>
      <c r="P5405" s="3" t="s">
        <v>2020</v>
      </c>
      <c r="Q5405" s="4"/>
      <c r="R5405" s="4"/>
      <c r="S5405" s="9" t="str">
        <f>HYPERLINK("https://pbs.twimg.com/profile_images/1013632494434910208/qCimn5Ts.jpg","View")</f>
        <v>View</v>
      </c>
    </row>
    <row r="5406" spans="1:19" ht="40">
      <c r="A5406" s="8">
        <v>43340.678518518514</v>
      </c>
      <c r="B5406" s="11" t="str">
        <f>HYPERLINK("https://twitter.com/haj_Einstein","@haj_Einstein")</f>
        <v>@haj_Einstein</v>
      </c>
      <c r="C5406" s="6" t="s">
        <v>1350</v>
      </c>
      <c r="D5406" s="5" t="s">
        <v>2019</v>
      </c>
      <c r="E5406" s="9" t="str">
        <f>HYPERLINK("https://twitter.com/haj_Einstein/status/1034407009922232320","1034407009922232320")</f>
        <v>1034407009922232320</v>
      </c>
      <c r="F5406" s="4"/>
      <c r="G5406" s="4"/>
      <c r="H5406" s="4"/>
      <c r="I5406" s="10" t="str">
        <f>HYPERLINK("http://twitter.com/download/android","Twitter for Android")</f>
        <v>Twitter for Android</v>
      </c>
      <c r="J5406" s="2">
        <v>1179</v>
      </c>
      <c r="K5406" s="2">
        <v>918</v>
      </c>
      <c r="L5406" s="2">
        <v>0</v>
      </c>
      <c r="M5406" s="2"/>
      <c r="N5406" s="8">
        <v>42513.552152777775</v>
      </c>
      <c r="O5406" s="4" t="s">
        <v>1348</v>
      </c>
      <c r="P5406" s="3" t="s">
        <v>1347</v>
      </c>
      <c r="Q5406" s="4"/>
      <c r="R5406" s="4"/>
      <c r="S5406" s="9" t="str">
        <f>HYPERLINK("https://pbs.twimg.com/profile_images/1026355675037921280/znaIjDgn.jpg","View")</f>
        <v>View</v>
      </c>
    </row>
    <row r="5407" spans="1:19" ht="20">
      <c r="A5407" s="8">
        <v>43340.678414351853</v>
      </c>
      <c r="B5407" s="11" t="str">
        <f>HYPERLINK("https://twitter.com/CoderHossein","@CoderHossein")</f>
        <v>@CoderHossein</v>
      </c>
      <c r="C5407" s="6" t="s">
        <v>1878</v>
      </c>
      <c r="D5407" s="5" t="s">
        <v>2018</v>
      </c>
      <c r="E5407" s="9" t="str">
        <f>HYPERLINK("https://twitter.com/CoderHossein/status/1034406973117288453","1034406973117288453")</f>
        <v>1034406973117288453</v>
      </c>
      <c r="F5407" s="4"/>
      <c r="G5407" s="4"/>
      <c r="H5407" s="4"/>
      <c r="I5407" s="10" t="str">
        <f>HYPERLINK("http://twitter.com","Twitter Web Client")</f>
        <v>Twitter Web Client</v>
      </c>
      <c r="J5407" s="2">
        <v>2</v>
      </c>
      <c r="K5407" s="2">
        <v>2</v>
      </c>
      <c r="L5407" s="2">
        <v>0</v>
      </c>
      <c r="M5407" s="2"/>
      <c r="N5407" s="8">
        <v>43340.460914351846</v>
      </c>
      <c r="O5407" s="4" t="s">
        <v>1415</v>
      </c>
      <c r="P5407" s="3" t="s">
        <v>1875</v>
      </c>
      <c r="Q5407" s="4"/>
      <c r="R5407" s="4"/>
      <c r="S5407" s="9" t="str">
        <f>HYPERLINK("https://pbs.twimg.com/profile_images/1034329471510372354/gTiSjc43.jpg","View")</f>
        <v>View</v>
      </c>
    </row>
    <row r="5408" spans="1:19" ht="20">
      <c r="A5408" s="8">
        <v>43340.678240740745</v>
      </c>
      <c r="B5408" s="11" t="str">
        <f>HYPERLINK("https://twitter.com/Pitpitak1","@Pitpitak1")</f>
        <v>@Pitpitak1</v>
      </c>
      <c r="C5408" s="6" t="s">
        <v>1969</v>
      </c>
      <c r="D5408" s="5" t="s">
        <v>2017</v>
      </c>
      <c r="E5408" s="9" t="str">
        <f>HYPERLINK("https://twitter.com/Pitpitak1/status/1034406908990504961","1034406908990504961")</f>
        <v>1034406908990504961</v>
      </c>
      <c r="F5408" s="4"/>
      <c r="G5408" s="4"/>
      <c r="H5408" s="4"/>
      <c r="I5408" s="10" t="str">
        <f>HYPERLINK("http://twitter.com/download/iphone","Twitter for iPhone")</f>
        <v>Twitter for iPhone</v>
      </c>
      <c r="J5408" s="2">
        <v>58</v>
      </c>
      <c r="K5408" s="2">
        <v>229</v>
      </c>
      <c r="L5408" s="2">
        <v>1</v>
      </c>
      <c r="M5408" s="2"/>
      <c r="N5408" s="8">
        <v>38995.965601851851</v>
      </c>
      <c r="O5408" s="4"/>
      <c r="P5408" s="3" t="s">
        <v>1967</v>
      </c>
      <c r="Q5408" s="4"/>
      <c r="R5408" s="4"/>
      <c r="S5408" s="9" t="str">
        <f>HYPERLINK("https://pbs.twimg.com/profile_images/1011196687896006656/YqWXZdT4.jpg","View")</f>
        <v>View</v>
      </c>
    </row>
    <row r="5409" spans="1:19" ht="40">
      <c r="A5409" s="8">
        <v>43340.678182870368</v>
      </c>
      <c r="B5409" s="11" t="str">
        <f>HYPERLINK("https://twitter.com/Moliircus","@Moliircus")</f>
        <v>@Moliircus</v>
      </c>
      <c r="C5409" s="6" t="s">
        <v>2016</v>
      </c>
      <c r="D5409" s="5" t="s">
        <v>2015</v>
      </c>
      <c r="E5409" s="9" t="str">
        <f>HYPERLINK("https://twitter.com/Moliircus/status/1034406889537196036","1034406889537196036")</f>
        <v>1034406889537196036</v>
      </c>
      <c r="F5409" s="4"/>
      <c r="G5409" s="4"/>
      <c r="H5409" s="4"/>
      <c r="I5409" s="10" t="str">
        <f>HYPERLINK("http://twitter.com/download/android","Twitter for Android")</f>
        <v>Twitter for Android</v>
      </c>
      <c r="J5409" s="2">
        <v>4</v>
      </c>
      <c r="K5409" s="2">
        <v>3</v>
      </c>
      <c r="L5409" s="2">
        <v>0</v>
      </c>
      <c r="M5409" s="2"/>
      <c r="N5409" s="8">
        <v>40184.548587962963</v>
      </c>
      <c r="O5409" s="4"/>
      <c r="P5409" s="3"/>
      <c r="Q5409" s="4"/>
      <c r="R5409" s="4"/>
      <c r="S5409" s="9" t="str">
        <f>HYPERLINK("https://pbs.twimg.com/profile_images/1025479444780208128/zJJ0w51t.jpg","View")</f>
        <v>View</v>
      </c>
    </row>
    <row r="5410" spans="1:19" ht="20">
      <c r="A5410" s="8">
        <v>43340.677916666667</v>
      </c>
      <c r="B5410" s="11" t="str">
        <f>HYPERLINK("https://twitter.com/shyzvr","@shyzvr")</f>
        <v>@shyzvr</v>
      </c>
      <c r="C5410" s="6" t="s">
        <v>2014</v>
      </c>
      <c r="D5410" s="5" t="s">
        <v>2013</v>
      </c>
      <c r="E5410" s="9" t="str">
        <f>HYPERLINK("https://twitter.com/shyzvr/status/1034406793554915328","1034406793554915328")</f>
        <v>1034406793554915328</v>
      </c>
      <c r="F5410" s="4"/>
      <c r="G5410" s="4"/>
      <c r="H5410" s="4"/>
      <c r="I5410" s="10" t="str">
        <f>HYPERLINK("http://twitter.com/download/android","Twitter for Android")</f>
        <v>Twitter for Android</v>
      </c>
      <c r="J5410" s="2">
        <v>14</v>
      </c>
      <c r="K5410" s="2">
        <v>124</v>
      </c>
      <c r="L5410" s="2">
        <v>0</v>
      </c>
      <c r="M5410" s="2"/>
      <c r="N5410" s="8">
        <v>42747.871041666665</v>
      </c>
      <c r="O5410" s="4" t="s">
        <v>2012</v>
      </c>
      <c r="P5410" s="3" t="s">
        <v>2011</v>
      </c>
      <c r="Q5410" s="4"/>
      <c r="R5410" s="4"/>
      <c r="S5410" s="9" t="str">
        <f>HYPERLINK("https://pbs.twimg.com/profile_images/1033315581984878592/t6yp2I1_.jpg","View")</f>
        <v>View</v>
      </c>
    </row>
    <row r="5411" spans="1:19" ht="30">
      <c r="A5411" s="8">
        <v>43340.677731481483</v>
      </c>
      <c r="B5411" s="11" t="str">
        <f>HYPERLINK("https://twitter.com/iran13577","@iran13577")</f>
        <v>@iran13577</v>
      </c>
      <c r="C5411" s="6" t="s">
        <v>2010</v>
      </c>
      <c r="D5411" s="5" t="s">
        <v>2009</v>
      </c>
      <c r="E5411" s="9" t="str">
        <f>HYPERLINK("https://twitter.com/iran13577/status/1034406727561748480","1034406727561748480")</f>
        <v>1034406727561748480</v>
      </c>
      <c r="F5411" s="4"/>
      <c r="G5411" s="10" t="s">
        <v>2008</v>
      </c>
      <c r="H5411" s="4"/>
      <c r="I5411" s="10" t="str">
        <f>HYPERLINK("http://twitter.com/download/android","Twitter for Android")</f>
        <v>Twitter for Android</v>
      </c>
      <c r="J5411" s="2">
        <v>468</v>
      </c>
      <c r="K5411" s="2">
        <v>507</v>
      </c>
      <c r="L5411" s="2">
        <v>1</v>
      </c>
      <c r="M5411" s="2"/>
      <c r="N5411" s="8">
        <v>41956.624490740738</v>
      </c>
      <c r="O5411" s="4" t="s">
        <v>1415</v>
      </c>
      <c r="P5411" s="3" t="s">
        <v>2007</v>
      </c>
      <c r="Q5411" s="4"/>
      <c r="R5411" s="4"/>
      <c r="S5411" s="9" t="str">
        <f>HYPERLINK("https://pbs.twimg.com/profile_images/974546149292982277/cNI_HPC8.jpg","View")</f>
        <v>View</v>
      </c>
    </row>
    <row r="5412" spans="1:19" ht="30">
      <c r="A5412" s="8">
        <v>43340.677708333329</v>
      </c>
      <c r="B5412" s="11" t="str">
        <f>HYPERLINK("https://twitter.com/HosseinMrzd","@HosseinMrzd")</f>
        <v>@HosseinMrzd</v>
      </c>
      <c r="C5412" s="6" t="s">
        <v>2006</v>
      </c>
      <c r="D5412" s="5" t="s">
        <v>2005</v>
      </c>
      <c r="E5412" s="9" t="str">
        <f>HYPERLINK("https://twitter.com/HosseinMrzd/status/1034406718552330240","1034406718552330240")</f>
        <v>1034406718552330240</v>
      </c>
      <c r="F5412" s="4"/>
      <c r="G5412" s="4"/>
      <c r="H5412" s="4"/>
      <c r="I5412" s="10" t="str">
        <f>HYPERLINK("http://twitter.com/download/android","Twitter for Android")</f>
        <v>Twitter for Android</v>
      </c>
      <c r="J5412" s="2">
        <v>0</v>
      </c>
      <c r="K5412" s="2">
        <v>12</v>
      </c>
      <c r="L5412" s="2">
        <v>0</v>
      </c>
      <c r="M5412" s="2"/>
      <c r="N5412" s="8">
        <v>43340.652187500003</v>
      </c>
      <c r="O5412" s="4" t="s">
        <v>34</v>
      </c>
      <c r="P5412" s="3" t="s">
        <v>2004</v>
      </c>
      <c r="Q5412" s="4"/>
      <c r="R5412" s="4"/>
      <c r="S5412" s="9" t="str">
        <f>HYPERLINK("https://pbs.twimg.com/profile_images/1034401043780657152/8hzf5aJ7.jpg","View")</f>
        <v>View</v>
      </c>
    </row>
    <row r="5413" spans="1:19" ht="20">
      <c r="A5413" s="8">
        <v>43340.677372685182</v>
      </c>
      <c r="B5413" s="11" t="str">
        <f>HYPERLINK("https://twitter.com/khoshbakhtime","@khoshbakhtime")</f>
        <v>@khoshbakhtime</v>
      </c>
      <c r="C5413" s="6" t="s">
        <v>2003</v>
      </c>
      <c r="D5413" s="5" t="s">
        <v>2002</v>
      </c>
      <c r="E5413" s="9" t="str">
        <f>HYPERLINK("https://twitter.com/khoshbakhtime/status/1034406597336997888","1034406597336997888")</f>
        <v>1034406597336997888</v>
      </c>
      <c r="F5413" s="4"/>
      <c r="G5413" s="10" t="s">
        <v>2001</v>
      </c>
      <c r="H5413" s="4"/>
      <c r="I5413" s="10" t="str">
        <f>HYPERLINK("http://twitter.com/download/iphone","Twitter for iPhone")</f>
        <v>Twitter for iPhone</v>
      </c>
      <c r="J5413" s="2">
        <v>849</v>
      </c>
      <c r="K5413" s="2">
        <v>316</v>
      </c>
      <c r="L5413" s="2">
        <v>7</v>
      </c>
      <c r="M5413" s="2"/>
      <c r="N5413" s="8">
        <v>41439.947465277779</v>
      </c>
      <c r="O5413" s="4" t="s">
        <v>34</v>
      </c>
      <c r="P5413" s="3" t="s">
        <v>2000</v>
      </c>
      <c r="Q5413" s="10" t="s">
        <v>1999</v>
      </c>
      <c r="R5413" s="4"/>
      <c r="S5413" s="9" t="str">
        <f>HYPERLINK("https://pbs.twimg.com/profile_images/1014770146634760192/ORl2EIoH.jpg","View")</f>
        <v>View</v>
      </c>
    </row>
    <row r="5414" spans="1:19" ht="30">
      <c r="A5414" s="8">
        <v>43340.677291666667</v>
      </c>
      <c r="B5414" s="11" t="str">
        <f>HYPERLINK("https://twitter.com/Mohamma75370061","@Mohamma75370061")</f>
        <v>@Mohamma75370061</v>
      </c>
      <c r="C5414" s="6" t="s">
        <v>1998</v>
      </c>
      <c r="D5414" s="5" t="s">
        <v>1997</v>
      </c>
      <c r="E5414" s="9" t="str">
        <f>HYPERLINK("https://twitter.com/Mohamma75370061/status/1034406564935999489","1034406564935999489")</f>
        <v>1034406564935999489</v>
      </c>
      <c r="F5414" s="4"/>
      <c r="G5414" s="4"/>
      <c r="H5414" s="4"/>
      <c r="I5414" s="10" t="str">
        <f>HYPERLINK("http://twitter.com/download/android","Twitter for Android")</f>
        <v>Twitter for Android</v>
      </c>
      <c r="J5414" s="2">
        <v>2166</v>
      </c>
      <c r="K5414" s="2">
        <v>2898</v>
      </c>
      <c r="L5414" s="2">
        <v>1</v>
      </c>
      <c r="M5414" s="2"/>
      <c r="N5414" s="8">
        <v>43270.233599537038</v>
      </c>
      <c r="O5414" s="4" t="s">
        <v>1996</v>
      </c>
      <c r="P5414" s="3" t="s">
        <v>1995</v>
      </c>
      <c r="Q5414" s="4"/>
      <c r="R5414" s="4"/>
      <c r="S5414" s="9" t="str">
        <f>HYPERLINK("https://pbs.twimg.com/profile_images/1027742418827993089/rEAc7tMh.jpg","View")</f>
        <v>View</v>
      </c>
    </row>
    <row r="5415" spans="1:19" ht="20">
      <c r="A5415" s="8">
        <v>43340.67701388889</v>
      </c>
      <c r="B5415" s="11" t="str">
        <f>HYPERLINK("https://twitter.com/ABAN_DOKHT64","@ABAN_DOKHT64")</f>
        <v>@ABAN_DOKHT64</v>
      </c>
      <c r="C5415" s="6" t="s">
        <v>1994</v>
      </c>
      <c r="D5415" s="5" t="s">
        <v>1993</v>
      </c>
      <c r="E5415" s="9" t="str">
        <f>HYPERLINK("https://twitter.com/ABAN_DOKHT64/status/1034406466806009857","1034406466806009857")</f>
        <v>1034406466806009857</v>
      </c>
      <c r="F5415" s="4"/>
      <c r="G5415" s="4"/>
      <c r="H5415" s="4"/>
      <c r="I5415" s="10" t="str">
        <f>HYPERLINK("http://twitter.com/download/android","Twitter for Android")</f>
        <v>Twitter for Android</v>
      </c>
      <c r="J5415" s="2">
        <v>8489</v>
      </c>
      <c r="K5415" s="2">
        <v>1321</v>
      </c>
      <c r="L5415" s="2">
        <v>53</v>
      </c>
      <c r="M5415" s="2"/>
      <c r="N5415" s="8">
        <v>42852.063877314809</v>
      </c>
      <c r="O5415" s="4" t="s">
        <v>104</v>
      </c>
      <c r="P5415" s="3"/>
      <c r="Q5415" s="4"/>
      <c r="R5415" s="4"/>
      <c r="S5415" s="9" t="str">
        <f>HYPERLINK("https://pbs.twimg.com/profile_images/1019106428420796416/Yf1uOC06.jpg","View")</f>
        <v>View</v>
      </c>
    </row>
    <row r="5416" spans="1:19" ht="40">
      <c r="A5416" s="8">
        <v>43340.676817129628</v>
      </c>
      <c r="B5416" s="11" t="str">
        <f>HYPERLINK("https://twitter.com/msadpm","@msadpm")</f>
        <v>@msadpm</v>
      </c>
      <c r="C5416" s="6" t="s">
        <v>1696</v>
      </c>
      <c r="D5416" s="5" t="s">
        <v>1992</v>
      </c>
      <c r="E5416" s="9" t="str">
        <f>HYPERLINK("https://twitter.com/msadpm/status/1034406394064252929","1034406394064252929")</f>
        <v>1034406394064252929</v>
      </c>
      <c r="F5416" s="4"/>
      <c r="G5416" s="4"/>
      <c r="H5416" s="4"/>
      <c r="I5416" s="10" t="str">
        <f>HYPERLINK("http://twitter.com","Twitter Web Client")</f>
        <v>Twitter Web Client</v>
      </c>
      <c r="J5416" s="2">
        <v>1</v>
      </c>
      <c r="K5416" s="2">
        <v>8</v>
      </c>
      <c r="L5416" s="2">
        <v>0</v>
      </c>
      <c r="M5416" s="2"/>
      <c r="N5416" s="8">
        <v>43309.653935185182</v>
      </c>
      <c r="O5416" s="4"/>
      <c r="P5416" s="3"/>
      <c r="Q5416" s="4"/>
      <c r="R5416" s="4"/>
      <c r="S5416" s="9" t="str">
        <f>HYPERLINK("https://pbs.twimg.com/profile_images/1026467437196320768/-Ytvr8hI.jpg","View")</f>
        <v>View</v>
      </c>
    </row>
    <row r="5417" spans="1:19" ht="20">
      <c r="A5417" s="8">
        <v>43340.676817129628</v>
      </c>
      <c r="B5417" s="11" t="str">
        <f>HYPERLINK("https://twitter.com/SoboutKar","@SoboutKar")</f>
        <v>@SoboutKar</v>
      </c>
      <c r="C5417" s="6" t="s">
        <v>1991</v>
      </c>
      <c r="D5417" s="5" t="s">
        <v>1990</v>
      </c>
      <c r="E5417" s="9" t="str">
        <f>HYPERLINK("https://twitter.com/SoboutKar/status/1034406392751435776","1034406392751435776")</f>
        <v>1034406392751435776</v>
      </c>
      <c r="F5417" s="4"/>
      <c r="G5417" s="4"/>
      <c r="H5417" s="4"/>
      <c r="I5417" s="10" t="str">
        <f>HYPERLINK("http://twitter.com/download/android","Twitter for Android")</f>
        <v>Twitter for Android</v>
      </c>
      <c r="J5417" s="2">
        <v>2</v>
      </c>
      <c r="K5417" s="2">
        <v>8</v>
      </c>
      <c r="L5417" s="2">
        <v>0</v>
      </c>
      <c r="M5417" s="2"/>
      <c r="N5417" s="8">
        <v>42882.077291666668</v>
      </c>
      <c r="O5417" s="4"/>
      <c r="P5417" s="3"/>
      <c r="Q5417" s="4"/>
      <c r="R5417" s="4"/>
      <c r="S5417" s="2" t="s">
        <v>155</v>
      </c>
    </row>
    <row r="5418" spans="1:19" ht="40">
      <c r="A5418" s="8">
        <v>43340.676793981482</v>
      </c>
      <c r="B5418" s="11" t="str">
        <f>HYPERLINK("https://twitter.com/AbbasEsmaili92","@AbbasEsmaili92")</f>
        <v>@AbbasEsmaili92</v>
      </c>
      <c r="C5418" s="6" t="s">
        <v>1989</v>
      </c>
      <c r="D5418" s="5" t="s">
        <v>1988</v>
      </c>
      <c r="E5418" s="9" t="str">
        <f>HYPERLINK("https://twitter.com/AbbasEsmaili92/status/1034406387168813058","1034406387168813058")</f>
        <v>1034406387168813058</v>
      </c>
      <c r="F5418" s="4"/>
      <c r="G5418" s="4"/>
      <c r="H5418" s="4"/>
      <c r="I5418" s="10" t="str">
        <f>HYPERLINK("http://twitter.com/download/android","Twitter for Android")</f>
        <v>Twitter for Android</v>
      </c>
      <c r="J5418" s="2">
        <v>26</v>
      </c>
      <c r="K5418" s="2">
        <v>34</v>
      </c>
      <c r="L5418" s="2">
        <v>0</v>
      </c>
      <c r="M5418" s="2"/>
      <c r="N5418" s="8">
        <v>43275.616979166662</v>
      </c>
      <c r="O5418" s="4" t="s">
        <v>17</v>
      </c>
      <c r="P5418" s="3" t="s">
        <v>1987</v>
      </c>
      <c r="Q5418" s="4"/>
      <c r="R5418" s="4"/>
      <c r="S5418" s="9" t="str">
        <f>HYPERLINK("https://pbs.twimg.com/profile_images/1010836195595771904/E3leWNZq.jpg","View")</f>
        <v>View</v>
      </c>
    </row>
    <row r="5419" spans="1:19" ht="30">
      <c r="A5419" s="8">
        <v>43340.676759259259</v>
      </c>
      <c r="B5419" s="11" t="str">
        <f>HYPERLINK("https://twitter.com/Farahmand216","@Farahmand216")</f>
        <v>@Farahmand216</v>
      </c>
      <c r="C5419" s="6" t="s">
        <v>1986</v>
      </c>
      <c r="D5419" s="5" t="s">
        <v>1985</v>
      </c>
      <c r="E5419" s="9" t="str">
        <f>HYPERLINK("https://twitter.com/Farahmand216/status/1034406372081893377","1034406372081893377")</f>
        <v>1034406372081893377</v>
      </c>
      <c r="F5419" s="4"/>
      <c r="G5419" s="10" t="s">
        <v>1984</v>
      </c>
      <c r="H5419" s="4"/>
      <c r="I5419" s="10" t="str">
        <f>HYPERLINK("http://twitter.com/download/android","Twitter for Android")</f>
        <v>Twitter for Android</v>
      </c>
      <c r="J5419" s="2">
        <v>81</v>
      </c>
      <c r="K5419" s="2">
        <v>132</v>
      </c>
      <c r="L5419" s="2">
        <v>0</v>
      </c>
      <c r="M5419" s="2"/>
      <c r="N5419" s="8">
        <v>42893.690844907411</v>
      </c>
      <c r="O5419" s="4" t="s">
        <v>34</v>
      </c>
      <c r="P5419" s="3" t="s">
        <v>1983</v>
      </c>
      <c r="Q5419" s="10" t="s">
        <v>1982</v>
      </c>
      <c r="R5419" s="4"/>
      <c r="S5419" s="9" t="str">
        <f>HYPERLINK("https://pbs.twimg.com/profile_images/1032235742498619393/H4Pv8QZ6.jpg","View")</f>
        <v>View</v>
      </c>
    </row>
    <row r="5420" spans="1:19" ht="40">
      <c r="A5420" s="8">
        <v>43340.676631944443</v>
      </c>
      <c r="B5420" s="11" t="str">
        <f>HYPERLINK("https://twitter.com/yaghma_fashkham","@yaghma_fashkham")</f>
        <v>@yaghma_fashkham</v>
      </c>
      <c r="C5420" s="6" t="s">
        <v>1981</v>
      </c>
      <c r="D5420" s="5" t="s">
        <v>1980</v>
      </c>
      <c r="E5420" s="9" t="str">
        <f>HYPERLINK("https://twitter.com/yaghma_fashkham/status/1034406327458717697","1034406327458717697")</f>
        <v>1034406327458717697</v>
      </c>
      <c r="F5420" s="4"/>
      <c r="G5420" s="4"/>
      <c r="H5420" s="4"/>
      <c r="I5420" s="10" t="str">
        <f>HYPERLINK("http://twitter.com/download/android","Twitter for Android")</f>
        <v>Twitter for Android</v>
      </c>
      <c r="J5420" s="2">
        <v>2802</v>
      </c>
      <c r="K5420" s="2">
        <v>193</v>
      </c>
      <c r="L5420" s="2">
        <v>19</v>
      </c>
      <c r="M5420" s="2"/>
      <c r="N5420" s="8">
        <v>43179.734803240739</v>
      </c>
      <c r="O5420" s="4" t="s">
        <v>34</v>
      </c>
      <c r="P5420" s="3" t="s">
        <v>1979</v>
      </c>
      <c r="Q5420" s="4"/>
      <c r="R5420" s="4"/>
      <c r="S5420" s="9" t="str">
        <f>HYPERLINK("https://pbs.twimg.com/profile_images/976099342233817088/REHFW4Jv.jpg","View")</f>
        <v>View</v>
      </c>
    </row>
    <row r="5421" spans="1:19" ht="30">
      <c r="A5421" s="8">
        <v>43340.676099537042</v>
      </c>
      <c r="B5421" s="11" t="str">
        <f>HYPERLINK("https://twitter.com/mas_ser43","@mas_ser43")</f>
        <v>@mas_ser43</v>
      </c>
      <c r="C5421" s="6" t="s">
        <v>1978</v>
      </c>
      <c r="D5421" s="5" t="s">
        <v>1977</v>
      </c>
      <c r="E5421" s="9" t="str">
        <f>HYPERLINK("https://twitter.com/mas_ser43/status/1034406134592032768","1034406134592032768")</f>
        <v>1034406134592032768</v>
      </c>
      <c r="F5421" s="4"/>
      <c r="G5421" s="4"/>
      <c r="H5421" s="4"/>
      <c r="I5421" s="10" t="str">
        <f>HYPERLINK("http://twitter.com/download/android","Twitter for Android")</f>
        <v>Twitter for Android</v>
      </c>
      <c r="J5421" s="2">
        <v>1230</v>
      </c>
      <c r="K5421" s="2">
        <v>95</v>
      </c>
      <c r="L5421" s="2">
        <v>21</v>
      </c>
      <c r="M5421" s="2"/>
      <c r="N5421" s="8">
        <v>42285.958530092597</v>
      </c>
      <c r="O5421" s="4"/>
      <c r="P5421" s="3"/>
      <c r="Q5421" s="4"/>
      <c r="R5421" s="4"/>
      <c r="S5421" s="9" t="str">
        <f>HYPERLINK("https://pbs.twimg.com/profile_images/1025017682150584320/qSEOgPi6.jpg","View")</f>
        <v>View</v>
      </c>
    </row>
    <row r="5422" spans="1:19" ht="40">
      <c r="A5422" s="8">
        <v>43340.675856481481</v>
      </c>
      <c r="B5422" s="11" t="str">
        <f>HYPERLINK("https://twitter.com/Negarand","@Negarand")</f>
        <v>@Negarand</v>
      </c>
      <c r="C5422" s="6" t="s">
        <v>1976</v>
      </c>
      <c r="D5422" s="5" t="s">
        <v>1975</v>
      </c>
      <c r="E5422" s="9" t="str">
        <f>HYPERLINK("https://twitter.com/Negarand/status/1034406047841169408","1034406047841169408")</f>
        <v>1034406047841169408</v>
      </c>
      <c r="F5422" s="4"/>
      <c r="G5422" s="4"/>
      <c r="H5422" s="4"/>
      <c r="I5422" s="10" t="str">
        <f>HYPERLINK("http://twitter.com/download/android","Twitter for Android")</f>
        <v>Twitter for Android</v>
      </c>
      <c r="J5422" s="2">
        <v>6225</v>
      </c>
      <c r="K5422" s="2">
        <v>6258</v>
      </c>
      <c r="L5422" s="2">
        <v>0</v>
      </c>
      <c r="M5422" s="2"/>
      <c r="N5422" s="8">
        <v>43149.9997337963</v>
      </c>
      <c r="O5422" s="4" t="s">
        <v>1974</v>
      </c>
      <c r="P5422" s="3" t="s">
        <v>1973</v>
      </c>
      <c r="Q5422" s="4"/>
      <c r="R5422" s="4"/>
      <c r="S5422" s="9" t="str">
        <f>HYPERLINK("https://pbs.twimg.com/profile_images/997218661067669504/dcfBtqCU.jpg","View")</f>
        <v>View</v>
      </c>
    </row>
    <row r="5423" spans="1:19" ht="20">
      <c r="A5423" s="8">
        <v>43340.675763888888</v>
      </c>
      <c r="B5423" s="11" t="str">
        <f>HYPERLINK("https://twitter.com/ali_aghababaei","@ali_aghababaei")</f>
        <v>@ali_aghababaei</v>
      </c>
      <c r="C5423" s="6" t="s">
        <v>1972</v>
      </c>
      <c r="D5423" s="5" t="s">
        <v>1971</v>
      </c>
      <c r="E5423" s="9" t="str">
        <f>HYPERLINK("https://twitter.com/ali_aghababaei/status/1034406012034461696","1034406012034461696")</f>
        <v>1034406012034461696</v>
      </c>
      <c r="F5423" s="4"/>
      <c r="G5423" s="4"/>
      <c r="H5423" s="4"/>
      <c r="I5423" s="10" t="str">
        <f>HYPERLINK("http://twitter.com/download/android","Twitter for Android")</f>
        <v>Twitter for Android</v>
      </c>
      <c r="J5423" s="2">
        <v>311</v>
      </c>
      <c r="K5423" s="2">
        <v>119</v>
      </c>
      <c r="L5423" s="2">
        <v>1</v>
      </c>
      <c r="M5423" s="2"/>
      <c r="N5423" s="8">
        <v>42775.972233796296</v>
      </c>
      <c r="O5423" s="4" t="s">
        <v>34</v>
      </c>
      <c r="P5423" s="3" t="s">
        <v>1970</v>
      </c>
      <c r="Q5423" s="4"/>
      <c r="R5423" s="4"/>
      <c r="S5423" s="9" t="str">
        <f>HYPERLINK("https://pbs.twimg.com/profile_images/1033653338712297472/HeFlPNrV.jpg","View")</f>
        <v>View</v>
      </c>
    </row>
    <row r="5424" spans="1:19" ht="30">
      <c r="A5424" s="8">
        <v>43340.67560185185</v>
      </c>
      <c r="B5424" s="11" t="str">
        <f>HYPERLINK("https://twitter.com/Pitpitak1","@Pitpitak1")</f>
        <v>@Pitpitak1</v>
      </c>
      <c r="C5424" s="6" t="s">
        <v>1969</v>
      </c>
      <c r="D5424" s="5" t="s">
        <v>1968</v>
      </c>
      <c r="E5424" s="9" t="str">
        <f>HYPERLINK("https://twitter.com/Pitpitak1/status/1034405954337628166","1034405954337628166")</f>
        <v>1034405954337628166</v>
      </c>
      <c r="F5424" s="4"/>
      <c r="G5424" s="4"/>
      <c r="H5424" s="4"/>
      <c r="I5424" s="10" t="str">
        <f>HYPERLINK("http://twitter.com/download/iphone","Twitter for iPhone")</f>
        <v>Twitter for iPhone</v>
      </c>
      <c r="J5424" s="2">
        <v>58</v>
      </c>
      <c r="K5424" s="2">
        <v>229</v>
      </c>
      <c r="L5424" s="2">
        <v>1</v>
      </c>
      <c r="M5424" s="2"/>
      <c r="N5424" s="8">
        <v>38995.965601851851</v>
      </c>
      <c r="O5424" s="4"/>
      <c r="P5424" s="3" t="s">
        <v>1967</v>
      </c>
      <c r="Q5424" s="4"/>
      <c r="R5424" s="4"/>
      <c r="S5424" s="9" t="str">
        <f>HYPERLINK("https://pbs.twimg.com/profile_images/1011196687896006656/YqWXZdT4.jpg","View")</f>
        <v>View</v>
      </c>
    </row>
    <row r="5425" spans="1:19" ht="50">
      <c r="A5425" s="8">
        <v>43340.675092592588</v>
      </c>
      <c r="B5425" s="11" t="str">
        <f>HYPERLINK("https://twitter.com/restart_0ho0","@restart_0ho0")</f>
        <v>@restart_0ho0</v>
      </c>
      <c r="C5425" s="6" t="s">
        <v>1889</v>
      </c>
      <c r="D5425" s="5" t="s">
        <v>1966</v>
      </c>
      <c r="E5425" s="9" t="str">
        <f>HYPERLINK("https://twitter.com/restart_0ho0/status/1034405769469419520","1034405769469419520")</f>
        <v>1034405769469419520</v>
      </c>
      <c r="F5425" s="4"/>
      <c r="G5425" s="10" t="s">
        <v>1965</v>
      </c>
      <c r="H5425" s="4"/>
      <c r="I5425" s="10" t="str">
        <f>HYPERLINK("http://twitter.com/download/android","Twitter for Android")</f>
        <v>Twitter for Android</v>
      </c>
      <c r="J5425" s="2">
        <v>361</v>
      </c>
      <c r="K5425" s="2">
        <v>115</v>
      </c>
      <c r="L5425" s="2">
        <v>1</v>
      </c>
      <c r="M5425" s="2"/>
      <c r="N5425" s="8">
        <v>43135.789837962962</v>
      </c>
      <c r="O5425" s="4"/>
      <c r="P5425" s="3" t="s">
        <v>1887</v>
      </c>
      <c r="Q5425" s="10" t="s">
        <v>1886</v>
      </c>
      <c r="R5425" s="4"/>
      <c r="S5425" s="9" t="str">
        <f>HYPERLINK("https://pbs.twimg.com/profile_images/1018264481938460672/Z4-ZxVhg.jpg","View")</f>
        <v>View</v>
      </c>
    </row>
    <row r="5426" spans="1:19" ht="20">
      <c r="A5426" s="8">
        <v>43340.675057870365</v>
      </c>
      <c r="B5426" s="11" t="str">
        <f>HYPERLINK("https://twitter.com/h_abdolmanafi","@h_abdolmanafi")</f>
        <v>@h_abdolmanafi</v>
      </c>
      <c r="C5426" s="6" t="s">
        <v>1257</v>
      </c>
      <c r="D5426" s="5" t="s">
        <v>1964</v>
      </c>
      <c r="E5426" s="9" t="str">
        <f>HYPERLINK("https://twitter.com/h_abdolmanafi/status/1034405755456315392","1034405755456315392")</f>
        <v>1034405755456315392</v>
      </c>
      <c r="F5426" s="4"/>
      <c r="G5426" s="4"/>
      <c r="H5426" s="4"/>
      <c r="I5426" s="10" t="str">
        <f>HYPERLINK("http://twitter.com/download/android","Twitter for Android")</f>
        <v>Twitter for Android</v>
      </c>
      <c r="J5426" s="2">
        <v>2327</v>
      </c>
      <c r="K5426" s="2">
        <v>1984</v>
      </c>
      <c r="L5426" s="2">
        <v>9</v>
      </c>
      <c r="M5426" s="2"/>
      <c r="N5426" s="8">
        <v>42744.643518518518</v>
      </c>
      <c r="O5426" s="4" t="s">
        <v>17</v>
      </c>
      <c r="P5426" s="3" t="s">
        <v>1255</v>
      </c>
      <c r="Q5426" s="4"/>
      <c r="R5426" s="4"/>
      <c r="S5426" s="9" t="str">
        <f>HYPERLINK("https://pbs.twimg.com/profile_images/1034273035132563458/5cIwQ75C.jpg","View")</f>
        <v>View</v>
      </c>
    </row>
    <row r="5427" spans="1:19" ht="40">
      <c r="A5427" s="8">
        <v>43340.675000000003</v>
      </c>
      <c r="B5427" s="11" t="str">
        <f>HYPERLINK("https://twitter.com/NarsisAp88","@NarsisAp88")</f>
        <v>@NarsisAp88</v>
      </c>
      <c r="C5427" s="6" t="s">
        <v>495</v>
      </c>
      <c r="D5427" s="5" t="s">
        <v>1963</v>
      </c>
      <c r="E5427" s="9" t="str">
        <f>HYPERLINK("https://twitter.com/NarsisAp88/status/1034405737999556608","1034405737999556608")</f>
        <v>1034405737999556608</v>
      </c>
      <c r="F5427" s="4"/>
      <c r="G5427" s="4"/>
      <c r="H5427" s="4"/>
      <c r="I5427" s="10" t="str">
        <f>HYPERLINK("http://twitter.com/download/android","Twitter for Android")</f>
        <v>Twitter for Android</v>
      </c>
      <c r="J5427" s="2">
        <v>887</v>
      </c>
      <c r="K5427" s="2">
        <v>289</v>
      </c>
      <c r="L5427" s="2">
        <v>3</v>
      </c>
      <c r="M5427" s="2"/>
      <c r="N5427" s="8">
        <v>42915.699652777781</v>
      </c>
      <c r="O5427" s="4" t="s">
        <v>133</v>
      </c>
      <c r="P5427" s="3" t="s">
        <v>493</v>
      </c>
      <c r="Q5427" s="4"/>
      <c r="R5427" s="4"/>
      <c r="S5427" s="9" t="str">
        <f>HYPERLINK("https://pbs.twimg.com/profile_images/1017541226827079680/_ImH5V29.jpg","View")</f>
        <v>View</v>
      </c>
    </row>
    <row r="5428" spans="1:19" ht="20">
      <c r="A5428" s="8">
        <v>43340.674826388888</v>
      </c>
      <c r="B5428" s="11" t="str">
        <f>HYPERLINK("https://twitter.com/kanoon_97","@kanoon_97")</f>
        <v>@kanoon_97</v>
      </c>
      <c r="C5428" s="6" t="s">
        <v>1962</v>
      </c>
      <c r="D5428" s="5" t="s">
        <v>1961</v>
      </c>
      <c r="E5428" s="9" t="str">
        <f>HYPERLINK("https://twitter.com/kanoon_97/status/1034405673793204224","1034405673793204224")</f>
        <v>1034405673793204224</v>
      </c>
      <c r="F5428" s="4"/>
      <c r="G5428" s="10" t="s">
        <v>1960</v>
      </c>
      <c r="H5428" s="4"/>
      <c r="I5428" s="10" t="str">
        <f>HYPERLINK("http://twitter.com","Twitter Web Client")</f>
        <v>Twitter Web Client</v>
      </c>
      <c r="J5428" s="2">
        <v>299</v>
      </c>
      <c r="K5428" s="2">
        <v>70</v>
      </c>
      <c r="L5428" s="2">
        <v>1</v>
      </c>
      <c r="M5428" s="2"/>
      <c r="N5428" s="8">
        <v>42875.774027777778</v>
      </c>
      <c r="O5428" s="4"/>
      <c r="P5428" s="3" t="s">
        <v>1959</v>
      </c>
      <c r="Q5428" s="4"/>
      <c r="R5428" s="4"/>
      <c r="S5428" s="9" t="str">
        <f>HYPERLINK("https://pbs.twimg.com/profile_images/957896744800538629/R15vreUa.jpg","View")</f>
        <v>View</v>
      </c>
    </row>
    <row r="5429" spans="1:19" ht="50">
      <c r="A5429" s="8">
        <v>43340.674189814818</v>
      </c>
      <c r="B5429" s="11" t="str">
        <f>HYPERLINK("https://twitter.com/CoderHossein","@CoderHossein")</f>
        <v>@CoderHossein</v>
      </c>
      <c r="C5429" s="6" t="s">
        <v>1878</v>
      </c>
      <c r="D5429" s="5" t="s">
        <v>1958</v>
      </c>
      <c r="E5429" s="9" t="str">
        <f>HYPERLINK("https://twitter.com/CoderHossein/status/1034405441529409536","1034405441529409536")</f>
        <v>1034405441529409536</v>
      </c>
      <c r="F5429" s="10" t="s">
        <v>1957</v>
      </c>
      <c r="G5429" s="4"/>
      <c r="H5429" s="4"/>
      <c r="I5429" s="10" t="str">
        <f>HYPERLINK("http://twitter.com","Twitter Web Client")</f>
        <v>Twitter Web Client</v>
      </c>
      <c r="J5429" s="2">
        <v>2</v>
      </c>
      <c r="K5429" s="2">
        <v>2</v>
      </c>
      <c r="L5429" s="2">
        <v>0</v>
      </c>
      <c r="M5429" s="2"/>
      <c r="N5429" s="8">
        <v>43340.460914351846</v>
      </c>
      <c r="O5429" s="4" t="s">
        <v>1415</v>
      </c>
      <c r="P5429" s="3" t="s">
        <v>1875</v>
      </c>
      <c r="Q5429" s="4"/>
      <c r="R5429" s="4"/>
      <c r="S5429" s="9" t="str">
        <f>HYPERLINK("https://pbs.twimg.com/profile_images/1034329471510372354/gTiSjc43.jpg","View")</f>
        <v>View</v>
      </c>
    </row>
    <row r="5430" spans="1:19" ht="40">
      <c r="A5430" s="8">
        <v>43340.674166666664</v>
      </c>
      <c r="B5430" s="11" t="str">
        <f>HYPERLINK("https://twitter.com/Arastoo56","@Arastoo56")</f>
        <v>@Arastoo56</v>
      </c>
      <c r="C5430" s="6" t="s">
        <v>1956</v>
      </c>
      <c r="D5430" s="5" t="s">
        <v>1955</v>
      </c>
      <c r="E5430" s="9" t="str">
        <f>HYPERLINK("https://twitter.com/Arastoo56/status/1034405435024068608","1034405435024068608")</f>
        <v>1034405435024068608</v>
      </c>
      <c r="F5430" s="4"/>
      <c r="G5430" s="4"/>
      <c r="H5430" s="4"/>
      <c r="I5430" s="10" t="str">
        <f>HYPERLINK("http://twitter.com/download/android","Twitter for Android")</f>
        <v>Twitter for Android</v>
      </c>
      <c r="J5430" s="2">
        <v>572</v>
      </c>
      <c r="K5430" s="2">
        <v>1721</v>
      </c>
      <c r="L5430" s="2">
        <v>5</v>
      </c>
      <c r="M5430" s="2"/>
      <c r="N5430" s="8">
        <v>40868.820289351854</v>
      </c>
      <c r="O5430" s="4" t="s">
        <v>1954</v>
      </c>
      <c r="P5430" s="3" t="s">
        <v>1953</v>
      </c>
      <c r="Q5430" s="4"/>
      <c r="R5430" s="4"/>
      <c r="S5430" s="9" t="str">
        <f>HYPERLINK("https://pbs.twimg.com/profile_images/1023666743951192065/eGj6vuUH.jpg","View")</f>
        <v>View</v>
      </c>
    </row>
    <row r="5431" spans="1:19" ht="40">
      <c r="A5431" s="8">
        <v>43340.674131944441</v>
      </c>
      <c r="B5431" s="11" t="str">
        <f>HYPERLINK("https://twitter.com/RahaTaraneh1","@RahaTaraneh1")</f>
        <v>@RahaTaraneh1</v>
      </c>
      <c r="C5431" s="6" t="s">
        <v>1952</v>
      </c>
      <c r="D5431" s="5" t="s">
        <v>1951</v>
      </c>
      <c r="E5431" s="9" t="str">
        <f>HYPERLINK("https://twitter.com/RahaTaraneh1/status/1034405420323033089","1034405420323033089")</f>
        <v>1034405420323033089</v>
      </c>
      <c r="F5431" s="4"/>
      <c r="G5431" s="10" t="s">
        <v>1950</v>
      </c>
      <c r="H5431" s="4"/>
      <c r="I5431" s="10" t="str">
        <f>HYPERLINK("http://twitter.com","Twitter Web Client")</f>
        <v>Twitter Web Client</v>
      </c>
      <c r="J5431" s="2">
        <v>3785</v>
      </c>
      <c r="K5431" s="2">
        <v>3474</v>
      </c>
      <c r="L5431" s="2">
        <v>19</v>
      </c>
      <c r="M5431" s="2"/>
      <c r="N5431" s="8">
        <v>42486.583125000005</v>
      </c>
      <c r="O5431" s="4"/>
      <c r="P5431" s="3" t="s">
        <v>1949</v>
      </c>
      <c r="Q5431" s="4"/>
      <c r="R5431" s="4"/>
      <c r="S5431" s="9" t="str">
        <f>HYPERLINK("https://pbs.twimg.com/profile_images/964895094041034752/IsWagN_U.jpg","View")</f>
        <v>View</v>
      </c>
    </row>
    <row r="5432" spans="1:19" ht="30">
      <c r="A5432" s="8">
        <v>43340.674097222218</v>
      </c>
      <c r="B5432" s="11" t="str">
        <f>HYPERLINK("https://twitter.com/msadpm","@msadpm")</f>
        <v>@msadpm</v>
      </c>
      <c r="C5432" s="6" t="s">
        <v>1696</v>
      </c>
      <c r="D5432" s="5" t="s">
        <v>1948</v>
      </c>
      <c r="E5432" s="9" t="str">
        <f>HYPERLINK("https://twitter.com/msadpm/status/1034405410583859200","1034405410583859200")</f>
        <v>1034405410583859200</v>
      </c>
      <c r="F5432" s="4"/>
      <c r="G5432" s="4"/>
      <c r="H5432" s="4"/>
      <c r="I5432" s="10" t="str">
        <f>HYPERLINK("http://twitter.com","Twitter Web Client")</f>
        <v>Twitter Web Client</v>
      </c>
      <c r="J5432" s="2">
        <v>1</v>
      </c>
      <c r="K5432" s="2">
        <v>8</v>
      </c>
      <c r="L5432" s="2">
        <v>0</v>
      </c>
      <c r="M5432" s="2"/>
      <c r="N5432" s="8">
        <v>43309.653935185182</v>
      </c>
      <c r="O5432" s="4"/>
      <c r="P5432" s="3"/>
      <c r="Q5432" s="4"/>
      <c r="R5432" s="4"/>
      <c r="S5432" s="9" t="str">
        <f>HYPERLINK("https://pbs.twimg.com/profile_images/1026467437196320768/-Ytvr8hI.jpg","View")</f>
        <v>View</v>
      </c>
    </row>
    <row r="5433" spans="1:19" ht="50">
      <c r="A5433" s="8">
        <v>43340.67396990741</v>
      </c>
      <c r="B5433" s="11" t="str">
        <f>HYPERLINK("https://twitter.com/mehdighadamyari","@mehdighadamyari")</f>
        <v>@mehdighadamyari</v>
      </c>
      <c r="C5433" s="6" t="s">
        <v>1947</v>
      </c>
      <c r="D5433" s="5" t="s">
        <v>1946</v>
      </c>
      <c r="E5433" s="9" t="str">
        <f>HYPERLINK("https://twitter.com/mehdighadamyari/status/1034405363800596480","1034405363800596480")</f>
        <v>1034405363800596480</v>
      </c>
      <c r="F5433" s="4"/>
      <c r="G5433" s="4"/>
      <c r="H5433" s="4"/>
      <c r="I5433" s="10" t="str">
        <f>HYPERLINK("http://twitter.com","Twitter Web Client")</f>
        <v>Twitter Web Client</v>
      </c>
      <c r="J5433" s="2">
        <v>109</v>
      </c>
      <c r="K5433" s="2">
        <v>376</v>
      </c>
      <c r="L5433" s="2">
        <v>1</v>
      </c>
      <c r="M5433" s="2"/>
      <c r="N5433" s="8">
        <v>40541.857071759259</v>
      </c>
      <c r="O5433" s="4" t="s">
        <v>17</v>
      </c>
      <c r="P5433" s="3" t="s">
        <v>1945</v>
      </c>
      <c r="Q5433" s="10" t="s">
        <v>1944</v>
      </c>
      <c r="R5433" s="4"/>
      <c r="S5433" s="9" t="str">
        <f>HYPERLINK("https://pbs.twimg.com/profile_images/919599568735653888/2Vo01tUv.jpg","View")</f>
        <v>View</v>
      </c>
    </row>
    <row r="5434" spans="1:19" ht="20">
      <c r="A5434" s="8">
        <v>43340.673391203702</v>
      </c>
      <c r="B5434" s="11" t="str">
        <f>HYPERLINK("https://twitter.com/ashkanrezaei","@ashkanrezaei")</f>
        <v>@ashkanrezaei</v>
      </c>
      <c r="C5434" s="6" t="s">
        <v>1943</v>
      </c>
      <c r="D5434" s="5" t="s">
        <v>1942</v>
      </c>
      <c r="E5434" s="9" t="str">
        <f>HYPERLINK("https://twitter.com/ashkanrezaei/status/1034405152093102084","1034405152093102084")</f>
        <v>1034405152093102084</v>
      </c>
      <c r="F5434" s="4"/>
      <c r="G5434" s="4"/>
      <c r="H5434" s="4"/>
      <c r="I5434" s="10" t="str">
        <f>HYPERLINK("http://twitter.com/download/android","Twitter for Android")</f>
        <v>Twitter for Android</v>
      </c>
      <c r="J5434" s="2">
        <v>209</v>
      </c>
      <c r="K5434" s="2">
        <v>173</v>
      </c>
      <c r="L5434" s="2">
        <v>2</v>
      </c>
      <c r="M5434" s="2"/>
      <c r="N5434" s="8">
        <v>41250.651979166665</v>
      </c>
      <c r="O5434" s="4" t="s">
        <v>324</v>
      </c>
      <c r="P5434" s="3" t="s">
        <v>1941</v>
      </c>
      <c r="Q5434" s="10" t="s">
        <v>1940</v>
      </c>
      <c r="R5434" s="4"/>
      <c r="S5434" s="9" t="str">
        <f>HYPERLINK("https://pbs.twimg.com/profile_images/1031590653279567873/TjzbaPZM.jpg","View")</f>
        <v>View</v>
      </c>
    </row>
    <row r="5435" spans="1:19" ht="20">
      <c r="A5435" s="8">
        <v>43340.673310185186</v>
      </c>
      <c r="B5435" s="11" t="str">
        <f>HYPERLINK("https://twitter.com/shahabsmam","@shahabsmam")</f>
        <v>@shahabsmam</v>
      </c>
      <c r="C5435" s="6" t="s">
        <v>1939</v>
      </c>
      <c r="D5435" s="5" t="s">
        <v>1938</v>
      </c>
      <c r="E5435" s="9" t="str">
        <f>HYPERLINK("https://twitter.com/shahabsmam/status/1034405124339326976","1034405124339326976")</f>
        <v>1034405124339326976</v>
      </c>
      <c r="F5435" s="4"/>
      <c r="G5435" s="4"/>
      <c r="H5435" s="4"/>
      <c r="I5435" s="10" t="str">
        <f>HYPERLINK("http://twitter.com/download/android","Twitter for Android")</f>
        <v>Twitter for Android</v>
      </c>
      <c r="J5435" s="2">
        <v>898</v>
      </c>
      <c r="K5435" s="2">
        <v>668</v>
      </c>
      <c r="L5435" s="2">
        <v>3</v>
      </c>
      <c r="M5435" s="2"/>
      <c r="N5435" s="8">
        <v>42736.421018518522</v>
      </c>
      <c r="O5435" s="4" t="s">
        <v>1937</v>
      </c>
      <c r="P5435" s="3" t="s">
        <v>1936</v>
      </c>
      <c r="Q5435" s="4"/>
      <c r="R5435" s="4"/>
      <c r="S5435" s="9" t="str">
        <f>HYPERLINK("https://pbs.twimg.com/profile_images/906273560779513861/eGhkT1Z8.jpg","View")</f>
        <v>View</v>
      </c>
    </row>
    <row r="5436" spans="1:19" ht="20">
      <c r="A5436" s="8">
        <v>43340.672962962963</v>
      </c>
      <c r="B5436" s="11" t="str">
        <f>HYPERLINK("https://twitter.com/gin__and_tonic","@gin__and_tonic")</f>
        <v>@gin__and_tonic</v>
      </c>
      <c r="C5436" s="6" t="s">
        <v>1935</v>
      </c>
      <c r="D5436" s="5" t="s">
        <v>1934</v>
      </c>
      <c r="E5436" s="9" t="str">
        <f>HYPERLINK("https://twitter.com/gin__and_tonic/status/1034404996077551616","1034404996077551616")</f>
        <v>1034404996077551616</v>
      </c>
      <c r="F5436" s="4"/>
      <c r="G5436" s="4"/>
      <c r="H5436" s="4"/>
      <c r="I5436" s="10" t="str">
        <f>HYPERLINK("http://twitter.com/download/android","Twitter for Android")</f>
        <v>Twitter for Android</v>
      </c>
      <c r="J5436" s="2">
        <v>179</v>
      </c>
      <c r="K5436" s="2">
        <v>286</v>
      </c>
      <c r="L5436" s="2">
        <v>0</v>
      </c>
      <c r="M5436" s="2"/>
      <c r="N5436" s="8">
        <v>42430.035381944443</v>
      </c>
      <c r="O5436" s="4"/>
      <c r="P5436" s="3" t="s">
        <v>1933</v>
      </c>
      <c r="Q5436" s="4"/>
      <c r="R5436" s="4"/>
      <c r="S5436" s="9" t="str">
        <f>HYPERLINK("https://pbs.twimg.com/profile_images/954455569036955648/gLVeMa-6.jpg","View")</f>
        <v>View</v>
      </c>
    </row>
    <row r="5437" spans="1:19" ht="30">
      <c r="A5437" s="8">
        <v>43340.672627314816</v>
      </c>
      <c r="B5437" s="11" t="str">
        <f>HYPERLINK("https://twitter.com/baharenarenj","@baharenarenj")</f>
        <v>@baharenarenj</v>
      </c>
      <c r="C5437" s="6" t="s">
        <v>1932</v>
      </c>
      <c r="D5437" s="5" t="s">
        <v>1931</v>
      </c>
      <c r="E5437" s="9" t="str">
        <f>HYPERLINK("https://twitter.com/baharenarenj/status/1034404877626208256","1034404877626208256")</f>
        <v>1034404877626208256</v>
      </c>
      <c r="F5437" s="4"/>
      <c r="G5437" s="4"/>
      <c r="H5437" s="4"/>
      <c r="I5437" s="10" t="str">
        <f>HYPERLINK("http://twitter.com/download/android","Twitter for Android")</f>
        <v>Twitter for Android</v>
      </c>
      <c r="J5437" s="2">
        <v>952</v>
      </c>
      <c r="K5437" s="2">
        <v>461</v>
      </c>
      <c r="L5437" s="2">
        <v>14</v>
      </c>
      <c r="M5437" s="2"/>
      <c r="N5437" s="8">
        <v>40008.527905092589</v>
      </c>
      <c r="O5437" s="4" t="s">
        <v>1930</v>
      </c>
      <c r="P5437" s="3" t="s">
        <v>1929</v>
      </c>
      <c r="Q5437" s="10" t="s">
        <v>1928</v>
      </c>
      <c r="R5437" s="4"/>
      <c r="S5437" s="9" t="str">
        <f>HYPERLINK("https://pbs.twimg.com/profile_images/2244572411/CONVAR37.jpg","View")</f>
        <v>View</v>
      </c>
    </row>
    <row r="5438" spans="1:19" ht="30">
      <c r="A5438" s="8">
        <v>43340.672500000001</v>
      </c>
      <c r="B5438" s="11" t="str">
        <f>HYPERLINK("https://twitter.com/M_Shivapour","@M_Shivapour")</f>
        <v>@M_Shivapour</v>
      </c>
      <c r="C5438" s="6" t="s">
        <v>1927</v>
      </c>
      <c r="D5438" s="5" t="s">
        <v>1926</v>
      </c>
      <c r="E5438" s="9" t="str">
        <f>HYPERLINK("https://twitter.com/M_Shivapour/status/1034404831417565184","1034404831417565184")</f>
        <v>1034404831417565184</v>
      </c>
      <c r="F5438" s="4"/>
      <c r="G5438" s="10" t="s">
        <v>1925</v>
      </c>
      <c r="H5438" s="4"/>
      <c r="I5438" s="10" t="str">
        <f>HYPERLINK("http://twitter.com/download/android","Twitter for Android")</f>
        <v>Twitter for Android</v>
      </c>
      <c r="J5438" s="2">
        <v>90</v>
      </c>
      <c r="K5438" s="2">
        <v>82</v>
      </c>
      <c r="L5438" s="2">
        <v>0</v>
      </c>
      <c r="M5438" s="2"/>
      <c r="N5438" s="8">
        <v>42391.765671296293</v>
      </c>
      <c r="O5438" s="4" t="s">
        <v>34</v>
      </c>
      <c r="P5438" s="3" t="s">
        <v>1924</v>
      </c>
      <c r="Q5438" s="4"/>
      <c r="R5438" s="4"/>
      <c r="S5438" s="9" t="str">
        <f>HYPERLINK("https://pbs.twimg.com/profile_images/690580033035833344/QE8sbW4I.png","View")</f>
        <v>View</v>
      </c>
    </row>
    <row r="5439" spans="1:19" ht="12.5">
      <c r="A5439" s="8">
        <v>43340.672349537039</v>
      </c>
      <c r="B5439" s="11" t="str">
        <f>HYPERLINK("https://twitter.com/masoud_farz","@masoud_farz")</f>
        <v>@masoud_farz</v>
      </c>
      <c r="C5439" s="6" t="s">
        <v>1923</v>
      </c>
      <c r="D5439" s="5" t="s">
        <v>1922</v>
      </c>
      <c r="E5439" s="9" t="str">
        <f>HYPERLINK("https://twitter.com/masoud_farz/status/1034404774802731008","1034404774802731008")</f>
        <v>1034404774802731008</v>
      </c>
      <c r="F5439" s="4"/>
      <c r="G5439" s="10" t="s">
        <v>1921</v>
      </c>
      <c r="H5439" s="4"/>
      <c r="I5439" s="10" t="str">
        <f>HYPERLINK("http://twitter.com","Twitter Web Client")</f>
        <v>Twitter Web Client</v>
      </c>
      <c r="J5439" s="2">
        <v>135</v>
      </c>
      <c r="K5439" s="2">
        <v>68</v>
      </c>
      <c r="L5439" s="2">
        <v>0</v>
      </c>
      <c r="M5439" s="2"/>
      <c r="N5439" s="8">
        <v>42724.509282407409</v>
      </c>
      <c r="O5439" s="4" t="s">
        <v>1920</v>
      </c>
      <c r="P5439" s="3" t="s">
        <v>1919</v>
      </c>
      <c r="Q5439" s="4"/>
      <c r="R5439" s="4"/>
      <c r="S5439" s="9" t="str">
        <f>HYPERLINK("https://pbs.twimg.com/profile_images/1003230847015636993/1og0J6mM.jpg","View")</f>
        <v>View</v>
      </c>
    </row>
    <row r="5440" spans="1:19" ht="40">
      <c r="A5440" s="8">
        <v>43340.672326388885</v>
      </c>
      <c r="B5440" s="11" t="str">
        <f>HYPERLINK("https://twitter.com/Lavasani_saeid","@Lavasani_saeid")</f>
        <v>@Lavasani_saeid</v>
      </c>
      <c r="C5440" s="6" t="s">
        <v>1918</v>
      </c>
      <c r="D5440" s="5" t="s">
        <v>1917</v>
      </c>
      <c r="E5440" s="9" t="str">
        <f>HYPERLINK("https://twitter.com/Lavasani_saeid/status/1034404766997262336","1034404766997262336")</f>
        <v>1034404766997262336</v>
      </c>
      <c r="F5440" s="4"/>
      <c r="G5440" s="4"/>
      <c r="H5440" s="4"/>
      <c r="I5440" s="10" t="str">
        <f>HYPERLINK("http://twitter.com/download/android","Twitter for Android")</f>
        <v>Twitter for Android</v>
      </c>
      <c r="J5440" s="2">
        <v>393</v>
      </c>
      <c r="K5440" s="2">
        <v>22</v>
      </c>
      <c r="L5440" s="2">
        <v>4</v>
      </c>
      <c r="M5440" s="2"/>
      <c r="N5440" s="8">
        <v>43163.625590277778</v>
      </c>
      <c r="O5440" s="4"/>
      <c r="P5440" s="3" t="s">
        <v>1916</v>
      </c>
      <c r="Q5440" s="4"/>
      <c r="R5440" s="4"/>
      <c r="S5440" s="9" t="str">
        <f>HYPERLINK("https://pbs.twimg.com/profile_images/973796550190264320/vRtmEfv1.jpg","View")</f>
        <v>View</v>
      </c>
    </row>
    <row r="5441" spans="1:19" ht="20">
      <c r="A5441" s="8">
        <v>43340.672152777777</v>
      </c>
      <c r="B5441" s="11" t="str">
        <f>HYPERLINK("https://twitter.com/nihoon1990","@nihoon1990")</f>
        <v>@nihoon1990</v>
      </c>
      <c r="C5441" s="6" t="s">
        <v>1915</v>
      </c>
      <c r="D5441" s="5" t="s">
        <v>1914</v>
      </c>
      <c r="E5441" s="9" t="str">
        <f>HYPERLINK("https://twitter.com/nihoon1990/status/1034404704036511744","1034404704036511744")</f>
        <v>1034404704036511744</v>
      </c>
      <c r="F5441" s="4"/>
      <c r="G5441" s="4"/>
      <c r="H5441" s="4"/>
      <c r="I5441" s="10" t="str">
        <f>HYPERLINK("http://twitter.com/download/android","Twitter for Android")</f>
        <v>Twitter for Android</v>
      </c>
      <c r="J5441" s="2">
        <v>897</v>
      </c>
      <c r="K5441" s="2">
        <v>1102</v>
      </c>
      <c r="L5441" s="2">
        <v>3</v>
      </c>
      <c r="M5441" s="2"/>
      <c r="N5441" s="8">
        <v>41196.106006944443</v>
      </c>
      <c r="O5441" s="4" t="s">
        <v>1415</v>
      </c>
      <c r="P5441" s="3" t="s">
        <v>1913</v>
      </c>
      <c r="Q5441" s="4"/>
      <c r="R5441" s="4"/>
      <c r="S5441" s="9" t="str">
        <f>HYPERLINK("https://pbs.twimg.com/profile_images/982159681123569664/6uBkcpoK.jpg","View")</f>
        <v>View</v>
      </c>
    </row>
    <row r="5442" spans="1:19" ht="40">
      <c r="A5442" s="8">
        <v>43340.672152777777</v>
      </c>
      <c r="B5442" s="11" t="str">
        <f>HYPERLINK("https://twitter.com/rezannnnnnnn","@rezannnnnnnn")</f>
        <v>@rezannnnnnnn</v>
      </c>
      <c r="C5442" s="6" t="s">
        <v>1816</v>
      </c>
      <c r="D5442" s="5" t="s">
        <v>1912</v>
      </c>
      <c r="E5442" s="9" t="str">
        <f>HYPERLINK("https://twitter.com/rezannnnnnnn/status/1034404704007204865","1034404704007204865")</f>
        <v>1034404704007204865</v>
      </c>
      <c r="F5442" s="4"/>
      <c r="G5442" s="4"/>
      <c r="H5442" s="4"/>
      <c r="I5442" s="10" t="str">
        <f>HYPERLINK("http://twitter.com/download/android","Twitter for Android")</f>
        <v>Twitter for Android</v>
      </c>
      <c r="J5442" s="2">
        <v>180</v>
      </c>
      <c r="K5442" s="2">
        <v>1335</v>
      </c>
      <c r="L5442" s="2">
        <v>0</v>
      </c>
      <c r="M5442" s="2"/>
      <c r="N5442" s="8">
        <v>42833.635219907403</v>
      </c>
      <c r="O5442" s="4" t="s">
        <v>1814</v>
      </c>
      <c r="P5442" s="3" t="s">
        <v>1813</v>
      </c>
      <c r="Q5442" s="4"/>
      <c r="R5442" s="4"/>
      <c r="S5442" s="9" t="str">
        <f>HYPERLINK("https://pbs.twimg.com/profile_images/1028907930232545280/Jn0s9_Fb.jpg","View")</f>
        <v>View</v>
      </c>
    </row>
    <row r="5443" spans="1:19" ht="40">
      <c r="A5443" s="8">
        <v>43340.672083333338</v>
      </c>
      <c r="B5443" s="11" t="str">
        <f>HYPERLINK("https://twitter.com/Mj_ebrahimi65","@Mj_ebrahimi65")</f>
        <v>@Mj_ebrahimi65</v>
      </c>
      <c r="C5443" s="6" t="s">
        <v>514</v>
      </c>
      <c r="D5443" s="5" t="s">
        <v>1911</v>
      </c>
      <c r="E5443" s="9" t="str">
        <f>HYPERLINK("https://twitter.com/Mj_ebrahimi65/status/1034404681290797062","1034404681290797062")</f>
        <v>1034404681290797062</v>
      </c>
      <c r="F5443" s="4"/>
      <c r="G5443" s="4"/>
      <c r="H5443" s="4"/>
      <c r="I5443" s="10" t="str">
        <f>HYPERLINK("http://twitter.com/download/android","Twitter for Android")</f>
        <v>Twitter for Android</v>
      </c>
      <c r="J5443" s="2">
        <v>90</v>
      </c>
      <c r="K5443" s="2">
        <v>211</v>
      </c>
      <c r="L5443" s="2">
        <v>0</v>
      </c>
      <c r="M5443" s="2"/>
      <c r="N5443" s="8">
        <v>42893.80195601852</v>
      </c>
      <c r="O5443" s="4" t="s">
        <v>34</v>
      </c>
      <c r="P5443" s="3" t="s">
        <v>512</v>
      </c>
      <c r="Q5443" s="4"/>
      <c r="R5443" s="4"/>
      <c r="S5443" s="9" t="str">
        <f>HYPERLINK("https://pbs.twimg.com/profile_images/999715873706381312/w4RxcYxu.jpg","View")</f>
        <v>View</v>
      </c>
    </row>
    <row r="5444" spans="1:19" ht="20">
      <c r="A5444" s="8">
        <v>43340.672002314815</v>
      </c>
      <c r="B5444" s="11" t="str">
        <f>HYPERLINK("https://twitter.com/AJaafari1","@AJaafari1")</f>
        <v>@AJaafari1</v>
      </c>
      <c r="C5444" s="6" t="s">
        <v>1910</v>
      </c>
      <c r="D5444" s="5" t="s">
        <v>1909</v>
      </c>
      <c r="E5444" s="9" t="str">
        <f>HYPERLINK("https://twitter.com/AJaafari1/status/1034404651473555457","1034404651473555457")</f>
        <v>1034404651473555457</v>
      </c>
      <c r="F5444" s="4"/>
      <c r="G5444" s="4"/>
      <c r="H5444" s="4"/>
      <c r="I5444" s="10" t="str">
        <f>HYPERLINK("http://twitter.com/download/android","Twitter for Android")</f>
        <v>Twitter for Android</v>
      </c>
      <c r="J5444" s="2">
        <v>3517</v>
      </c>
      <c r="K5444" s="2">
        <v>2586</v>
      </c>
      <c r="L5444" s="2">
        <v>0</v>
      </c>
      <c r="M5444" s="2"/>
      <c r="N5444" s="8">
        <v>43221.61555555556</v>
      </c>
      <c r="O5444" s="4" t="s">
        <v>324</v>
      </c>
      <c r="P5444" s="3" t="s">
        <v>1908</v>
      </c>
      <c r="Q5444" s="4"/>
      <c r="R5444" s="4"/>
      <c r="S5444" s="9" t="str">
        <f>HYPERLINK("https://pbs.twimg.com/profile_images/991419608698638336/bnEA1XnM.jpg","View")</f>
        <v>View</v>
      </c>
    </row>
    <row r="5445" spans="1:19" ht="30">
      <c r="A5445" s="8">
        <v>43340.671597222223</v>
      </c>
      <c r="B5445" s="11" t="str">
        <f>HYPERLINK("https://twitter.com/RezaRostami1989","@RezaRostami1989")</f>
        <v>@RezaRostami1989</v>
      </c>
      <c r="C5445" s="6" t="s">
        <v>1867</v>
      </c>
      <c r="D5445" s="5" t="s">
        <v>1907</v>
      </c>
      <c r="E5445" s="9" t="str">
        <f>HYPERLINK("https://twitter.com/RezaRostami1989/status/1034404503511093250","1034404503511093250")</f>
        <v>1034404503511093250</v>
      </c>
      <c r="F5445" s="4"/>
      <c r="G5445" s="4"/>
      <c r="H5445" s="4"/>
      <c r="I5445" s="10" t="str">
        <f>HYPERLINK("http://twitter.com/download/iphone","Twitter for iPhone")</f>
        <v>Twitter for iPhone</v>
      </c>
      <c r="J5445" s="2">
        <v>14</v>
      </c>
      <c r="K5445" s="2">
        <v>136</v>
      </c>
      <c r="L5445" s="2">
        <v>0</v>
      </c>
      <c r="M5445" s="2"/>
      <c r="N5445" s="8">
        <v>42937.708148148144</v>
      </c>
      <c r="O5445" s="4" t="s">
        <v>34</v>
      </c>
      <c r="P5445" s="3"/>
      <c r="Q5445" s="4"/>
      <c r="R5445" s="4"/>
      <c r="S5445" s="9" t="str">
        <f>HYPERLINK("https://pbs.twimg.com/profile_images/888377681414422528/kN98HlMD.jpg","View")</f>
        <v>View</v>
      </c>
    </row>
    <row r="5446" spans="1:19" ht="30">
      <c r="A5446" s="8">
        <v>43340.671006944445</v>
      </c>
      <c r="B5446" s="11" t="str">
        <f>HYPERLINK("https://twitter.com/JRahimi5","@JRahimi5")</f>
        <v>@JRahimi5</v>
      </c>
      <c r="C5446" s="6" t="s">
        <v>1906</v>
      </c>
      <c r="D5446" s="5" t="s">
        <v>1905</v>
      </c>
      <c r="E5446" s="9" t="str">
        <f>HYPERLINK("https://twitter.com/JRahimi5/status/1034404290746621952","1034404290746621952")</f>
        <v>1034404290746621952</v>
      </c>
      <c r="F5446" s="4"/>
      <c r="G5446" s="4"/>
      <c r="H5446" s="4"/>
      <c r="I5446" s="10" t="str">
        <f>HYPERLINK("http://twitter.com","Twitter Web Client")</f>
        <v>Twitter Web Client</v>
      </c>
      <c r="J5446" s="2">
        <v>0</v>
      </c>
      <c r="K5446" s="2">
        <v>0</v>
      </c>
      <c r="L5446" s="2">
        <v>0</v>
      </c>
      <c r="M5446" s="2"/>
      <c r="N5446" s="8">
        <v>43340.635555555556</v>
      </c>
      <c r="O5446" s="4"/>
      <c r="P5446" s="3"/>
      <c r="Q5446" s="4"/>
      <c r="R5446" s="4"/>
      <c r="S5446" s="9" t="str">
        <f>HYPERLINK("https://pbs.twimg.com/profile_images/1034397852649152512/RsM5OdiU.jpg","View")</f>
        <v>View</v>
      </c>
    </row>
    <row r="5447" spans="1:19" ht="40">
      <c r="A5447" s="8">
        <v>43340.670983796299</v>
      </c>
      <c r="B5447" s="11" t="str">
        <f>HYPERLINK("https://twitter.com/Mehdi_Heydari1","@Mehdi_Heydari1")</f>
        <v>@Mehdi_Heydari1</v>
      </c>
      <c r="C5447" s="6" t="s">
        <v>1904</v>
      </c>
      <c r="D5447" s="5" t="s">
        <v>1903</v>
      </c>
      <c r="E5447" s="9" t="str">
        <f>HYPERLINK("https://twitter.com/Mehdi_Heydari1/status/1034404279099039744","1034404279099039744")</f>
        <v>1034404279099039744</v>
      </c>
      <c r="F5447" s="4"/>
      <c r="G5447" s="10" t="s">
        <v>1902</v>
      </c>
      <c r="H5447" s="4"/>
      <c r="I5447" s="10" t="str">
        <f>HYPERLINK("http://twitter.com/download/iphone","Twitter for iPhone")</f>
        <v>Twitter for iPhone</v>
      </c>
      <c r="J5447" s="2">
        <v>381</v>
      </c>
      <c r="K5447" s="2">
        <v>625</v>
      </c>
      <c r="L5447" s="2">
        <v>0</v>
      </c>
      <c r="M5447" s="2"/>
      <c r="N5447" s="8">
        <v>42208.125138888892</v>
      </c>
      <c r="O5447" s="4"/>
      <c r="P5447" s="3" t="s">
        <v>1901</v>
      </c>
      <c r="Q5447" s="4"/>
      <c r="R5447" s="4"/>
      <c r="S5447" s="9" t="str">
        <f>HYPERLINK("https://pbs.twimg.com/profile_images/875137832003792896/tIPQF3Rk.jpg","View")</f>
        <v>View</v>
      </c>
    </row>
    <row r="5448" spans="1:19" ht="40">
      <c r="A5448" s="8">
        <v>43340.67052083333</v>
      </c>
      <c r="B5448" s="11" t="str">
        <f>HYPERLINK("https://twitter.com/saeidbarati2","@saeidbarati2")</f>
        <v>@saeidbarati2</v>
      </c>
      <c r="C5448" s="6" t="s">
        <v>1900</v>
      </c>
      <c r="D5448" s="5" t="s">
        <v>1899</v>
      </c>
      <c r="E5448" s="9" t="str">
        <f>HYPERLINK("https://twitter.com/saeidbarati2/status/1034404113201721344","1034404113201721344")</f>
        <v>1034404113201721344</v>
      </c>
      <c r="F5448" s="4"/>
      <c r="G5448" s="4"/>
      <c r="H5448" s="4"/>
      <c r="I5448" s="10" t="str">
        <f>HYPERLINK("http://twitter.com/download/iphone","Twitter for iPhone")</f>
        <v>Twitter for iPhone</v>
      </c>
      <c r="J5448" s="2">
        <v>13</v>
      </c>
      <c r="K5448" s="2">
        <v>31</v>
      </c>
      <c r="L5448" s="2">
        <v>0</v>
      </c>
      <c r="M5448" s="2"/>
      <c r="N5448" s="8">
        <v>43333.113078703704</v>
      </c>
      <c r="O5448" s="4" t="s">
        <v>1898</v>
      </c>
      <c r="P5448" s="3"/>
      <c r="Q5448" s="4"/>
      <c r="R5448" s="4"/>
      <c r="S5448" s="9" t="str">
        <f>HYPERLINK("https://pbs.twimg.com/profile_images/1031672848673386503/-B7VS5B4.jpg","View")</f>
        <v>View</v>
      </c>
    </row>
    <row r="5449" spans="1:19" ht="30">
      <c r="A5449" s="8">
        <v>43340.670046296298</v>
      </c>
      <c r="B5449" s="11" t="str">
        <f>HYPERLINK("https://twitter.com/towhaten","@towhaten")</f>
        <v>@towhaten</v>
      </c>
      <c r="C5449" s="6" t="s">
        <v>1897</v>
      </c>
      <c r="D5449" s="5" t="s">
        <v>1896</v>
      </c>
      <c r="E5449" s="9" t="str">
        <f>HYPERLINK("https://twitter.com/towhaten/status/1034403941541392385","1034403941541392385")</f>
        <v>1034403941541392385</v>
      </c>
      <c r="F5449" s="4"/>
      <c r="G5449" s="10" t="s">
        <v>1895</v>
      </c>
      <c r="H5449" s="4"/>
      <c r="I5449" s="10" t="str">
        <f>HYPERLINK("http://twitter.com/download/iphone","Twitter for iPhone")</f>
        <v>Twitter for iPhone</v>
      </c>
      <c r="J5449" s="2">
        <v>556</v>
      </c>
      <c r="K5449" s="2">
        <v>573</v>
      </c>
      <c r="L5449" s="2">
        <v>0</v>
      </c>
      <c r="M5449" s="2"/>
      <c r="N5449" s="8">
        <v>42770.027233796296</v>
      </c>
      <c r="O5449" s="4" t="s">
        <v>1894</v>
      </c>
      <c r="P5449" s="3" t="s">
        <v>1893</v>
      </c>
      <c r="Q5449" s="4"/>
      <c r="R5449" s="4"/>
      <c r="S5449" s="9" t="str">
        <f>HYPERLINK("https://pbs.twimg.com/profile_images/991689728251645953/-oATHhTe.jpg","View")</f>
        <v>View</v>
      </c>
    </row>
    <row r="5450" spans="1:19" ht="40">
      <c r="A5450" s="8">
        <v>43340.669895833329</v>
      </c>
      <c r="B5450" s="11" t="str">
        <f>HYPERLINK("https://twitter.com/MardaneMorteza","@MardaneMorteza")</f>
        <v>@MardaneMorteza</v>
      </c>
      <c r="C5450" s="6" t="s">
        <v>1892</v>
      </c>
      <c r="D5450" s="5" t="s">
        <v>1891</v>
      </c>
      <c r="E5450" s="9" t="str">
        <f>HYPERLINK("https://twitter.com/MardaneMorteza/status/1034403887346802689","1034403887346802689")</f>
        <v>1034403887346802689</v>
      </c>
      <c r="F5450" s="4"/>
      <c r="G5450" s="4"/>
      <c r="H5450" s="4"/>
      <c r="I5450" s="10" t="str">
        <f>HYPERLINK("http://twitter.com","Twitter Web Client")</f>
        <v>Twitter Web Client</v>
      </c>
      <c r="J5450" s="2">
        <v>881</v>
      </c>
      <c r="K5450" s="2">
        <v>4957</v>
      </c>
      <c r="L5450" s="2">
        <v>0</v>
      </c>
      <c r="M5450" s="2"/>
      <c r="N5450" s="8">
        <v>43278.495324074072</v>
      </c>
      <c r="O5450" s="4"/>
      <c r="P5450" s="3" t="s">
        <v>1890</v>
      </c>
      <c r="Q5450" s="4"/>
      <c r="R5450" s="4"/>
      <c r="S5450" s="9" t="str">
        <f>HYPERLINK("https://pbs.twimg.com/profile_images/1028070288515158016/XRis_col.jpg","View")</f>
        <v>View</v>
      </c>
    </row>
    <row r="5451" spans="1:19" ht="50">
      <c r="A5451" s="8">
        <v>43340.669189814813</v>
      </c>
      <c r="B5451" s="11" t="str">
        <f>HYPERLINK("https://twitter.com/restart_0ho0","@restart_0ho0")</f>
        <v>@restart_0ho0</v>
      </c>
      <c r="C5451" s="6" t="s">
        <v>1889</v>
      </c>
      <c r="D5451" s="5" t="s">
        <v>1888</v>
      </c>
      <c r="E5451" s="9" t="str">
        <f>HYPERLINK("https://twitter.com/restart_0ho0/status/1034403632014405633","1034403632014405633")</f>
        <v>1034403632014405633</v>
      </c>
      <c r="F5451" s="4"/>
      <c r="G5451" s="4"/>
      <c r="H5451" s="4"/>
      <c r="I5451" s="10" t="str">
        <f>HYPERLINK("http://twitter.com/download/android","Twitter for Android")</f>
        <v>Twitter for Android</v>
      </c>
      <c r="J5451" s="2">
        <v>361</v>
      </c>
      <c r="K5451" s="2">
        <v>115</v>
      </c>
      <c r="L5451" s="2">
        <v>1</v>
      </c>
      <c r="M5451" s="2"/>
      <c r="N5451" s="8">
        <v>43135.789837962962</v>
      </c>
      <c r="O5451" s="4"/>
      <c r="P5451" s="3" t="s">
        <v>1887</v>
      </c>
      <c r="Q5451" s="10" t="s">
        <v>1886</v>
      </c>
      <c r="R5451" s="4"/>
      <c r="S5451" s="9" t="str">
        <f>HYPERLINK("https://pbs.twimg.com/profile_images/1018264481938460672/Z4-ZxVhg.jpg","View")</f>
        <v>View</v>
      </c>
    </row>
    <row r="5452" spans="1:19" ht="30">
      <c r="A5452" s="8">
        <v>43340.669131944444</v>
      </c>
      <c r="B5452" s="11" t="str">
        <f>HYPERLINK("https://twitter.com/Faa_raa135","@Faa_raa135")</f>
        <v>@Faa_raa135</v>
      </c>
      <c r="C5452" s="6" t="s">
        <v>1885</v>
      </c>
      <c r="D5452" s="5" t="s">
        <v>1884</v>
      </c>
      <c r="E5452" s="9" t="str">
        <f>HYPERLINK("https://twitter.com/Faa_raa135/status/1034403608903798784","1034403608903798784")</f>
        <v>1034403608903798784</v>
      </c>
      <c r="F5452" s="4"/>
      <c r="G5452" s="4"/>
      <c r="H5452" s="4"/>
      <c r="I5452" s="10" t="str">
        <f>HYPERLINK("http://twitter.com/download/android","Twitter for Android")</f>
        <v>Twitter for Android</v>
      </c>
      <c r="J5452" s="2">
        <v>1949</v>
      </c>
      <c r="K5452" s="2">
        <v>674</v>
      </c>
      <c r="L5452" s="2">
        <v>10</v>
      </c>
      <c r="M5452" s="2"/>
      <c r="N5452" s="8">
        <v>42854.605509259258</v>
      </c>
      <c r="O5452" s="4" t="s">
        <v>17</v>
      </c>
      <c r="P5452" s="3" t="s">
        <v>1883</v>
      </c>
      <c r="Q5452" s="4"/>
      <c r="R5452" s="4"/>
      <c r="S5452" s="9" t="str">
        <f>HYPERLINK("https://pbs.twimg.com/profile_images/1033053707934593024/d0FRUOML.jpg","View")</f>
        <v>View</v>
      </c>
    </row>
    <row r="5453" spans="1:19" ht="40">
      <c r="A5453" s="8">
        <v>43340.668981481482</v>
      </c>
      <c r="B5453" s="11" t="str">
        <f>HYPERLINK("https://twitter.com/kamalhoseini1","@kamalhoseini1")</f>
        <v>@kamalhoseini1</v>
      </c>
      <c r="C5453" s="6" t="s">
        <v>1882</v>
      </c>
      <c r="D5453" s="5" t="s">
        <v>1881</v>
      </c>
      <c r="E5453" s="9" t="str">
        <f>HYPERLINK("https://twitter.com/kamalhoseini1/status/1034403554470047745","1034403554470047745")</f>
        <v>1034403554470047745</v>
      </c>
      <c r="F5453" s="4"/>
      <c r="G5453" s="4"/>
      <c r="H5453" s="4"/>
      <c r="I5453" s="10" t="str">
        <f>HYPERLINK("http://twitter.com/download/iphone","Twitter for iPhone")</f>
        <v>Twitter for iPhone</v>
      </c>
      <c r="J5453" s="2">
        <v>1604</v>
      </c>
      <c r="K5453" s="2">
        <v>2703</v>
      </c>
      <c r="L5453" s="2">
        <v>7</v>
      </c>
      <c r="M5453" s="2"/>
      <c r="N5453" s="8">
        <v>41419.660219907411</v>
      </c>
      <c r="O5453" s="4"/>
      <c r="P5453" s="3" t="s">
        <v>1880</v>
      </c>
      <c r="Q5453" s="10" t="s">
        <v>1879</v>
      </c>
      <c r="R5453" s="4"/>
      <c r="S5453" s="9" t="str">
        <f>HYPERLINK("https://pbs.twimg.com/profile_images/998082287332876288/pPcP7rXM.jpg","View")</f>
        <v>View</v>
      </c>
    </row>
    <row r="5454" spans="1:19" ht="30">
      <c r="A5454" s="8">
        <v>43340.668888888889</v>
      </c>
      <c r="B5454" s="11" t="str">
        <f>HYPERLINK("https://twitter.com/CoderHossein","@CoderHossein")</f>
        <v>@CoderHossein</v>
      </c>
      <c r="C5454" s="6" t="s">
        <v>1878</v>
      </c>
      <c r="D5454" s="5" t="s">
        <v>1877</v>
      </c>
      <c r="E5454" s="9" t="str">
        <f>HYPERLINK("https://twitter.com/CoderHossein/status/1034403521666400257","1034403521666400257")</f>
        <v>1034403521666400257</v>
      </c>
      <c r="F5454" s="10" t="s">
        <v>1876</v>
      </c>
      <c r="G5454" s="4"/>
      <c r="H5454" s="4"/>
      <c r="I5454" s="10" t="str">
        <f>HYPERLINK("http://twitter.com","Twitter Web Client")</f>
        <v>Twitter Web Client</v>
      </c>
      <c r="J5454" s="2">
        <v>2</v>
      </c>
      <c r="K5454" s="2">
        <v>2</v>
      </c>
      <c r="L5454" s="2">
        <v>0</v>
      </c>
      <c r="M5454" s="2"/>
      <c r="N5454" s="8">
        <v>43340.460914351846</v>
      </c>
      <c r="O5454" s="4" t="s">
        <v>1415</v>
      </c>
      <c r="P5454" s="3" t="s">
        <v>1875</v>
      </c>
      <c r="Q5454" s="4"/>
      <c r="R5454" s="4"/>
      <c r="S5454" s="9" t="str">
        <f>HYPERLINK("https://pbs.twimg.com/profile_images/1034329471510372354/gTiSjc43.jpg","View")</f>
        <v>View</v>
      </c>
    </row>
    <row r="5455" spans="1:19" ht="20">
      <c r="A5455" s="8">
        <v>43340.668865740736</v>
      </c>
      <c r="B5455" s="11" t="str">
        <f>HYPERLINK("https://twitter.com/hodhod_97","@hodhod_97")</f>
        <v>@hodhod_97</v>
      </c>
      <c r="C5455" s="6" t="s">
        <v>1874</v>
      </c>
      <c r="D5455" s="5" t="s">
        <v>1873</v>
      </c>
      <c r="E5455" s="9" t="str">
        <f>HYPERLINK("https://twitter.com/hodhod_97/status/1034403513189761025","1034403513189761025")</f>
        <v>1034403513189761025</v>
      </c>
      <c r="F5455" s="4"/>
      <c r="G5455" s="10" t="s">
        <v>1872</v>
      </c>
      <c r="H5455" s="4"/>
      <c r="I5455" s="10" t="str">
        <f>HYPERLINK("http://twitter.com","Twitter Web Client")</f>
        <v>Twitter Web Client</v>
      </c>
      <c r="J5455" s="2">
        <v>650</v>
      </c>
      <c r="K5455" s="2">
        <v>2191</v>
      </c>
      <c r="L5455" s="2">
        <v>0</v>
      </c>
      <c r="M5455" s="2"/>
      <c r="N5455" s="8">
        <v>43337.775081018517</v>
      </c>
      <c r="O5455" s="4"/>
      <c r="P5455" s="3"/>
      <c r="Q5455" s="4"/>
      <c r="R5455" s="4"/>
      <c r="S5455" s="9" t="str">
        <f>HYPERLINK("https://pbs.twimg.com/profile_images/1033370478411431937/5d84V1tk.jpg","View")</f>
        <v>View</v>
      </c>
    </row>
    <row r="5456" spans="1:19" ht="30">
      <c r="A5456" s="8">
        <v>43340.668622685189</v>
      </c>
      <c r="B5456" s="11" t="str">
        <f>HYPERLINK("https://twitter.com/abookomeyl","@abookomeyl")</f>
        <v>@abookomeyl</v>
      </c>
      <c r="C5456" s="6" t="s">
        <v>1836</v>
      </c>
      <c r="D5456" s="5" t="s">
        <v>1871</v>
      </c>
      <c r="E5456" s="9" t="str">
        <f>HYPERLINK("https://twitter.com/abookomeyl/status/1034403426153766913","1034403426153766913")</f>
        <v>1034403426153766913</v>
      </c>
      <c r="F5456" s="4"/>
      <c r="G5456" s="4"/>
      <c r="H5456" s="4"/>
      <c r="I5456" s="10" t="str">
        <f>HYPERLINK("http://twitter.com/download/android","Twitter for Android")</f>
        <v>Twitter for Android</v>
      </c>
      <c r="J5456" s="2">
        <v>6656</v>
      </c>
      <c r="K5456" s="2">
        <v>2533</v>
      </c>
      <c r="L5456" s="2">
        <v>13</v>
      </c>
      <c r="M5456" s="2"/>
      <c r="N5456" s="8">
        <v>43117.241678240738</v>
      </c>
      <c r="O5456" s="4" t="s">
        <v>1834</v>
      </c>
      <c r="P5456" s="3" t="s">
        <v>1833</v>
      </c>
      <c r="Q5456" s="4"/>
      <c r="R5456" s="4"/>
      <c r="S5456" s="9" t="str">
        <f>HYPERLINK("https://pbs.twimg.com/profile_images/1011690125686988801/f-Jhu0Kn.jpg","View")</f>
        <v>View</v>
      </c>
    </row>
    <row r="5457" spans="1:19" ht="40">
      <c r="A5457" s="8">
        <v>43340.668622685189</v>
      </c>
      <c r="B5457" s="11" t="str">
        <f>HYPERLINK("https://twitter.com/AliSoltanyy","@AliSoltanyy")</f>
        <v>@AliSoltanyy</v>
      </c>
      <c r="C5457" s="6" t="s">
        <v>1870</v>
      </c>
      <c r="D5457" s="5" t="s">
        <v>1869</v>
      </c>
      <c r="E5457" s="9" t="str">
        <f>HYPERLINK("https://twitter.com/AliSoltanyy/status/1034403425369423873","1034403425369423873")</f>
        <v>1034403425369423873</v>
      </c>
      <c r="F5457" s="4"/>
      <c r="G5457" s="4"/>
      <c r="H5457" s="4"/>
      <c r="I5457" s="10" t="str">
        <f>HYPERLINK("http://twitter.com/download/android","Twitter for Android")</f>
        <v>Twitter for Android</v>
      </c>
      <c r="J5457" s="2">
        <v>114</v>
      </c>
      <c r="K5457" s="2">
        <v>127</v>
      </c>
      <c r="L5457" s="2">
        <v>0</v>
      </c>
      <c r="M5457" s="2"/>
      <c r="N5457" s="8">
        <v>42779.751817129625</v>
      </c>
      <c r="O5457" s="4"/>
      <c r="P5457" s="3" t="s">
        <v>1868</v>
      </c>
      <c r="Q5457" s="4"/>
      <c r="R5457" s="4"/>
      <c r="S5457" s="9" t="str">
        <f>HYPERLINK("https://pbs.twimg.com/profile_images/838857742605508609/RD9uywdl.jpg","View")</f>
        <v>View</v>
      </c>
    </row>
    <row r="5458" spans="1:19" ht="20">
      <c r="A5458" s="8">
        <v>43340.668402777781</v>
      </c>
      <c r="B5458" s="11" t="str">
        <f>HYPERLINK("https://twitter.com/RezaRostami1989","@RezaRostami1989")</f>
        <v>@RezaRostami1989</v>
      </c>
      <c r="C5458" s="6" t="s">
        <v>1867</v>
      </c>
      <c r="D5458" s="5" t="s">
        <v>1866</v>
      </c>
      <c r="E5458" s="9" t="str">
        <f>HYPERLINK("https://twitter.com/RezaRostami1989/status/1034403343823761408","1034403343823761408")</f>
        <v>1034403343823761408</v>
      </c>
      <c r="F5458" s="4"/>
      <c r="G5458" s="4"/>
      <c r="H5458" s="4"/>
      <c r="I5458" s="10" t="str">
        <f>HYPERLINK("http://twitter.com/download/iphone","Twitter for iPhone")</f>
        <v>Twitter for iPhone</v>
      </c>
      <c r="J5458" s="2">
        <v>14</v>
      </c>
      <c r="K5458" s="2">
        <v>136</v>
      </c>
      <c r="L5458" s="2">
        <v>0</v>
      </c>
      <c r="M5458" s="2"/>
      <c r="N5458" s="8">
        <v>42937.708148148144</v>
      </c>
      <c r="O5458" s="4" t="s">
        <v>34</v>
      </c>
      <c r="P5458" s="3"/>
      <c r="Q5458" s="4"/>
      <c r="R5458" s="4"/>
      <c r="S5458" s="9" t="str">
        <f>HYPERLINK("https://pbs.twimg.com/profile_images/888377681414422528/kN98HlMD.jpg","View")</f>
        <v>View</v>
      </c>
    </row>
    <row r="5459" spans="1:19" ht="30">
      <c r="A5459" s="8">
        <v>43340.668356481481</v>
      </c>
      <c r="B5459" s="11" t="str">
        <f>HYPERLINK("https://twitter.com/msadpm","@msadpm")</f>
        <v>@msadpm</v>
      </c>
      <c r="C5459" s="6" t="s">
        <v>1696</v>
      </c>
      <c r="D5459" s="5" t="s">
        <v>1865</v>
      </c>
      <c r="E5459" s="9" t="str">
        <f>HYPERLINK("https://twitter.com/msadpm/status/1034403328631951361","1034403328631951361")</f>
        <v>1034403328631951361</v>
      </c>
      <c r="F5459" s="4"/>
      <c r="G5459" s="4"/>
      <c r="H5459" s="4"/>
      <c r="I5459" s="10" t="str">
        <f>HYPERLINK("http://twitter.com","Twitter Web Client")</f>
        <v>Twitter Web Client</v>
      </c>
      <c r="J5459" s="2">
        <v>1</v>
      </c>
      <c r="K5459" s="2">
        <v>8</v>
      </c>
      <c r="L5459" s="2">
        <v>0</v>
      </c>
      <c r="M5459" s="2"/>
      <c r="N5459" s="8">
        <v>43309.653935185182</v>
      </c>
      <c r="O5459" s="4"/>
      <c r="P5459" s="3"/>
      <c r="Q5459" s="4"/>
      <c r="R5459" s="4"/>
      <c r="S5459" s="9" t="str">
        <f>HYPERLINK("https://pbs.twimg.com/profile_images/1026467437196320768/-Ytvr8hI.jpg","View")</f>
        <v>View</v>
      </c>
    </row>
    <row r="5460" spans="1:19" ht="12.5">
      <c r="A5460" s="8">
        <v>43340.668310185181</v>
      </c>
      <c r="B5460" s="11" t="str">
        <f>HYPERLINK("https://twitter.com/khansari_ali_","@khansari_ali_")</f>
        <v>@khansari_ali_</v>
      </c>
      <c r="C5460" s="6" t="s">
        <v>1864</v>
      </c>
      <c r="D5460" s="5" t="s">
        <v>1863</v>
      </c>
      <c r="E5460" s="9" t="str">
        <f>HYPERLINK("https://twitter.com/khansari_ali_/status/1034403311733170176","1034403311733170176")</f>
        <v>1034403311733170176</v>
      </c>
      <c r="F5460" s="4"/>
      <c r="G5460" s="4"/>
      <c r="H5460" s="4"/>
      <c r="I5460" s="10" t="str">
        <f>HYPERLINK("http://twitter.com/download/android","Twitter for Android")</f>
        <v>Twitter for Android</v>
      </c>
      <c r="J5460" s="2">
        <v>103</v>
      </c>
      <c r="K5460" s="2">
        <v>191</v>
      </c>
      <c r="L5460" s="2">
        <v>1</v>
      </c>
      <c r="M5460" s="2"/>
      <c r="N5460" s="8">
        <v>42951.082557870366</v>
      </c>
      <c r="O5460" s="4" t="s">
        <v>324</v>
      </c>
      <c r="P5460" s="3" t="s">
        <v>1862</v>
      </c>
      <c r="Q5460" s="10" t="s">
        <v>1861</v>
      </c>
      <c r="R5460" s="4"/>
      <c r="S5460" s="9" t="str">
        <f>HYPERLINK("https://pbs.twimg.com/profile_images/978898947849715714/p4Rs9Hbd.jpg","View")</f>
        <v>View</v>
      </c>
    </row>
    <row r="5461" spans="1:19" ht="20">
      <c r="A5461" s="8">
        <v>43340.668263888889</v>
      </c>
      <c r="B5461" s="11" t="str">
        <f>HYPERLINK("https://twitter.com/zohoor313","@zohoor313")</f>
        <v>@zohoor313</v>
      </c>
      <c r="C5461" s="6" t="s">
        <v>1860</v>
      </c>
      <c r="D5461" s="5" t="s">
        <v>1859</v>
      </c>
      <c r="E5461" s="9" t="str">
        <f>HYPERLINK("https://twitter.com/zohoor313/status/1034403294477778945","1034403294477778945")</f>
        <v>1034403294477778945</v>
      </c>
      <c r="F5461" s="4"/>
      <c r="G5461" s="4"/>
      <c r="H5461" s="4"/>
      <c r="I5461" s="10" t="str">
        <f>HYPERLINK("http://twitter.com/download/android","Twitter for Android")</f>
        <v>Twitter for Android</v>
      </c>
      <c r="J5461" s="2">
        <v>2312</v>
      </c>
      <c r="K5461" s="2">
        <v>2775</v>
      </c>
      <c r="L5461" s="2">
        <v>2</v>
      </c>
      <c r="M5461" s="2"/>
      <c r="N5461" s="8">
        <v>42494.411608796298</v>
      </c>
      <c r="O5461" s="4" t="s">
        <v>34</v>
      </c>
      <c r="P5461" s="3" t="s">
        <v>1858</v>
      </c>
      <c r="Q5461" s="4"/>
      <c r="R5461" s="4"/>
      <c r="S5461" s="9" t="str">
        <f>HYPERLINK("https://pbs.twimg.com/profile_images/1019256941829386246/R6AWelt0.jpg","View")</f>
        <v>View</v>
      </c>
    </row>
    <row r="5462" spans="1:19" ht="20">
      <c r="A5462" s="8">
        <v>43340.668229166666</v>
      </c>
      <c r="B5462" s="11" t="str">
        <f>HYPERLINK("https://twitter.com/DaneshMeisam","@DaneshMeisam")</f>
        <v>@DaneshMeisam</v>
      </c>
      <c r="C5462" s="6" t="s">
        <v>1857</v>
      </c>
      <c r="D5462" s="5" t="s">
        <v>1856</v>
      </c>
      <c r="E5462" s="9" t="str">
        <f>HYPERLINK("https://twitter.com/DaneshMeisam/status/1034403283274817538","1034403283274817538")</f>
        <v>1034403283274817538</v>
      </c>
      <c r="F5462" s="4"/>
      <c r="G5462" s="4"/>
      <c r="H5462" s="4"/>
      <c r="I5462" s="10" t="str">
        <f>HYPERLINK("http://twitter.com/download/iphone","Twitter for iPhone")</f>
        <v>Twitter for iPhone</v>
      </c>
      <c r="J5462" s="2">
        <v>19</v>
      </c>
      <c r="K5462" s="2">
        <v>74</v>
      </c>
      <c r="L5462" s="2">
        <v>0</v>
      </c>
      <c r="M5462" s="2"/>
      <c r="N5462" s="8">
        <v>43251.551319444443</v>
      </c>
      <c r="O5462" s="4" t="s">
        <v>34</v>
      </c>
      <c r="P5462" s="3" t="s">
        <v>1855</v>
      </c>
      <c r="Q5462" s="4"/>
      <c r="R5462" s="4"/>
      <c r="S5462" s="9" t="str">
        <f>HYPERLINK("https://pbs.twimg.com/profile_images/1002122002738614272/ZSgt8-ca.jpg","View")</f>
        <v>View</v>
      </c>
    </row>
    <row r="5463" spans="1:19" ht="40">
      <c r="A5463" s="8">
        <v>43340.667569444442</v>
      </c>
      <c r="B5463" s="11" t="str">
        <f>HYPERLINK("https://twitter.com/mdrshhn","@mdrshhn")</f>
        <v>@mdrshhn</v>
      </c>
      <c r="C5463" s="6" t="s">
        <v>1854</v>
      </c>
      <c r="D5463" s="5" t="s">
        <v>1853</v>
      </c>
      <c r="E5463" s="9" t="str">
        <f>HYPERLINK("https://twitter.com/mdrshhn/status/1034403045214306304","1034403045214306304")</f>
        <v>1034403045214306304</v>
      </c>
      <c r="F5463" s="4"/>
      <c r="G5463" s="4"/>
      <c r="H5463" s="4"/>
      <c r="I5463" s="10" t="str">
        <f>HYPERLINK("http://twitter.com/download/iphone","Twitter for iPhone")</f>
        <v>Twitter for iPhone</v>
      </c>
      <c r="J5463" s="2">
        <v>48</v>
      </c>
      <c r="K5463" s="2">
        <v>242</v>
      </c>
      <c r="L5463" s="2">
        <v>0</v>
      </c>
      <c r="M5463" s="2"/>
      <c r="N5463" s="8">
        <v>41381.973715277782</v>
      </c>
      <c r="O5463" s="4" t="s">
        <v>1852</v>
      </c>
      <c r="P5463" s="3" t="s">
        <v>1851</v>
      </c>
      <c r="Q5463" s="10" t="s">
        <v>1850</v>
      </c>
      <c r="R5463" s="4"/>
      <c r="S5463" s="9" t="str">
        <f>HYPERLINK("https://pbs.twimg.com/profile_images/960723872734633986/5CXC2K8w.jpg","View")</f>
        <v>View</v>
      </c>
    </row>
    <row r="5464" spans="1:19" ht="40">
      <c r="A5464" s="8">
        <v>43340.667118055557</v>
      </c>
      <c r="B5464" s="11" t="str">
        <f>HYPERLINK("https://twitter.com/RadioFarda_","@RadioFarda_")</f>
        <v>@RadioFarda_</v>
      </c>
      <c r="C5464" s="6" t="s">
        <v>876</v>
      </c>
      <c r="D5464" s="5" t="s">
        <v>1849</v>
      </c>
      <c r="E5464" s="9" t="str">
        <f>HYPERLINK("https://twitter.com/RadioFarda_/status/1034402881326264321","1034402881326264321")</f>
        <v>1034402881326264321</v>
      </c>
      <c r="F5464" s="4"/>
      <c r="G5464" s="10" t="s">
        <v>1848</v>
      </c>
      <c r="H5464" s="4"/>
      <c r="I5464" s="10" t="str">
        <f>HYPERLINK("http://twitter.com","Twitter Web Client")</f>
        <v>Twitter Web Client</v>
      </c>
      <c r="J5464" s="2">
        <v>490085</v>
      </c>
      <c r="K5464" s="2">
        <v>5</v>
      </c>
      <c r="L5464" s="2">
        <v>852</v>
      </c>
      <c r="M5464" s="2" t="s">
        <v>80</v>
      </c>
      <c r="N5464" s="8">
        <v>39907.1644212963</v>
      </c>
      <c r="O5464" s="4" t="s">
        <v>873</v>
      </c>
      <c r="P5464" s="3" t="s">
        <v>872</v>
      </c>
      <c r="Q5464" s="10" t="s">
        <v>871</v>
      </c>
      <c r="R5464" s="4"/>
      <c r="S5464" s="9" t="str">
        <f>HYPERLINK("https://pbs.twimg.com/profile_images/446670386831192065/HyVCePFa.png","View")</f>
        <v>View</v>
      </c>
    </row>
    <row r="5465" spans="1:19" ht="12.5">
      <c r="A5465" s="8">
        <v>43340.667083333334</v>
      </c>
      <c r="B5465" s="11" t="str">
        <f>HYPERLINK("https://twitter.com/Trendfa","@Trendfa")</f>
        <v>@Trendfa</v>
      </c>
      <c r="C5465" s="6" t="s">
        <v>1847</v>
      </c>
      <c r="D5465" s="5" t="s">
        <v>1846</v>
      </c>
      <c r="E5465" s="9" t="str">
        <f>HYPERLINK("https://twitter.com/Trendfa/status/1034402867916886016","1034402867916886016")</f>
        <v>1034402867916886016</v>
      </c>
      <c r="F5465" s="4"/>
      <c r="G5465" s="4"/>
      <c r="H5465" s="4"/>
      <c r="I5465" s="10" t="str">
        <f>HYPERLINK("http://trendfa.mostafar.com","TrendFa")</f>
        <v>TrendFa</v>
      </c>
      <c r="J5465" s="2">
        <v>1264</v>
      </c>
      <c r="K5465" s="2">
        <v>642</v>
      </c>
      <c r="L5465" s="2">
        <v>9</v>
      </c>
      <c r="M5465" s="2"/>
      <c r="N5465" s="8">
        <v>42854.236793981487</v>
      </c>
      <c r="O5465" s="4" t="s">
        <v>1770</v>
      </c>
      <c r="P5465" s="3" t="s">
        <v>1845</v>
      </c>
      <c r="Q5465" s="4"/>
      <c r="R5465" s="4"/>
      <c r="S5465" s="9" t="str">
        <f>HYPERLINK("https://pbs.twimg.com/profile_images/861706286957682689/0zDr9duE.jpg","View")</f>
        <v>View</v>
      </c>
    </row>
    <row r="5466" spans="1:19" ht="12.5">
      <c r="A5466" s="8">
        <v>43340.667071759264</v>
      </c>
      <c r="B5466" s="11" t="str">
        <f>HYPERLINK("https://twitter.com/james_m0r","@james_m0r")</f>
        <v>@james_m0r</v>
      </c>
      <c r="C5466" s="6" t="s">
        <v>1844</v>
      </c>
      <c r="D5466" s="5" t="s">
        <v>1843</v>
      </c>
      <c r="E5466" s="9" t="str">
        <f>HYPERLINK("https://twitter.com/james_m0r/status/1034402862070161409","1034402862070161409")</f>
        <v>1034402862070161409</v>
      </c>
      <c r="F5466" s="10" t="s">
        <v>1842</v>
      </c>
      <c r="G5466" s="4"/>
      <c r="H5466" s="4"/>
      <c r="I5466" s="10" t="str">
        <f>HYPERLINK("http://twitter.com/download/android","Twitter for Android")</f>
        <v>Twitter for Android</v>
      </c>
      <c r="J5466" s="2">
        <v>200</v>
      </c>
      <c r="K5466" s="2">
        <v>210</v>
      </c>
      <c r="L5466" s="2">
        <v>3</v>
      </c>
      <c r="M5466" s="2"/>
      <c r="N5466" s="8">
        <v>41894.610856481479</v>
      </c>
      <c r="O5466" s="4" t="s">
        <v>1841</v>
      </c>
      <c r="P5466" s="3" t="s">
        <v>1840</v>
      </c>
      <c r="Q5466" s="4"/>
      <c r="R5466" s="4"/>
      <c r="S5466" s="9" t="str">
        <f>HYPERLINK("https://pbs.twimg.com/profile_images/1023500547805114369/QR00mQpB.jpg","View")</f>
        <v>View</v>
      </c>
    </row>
    <row r="5467" spans="1:19" ht="40">
      <c r="A5467" s="8">
        <v>43340.666909722218</v>
      </c>
      <c r="B5467" s="11" t="str">
        <f>HYPERLINK("https://twitter.com/ya_ssin59","@ya_ssin59")</f>
        <v>@ya_ssin59</v>
      </c>
      <c r="C5467" s="6" t="s">
        <v>1839</v>
      </c>
      <c r="D5467" s="5" t="s">
        <v>1838</v>
      </c>
      <c r="E5467" s="9" t="str">
        <f>HYPERLINK("https://twitter.com/ya_ssin59/status/1034402804218114048","1034402804218114048")</f>
        <v>1034402804218114048</v>
      </c>
      <c r="F5467" s="4"/>
      <c r="G5467" s="4"/>
      <c r="H5467" s="4"/>
      <c r="I5467" s="10" t="str">
        <f>HYPERLINK("http://twitter.com","Twitter Web Client")</f>
        <v>Twitter Web Client</v>
      </c>
      <c r="J5467" s="2">
        <v>154</v>
      </c>
      <c r="K5467" s="2">
        <v>220</v>
      </c>
      <c r="L5467" s="2">
        <v>0</v>
      </c>
      <c r="M5467" s="2"/>
      <c r="N5467" s="8">
        <v>43127.943101851852</v>
      </c>
      <c r="O5467" s="4" t="s">
        <v>1837</v>
      </c>
      <c r="P5467" s="3"/>
      <c r="Q5467" s="4"/>
      <c r="R5467" s="4"/>
      <c r="S5467" s="9" t="str">
        <f>HYPERLINK("https://pbs.twimg.com/profile_images/1034036603096915968/OwX_yTIF.jpg","View")</f>
        <v>View</v>
      </c>
    </row>
    <row r="5468" spans="1:19" ht="40">
      <c r="A5468" s="8">
        <v>43340.666874999995</v>
      </c>
      <c r="B5468" s="11" t="str">
        <f>HYPERLINK("https://twitter.com/abookomeyl","@abookomeyl")</f>
        <v>@abookomeyl</v>
      </c>
      <c r="C5468" s="6" t="s">
        <v>1836</v>
      </c>
      <c r="D5468" s="5" t="s">
        <v>1835</v>
      </c>
      <c r="E5468" s="9" t="str">
        <f>HYPERLINK("https://twitter.com/abookomeyl/status/1034402791652028416","1034402791652028416")</f>
        <v>1034402791652028416</v>
      </c>
      <c r="F5468" s="4"/>
      <c r="G5468" s="4"/>
      <c r="H5468" s="4"/>
      <c r="I5468" s="10" t="str">
        <f>HYPERLINK("http://twitter.com/download/android","Twitter for Android")</f>
        <v>Twitter for Android</v>
      </c>
      <c r="J5468" s="2">
        <v>6656</v>
      </c>
      <c r="K5468" s="2">
        <v>2533</v>
      </c>
      <c r="L5468" s="2">
        <v>13</v>
      </c>
      <c r="M5468" s="2"/>
      <c r="N5468" s="8">
        <v>43117.241678240738</v>
      </c>
      <c r="O5468" s="4" t="s">
        <v>1834</v>
      </c>
      <c r="P5468" s="3" t="s">
        <v>1833</v>
      </c>
      <c r="Q5468" s="4"/>
      <c r="R5468" s="4"/>
      <c r="S5468" s="9" t="str">
        <f>HYPERLINK("https://pbs.twimg.com/profile_images/1011690125686988801/f-Jhu0Kn.jpg","View")</f>
        <v>View</v>
      </c>
    </row>
    <row r="5469" spans="1:19" ht="50">
      <c r="A5469" s="8">
        <v>43340.66678240741</v>
      </c>
      <c r="B5469" s="11" t="str">
        <f>HYPERLINK("https://twitter.com/JasinRamin","@JasinRamin")</f>
        <v>@JasinRamin</v>
      </c>
      <c r="C5469" s="6" t="s">
        <v>1832</v>
      </c>
      <c r="D5469" s="5" t="s">
        <v>1831</v>
      </c>
      <c r="E5469" s="9" t="str">
        <f>HYPERLINK("https://twitter.com/JasinRamin/status/1034402757451636736","1034402757451636736")</f>
        <v>1034402757451636736</v>
      </c>
      <c r="F5469" s="4" t="s">
        <v>1830</v>
      </c>
      <c r="G5469" s="10" t="s">
        <v>1829</v>
      </c>
      <c r="H5469" s="4"/>
      <c r="I5469" s="10" t="str">
        <f>HYPERLINK("http://twitter.com/download/android","Twitter for Android")</f>
        <v>Twitter for Android</v>
      </c>
      <c r="J5469" s="2">
        <v>1764</v>
      </c>
      <c r="K5469" s="2">
        <v>37</v>
      </c>
      <c r="L5469" s="2">
        <v>7</v>
      </c>
      <c r="M5469" s="2"/>
      <c r="N5469" s="8">
        <v>42256.719652777778</v>
      </c>
      <c r="O5469" s="4" t="s">
        <v>1828</v>
      </c>
      <c r="P5469" s="3" t="s">
        <v>1827</v>
      </c>
      <c r="Q5469" s="4"/>
      <c r="R5469" s="4"/>
      <c r="S5469" s="9" t="str">
        <f>HYPERLINK("https://pbs.twimg.com/profile_images/837725847662493697/rZOlhnhV.jpg","View")</f>
        <v>View</v>
      </c>
    </row>
    <row r="5470" spans="1:19" ht="12.5">
      <c r="A5470" s="8">
        <v>43340.666620370372</v>
      </c>
      <c r="B5470" s="11" t="str">
        <f>HYPERLINK("https://twitter.com/Yamahdi04010217","@Yamahdi04010217")</f>
        <v>@Yamahdi04010217</v>
      </c>
      <c r="C5470" s="6" t="s">
        <v>1826</v>
      </c>
      <c r="D5470" s="5" t="s">
        <v>1825</v>
      </c>
      <c r="E5470" s="9" t="str">
        <f>HYPERLINK("https://twitter.com/Yamahdi04010217/status/1034402698785968129","1034402698785968129")</f>
        <v>1034402698785968129</v>
      </c>
      <c r="F5470" s="4"/>
      <c r="G5470" s="10" t="s">
        <v>1824</v>
      </c>
      <c r="H5470" s="4"/>
      <c r="I5470" s="10" t="str">
        <f>HYPERLINK("http://twitter.com/download/android","Twitter for Android")</f>
        <v>Twitter for Android</v>
      </c>
      <c r="J5470" s="2">
        <v>66</v>
      </c>
      <c r="K5470" s="2">
        <v>54</v>
      </c>
      <c r="L5470" s="2">
        <v>0</v>
      </c>
      <c r="M5470" s="2"/>
      <c r="N5470" s="8">
        <v>43310.360763888893</v>
      </c>
      <c r="O5470" s="4"/>
      <c r="P5470" s="3"/>
      <c r="Q5470" s="4"/>
      <c r="R5470" s="4"/>
      <c r="S5470" s="9" t="str">
        <f>HYPERLINK("https://pbs.twimg.com/profile_images/1028375118505025536/DfhBH1eF.jpg","View")</f>
        <v>View</v>
      </c>
    </row>
    <row r="5471" spans="1:19" ht="40">
      <c r="A5471" s="8">
        <v>43340.666203703702</v>
      </c>
      <c r="B5471" s="11" t="str">
        <f>HYPERLINK("https://twitter.com/M_khaleghiiii","@M_khaleghiiii")</f>
        <v>@M_khaleghiiii</v>
      </c>
      <c r="C5471" s="6" t="s">
        <v>1823</v>
      </c>
      <c r="D5471" s="5" t="s">
        <v>1822</v>
      </c>
      <c r="E5471" s="9" t="str">
        <f>HYPERLINK("https://twitter.com/M_khaleghiiii/status/1034402550206922753","1034402550206922753")</f>
        <v>1034402550206922753</v>
      </c>
      <c r="F5471" s="4"/>
      <c r="G5471" s="4"/>
      <c r="H5471" s="4"/>
      <c r="I5471" s="10" t="str">
        <f>HYPERLINK("http://twitter.com/download/android","Twitter for Android")</f>
        <v>Twitter for Android</v>
      </c>
      <c r="J5471" s="2">
        <v>6</v>
      </c>
      <c r="K5471" s="2">
        <v>60</v>
      </c>
      <c r="L5471" s="2">
        <v>0</v>
      </c>
      <c r="M5471" s="2"/>
      <c r="N5471" s="8">
        <v>43324.738796296297</v>
      </c>
      <c r="O5471" s="4" t="s">
        <v>34</v>
      </c>
      <c r="P5471" s="3" t="s">
        <v>1821</v>
      </c>
      <c r="Q5471" s="4"/>
      <c r="R5471" s="4"/>
      <c r="S5471" s="9" t="str">
        <f>HYPERLINK("https://pbs.twimg.com/profile_images/1028633925462241280/A9Oh4MFI.jpg","View")</f>
        <v>View</v>
      </c>
    </row>
    <row r="5472" spans="1:19" ht="20">
      <c r="A5472" s="8">
        <v>43340.666122685187</v>
      </c>
      <c r="B5472" s="11" t="str">
        <f>HYPERLINK("https://twitter.com/ali___tanha","@ali___tanha")</f>
        <v>@ali___tanha</v>
      </c>
      <c r="C5472" s="6" t="s">
        <v>1820</v>
      </c>
      <c r="D5472" s="5" t="s">
        <v>1819</v>
      </c>
      <c r="E5472" s="9" t="str">
        <f>HYPERLINK("https://twitter.com/ali___tanha/status/1034402519072550913","1034402519072550913")</f>
        <v>1034402519072550913</v>
      </c>
      <c r="F5472" s="4"/>
      <c r="G5472" s="10" t="s">
        <v>1818</v>
      </c>
      <c r="H5472" s="4"/>
      <c r="I5472" s="10" t="str">
        <f>HYPERLINK("http://twitter.com/download/android","Twitter for Android")</f>
        <v>Twitter for Android</v>
      </c>
      <c r="J5472" s="2">
        <v>27</v>
      </c>
      <c r="K5472" s="2">
        <v>0</v>
      </c>
      <c r="L5472" s="2">
        <v>1</v>
      </c>
      <c r="M5472" s="2"/>
      <c r="N5472" s="8">
        <v>43125.00072916667</v>
      </c>
      <c r="O5472" s="4" t="s">
        <v>17</v>
      </c>
      <c r="P5472" s="3" t="s">
        <v>1817</v>
      </c>
      <c r="Q5472" s="4"/>
      <c r="R5472" s="4"/>
      <c r="S5472" s="9" t="str">
        <f>HYPERLINK("https://pbs.twimg.com/profile_images/956264294898982912/qu5-Tio0.jpg","View")</f>
        <v>View</v>
      </c>
    </row>
    <row r="5473" spans="1:19" ht="40">
      <c r="A5473" s="8">
        <v>43340.666018518517</v>
      </c>
      <c r="B5473" s="11" t="str">
        <f>HYPERLINK("https://twitter.com/rezannnnnnnn","@rezannnnnnnn")</f>
        <v>@rezannnnnnnn</v>
      </c>
      <c r="C5473" s="6" t="s">
        <v>1816</v>
      </c>
      <c r="D5473" s="5" t="s">
        <v>1815</v>
      </c>
      <c r="E5473" s="9" t="str">
        <f>HYPERLINK("https://twitter.com/rezannnnnnnn/status/1034402482745688066","1034402482745688066")</f>
        <v>1034402482745688066</v>
      </c>
      <c r="F5473" s="4"/>
      <c r="G5473" s="4"/>
      <c r="H5473" s="4"/>
      <c r="I5473" s="10" t="str">
        <f>HYPERLINK("http://twitter.com/download/android","Twitter for Android")</f>
        <v>Twitter for Android</v>
      </c>
      <c r="J5473" s="2">
        <v>180</v>
      </c>
      <c r="K5473" s="2">
        <v>1335</v>
      </c>
      <c r="L5473" s="2">
        <v>0</v>
      </c>
      <c r="M5473" s="2"/>
      <c r="N5473" s="8">
        <v>42833.635219907403</v>
      </c>
      <c r="O5473" s="4" t="s">
        <v>1814</v>
      </c>
      <c r="P5473" s="3" t="s">
        <v>1813</v>
      </c>
      <c r="Q5473" s="4"/>
      <c r="R5473" s="4"/>
      <c r="S5473" s="9" t="str">
        <f>HYPERLINK("https://pbs.twimg.com/profile_images/1028907930232545280/Jn0s9_Fb.jpg","View")</f>
        <v>View</v>
      </c>
    </row>
    <row r="5474" spans="1:19" ht="20">
      <c r="A5474" s="8">
        <v>43340.665879629625</v>
      </c>
      <c r="B5474" s="11" t="str">
        <f>HYPERLINK("https://twitter.com/sh_Saeid_","@sh_Saeid_")</f>
        <v>@sh_Saeid_</v>
      </c>
      <c r="C5474" s="6" t="s">
        <v>1812</v>
      </c>
      <c r="D5474" s="5" t="s">
        <v>1811</v>
      </c>
      <c r="E5474" s="9" t="str">
        <f>HYPERLINK("https://twitter.com/sh_Saeid_/status/1034402431264858112","1034402431264858112")</f>
        <v>1034402431264858112</v>
      </c>
      <c r="F5474" s="4"/>
      <c r="G5474" s="4"/>
      <c r="H5474" s="4"/>
      <c r="I5474" s="10" t="str">
        <f>HYPERLINK("http://twitter.com/download/iphone","Twitter for iPhone")</f>
        <v>Twitter for iPhone</v>
      </c>
      <c r="J5474" s="2">
        <v>587</v>
      </c>
      <c r="K5474" s="2">
        <v>867</v>
      </c>
      <c r="L5474" s="2">
        <v>0</v>
      </c>
      <c r="M5474" s="2"/>
      <c r="N5474" s="8">
        <v>43281.780833333338</v>
      </c>
      <c r="O5474" s="4" t="s">
        <v>1810</v>
      </c>
      <c r="P5474" s="3" t="s">
        <v>1809</v>
      </c>
      <c r="Q5474" s="4"/>
      <c r="R5474" s="4"/>
      <c r="S5474" s="9" t="str">
        <f>HYPERLINK("https://pbs.twimg.com/profile_images/1013833978275606528/MvFOcWCI.jpg","View")</f>
        <v>View</v>
      </c>
    </row>
    <row r="5475" spans="1:19" ht="20">
      <c r="A5475" s="8">
        <v>43340.665856481486</v>
      </c>
      <c r="B5475" s="11" t="str">
        <f>HYPERLINK("https://twitter.com/marzmah","@marzmah")</f>
        <v>@marzmah</v>
      </c>
      <c r="C5475" s="6" t="s">
        <v>1808</v>
      </c>
      <c r="D5475" s="5" t="s">
        <v>1807</v>
      </c>
      <c r="E5475" s="9" t="str">
        <f>HYPERLINK("https://twitter.com/marzmah/status/1034402422062501888","1034402422062501888")</f>
        <v>1034402422062501888</v>
      </c>
      <c r="F5475" s="4"/>
      <c r="G5475" s="10" t="s">
        <v>1806</v>
      </c>
      <c r="H5475" s="4"/>
      <c r="I5475" s="10" t="str">
        <f>HYPERLINK("http://twitter.com/download/android","Twitter for Android")</f>
        <v>Twitter for Android</v>
      </c>
      <c r="J5475" s="2">
        <v>51</v>
      </c>
      <c r="K5475" s="2">
        <v>90</v>
      </c>
      <c r="L5475" s="2">
        <v>1</v>
      </c>
      <c r="M5475" s="2"/>
      <c r="N5475" s="8">
        <v>43289.667199074072</v>
      </c>
      <c r="O5475" s="4"/>
      <c r="P5475" s="3" t="s">
        <v>1805</v>
      </c>
      <c r="Q5475" s="4"/>
      <c r="R5475" s="4"/>
      <c r="S5475" s="9" t="str">
        <f>HYPERLINK("https://pbs.twimg.com/profile_images/1015922840636411907/n8uTIVPl.jpg","View")</f>
        <v>View</v>
      </c>
    </row>
    <row r="5476" spans="1:19" ht="40">
      <c r="A5476" s="8">
        <v>43340.66578703704</v>
      </c>
      <c r="B5476" s="11" t="str">
        <f>HYPERLINK("https://twitter.com/mehrdadsaadat10","@mehrdadsaadat10")</f>
        <v>@mehrdadsaadat10</v>
      </c>
      <c r="C5476" s="6" t="s">
        <v>1804</v>
      </c>
      <c r="D5476" s="5" t="s">
        <v>1803</v>
      </c>
      <c r="E5476" s="9" t="str">
        <f>HYPERLINK("https://twitter.com/mehrdadsaadat10/status/1034402396867375106","1034402396867375106")</f>
        <v>1034402396867375106</v>
      </c>
      <c r="F5476" s="4"/>
      <c r="G5476" s="10" t="s">
        <v>1802</v>
      </c>
      <c r="H5476" s="4"/>
      <c r="I5476" s="10" t="str">
        <f>HYPERLINK("http://twitter.com","Twitter Web Client")</f>
        <v>Twitter Web Client</v>
      </c>
      <c r="J5476" s="2">
        <v>5250</v>
      </c>
      <c r="K5476" s="2">
        <v>4819</v>
      </c>
      <c r="L5476" s="2">
        <v>99</v>
      </c>
      <c r="M5476" s="2"/>
      <c r="N5476" s="8">
        <v>41816.744895833333</v>
      </c>
      <c r="O5476" s="4"/>
      <c r="P5476" s="3" t="s">
        <v>1801</v>
      </c>
      <c r="Q5476" s="10" t="s">
        <v>1800</v>
      </c>
      <c r="R5476" s="4"/>
      <c r="S5476" s="9" t="str">
        <f>HYPERLINK("https://pbs.twimg.com/profile_images/1001004242071703558/p8DiIksW.jpg","View")</f>
        <v>View</v>
      </c>
    </row>
    <row r="5477" spans="1:19" ht="20">
      <c r="A5477" s="8">
        <v>43340.665613425925</v>
      </c>
      <c r="B5477" s="11" t="str">
        <f>HYPERLINK("https://twitter.com/Hntrndr","@Hntrndr")</f>
        <v>@Hntrndr</v>
      </c>
      <c r="C5477" s="6" t="s">
        <v>1799</v>
      </c>
      <c r="D5477" s="5" t="s">
        <v>1798</v>
      </c>
      <c r="E5477" s="9" t="str">
        <f>HYPERLINK("https://twitter.com/Hntrndr/status/1034402333181009920","1034402333181009920")</f>
        <v>1034402333181009920</v>
      </c>
      <c r="F5477" s="4"/>
      <c r="G5477" s="4"/>
      <c r="H5477" s="4"/>
      <c r="I5477" s="10" t="str">
        <f>HYPERLINK("http://twitter.com/download/iphone","Twitter for iPhone")</f>
        <v>Twitter for iPhone</v>
      </c>
      <c r="J5477" s="2">
        <v>30</v>
      </c>
      <c r="K5477" s="2">
        <v>82</v>
      </c>
      <c r="L5477" s="2">
        <v>1</v>
      </c>
      <c r="M5477" s="2"/>
      <c r="N5477" s="8">
        <v>40342.359421296293</v>
      </c>
      <c r="O5477" s="4"/>
      <c r="P5477" s="3" t="s">
        <v>1797</v>
      </c>
      <c r="Q5477" s="4"/>
      <c r="R5477" s="4"/>
      <c r="S5477" s="9" t="str">
        <f>HYPERLINK("https://pbs.twimg.com/profile_images/1004983883669090306/kBjiOCjr.jpg","View")</f>
        <v>View</v>
      </c>
    </row>
    <row r="5478" spans="1:19" ht="20">
      <c r="A5478" s="8">
        <v>43340.665300925924</v>
      </c>
      <c r="B5478" s="11" t="str">
        <f>HYPERLINK("https://twitter.com/irane_Azad","@irane_Azad")</f>
        <v>@irane_Azad</v>
      </c>
      <c r="C5478" s="6" t="s">
        <v>1773</v>
      </c>
      <c r="D5478" s="5" t="s">
        <v>1796</v>
      </c>
      <c r="E5478" s="9" t="str">
        <f>HYPERLINK("https://twitter.com/irane_Azad/status/1034402223256739841","1034402223256739841")</f>
        <v>1034402223256739841</v>
      </c>
      <c r="F5478" s="10" t="s">
        <v>1795</v>
      </c>
      <c r="G5478" s="4"/>
      <c r="H5478" s="4"/>
      <c r="I5478" s="10" t="str">
        <f>HYPERLINK("http://twitter.com","Twitter Web Client")</f>
        <v>Twitter Web Client</v>
      </c>
      <c r="J5478" s="2">
        <v>3844</v>
      </c>
      <c r="K5478" s="2">
        <v>995</v>
      </c>
      <c r="L5478" s="2">
        <v>91</v>
      </c>
      <c r="M5478" s="2"/>
      <c r="N5478" s="8">
        <v>41246.45039351852</v>
      </c>
      <c r="O5478" s="4" t="s">
        <v>1770</v>
      </c>
      <c r="P5478" s="3" t="s">
        <v>1769</v>
      </c>
      <c r="Q5478" s="10" t="s">
        <v>1768</v>
      </c>
      <c r="R5478" s="4"/>
      <c r="S5478" s="9" t="str">
        <f>HYPERLINK("https://pbs.twimg.com/profile_images/1006316813871976450/YDReYvPB.jpg","View")</f>
        <v>View</v>
      </c>
    </row>
    <row r="5479" spans="1:19" ht="40">
      <c r="A5479" s="8">
        <v>43340.665185185186</v>
      </c>
      <c r="B5479" s="11" t="str">
        <f>HYPERLINK("https://twitter.com/mahdii_58","@mahdii_58")</f>
        <v>@mahdii_58</v>
      </c>
      <c r="C5479" s="6" t="s">
        <v>395</v>
      </c>
      <c r="D5479" s="5" t="s">
        <v>1794</v>
      </c>
      <c r="E5479" s="9" t="str">
        <f>HYPERLINK("https://twitter.com/mahdii_58/status/1034402179795308544","1034402179795308544")</f>
        <v>1034402179795308544</v>
      </c>
      <c r="F5479" s="4"/>
      <c r="G5479" s="4"/>
      <c r="H5479" s="4"/>
      <c r="I5479" s="10" t="str">
        <f>HYPERLINK("http://twitter.com","Twitter Web Client")</f>
        <v>Twitter Web Client</v>
      </c>
      <c r="J5479" s="2">
        <v>345</v>
      </c>
      <c r="K5479" s="2">
        <v>638</v>
      </c>
      <c r="L5479" s="2">
        <v>2</v>
      </c>
      <c r="M5479" s="2"/>
      <c r="N5479" s="8">
        <v>42894.222337962958</v>
      </c>
      <c r="O5479" s="4" t="s">
        <v>34</v>
      </c>
      <c r="P5479" s="3"/>
      <c r="Q5479" s="4"/>
      <c r="R5479" s="4"/>
      <c r="S5479" s="9" t="str">
        <f>HYPERLINK("https://pbs.twimg.com/profile_images/948614670155329537/GlFbvBfd.jpg","View")</f>
        <v>View</v>
      </c>
    </row>
    <row r="5480" spans="1:19" ht="40">
      <c r="A5480" s="8">
        <v>43340.665138888886</v>
      </c>
      <c r="B5480" s="11" t="str">
        <f>HYPERLINK("https://twitter.com/kaambees","@kaambees")</f>
        <v>@kaambees</v>
      </c>
      <c r="C5480" s="6" t="s">
        <v>1793</v>
      </c>
      <c r="D5480" s="5" t="s">
        <v>1792</v>
      </c>
      <c r="E5480" s="9" t="str">
        <f>HYPERLINK("https://twitter.com/kaambees/status/1034402161994551297","1034402161994551297")</f>
        <v>1034402161994551297</v>
      </c>
      <c r="F5480" s="4"/>
      <c r="G5480" s="4"/>
      <c r="H5480" s="4"/>
      <c r="I5480" s="10" t="str">
        <f>HYPERLINK("http://twitter.com","Twitter Web Client")</f>
        <v>Twitter Web Client</v>
      </c>
      <c r="J5480" s="2">
        <v>399</v>
      </c>
      <c r="K5480" s="2">
        <v>427</v>
      </c>
      <c r="L5480" s="2">
        <v>0</v>
      </c>
      <c r="M5480" s="2"/>
      <c r="N5480" s="8">
        <v>43130.005543981482</v>
      </c>
      <c r="O5480" s="4"/>
      <c r="P5480" s="3" t="s">
        <v>1791</v>
      </c>
      <c r="Q5480" s="4"/>
      <c r="R5480" s="4"/>
      <c r="S5480" s="9" t="str">
        <f>HYPERLINK("https://pbs.twimg.com/profile_images/967836538154508288/WiZQrNTC.jpg","View")</f>
        <v>View</v>
      </c>
    </row>
    <row r="5481" spans="1:19" ht="40">
      <c r="A5481" s="8">
        <v>43340.664837962962</v>
      </c>
      <c r="B5481" s="11" t="str">
        <f>HYPERLINK("https://twitter.com/par1395","@par1395")</f>
        <v>@par1395</v>
      </c>
      <c r="C5481" s="6" t="s">
        <v>1790</v>
      </c>
      <c r="D5481" s="5" t="s">
        <v>1789</v>
      </c>
      <c r="E5481" s="9" t="str">
        <f>HYPERLINK("https://twitter.com/par1395/status/1034402053190234113","1034402053190234113")</f>
        <v>1034402053190234113</v>
      </c>
      <c r="F5481" s="4"/>
      <c r="G5481" s="4"/>
      <c r="H5481" s="4"/>
      <c r="I5481" s="10" t="str">
        <f>HYPERLINK("http://twitter.com/download/android","Twitter for Android")</f>
        <v>Twitter for Android</v>
      </c>
      <c r="J5481" s="2">
        <v>22896</v>
      </c>
      <c r="K5481" s="2">
        <v>4909</v>
      </c>
      <c r="L5481" s="2">
        <v>111</v>
      </c>
      <c r="M5481" s="2"/>
      <c r="N5481" s="8">
        <v>42493.794722222221</v>
      </c>
      <c r="O5481" s="4" t="s">
        <v>324</v>
      </c>
      <c r="P5481" s="3" t="s">
        <v>1788</v>
      </c>
      <c r="Q5481" s="4"/>
      <c r="R5481" s="4"/>
      <c r="S5481" s="9" t="str">
        <f>HYPERLINK("https://pbs.twimg.com/profile_images/1021331566696501248/4djkC7cl.jpg","View")</f>
        <v>View</v>
      </c>
    </row>
    <row r="5482" spans="1:19" ht="20">
      <c r="A5482" s="8">
        <v>43340.6644212963</v>
      </c>
      <c r="B5482" s="11" t="str">
        <f>HYPERLINK("https://twitter.com/alishaeri89","@alishaeri89")</f>
        <v>@alishaeri89</v>
      </c>
      <c r="C5482" s="6" t="s">
        <v>1787</v>
      </c>
      <c r="D5482" s="5" t="s">
        <v>1786</v>
      </c>
      <c r="E5482" s="9" t="str">
        <f>HYPERLINK("https://twitter.com/alishaeri89/status/1034401902363062272","1034401902363062272")</f>
        <v>1034401902363062272</v>
      </c>
      <c r="F5482" s="4"/>
      <c r="G5482" s="10" t="s">
        <v>1785</v>
      </c>
      <c r="H5482" s="4"/>
      <c r="I5482" s="10" t="str">
        <f>HYPERLINK("http://twitter.com/download/android","Twitter for Android")</f>
        <v>Twitter for Android</v>
      </c>
      <c r="J5482" s="2">
        <v>1178</v>
      </c>
      <c r="K5482" s="2">
        <v>1162</v>
      </c>
      <c r="L5482" s="2">
        <v>2</v>
      </c>
      <c r="M5482" s="2"/>
      <c r="N5482" s="8">
        <v>43248.747106481482</v>
      </c>
      <c r="O5482" s="4" t="s">
        <v>17</v>
      </c>
      <c r="P5482" s="3" t="s">
        <v>1784</v>
      </c>
      <c r="Q5482" s="4"/>
      <c r="R5482" s="4"/>
      <c r="S5482" s="9" t="str">
        <f>HYPERLINK("https://pbs.twimg.com/profile_images/1019917938999070720/VqHRCseB.jpg","View")</f>
        <v>View</v>
      </c>
    </row>
    <row r="5483" spans="1:19" ht="40">
      <c r="A5483" s="8">
        <v>43340.664305555554</v>
      </c>
      <c r="B5483" s="11" t="str">
        <f>HYPERLINK("https://twitter.com/boursenews_ir","@boursenews_ir")</f>
        <v>@boursenews_ir</v>
      </c>
      <c r="C5483" s="6" t="s">
        <v>1783</v>
      </c>
      <c r="D5483" s="5" t="s">
        <v>1782</v>
      </c>
      <c r="E5483" s="9" t="str">
        <f>HYPERLINK("https://twitter.com/boursenews_ir/status/1034401861338574848","1034401861338574848")</f>
        <v>1034401861338574848</v>
      </c>
      <c r="F5483" s="4"/>
      <c r="G5483" s="4"/>
      <c r="H5483" s="4"/>
      <c r="I5483" s="10" t="str">
        <f>HYPERLINK("http://twitter.com/download/android","Twitter for Android")</f>
        <v>Twitter for Android</v>
      </c>
      <c r="J5483" s="2">
        <v>301</v>
      </c>
      <c r="K5483" s="2">
        <v>59</v>
      </c>
      <c r="L5483" s="2">
        <v>4</v>
      </c>
      <c r="M5483" s="2"/>
      <c r="N5483" s="8">
        <v>43166.397280092591</v>
      </c>
      <c r="O5483" s="4"/>
      <c r="P5483" s="3" t="s">
        <v>1781</v>
      </c>
      <c r="Q5483" s="10" t="s">
        <v>1780</v>
      </c>
      <c r="R5483" s="4"/>
      <c r="S5483" s="9" t="str">
        <f>HYPERLINK("https://pbs.twimg.com/profile_images/989209833038647296/NI5wUhXg.jpg","View")</f>
        <v>View</v>
      </c>
    </row>
    <row r="5484" spans="1:19" ht="30">
      <c r="A5484" s="8">
        <v>43340.664224537039</v>
      </c>
      <c r="B5484" s="11" t="str">
        <f>HYPERLINK("https://twitter.com/irane_maa","@irane_maa")</f>
        <v>@irane_maa</v>
      </c>
      <c r="C5484" s="6" t="s">
        <v>1779</v>
      </c>
      <c r="D5484" s="5" t="s">
        <v>1778</v>
      </c>
      <c r="E5484" s="9" t="str">
        <f>HYPERLINK("https://twitter.com/irane_maa/status/1034401831793909761","1034401831793909761")</f>
        <v>1034401831793909761</v>
      </c>
      <c r="F5484" s="4"/>
      <c r="G5484" s="4"/>
      <c r="H5484" s="4"/>
      <c r="I5484" s="10" t="str">
        <f>HYPERLINK("http://twitter.com/download/android","Twitter for Android")</f>
        <v>Twitter for Android</v>
      </c>
      <c r="J5484" s="2">
        <v>285</v>
      </c>
      <c r="K5484" s="2">
        <v>1751</v>
      </c>
      <c r="L5484" s="2">
        <v>0</v>
      </c>
      <c r="M5484" s="2"/>
      <c r="N5484" s="8">
        <v>42861.755393518513</v>
      </c>
      <c r="O5484" s="4" t="s">
        <v>682</v>
      </c>
      <c r="P5484" s="3" t="s">
        <v>1777</v>
      </c>
      <c r="Q5484" s="4"/>
      <c r="R5484" s="4"/>
      <c r="S5484" s="9" t="str">
        <f>HYPERLINK("https://pbs.twimg.com/profile_images/1011634468459827203/_vZL6lRc.jpg","View")</f>
        <v>View</v>
      </c>
    </row>
    <row r="5485" spans="1:19" ht="40">
      <c r="A5485" s="8">
        <v>43340.663900462961</v>
      </c>
      <c r="B5485" s="11" t="str">
        <f>HYPERLINK("https://twitter.com/mehr_joo","@mehr_joo")</f>
        <v>@mehr_joo</v>
      </c>
      <c r="C5485" s="6" t="s">
        <v>1776</v>
      </c>
      <c r="D5485" s="5" t="s">
        <v>1775</v>
      </c>
      <c r="E5485" s="9" t="str">
        <f>HYPERLINK("https://twitter.com/mehr_joo/status/1034401713795551233","1034401713795551233")</f>
        <v>1034401713795551233</v>
      </c>
      <c r="F5485" s="4"/>
      <c r="G5485" s="4"/>
      <c r="H5485" s="4"/>
      <c r="I5485" s="10" t="str">
        <f>HYPERLINK("http://twitter.com/download/android","Twitter for Android")</f>
        <v>Twitter for Android</v>
      </c>
      <c r="J5485" s="2">
        <v>25</v>
      </c>
      <c r="K5485" s="2">
        <v>53</v>
      </c>
      <c r="L5485" s="2">
        <v>0</v>
      </c>
      <c r="M5485" s="2"/>
      <c r="N5485" s="8">
        <v>43334.503553240742</v>
      </c>
      <c r="O5485" s="4" t="s">
        <v>34</v>
      </c>
      <c r="P5485" s="3" t="s">
        <v>1774</v>
      </c>
      <c r="Q5485" s="4"/>
      <c r="R5485" s="4"/>
      <c r="S5485" s="9" t="str">
        <f>HYPERLINK("https://pbs.twimg.com/profile_images/1033446887611879425/LDhVqud5.jpg","View")</f>
        <v>View</v>
      </c>
    </row>
    <row r="5486" spans="1:19" ht="20">
      <c r="A5486" s="8">
        <v>43340.663854166662</v>
      </c>
      <c r="B5486" s="11" t="str">
        <f>HYPERLINK("https://twitter.com/irane_Azad","@irane_Azad")</f>
        <v>@irane_Azad</v>
      </c>
      <c r="C5486" s="6" t="s">
        <v>1773</v>
      </c>
      <c r="D5486" s="5" t="s">
        <v>1772</v>
      </c>
      <c r="E5486" s="9" t="str">
        <f>HYPERLINK("https://twitter.com/irane_Azad/status/1034401695399387136","1034401695399387136")</f>
        <v>1034401695399387136</v>
      </c>
      <c r="F5486" s="10" t="s">
        <v>1771</v>
      </c>
      <c r="G5486" s="4"/>
      <c r="H5486" s="4"/>
      <c r="I5486" s="10" t="str">
        <f>HYPERLINK("http://twitter.com","Twitter Web Client")</f>
        <v>Twitter Web Client</v>
      </c>
      <c r="J5486" s="2">
        <v>3844</v>
      </c>
      <c r="K5486" s="2">
        <v>995</v>
      </c>
      <c r="L5486" s="2">
        <v>91</v>
      </c>
      <c r="M5486" s="2"/>
      <c r="N5486" s="8">
        <v>41246.45039351852</v>
      </c>
      <c r="O5486" s="4" t="s">
        <v>1770</v>
      </c>
      <c r="P5486" s="3" t="s">
        <v>1769</v>
      </c>
      <c r="Q5486" s="10" t="s">
        <v>1768</v>
      </c>
      <c r="R5486" s="4"/>
      <c r="S5486" s="9" t="str">
        <f>HYPERLINK("https://pbs.twimg.com/profile_images/1006316813871976450/YDReYvPB.jpg","View")</f>
        <v>View</v>
      </c>
    </row>
    <row r="5487" spans="1:19" ht="40">
      <c r="A5487" s="8">
        <v>43340.663541666669</v>
      </c>
      <c r="B5487" s="11" t="str">
        <f>HYPERLINK("https://twitter.com/mohamad_mirzaee","@mohamad_mirzaee")</f>
        <v>@mohamad_mirzaee</v>
      </c>
      <c r="C5487" s="6" t="s">
        <v>1767</v>
      </c>
      <c r="D5487" s="5" t="s">
        <v>1766</v>
      </c>
      <c r="E5487" s="9" t="str">
        <f>HYPERLINK("https://twitter.com/mohamad_mirzaee/status/1034401582455185413","1034401582455185413")</f>
        <v>1034401582455185413</v>
      </c>
      <c r="F5487" s="4"/>
      <c r="G5487" s="4"/>
      <c r="H5487" s="4"/>
      <c r="I5487" s="10" t="str">
        <f>HYPERLINK("http://twitter.com","Twitter Web Client")</f>
        <v>Twitter Web Client</v>
      </c>
      <c r="J5487" s="2">
        <v>2070</v>
      </c>
      <c r="K5487" s="2">
        <v>949</v>
      </c>
      <c r="L5487" s="2">
        <v>14</v>
      </c>
      <c r="M5487" s="2"/>
      <c r="N5487" s="8">
        <v>41759.529826388891</v>
      </c>
      <c r="O5487" s="4" t="s">
        <v>1765</v>
      </c>
      <c r="P5487" s="3" t="s">
        <v>1764</v>
      </c>
      <c r="Q5487" s="4"/>
      <c r="R5487" s="4"/>
      <c r="S5487" s="9" t="str">
        <f>HYPERLINK("https://pbs.twimg.com/profile_images/923885970738548736/dNupMYO3.jpg","View")</f>
        <v>View</v>
      </c>
    </row>
    <row r="5488" spans="1:19" ht="40">
      <c r="A5488" s="8">
        <v>43340.663506944446</v>
      </c>
      <c r="B5488" s="11" t="str">
        <f>HYPERLINK("https://twitter.com/ojaghzadeh1001","@ojaghzadeh1001")</f>
        <v>@ojaghzadeh1001</v>
      </c>
      <c r="C5488" s="6" t="s">
        <v>1763</v>
      </c>
      <c r="D5488" s="5" t="s">
        <v>1762</v>
      </c>
      <c r="E5488" s="9" t="str">
        <f>HYPERLINK("https://twitter.com/ojaghzadeh1001/status/1034401570501341184","1034401570501341184")</f>
        <v>1034401570501341184</v>
      </c>
      <c r="F5488" s="4"/>
      <c r="G5488" s="10" t="s">
        <v>1761</v>
      </c>
      <c r="H5488" s="4"/>
      <c r="I5488" s="10" t="str">
        <f>HYPERLINK("http://twitter.com/download/android","Twitter for Android")</f>
        <v>Twitter for Android</v>
      </c>
      <c r="J5488" s="2">
        <v>424</v>
      </c>
      <c r="K5488" s="2">
        <v>431</v>
      </c>
      <c r="L5488" s="2">
        <v>0</v>
      </c>
      <c r="M5488" s="2"/>
      <c r="N5488" s="8">
        <v>43249.749305555553</v>
      </c>
      <c r="O5488" s="4" t="s">
        <v>1760</v>
      </c>
      <c r="P5488" s="3" t="s">
        <v>1759</v>
      </c>
      <c r="Q5488" s="4"/>
      <c r="R5488" s="4"/>
      <c r="S5488" s="9" t="str">
        <f>HYPERLINK("https://pbs.twimg.com/profile_images/1001460013674778624/bFUGb7NQ.jpg","View")</f>
        <v>View</v>
      </c>
    </row>
    <row r="5489" spans="1:19" ht="40">
      <c r="A5489" s="8">
        <v>43340.663298611107</v>
      </c>
      <c r="B5489" s="11" t="str">
        <f>HYPERLINK("https://twitter.com/simayazaditv","@simayazaditv")</f>
        <v>@simayazaditv</v>
      </c>
      <c r="C5489" s="6" t="s">
        <v>1758</v>
      </c>
      <c r="D5489" s="5" t="s">
        <v>1757</v>
      </c>
      <c r="E5489" s="9" t="str">
        <f>HYPERLINK("https://twitter.com/simayazaditv/status/1034401494475399169","1034401494475399169")</f>
        <v>1034401494475399169</v>
      </c>
      <c r="F5489" s="4"/>
      <c r="G5489" s="10" t="s">
        <v>1756</v>
      </c>
      <c r="H5489" s="4"/>
      <c r="I5489" s="10" t="str">
        <f>HYPERLINK("http://twitter.com","Twitter Web Client")</f>
        <v>Twitter Web Client</v>
      </c>
      <c r="J5489" s="2">
        <v>6029</v>
      </c>
      <c r="K5489" s="2">
        <v>1</v>
      </c>
      <c r="L5489" s="2">
        <v>100</v>
      </c>
      <c r="M5489" s="2"/>
      <c r="N5489" s="8">
        <v>42209.662442129629</v>
      </c>
      <c r="O5489" s="4" t="s">
        <v>252</v>
      </c>
      <c r="P5489" s="3"/>
      <c r="Q5489" s="10" t="s">
        <v>1755</v>
      </c>
      <c r="R5489" s="4"/>
      <c r="S5489" s="9" t="str">
        <f>HYPERLINK("https://pbs.twimg.com/profile_images/624546008937144321/5aqccHix.png","View")</f>
        <v>View</v>
      </c>
    </row>
    <row r="5490" spans="1:19" ht="40">
      <c r="A5490" s="8">
        <v>43340.662673611107</v>
      </c>
      <c r="B5490" s="11" t="str">
        <f>HYPERLINK("https://twitter.com/anisa_spar","@anisa_spar")</f>
        <v>@anisa_spar</v>
      </c>
      <c r="C5490" s="6" t="s">
        <v>1754</v>
      </c>
      <c r="D5490" s="5" t="s">
        <v>1753</v>
      </c>
      <c r="E5490" s="9" t="str">
        <f>HYPERLINK("https://twitter.com/anisa_spar/status/1034401270436691968","1034401270436691968")</f>
        <v>1034401270436691968</v>
      </c>
      <c r="F5490" s="4"/>
      <c r="G5490" s="10" t="s">
        <v>1752</v>
      </c>
      <c r="H5490" s="4"/>
      <c r="I5490" s="10" t="str">
        <f>HYPERLINK("http://twitter.com/download/android","Twitter for Android")</f>
        <v>Twitter for Android</v>
      </c>
      <c r="J5490" s="2">
        <v>151</v>
      </c>
      <c r="K5490" s="2">
        <v>20</v>
      </c>
      <c r="L5490" s="2">
        <v>0</v>
      </c>
      <c r="M5490" s="2"/>
      <c r="N5490" s="8">
        <v>43324.084166666667</v>
      </c>
      <c r="O5490" s="4" t="s">
        <v>1751</v>
      </c>
      <c r="P5490" s="3" t="s">
        <v>1750</v>
      </c>
      <c r="Q5490" s="4"/>
      <c r="R5490" s="4"/>
      <c r="S5490" s="9" t="str">
        <f>HYPERLINK("https://pbs.twimg.com/profile_images/1028397565698555904/xYGMjkRe.jpg","View")</f>
        <v>View</v>
      </c>
    </row>
    <row r="5491" spans="1:19" ht="60">
      <c r="A5491" s="8">
        <v>43340.662453703699</v>
      </c>
      <c r="B5491" s="11" t="str">
        <f>HYPERLINK("https://twitter.com/IranbaharNavid","@IranbaharNavid")</f>
        <v>@IranbaharNavid</v>
      </c>
      <c r="C5491" s="6" t="s">
        <v>1749</v>
      </c>
      <c r="D5491" s="5" t="s">
        <v>1748</v>
      </c>
      <c r="E5491" s="9" t="str">
        <f>HYPERLINK("https://twitter.com/IranbaharNavid/status/1034401191130750976","1034401191130750976")</f>
        <v>1034401191130750976</v>
      </c>
      <c r="F5491" s="10" t="s">
        <v>1747</v>
      </c>
      <c r="G5491" s="4"/>
      <c r="H5491" s="4"/>
      <c r="I5491" s="10" t="str">
        <f>HYPERLINK("http://twitter.com/download/iphone","Twitter for iPhone")</f>
        <v>Twitter for iPhone</v>
      </c>
      <c r="J5491" s="2">
        <v>53</v>
      </c>
      <c r="K5491" s="2">
        <v>42</v>
      </c>
      <c r="L5491" s="2">
        <v>1</v>
      </c>
      <c r="M5491" s="2"/>
      <c r="N5491" s="8">
        <v>42451.536770833336</v>
      </c>
      <c r="O5491" s="4" t="s">
        <v>1746</v>
      </c>
      <c r="P5491" s="3" t="s">
        <v>1745</v>
      </c>
      <c r="Q5491" s="4"/>
      <c r="R5491" s="4"/>
      <c r="S5491" s="9" t="str">
        <f>HYPERLINK("https://pbs.twimg.com/profile_images/866376222976114688/KBoYvkfl.jpg","View")</f>
        <v>View</v>
      </c>
    </row>
    <row r="5492" spans="1:19" ht="30">
      <c r="A5492" s="8">
        <v>43340.662314814814</v>
      </c>
      <c r="B5492" s="11" t="str">
        <f>HYPERLINK("https://twitter.com/khajeh_yahya","@khajeh_yahya")</f>
        <v>@khajeh_yahya</v>
      </c>
      <c r="C5492" s="6" t="s">
        <v>1744</v>
      </c>
      <c r="D5492" s="5" t="s">
        <v>1743</v>
      </c>
      <c r="E5492" s="9" t="str">
        <f>HYPERLINK("https://twitter.com/khajeh_yahya/status/1034401140853628928","1034401140853628928")</f>
        <v>1034401140853628928</v>
      </c>
      <c r="F5492" s="4"/>
      <c r="G5492" s="4"/>
      <c r="H5492" s="4"/>
      <c r="I5492" s="10" t="str">
        <f>HYPERLINK("http://twitter.com/download/iphone","Twitter for iPhone")</f>
        <v>Twitter for iPhone</v>
      </c>
      <c r="J5492" s="2">
        <v>2101</v>
      </c>
      <c r="K5492" s="2">
        <v>2110</v>
      </c>
      <c r="L5492" s="2">
        <v>3</v>
      </c>
      <c r="M5492" s="2"/>
      <c r="N5492" s="8">
        <v>42897.495636574073</v>
      </c>
      <c r="O5492" s="4" t="s">
        <v>1742</v>
      </c>
      <c r="P5492" s="3" t="s">
        <v>1741</v>
      </c>
      <c r="Q5492" s="10" t="s">
        <v>1740</v>
      </c>
      <c r="R5492" s="4"/>
      <c r="S5492" s="9" t="str">
        <f>HYPERLINK("https://pbs.twimg.com/profile_images/944728555824574464/QdQd1dP6.jpg","View")</f>
        <v>View</v>
      </c>
    </row>
    <row r="5493" spans="1:19" ht="30">
      <c r="A5493" s="8">
        <v>43340.662303240737</v>
      </c>
      <c r="B5493" s="11" t="str">
        <f>HYPERLINK("https://twitter.com/farhad_pd","@farhad_pd")</f>
        <v>@farhad_pd</v>
      </c>
      <c r="C5493" s="6" t="s">
        <v>1739</v>
      </c>
      <c r="D5493" s="5" t="s">
        <v>1738</v>
      </c>
      <c r="E5493" s="9" t="str">
        <f>HYPERLINK("https://twitter.com/farhad_pd/status/1034401134184751104","1034401134184751104")</f>
        <v>1034401134184751104</v>
      </c>
      <c r="F5493" s="4"/>
      <c r="G5493" s="4"/>
      <c r="H5493" s="4"/>
      <c r="I5493" s="10" t="str">
        <f>HYPERLINK("http://twitter.com","Twitter Web Client")</f>
        <v>Twitter Web Client</v>
      </c>
      <c r="J5493" s="2">
        <v>33</v>
      </c>
      <c r="K5493" s="2">
        <v>100</v>
      </c>
      <c r="L5493" s="2">
        <v>1</v>
      </c>
      <c r="M5493" s="2"/>
      <c r="N5493" s="8">
        <v>42722.74391203704</v>
      </c>
      <c r="O5493" s="4" t="s">
        <v>34</v>
      </c>
      <c r="P5493" s="3" t="s">
        <v>1737</v>
      </c>
      <c r="Q5493" s="10" t="s">
        <v>1736</v>
      </c>
      <c r="R5493" s="4"/>
      <c r="S5493" s="9" t="str">
        <f>HYPERLINK("https://pbs.twimg.com/profile_images/814105446894092289/tCHCkgmQ.jpg","View")</f>
        <v>View</v>
      </c>
    </row>
    <row r="5494" spans="1:19" ht="20">
      <c r="A5494" s="8">
        <v>43340.662233796298</v>
      </c>
      <c r="B5494" s="11" t="str">
        <f>HYPERLINK("https://twitter.com/NimaSabahi","@NimaSabahi")</f>
        <v>@NimaSabahi</v>
      </c>
      <c r="C5494" s="6" t="s">
        <v>1735</v>
      </c>
      <c r="D5494" s="5" t="s">
        <v>1734</v>
      </c>
      <c r="E5494" s="9" t="str">
        <f>HYPERLINK("https://twitter.com/NimaSabahi/status/1034401108159082497","1034401108159082497")</f>
        <v>1034401108159082497</v>
      </c>
      <c r="F5494" s="4"/>
      <c r="G5494" s="4"/>
      <c r="H5494" s="4"/>
      <c r="I5494" s="10" t="str">
        <f>HYPERLINK("http://twitter.com/download/iphone","Twitter for iPhone")</f>
        <v>Twitter for iPhone</v>
      </c>
      <c r="J5494" s="2">
        <v>14</v>
      </c>
      <c r="K5494" s="2">
        <v>32</v>
      </c>
      <c r="L5494" s="2">
        <v>0</v>
      </c>
      <c r="M5494" s="2"/>
      <c r="N5494" s="8">
        <v>43107.911909722221</v>
      </c>
      <c r="O5494" s="4" t="s">
        <v>34</v>
      </c>
      <c r="P5494" s="3" t="s">
        <v>1733</v>
      </c>
      <c r="Q5494" s="4"/>
      <c r="R5494" s="4"/>
      <c r="S5494" s="9" t="str">
        <f>HYPERLINK("https://pbs.twimg.com/profile_images/950072651598434304/fieH9TrT.jpg","View")</f>
        <v>View</v>
      </c>
    </row>
    <row r="5495" spans="1:19" ht="12.5">
      <c r="A5495" s="8">
        <v>43340.662222222221</v>
      </c>
      <c r="B5495" s="11" t="str">
        <f>HYPERLINK("https://twitter.com/Erfan_Sayadi","@Erfan_Sayadi")</f>
        <v>@Erfan_Sayadi</v>
      </c>
      <c r="C5495" s="6" t="s">
        <v>1732</v>
      </c>
      <c r="D5495" s="5" t="s">
        <v>1731</v>
      </c>
      <c r="E5495" s="9" t="str">
        <f>HYPERLINK("https://twitter.com/Erfan_Sayadi/status/1034401107425017858","1034401107425017858")</f>
        <v>1034401107425017858</v>
      </c>
      <c r="F5495" s="4"/>
      <c r="G5495" s="4"/>
      <c r="H5495" s="4"/>
      <c r="I5495" s="10" t="str">
        <f>HYPERLINK("http://twitter.com/download/android","Twitter for Android")</f>
        <v>Twitter for Android</v>
      </c>
      <c r="J5495" s="2">
        <v>444</v>
      </c>
      <c r="K5495" s="2">
        <v>516</v>
      </c>
      <c r="L5495" s="2">
        <v>0</v>
      </c>
      <c r="M5495" s="2"/>
      <c r="N5495" s="8">
        <v>42948.088946759264</v>
      </c>
      <c r="O5495" s="4" t="s">
        <v>1415</v>
      </c>
      <c r="P5495" s="3" t="s">
        <v>1730</v>
      </c>
      <c r="Q5495" s="10" t="s">
        <v>1729</v>
      </c>
      <c r="R5495" s="4"/>
      <c r="S5495" s="9" t="str">
        <f>HYPERLINK("https://pbs.twimg.com/profile_images/965795835324739585/4r4l8mY8.jpg","View")</f>
        <v>View</v>
      </c>
    </row>
    <row r="5496" spans="1:19" ht="12.5">
      <c r="A5496" s="8">
        <v>43340.661678240736</v>
      </c>
      <c r="B5496" s="11" t="str">
        <f>HYPERLINK("https://twitter.com/kiumars_kiabi","@kiumars_kiabi")</f>
        <v>@kiumars_kiabi</v>
      </c>
      <c r="C5496" s="6" t="s">
        <v>1728</v>
      </c>
      <c r="D5496" s="5" t="s">
        <v>1727</v>
      </c>
      <c r="E5496" s="9" t="str">
        <f>HYPERLINK("https://twitter.com/kiumars_kiabi/status/1034400910296981505","1034400910296981505")</f>
        <v>1034400910296981505</v>
      </c>
      <c r="F5496" s="4"/>
      <c r="G5496" s="4"/>
      <c r="H5496" s="4"/>
      <c r="I5496" s="10" t="str">
        <f>HYPERLINK("http://twitter.com/download/android","Twitter for Android")</f>
        <v>Twitter for Android</v>
      </c>
      <c r="J5496" s="2">
        <v>41</v>
      </c>
      <c r="K5496" s="2">
        <v>71</v>
      </c>
      <c r="L5496" s="2">
        <v>0</v>
      </c>
      <c r="M5496" s="2"/>
      <c r="N5496" s="8">
        <v>42734.533715277779</v>
      </c>
      <c r="O5496" s="4" t="s">
        <v>17</v>
      </c>
      <c r="P5496" s="3"/>
      <c r="Q5496" s="4"/>
      <c r="R5496" s="4"/>
      <c r="S5496" s="9" t="str">
        <f>HYPERLINK("https://pbs.twimg.com/profile_images/943478823592570881/b2OUjIF5.jpg","View")</f>
        <v>View</v>
      </c>
    </row>
    <row r="5497" spans="1:19" ht="40">
      <c r="A5497" s="8">
        <v>43340.661608796298</v>
      </c>
      <c r="B5497" s="11" t="str">
        <f>HYPERLINK("https://twitter.com/hb_gha","@hb_gha")</f>
        <v>@hb_gha</v>
      </c>
      <c r="C5497" s="6" t="s">
        <v>1726</v>
      </c>
      <c r="D5497" s="5" t="s">
        <v>1725</v>
      </c>
      <c r="E5497" s="9" t="str">
        <f>HYPERLINK("https://twitter.com/hb_gha/status/1034400881515659265","1034400881515659265")</f>
        <v>1034400881515659265</v>
      </c>
      <c r="F5497" s="4"/>
      <c r="G5497" s="4"/>
      <c r="H5497" s="4"/>
      <c r="I5497" s="10" t="str">
        <f>HYPERLINK("http://twitter.com/download/android","Twitter for Android")</f>
        <v>Twitter for Android</v>
      </c>
      <c r="J5497" s="2">
        <v>52</v>
      </c>
      <c r="K5497" s="2">
        <v>63</v>
      </c>
      <c r="L5497" s="2">
        <v>0</v>
      </c>
      <c r="M5497" s="2"/>
      <c r="N5497" s="8">
        <v>43251.738240740742</v>
      </c>
      <c r="O5497" s="4"/>
      <c r="P5497" s="3" t="s">
        <v>1724</v>
      </c>
      <c r="Q5497" s="4"/>
      <c r="R5497" s="4"/>
      <c r="S5497" s="9" t="str">
        <f>HYPERLINK("https://pbs.twimg.com/profile_images/1002177205911347201/zWxaeS_u.jpg","View")</f>
        <v>View</v>
      </c>
    </row>
    <row r="5498" spans="1:19" ht="30">
      <c r="A5498" s="8">
        <v>43340.661574074074</v>
      </c>
      <c r="B5498" s="11" t="str">
        <f>HYPERLINK("https://twitter.com/szarei67","@szarei67")</f>
        <v>@szarei67</v>
      </c>
      <c r="C5498" s="6" t="s">
        <v>1723</v>
      </c>
      <c r="D5498" s="5" t="s">
        <v>1722</v>
      </c>
      <c r="E5498" s="9" t="str">
        <f>HYPERLINK("https://twitter.com/szarei67/status/1034400870383996928","1034400870383996928")</f>
        <v>1034400870383996928</v>
      </c>
      <c r="F5498" s="4"/>
      <c r="G5498" s="4"/>
      <c r="H5498" s="4"/>
      <c r="I5498" s="10" t="str">
        <f>HYPERLINK("http://twitter.com","Twitter Web Client")</f>
        <v>Twitter Web Client</v>
      </c>
      <c r="J5498" s="2">
        <v>753</v>
      </c>
      <c r="K5498" s="2">
        <v>126</v>
      </c>
      <c r="L5498" s="2">
        <v>2</v>
      </c>
      <c r="M5498" s="2"/>
      <c r="N5498" s="8">
        <v>41933.06863425926</v>
      </c>
      <c r="O5498" s="4" t="s">
        <v>17</v>
      </c>
      <c r="P5498" s="3" t="s">
        <v>1721</v>
      </c>
      <c r="Q5498" s="4"/>
      <c r="R5498" s="4"/>
      <c r="S5498" s="9" t="str">
        <f>HYPERLINK("https://pbs.twimg.com/profile_images/969335280569167872/wYlqXtVI.jpg","View")</f>
        <v>View</v>
      </c>
    </row>
    <row r="5499" spans="1:19" ht="40">
      <c r="A5499" s="8">
        <v>43340.63789351852</v>
      </c>
      <c r="B5499" s="11" t="str">
        <f>HYPERLINK("https://twitter.com/saeidk222","@saeidk222")</f>
        <v>@saeidk222</v>
      </c>
      <c r="C5499" s="6" t="s">
        <v>914</v>
      </c>
      <c r="D5499" s="5" t="s">
        <v>1720</v>
      </c>
      <c r="E5499" s="9" t="str">
        <f>HYPERLINK("https://twitter.com/saeidk222/status/1034392288078774273","1034392288078774273")</f>
        <v>1034392288078774273</v>
      </c>
      <c r="F5499" s="4"/>
      <c r="G5499" s="4"/>
      <c r="H5499" s="4"/>
      <c r="I5499" s="10" t="str">
        <f>HYPERLINK("http://twitter.com/download/android","Twitter for Android")</f>
        <v>Twitter for Android</v>
      </c>
      <c r="J5499" s="2">
        <v>570</v>
      </c>
      <c r="K5499" s="2">
        <v>561</v>
      </c>
      <c r="L5499" s="2">
        <v>0</v>
      </c>
      <c r="M5499" s="2"/>
      <c r="N5499" s="8">
        <v>42821.603009259255</v>
      </c>
      <c r="O5499" s="4" t="s">
        <v>912</v>
      </c>
      <c r="P5499" s="3" t="s">
        <v>911</v>
      </c>
      <c r="Q5499" s="4"/>
      <c r="R5499" s="4"/>
      <c r="S5499" s="9" t="str">
        <f>HYPERLINK("https://pbs.twimg.com/profile_images/1032620243796074496/DjHk4cpf.jpg","View")</f>
        <v>View</v>
      </c>
    </row>
    <row r="5500" spans="1:19" ht="30">
      <c r="A5500" s="8">
        <v>43340.637442129635</v>
      </c>
      <c r="B5500" s="11" t="str">
        <f>HYPERLINK("https://twitter.com/AmirAli1344","@AmirAli1344")</f>
        <v>@AmirAli1344</v>
      </c>
      <c r="C5500" s="6" t="s">
        <v>1719</v>
      </c>
      <c r="D5500" s="5" t="s">
        <v>1718</v>
      </c>
      <c r="E5500" s="9" t="str">
        <f>HYPERLINK("https://twitter.com/AmirAli1344/status/1034392127701168129","1034392127701168129")</f>
        <v>1034392127701168129</v>
      </c>
      <c r="F5500" s="4"/>
      <c r="G5500" s="10" t="s">
        <v>1717</v>
      </c>
      <c r="H5500" s="4"/>
      <c r="I5500" s="10" t="str">
        <f>HYPERLINK("http://twitter.com","Twitter Web Client")</f>
        <v>Twitter Web Client</v>
      </c>
      <c r="J5500" s="2">
        <v>3458</v>
      </c>
      <c r="K5500" s="2">
        <v>2490</v>
      </c>
      <c r="L5500" s="2">
        <v>4</v>
      </c>
      <c r="M5500" s="2"/>
      <c r="N5500" s="8">
        <v>42814.762604166666</v>
      </c>
      <c r="O5500" s="4" t="s">
        <v>1716</v>
      </c>
      <c r="P5500" s="3" t="s">
        <v>1715</v>
      </c>
      <c r="Q5500" s="4"/>
      <c r="R5500" s="4"/>
      <c r="S5500" s="9" t="str">
        <f>HYPERLINK("https://pbs.twimg.com/profile_images/986167816570195969/G1B7kO7v.jpg","View")</f>
        <v>View</v>
      </c>
    </row>
    <row r="5501" spans="1:19" ht="30">
      <c r="A5501" s="8">
        <v>43340.637280092589</v>
      </c>
      <c r="B5501" s="11" t="str">
        <f>HYPERLINK("https://twitter.com/m_alaei","@m_alaei")</f>
        <v>@m_alaei</v>
      </c>
      <c r="C5501" s="6" t="s">
        <v>1714</v>
      </c>
      <c r="D5501" s="5" t="s">
        <v>1713</v>
      </c>
      <c r="E5501" s="9" t="str">
        <f>HYPERLINK("https://twitter.com/m_alaei/status/1034392068859285504","1034392068859285504")</f>
        <v>1034392068859285504</v>
      </c>
      <c r="F5501" s="4"/>
      <c r="G5501" s="4"/>
      <c r="H5501" s="4"/>
      <c r="I5501" s="10" t="str">
        <f>HYPERLINK("http://twitter.com","Twitter Web Client")</f>
        <v>Twitter Web Client</v>
      </c>
      <c r="J5501" s="2">
        <v>14</v>
      </c>
      <c r="K5501" s="2">
        <v>114</v>
      </c>
      <c r="L5501" s="2">
        <v>0</v>
      </c>
      <c r="M5501" s="2"/>
      <c r="N5501" s="8">
        <v>40989.774988425925</v>
      </c>
      <c r="O5501" s="4" t="s">
        <v>145</v>
      </c>
      <c r="P5501" s="3"/>
      <c r="Q5501" s="4"/>
      <c r="R5501" s="4"/>
      <c r="S5501" s="9" t="str">
        <f>HYPERLINK("https://pbs.twimg.com/profile_images/378800000512363997/36080e320570b2ef55b14db432de79ac.jpeg","View")</f>
        <v>View</v>
      </c>
    </row>
    <row r="5502" spans="1:19" ht="20">
      <c r="A5502" s="8">
        <v>43340.637233796297</v>
      </c>
      <c r="B5502" s="11" t="str">
        <f>HYPERLINK("https://twitter.com/niloomatin","@niloomatin")</f>
        <v>@niloomatin</v>
      </c>
      <c r="C5502" s="6" t="s">
        <v>1712</v>
      </c>
      <c r="D5502" s="5" t="s">
        <v>1711</v>
      </c>
      <c r="E5502" s="9" t="str">
        <f>HYPERLINK("https://twitter.com/niloomatin/status/1034392052191125505","1034392052191125505")</f>
        <v>1034392052191125505</v>
      </c>
      <c r="F5502" s="4"/>
      <c r="G5502" s="4"/>
      <c r="H5502" s="4"/>
      <c r="I5502" s="10" t="str">
        <f>HYPERLINK("http://twitter.com/download/android","Twitter for Android")</f>
        <v>Twitter for Android</v>
      </c>
      <c r="J5502" s="2">
        <v>893</v>
      </c>
      <c r="K5502" s="2">
        <v>826</v>
      </c>
      <c r="L5502" s="2">
        <v>5</v>
      </c>
      <c r="M5502" s="2"/>
      <c r="N5502" s="8">
        <v>43151.423807870371</v>
      </c>
      <c r="O5502" s="4" t="s">
        <v>17</v>
      </c>
      <c r="P5502" s="3" t="s">
        <v>1710</v>
      </c>
      <c r="Q5502" s="4"/>
      <c r="R5502" s="4"/>
      <c r="S5502" s="9" t="str">
        <f>HYPERLINK("https://pbs.twimg.com/profile_images/965915193531404288/-VY19-xM.jpg","View")</f>
        <v>View</v>
      </c>
    </row>
    <row r="5503" spans="1:19" ht="40">
      <c r="A5503" s="8">
        <v>43340.637152777781</v>
      </c>
      <c r="B5503" s="11" t="str">
        <f>HYPERLINK("https://twitter.com/sheykhhasannaj1","@sheykhhasannaj1")</f>
        <v>@sheykhhasannaj1</v>
      </c>
      <c r="C5503" s="6" t="s">
        <v>1709</v>
      </c>
      <c r="D5503" s="5" t="s">
        <v>1708</v>
      </c>
      <c r="E5503" s="9" t="str">
        <f>HYPERLINK("https://twitter.com/sheykhhasannaj1/status/1034392019987251201","1034392019987251201")</f>
        <v>1034392019987251201</v>
      </c>
      <c r="F5503" s="4" t="s">
        <v>1707</v>
      </c>
      <c r="G5503" s="4"/>
      <c r="H5503" s="4"/>
      <c r="I5503" s="10" t="str">
        <f>HYPERLINK("http://twitter.com/download/iphone","Twitter for iPhone")</f>
        <v>Twitter for iPhone</v>
      </c>
      <c r="J5503" s="2">
        <v>1174</v>
      </c>
      <c r="K5503" s="2">
        <v>1212</v>
      </c>
      <c r="L5503" s="2">
        <v>3</v>
      </c>
      <c r="M5503" s="2"/>
      <c r="N5503" s="8">
        <v>43182.919398148151</v>
      </c>
      <c r="O5503" s="4"/>
      <c r="P5503" s="3" t="s">
        <v>1706</v>
      </c>
      <c r="Q5503" s="4"/>
      <c r="R5503" s="4"/>
      <c r="S5503" s="9" t="str">
        <f>HYPERLINK("https://pbs.twimg.com/profile_images/998536053723049984/5SWehAdc.jpg","View")</f>
        <v>View</v>
      </c>
    </row>
    <row r="5504" spans="1:19" ht="40">
      <c r="A5504" s="8">
        <v>43340.637152777781</v>
      </c>
      <c r="B5504" s="11" t="str">
        <f>HYPERLINK("https://twitter.com/sjjadsaeedipour","@sjjadsaeedipour")</f>
        <v>@sjjadsaeedipour</v>
      </c>
      <c r="C5504" s="6" t="s">
        <v>1705</v>
      </c>
      <c r="D5504" s="5" t="s">
        <v>1704</v>
      </c>
      <c r="E5504" s="9" t="str">
        <f>HYPERLINK("https://twitter.com/sjjadsaeedipour/status/1034392018997444608","1034392018997444608")</f>
        <v>1034392018997444608</v>
      </c>
      <c r="F5504" s="4"/>
      <c r="G5504" s="4"/>
      <c r="H5504" s="4"/>
      <c r="I5504" s="10" t="str">
        <f>HYPERLINK("http://twitter.com/download/android","Twitter for Android")</f>
        <v>Twitter for Android</v>
      </c>
      <c r="J5504" s="2">
        <v>46</v>
      </c>
      <c r="K5504" s="2">
        <v>39</v>
      </c>
      <c r="L5504" s="2">
        <v>0</v>
      </c>
      <c r="M5504" s="2"/>
      <c r="N5504" s="8">
        <v>43131.64439814815</v>
      </c>
      <c r="O5504" s="4"/>
      <c r="P5504" s="3" t="s">
        <v>1703</v>
      </c>
      <c r="Q5504" s="4"/>
      <c r="R5504" s="4"/>
      <c r="S5504" s="9" t="str">
        <f>HYPERLINK("https://pbs.twimg.com/profile_images/1030425985907400704/I2w6sYfQ.jpg","View")</f>
        <v>View</v>
      </c>
    </row>
    <row r="5505" spans="1:19" ht="20">
      <c r="A5505" s="8">
        <v>43340.637118055558</v>
      </c>
      <c r="B5505" s="11" t="str">
        <f>HYPERLINK("https://twitter.com/azizam_b","@azizam_b")</f>
        <v>@azizam_b</v>
      </c>
      <c r="C5505" s="6" t="s">
        <v>1702</v>
      </c>
      <c r="D5505" s="5" t="s">
        <v>1701</v>
      </c>
      <c r="E5505" s="9" t="str">
        <f>HYPERLINK("https://twitter.com/azizam_b/status/1034392007949647872","1034392007949647872")</f>
        <v>1034392007949647872</v>
      </c>
      <c r="F5505" s="4"/>
      <c r="G5505" s="4"/>
      <c r="H5505" s="4"/>
      <c r="I5505" s="10" t="str">
        <f>HYPERLINK("http://twitter.com/download/android","Twitter for Android")</f>
        <v>Twitter for Android</v>
      </c>
      <c r="J5505" s="2">
        <v>376</v>
      </c>
      <c r="K5505" s="2">
        <v>340</v>
      </c>
      <c r="L5505" s="2">
        <v>2</v>
      </c>
      <c r="M5505" s="2"/>
      <c r="N5505" s="8">
        <v>43261.053287037037</v>
      </c>
      <c r="O5505" s="4"/>
      <c r="P5505" s="3" t="s">
        <v>1700</v>
      </c>
      <c r="Q5505" s="4"/>
      <c r="R5505" s="4"/>
      <c r="S5505" s="9" t="str">
        <f>HYPERLINK("https://pbs.twimg.com/profile_images/1005553197048651776/bWVsv71J.jpg","View")</f>
        <v>View</v>
      </c>
    </row>
    <row r="5506" spans="1:19" ht="20">
      <c r="A5506" s="8">
        <v>43340.63690972222</v>
      </c>
      <c r="B5506" s="11" t="str">
        <f>HYPERLINK("https://twitter.com/garfieldaaam","@garfieldaaam")</f>
        <v>@garfieldaaam</v>
      </c>
      <c r="C5506" s="6" t="s">
        <v>1699</v>
      </c>
      <c r="D5506" s="5" t="s">
        <v>1698</v>
      </c>
      <c r="E5506" s="9" t="str">
        <f>HYPERLINK("https://twitter.com/garfieldaaam/status/1034391931260948480","1034391931260948480")</f>
        <v>1034391931260948480</v>
      </c>
      <c r="F5506" s="4"/>
      <c r="G5506" s="4"/>
      <c r="H5506" s="4"/>
      <c r="I5506" s="10" t="str">
        <f>HYPERLINK("http://twitter.com/download/iphone","Twitter for iPhone")</f>
        <v>Twitter for iPhone</v>
      </c>
      <c r="J5506" s="2">
        <v>354</v>
      </c>
      <c r="K5506" s="2">
        <v>569</v>
      </c>
      <c r="L5506" s="2">
        <v>2</v>
      </c>
      <c r="M5506" s="2"/>
      <c r="N5506" s="8">
        <v>42567.722488425927</v>
      </c>
      <c r="O5506" s="4"/>
      <c r="P5506" s="3" t="s">
        <v>1697</v>
      </c>
      <c r="Q5506" s="4"/>
      <c r="R5506" s="4"/>
      <c r="S5506" s="9" t="str">
        <f>HYPERLINK("https://pbs.twimg.com/profile_images/1023218482505310211/4NvssuEp.jpg","View")</f>
        <v>View</v>
      </c>
    </row>
    <row r="5507" spans="1:19" ht="40">
      <c r="A5507" s="8">
        <v>43340.636828703704</v>
      </c>
      <c r="B5507" s="11" t="str">
        <f>HYPERLINK("https://twitter.com/msadpm","@msadpm")</f>
        <v>@msadpm</v>
      </c>
      <c r="C5507" s="6" t="s">
        <v>1696</v>
      </c>
      <c r="D5507" s="5" t="s">
        <v>1695</v>
      </c>
      <c r="E5507" s="9" t="str">
        <f>HYPERLINK("https://twitter.com/msadpm/status/1034391901976371201","1034391901976371201")</f>
        <v>1034391901976371201</v>
      </c>
      <c r="F5507" s="4"/>
      <c r="G5507" s="4"/>
      <c r="H5507" s="4"/>
      <c r="I5507" s="10" t="str">
        <f>HYPERLINK("http://twitter.com","Twitter Web Client")</f>
        <v>Twitter Web Client</v>
      </c>
      <c r="J5507" s="2">
        <v>1</v>
      </c>
      <c r="K5507" s="2">
        <v>8</v>
      </c>
      <c r="L5507" s="2">
        <v>0</v>
      </c>
      <c r="M5507" s="2"/>
      <c r="N5507" s="8">
        <v>43309.653935185182</v>
      </c>
      <c r="O5507" s="4"/>
      <c r="P5507" s="3"/>
      <c r="Q5507" s="4"/>
      <c r="R5507" s="4"/>
      <c r="S5507" s="9" t="str">
        <f>HYPERLINK("https://pbs.twimg.com/profile_images/1026467437196320768/-Ytvr8hI.jpg","View")</f>
        <v>View</v>
      </c>
    </row>
    <row r="5508" spans="1:19" ht="50">
      <c r="A5508" s="8">
        <v>43340.636782407411</v>
      </c>
      <c r="B5508" s="11" t="str">
        <f>HYPERLINK("https://twitter.com/manOfMistakes","@manOfMistakes")</f>
        <v>@manOfMistakes</v>
      </c>
      <c r="C5508" s="6" t="s">
        <v>368</v>
      </c>
      <c r="D5508" s="5" t="s">
        <v>1694</v>
      </c>
      <c r="E5508" s="9" t="str">
        <f>HYPERLINK("https://twitter.com/manOfMistakes/status/1034391888608915457","1034391888608915457")</f>
        <v>1034391888608915457</v>
      </c>
      <c r="F5508" s="4"/>
      <c r="G5508" s="4"/>
      <c r="H5508" s="4"/>
      <c r="I5508" s="10" t="str">
        <f>HYPERLINK("http://twitter.com/download/iphone","Twitter for iPhone")</f>
        <v>Twitter for iPhone</v>
      </c>
      <c r="J5508" s="2">
        <v>129</v>
      </c>
      <c r="K5508" s="2">
        <v>248</v>
      </c>
      <c r="L5508" s="2">
        <v>0</v>
      </c>
      <c r="M5508" s="2"/>
      <c r="N5508" s="8">
        <v>43304.329965277779</v>
      </c>
      <c r="O5508" s="4" t="s">
        <v>34</v>
      </c>
      <c r="P5508" s="3" t="s">
        <v>366</v>
      </c>
      <c r="Q5508" s="4"/>
      <c r="R5508" s="4"/>
      <c r="S5508" s="9" t="str">
        <f>HYPERLINK("https://pbs.twimg.com/profile_images/1028755362831204352/MbdRKhM9.jpg","View")</f>
        <v>View</v>
      </c>
    </row>
    <row r="5509" spans="1:19" ht="30">
      <c r="A5509" s="8">
        <v>43340.63652777778</v>
      </c>
      <c r="B5509" s="11" t="str">
        <f>HYPERLINK("https://twitter.com/qalampress","@qalampress")</f>
        <v>@qalampress</v>
      </c>
      <c r="C5509" s="6" t="s">
        <v>1693</v>
      </c>
      <c r="D5509" s="5" t="s">
        <v>1692</v>
      </c>
      <c r="E5509" s="9" t="str">
        <f>HYPERLINK("https://twitter.com/qalampress/status/1034391795659096066","1034391795659096066")</f>
        <v>1034391795659096066</v>
      </c>
      <c r="F5509" s="10" t="s">
        <v>1691</v>
      </c>
      <c r="G5509" s="4"/>
      <c r="H5509" s="4"/>
      <c r="I5509" s="10" t="str">
        <f>HYPERLINK("http://instagram.com","Instagram")</f>
        <v>Instagram</v>
      </c>
      <c r="J5509" s="2">
        <v>64</v>
      </c>
      <c r="K5509" s="2">
        <v>232</v>
      </c>
      <c r="L5509" s="2">
        <v>0</v>
      </c>
      <c r="M5509" s="2"/>
      <c r="N5509" s="8">
        <v>42522.882511574076</v>
      </c>
      <c r="O5509" s="4"/>
      <c r="P5509" s="3"/>
      <c r="Q5509" s="10" t="s">
        <v>1690</v>
      </c>
      <c r="R5509" s="4"/>
      <c r="S5509" s="9" t="str">
        <f>HYPERLINK("https://pbs.twimg.com/profile_images/1031892314720010240/_O3bWNT-.jpg","View")</f>
        <v>View</v>
      </c>
    </row>
    <row r="5510" spans="1:19" ht="20">
      <c r="A5510" s="8">
        <v>43340.636446759258</v>
      </c>
      <c r="B5510" s="11" t="str">
        <f>HYPERLINK("https://twitter.com/Zangehesab","@Zangehesab")</f>
        <v>@Zangehesab</v>
      </c>
      <c r="C5510" s="6" t="s">
        <v>1689</v>
      </c>
      <c r="D5510" s="5" t="s">
        <v>1688</v>
      </c>
      <c r="E5510" s="9" t="str">
        <f>HYPERLINK("https://twitter.com/Zangehesab/status/1034391763497181184","1034391763497181184")</f>
        <v>1034391763497181184</v>
      </c>
      <c r="F5510" s="4"/>
      <c r="G5510" s="4"/>
      <c r="H5510" s="4"/>
      <c r="I5510" s="10" t="str">
        <f>HYPERLINK("https://mobile.twitter.com","Twitter Lite")</f>
        <v>Twitter Lite</v>
      </c>
      <c r="J5510" s="2">
        <v>12</v>
      </c>
      <c r="K5510" s="2">
        <v>28</v>
      </c>
      <c r="L5510" s="2">
        <v>0</v>
      </c>
      <c r="M5510" s="2"/>
      <c r="N5510" s="8">
        <v>43278.925127314811</v>
      </c>
      <c r="O5510" s="4" t="s">
        <v>1687</v>
      </c>
      <c r="P5510" s="3" t="s">
        <v>1686</v>
      </c>
      <c r="Q5510" s="4"/>
      <c r="R5510" s="4"/>
      <c r="S5510" s="9" t="str">
        <f>HYPERLINK("https://pbs.twimg.com/profile_images/1012377672960356352/qzYPwuUy.jpg","View")</f>
        <v>View</v>
      </c>
    </row>
    <row r="5511" spans="1:19" ht="30">
      <c r="A5511" s="8">
        <v>43340.636296296296</v>
      </c>
      <c r="B5511" s="11" t="str">
        <f>HYPERLINK("https://twitter.com/ketab_chi","@ketab_chi")</f>
        <v>@ketab_chi</v>
      </c>
      <c r="C5511" s="6" t="s">
        <v>1685</v>
      </c>
      <c r="D5511" s="5" t="s">
        <v>1684</v>
      </c>
      <c r="E5511" s="9" t="str">
        <f>HYPERLINK("https://twitter.com/ketab_chi/status/1034391708589584385","1034391708589584385")</f>
        <v>1034391708589584385</v>
      </c>
      <c r="F5511" s="4"/>
      <c r="G5511" s="4"/>
      <c r="H5511" s="4"/>
      <c r="I5511" s="10" t="str">
        <f>HYPERLINK("http://twitter.com/download/android","Twitter for Android")</f>
        <v>Twitter for Android</v>
      </c>
      <c r="J5511" s="2">
        <v>2428</v>
      </c>
      <c r="K5511" s="2">
        <v>2549</v>
      </c>
      <c r="L5511" s="2">
        <v>4</v>
      </c>
      <c r="M5511" s="2"/>
      <c r="N5511" s="8">
        <v>43046.406956018516</v>
      </c>
      <c r="O5511" s="4" t="s">
        <v>1683</v>
      </c>
      <c r="P5511" s="3" t="s">
        <v>1682</v>
      </c>
      <c r="Q5511" s="4"/>
      <c r="R5511" s="4"/>
      <c r="S5511" s="9" t="str">
        <f>HYPERLINK("https://pbs.twimg.com/profile_images/1012382017512669184/iQH1gMXJ.jpg","View")</f>
        <v>View</v>
      </c>
    </row>
    <row r="5512" spans="1:19" ht="12.5">
      <c r="A5512" s="8">
        <v>43340.636030092588</v>
      </c>
      <c r="B5512" s="11" t="str">
        <f>HYPERLINK("https://twitter.com/sadeqi_ir","@sadeqi_ir")</f>
        <v>@sadeqi_ir</v>
      </c>
      <c r="C5512" s="6" t="s">
        <v>1681</v>
      </c>
      <c r="D5512" s="5" t="s">
        <v>1680</v>
      </c>
      <c r="E5512" s="9" t="str">
        <f>HYPERLINK("https://twitter.com/sadeqi_ir/status/1034391613009809410","1034391613009809410")</f>
        <v>1034391613009809410</v>
      </c>
      <c r="F5512" s="4"/>
      <c r="G5512" s="4"/>
      <c r="H5512" s="4"/>
      <c r="I5512" s="10" t="str">
        <f>HYPERLINK("http://twitter.com/download/android","Twitter for Android")</f>
        <v>Twitter for Android</v>
      </c>
      <c r="J5512" s="2">
        <v>578</v>
      </c>
      <c r="K5512" s="2">
        <v>1586</v>
      </c>
      <c r="L5512" s="2">
        <v>0</v>
      </c>
      <c r="M5512" s="2"/>
      <c r="N5512" s="8">
        <v>43307.510868055557</v>
      </c>
      <c r="O5512" s="4"/>
      <c r="P5512" s="3" t="s">
        <v>1679</v>
      </c>
      <c r="Q5512" s="10" t="s">
        <v>1678</v>
      </c>
      <c r="R5512" s="4"/>
      <c r="S5512" s="9" t="str">
        <f>HYPERLINK("https://pbs.twimg.com/profile_images/1022391265063825408/KMM62zjp.jpg","View")</f>
        <v>View</v>
      </c>
    </row>
    <row r="5513" spans="1:19" ht="12.5">
      <c r="A5513" s="8">
        <v>43340.63585648148</v>
      </c>
      <c r="B5513" s="11" t="str">
        <f>HYPERLINK("https://twitter.com/d11e03b17fee4c4","@d11e03b17fee4c4")</f>
        <v>@d11e03b17fee4c4</v>
      </c>
      <c r="C5513" s="6" t="s">
        <v>1677</v>
      </c>
      <c r="D5513" s="5" t="s">
        <v>1676</v>
      </c>
      <c r="E5513" s="9" t="str">
        <f>HYPERLINK("https://twitter.com/d11e03b17fee4c4/status/1034391552733466624","1034391552733466624")</f>
        <v>1034391552733466624</v>
      </c>
      <c r="F5513" s="4"/>
      <c r="G5513" s="4"/>
      <c r="H5513" s="4"/>
      <c r="I5513" s="10" t="str">
        <f>HYPERLINK("http://twitter.com/download/android","Twitter for Android")</f>
        <v>Twitter for Android</v>
      </c>
      <c r="J5513" s="2">
        <v>13</v>
      </c>
      <c r="K5513" s="2">
        <v>0</v>
      </c>
      <c r="L5513" s="2">
        <v>0</v>
      </c>
      <c r="M5513" s="2"/>
      <c r="N5513" s="8">
        <v>42173.721145833333</v>
      </c>
      <c r="O5513" s="4"/>
      <c r="P5513" s="3"/>
      <c r="Q5513" s="4"/>
      <c r="R5513" s="4"/>
      <c r="S5513" s="2" t="s">
        <v>155</v>
      </c>
    </row>
    <row r="5514" spans="1:19" ht="20">
      <c r="A5514" s="8">
        <v>43340.635740740741</v>
      </c>
      <c r="B5514" s="11" t="str">
        <f>HYPERLINK("https://twitter.com/ebializade","@ebializade")</f>
        <v>@ebializade</v>
      </c>
      <c r="C5514" s="6" t="s">
        <v>1675</v>
      </c>
      <c r="D5514" s="5" t="s">
        <v>1674</v>
      </c>
      <c r="E5514" s="9" t="str">
        <f>HYPERLINK("https://twitter.com/ebializade/status/1034391508483547136","1034391508483547136")</f>
        <v>1034391508483547136</v>
      </c>
      <c r="F5514" s="4"/>
      <c r="G5514" s="10" t="s">
        <v>1673</v>
      </c>
      <c r="H5514" s="4"/>
      <c r="I5514" s="10" t="str">
        <f>HYPERLINK("http://twitter.com/download/android","Twitter for Android")</f>
        <v>Twitter for Android</v>
      </c>
      <c r="J5514" s="2">
        <v>1765</v>
      </c>
      <c r="K5514" s="2">
        <v>696</v>
      </c>
      <c r="L5514" s="2">
        <v>10</v>
      </c>
      <c r="M5514" s="2"/>
      <c r="N5514" s="8">
        <v>42010.478530092594</v>
      </c>
      <c r="O5514" s="4"/>
      <c r="P5514" s="3" t="s">
        <v>1672</v>
      </c>
      <c r="Q5514" s="10" t="s">
        <v>1671</v>
      </c>
      <c r="R5514" s="4"/>
      <c r="S5514" s="9" t="str">
        <f>HYPERLINK("https://pbs.twimg.com/profile_images/826739620972998656/_dbfzHx8.jpg","View")</f>
        <v>View</v>
      </c>
    </row>
    <row r="5515" spans="1:19" ht="20">
      <c r="A5515" s="8">
        <v>43340.63553240741</v>
      </c>
      <c r="B5515" s="11" t="str">
        <f>HYPERLINK("https://twitter.com/Ned_Ned_","@Ned_Ned_")</f>
        <v>@Ned_Ned_</v>
      </c>
      <c r="C5515" s="6" t="s">
        <v>1670</v>
      </c>
      <c r="D5515" s="5" t="s">
        <v>1669</v>
      </c>
      <c r="E5515" s="9" t="str">
        <f>HYPERLINK("https://twitter.com/Ned_Ned_/status/1034391434013626368","1034391434013626368")</f>
        <v>1034391434013626368</v>
      </c>
      <c r="F5515" s="4"/>
      <c r="G5515" s="4"/>
      <c r="H5515" s="4"/>
      <c r="I5515" s="10" t="str">
        <f>HYPERLINK("http://twitter.com","Twitter Web Client")</f>
        <v>Twitter Web Client</v>
      </c>
      <c r="J5515" s="2">
        <v>177</v>
      </c>
      <c r="K5515" s="2">
        <v>395</v>
      </c>
      <c r="L5515" s="2">
        <v>0</v>
      </c>
      <c r="M5515" s="2"/>
      <c r="N5515" s="8">
        <v>41278.716990740737</v>
      </c>
      <c r="O5515" s="4"/>
      <c r="P5515" s="3"/>
      <c r="Q5515" s="4"/>
      <c r="R5515" s="4"/>
      <c r="S5515" s="9" t="str">
        <f>HYPERLINK("https://pbs.twimg.com/profile_images/873498455120990208/Ceipnqyt.jpg","View")</f>
        <v>View</v>
      </c>
    </row>
    <row r="5516" spans="1:19" ht="40">
      <c r="A5516" s="8">
        <v>43340.635300925926</v>
      </c>
      <c r="B5516" s="11" t="str">
        <f>HYPERLINK("https://twitter.com/amir20966","@amir20966")</f>
        <v>@amir20966</v>
      </c>
      <c r="C5516" s="6" t="s">
        <v>1668</v>
      </c>
      <c r="D5516" s="5" t="s">
        <v>1667</v>
      </c>
      <c r="E5516" s="9" t="str">
        <f>HYPERLINK("https://twitter.com/amir20966/status/1034391348105891840","1034391348105891840")</f>
        <v>1034391348105891840</v>
      </c>
      <c r="F5516" s="4"/>
      <c r="G5516" s="4"/>
      <c r="H5516" s="4"/>
      <c r="I5516" s="10" t="str">
        <f>HYPERLINK("http://twitter.com","Twitter Web Client")</f>
        <v>Twitter Web Client</v>
      </c>
      <c r="J5516" s="2">
        <v>3</v>
      </c>
      <c r="K5516" s="2">
        <v>17</v>
      </c>
      <c r="L5516" s="2">
        <v>0</v>
      </c>
      <c r="M5516" s="2"/>
      <c r="N5516" s="8">
        <v>41554.450937499998</v>
      </c>
      <c r="O5516" s="4" t="s">
        <v>34</v>
      </c>
      <c r="P5516" s="3" t="s">
        <v>1666</v>
      </c>
      <c r="Q5516" s="10" t="s">
        <v>1665</v>
      </c>
      <c r="R5516" s="4"/>
      <c r="S5516" s="9" t="str">
        <f>HYPERLINK("https://pbs.twimg.com/profile_images/1024530225198260224/M_JdsCzp.jpg","View")</f>
        <v>View</v>
      </c>
    </row>
    <row r="5517" spans="1:19" ht="40">
      <c r="A5517" s="8">
        <v>43340.635243055556</v>
      </c>
      <c r="B5517" s="11" t="str">
        <f>HYPERLINK("https://twitter.com/KeyvanHoseinvad","@KeyvanHoseinvad")</f>
        <v>@KeyvanHoseinvad</v>
      </c>
      <c r="C5517" s="6" t="s">
        <v>1069</v>
      </c>
      <c r="D5517" s="5" t="s">
        <v>1664</v>
      </c>
      <c r="E5517" s="9" t="str">
        <f>HYPERLINK("https://twitter.com/KeyvanHoseinvad/status/1034391330510852096","1034391330510852096")</f>
        <v>1034391330510852096</v>
      </c>
      <c r="F5517" s="4"/>
      <c r="G5517" s="4"/>
      <c r="H5517" s="4"/>
      <c r="I5517" s="10" t="str">
        <f>HYPERLINK("http://twitter.com/download/android","Twitter for Android")</f>
        <v>Twitter for Android</v>
      </c>
      <c r="J5517" s="2">
        <v>1133</v>
      </c>
      <c r="K5517" s="2">
        <v>1376</v>
      </c>
      <c r="L5517" s="2">
        <v>4</v>
      </c>
      <c r="M5517" s="2"/>
      <c r="N5517" s="8">
        <v>42896.446412037039</v>
      </c>
      <c r="O5517" s="4" t="s">
        <v>1067</v>
      </c>
      <c r="P5517" s="3" t="s">
        <v>1066</v>
      </c>
      <c r="Q5517" s="4"/>
      <c r="R5517" s="4"/>
      <c r="S5517" s="9" t="str">
        <f>HYPERLINK("https://pbs.twimg.com/profile_images/1012366785788641285/dD3ZD0BU.jpg","View")</f>
        <v>View</v>
      </c>
    </row>
    <row r="5518" spans="1:19" ht="30">
      <c r="A5518" s="8">
        <v>43340.635243055556</v>
      </c>
      <c r="B5518" s="11" t="str">
        <f>HYPERLINK("https://twitter.com/baran2z","@baran2z")</f>
        <v>@baran2z</v>
      </c>
      <c r="C5518" s="6" t="s">
        <v>1398</v>
      </c>
      <c r="D5518" s="5" t="s">
        <v>1663</v>
      </c>
      <c r="E5518" s="9" t="str">
        <f>HYPERLINK("https://twitter.com/baran2z/status/1034391329160290304","1034391329160290304")</f>
        <v>1034391329160290304</v>
      </c>
      <c r="F5518" s="4"/>
      <c r="G5518" s="4"/>
      <c r="H5518" s="4"/>
      <c r="I5518" s="10" t="str">
        <f>HYPERLINK("http://twitter.com/download/android","Twitter for Android")</f>
        <v>Twitter for Android</v>
      </c>
      <c r="J5518" s="2">
        <v>348</v>
      </c>
      <c r="K5518" s="2">
        <v>425</v>
      </c>
      <c r="L5518" s="2">
        <v>0</v>
      </c>
      <c r="M5518" s="2"/>
      <c r="N5518" s="8">
        <v>42030.673206018517</v>
      </c>
      <c r="O5518" s="4"/>
      <c r="P5518" s="3" t="s">
        <v>1396</v>
      </c>
      <c r="Q5518" s="4"/>
      <c r="R5518" s="4"/>
      <c r="S5518" s="9" t="str">
        <f>HYPERLINK("https://pbs.twimg.com/profile_images/1013346496715132928/lehM4YVI.jpg","View")</f>
        <v>View</v>
      </c>
    </row>
    <row r="5519" spans="1:19" ht="40">
      <c r="A5519" s="8">
        <v>43340.635115740741</v>
      </c>
      <c r="B5519" s="11" t="str">
        <f>HYPERLINK("https://twitter.com/neshoom","@neshoom")</f>
        <v>@neshoom</v>
      </c>
      <c r="C5519" s="6" t="s">
        <v>1662</v>
      </c>
      <c r="D5519" s="5" t="s">
        <v>1661</v>
      </c>
      <c r="E5519" s="9" t="str">
        <f>HYPERLINK("https://twitter.com/neshoom/status/1034391281961758720","1034391281961758720")</f>
        <v>1034391281961758720</v>
      </c>
      <c r="F5519" s="4"/>
      <c r="G5519" s="4"/>
      <c r="H5519" s="4"/>
      <c r="I5519" s="10" t="str">
        <f>HYPERLINK("http://twitter.com/download/iphone","Twitter for iPhone")</f>
        <v>Twitter for iPhone</v>
      </c>
      <c r="J5519" s="2">
        <v>161</v>
      </c>
      <c r="K5519" s="2">
        <v>138</v>
      </c>
      <c r="L5519" s="2">
        <v>0</v>
      </c>
      <c r="M5519" s="2"/>
      <c r="N5519" s="8">
        <v>41454.895648148144</v>
      </c>
      <c r="O5519" s="4" t="s">
        <v>34</v>
      </c>
      <c r="P5519" s="3" t="s">
        <v>1660</v>
      </c>
      <c r="Q5519" s="4"/>
      <c r="R5519" s="4"/>
      <c r="S5519" s="9" t="str">
        <f>HYPERLINK("https://pbs.twimg.com/profile_images/895777916793085955/vjaIemSz.jpg","View")</f>
        <v>View</v>
      </c>
    </row>
    <row r="5520" spans="1:19" ht="30">
      <c r="A5520" s="8">
        <v>43340.634826388894</v>
      </c>
      <c r="B5520" s="11" t="str">
        <f>HYPERLINK("https://twitter.com/vfvendetta006","@vfvendetta006")</f>
        <v>@vfvendetta006</v>
      </c>
      <c r="C5520" s="6" t="s">
        <v>1659</v>
      </c>
      <c r="D5520" s="5" t="s">
        <v>1658</v>
      </c>
      <c r="E5520" s="9" t="str">
        <f>HYPERLINK("https://twitter.com/vfvendetta006/status/1034391179561852934","1034391179561852934")</f>
        <v>1034391179561852934</v>
      </c>
      <c r="F5520" s="4"/>
      <c r="G5520" s="4"/>
      <c r="H5520" s="4"/>
      <c r="I5520" s="10" t="str">
        <f>HYPERLINK("http://twitter.com","Twitter Web Client")</f>
        <v>Twitter Web Client</v>
      </c>
      <c r="J5520" s="2">
        <v>842</v>
      </c>
      <c r="K5520" s="2">
        <v>891</v>
      </c>
      <c r="L5520" s="2">
        <v>2</v>
      </c>
      <c r="M5520" s="2"/>
      <c r="N5520" s="8">
        <v>43288.862361111111</v>
      </c>
      <c r="O5520" s="4" t="s">
        <v>1657</v>
      </c>
      <c r="P5520" s="3" t="s">
        <v>1656</v>
      </c>
      <c r="Q5520" s="4"/>
      <c r="R5520" s="4"/>
      <c r="S5520" s="9" t="str">
        <f>HYPERLINK("https://pbs.twimg.com/profile_images/1016692803605319680/olsXCMcB.jpg","View")</f>
        <v>View</v>
      </c>
    </row>
    <row r="5521" spans="1:19" ht="20">
      <c r="A5521" s="8">
        <v>43340.63417824074</v>
      </c>
      <c r="B5521" s="11" t="str">
        <f>HYPERLINK("https://twitter.com/toloueitrue","@toloueitrue")</f>
        <v>@toloueitrue</v>
      </c>
      <c r="C5521" s="6" t="s">
        <v>1655</v>
      </c>
      <c r="D5521" s="5" t="s">
        <v>1654</v>
      </c>
      <c r="E5521" s="9" t="str">
        <f>HYPERLINK("https://twitter.com/toloueitrue/status/1034390943409963009","1034390943409963009")</f>
        <v>1034390943409963009</v>
      </c>
      <c r="F5521" s="4"/>
      <c r="G5521" s="4"/>
      <c r="H5521" s="4"/>
      <c r="I5521" s="10" t="str">
        <f>HYPERLINK("http://twitter.com/download/android","Twitter for Android")</f>
        <v>Twitter for Android</v>
      </c>
      <c r="J5521" s="2">
        <v>212</v>
      </c>
      <c r="K5521" s="2">
        <v>214</v>
      </c>
      <c r="L5521" s="2">
        <v>4</v>
      </c>
      <c r="M5521" s="2"/>
      <c r="N5521" s="8">
        <v>43181.789664351847</v>
      </c>
      <c r="O5521" s="4"/>
      <c r="P5521" s="3" t="s">
        <v>1653</v>
      </c>
      <c r="Q5521" s="4"/>
      <c r="R5521" s="4"/>
      <c r="S5521" s="9" t="str">
        <f>HYPERLINK("https://pbs.twimg.com/profile_images/978006624777404417/G6ctzshg.jpg","View")</f>
        <v>View</v>
      </c>
    </row>
    <row r="5522" spans="1:19" ht="30">
      <c r="A5522" s="8">
        <v>43340.634097222224</v>
      </c>
      <c r="B5522" s="11" t="str">
        <f>HYPERLINK("https://twitter.com/erkinchi","@erkinchi")</f>
        <v>@erkinchi</v>
      </c>
      <c r="C5522" s="6" t="s">
        <v>1652</v>
      </c>
      <c r="D5522" s="5" t="s">
        <v>1651</v>
      </c>
      <c r="E5522" s="9" t="str">
        <f>HYPERLINK("https://twitter.com/erkinchi/status/1034390912254849025","1034390912254849025")</f>
        <v>1034390912254849025</v>
      </c>
      <c r="F5522" s="4"/>
      <c r="G5522" s="4"/>
      <c r="H5522" s="4"/>
      <c r="I5522" s="10" t="str">
        <f>HYPERLINK("http://twitter.com","Twitter Web Client")</f>
        <v>Twitter Web Client</v>
      </c>
      <c r="J5522" s="2">
        <v>784</v>
      </c>
      <c r="K5522" s="2">
        <v>266</v>
      </c>
      <c r="L5522" s="2">
        <v>3</v>
      </c>
      <c r="M5522" s="2"/>
      <c r="N5522" s="8">
        <v>41561.322083333333</v>
      </c>
      <c r="O5522" s="4"/>
      <c r="P5522" s="3" t="s">
        <v>1650</v>
      </c>
      <c r="Q5522" s="4"/>
      <c r="R5522" s="4"/>
      <c r="S5522" s="9" t="str">
        <f>HYPERLINK("https://pbs.twimg.com/profile_images/1009004222308810753/pi0MyTxl.jpg","View")</f>
        <v>View</v>
      </c>
    </row>
    <row r="5523" spans="1:19" ht="40">
      <c r="A5523" s="8">
        <v>43340.634050925924</v>
      </c>
      <c r="B5523" s="11" t="str">
        <f>HYPERLINK("https://twitter.com/nostradmoss","@nostradmoss")</f>
        <v>@nostradmoss</v>
      </c>
      <c r="C5523" s="6" t="s">
        <v>1649</v>
      </c>
      <c r="D5523" s="5" t="s">
        <v>1648</v>
      </c>
      <c r="E5523" s="9" t="str">
        <f>HYPERLINK("https://twitter.com/nostradmoss/status/1034390895104335872","1034390895104335872")</f>
        <v>1034390895104335872</v>
      </c>
      <c r="F5523" s="4"/>
      <c r="G5523" s="10" t="s">
        <v>1647</v>
      </c>
      <c r="H5523" s="4"/>
      <c r="I5523" s="10" t="str">
        <f>HYPERLINK("http://twitter.com/download/android","Twitter for Android")</f>
        <v>Twitter for Android</v>
      </c>
      <c r="J5523" s="2">
        <v>24</v>
      </c>
      <c r="K5523" s="2">
        <v>58</v>
      </c>
      <c r="L5523" s="2">
        <v>0</v>
      </c>
      <c r="M5523" s="2"/>
      <c r="N5523" s="8">
        <v>42904.762384259258</v>
      </c>
      <c r="O5523" s="4"/>
      <c r="P5523" s="3" t="s">
        <v>1646</v>
      </c>
      <c r="Q5523" s="4"/>
      <c r="R5523" s="4"/>
      <c r="S5523" s="9" t="str">
        <f>HYPERLINK("https://pbs.twimg.com/profile_images/1034079575079354373/uakrwLfG.jpg","View")</f>
        <v>View</v>
      </c>
    </row>
    <row r="5524" spans="1:19" ht="40">
      <c r="A5524" s="8">
        <v>43340.633981481486</v>
      </c>
      <c r="B5524" s="11" t="str">
        <f>HYPERLINK("https://twitter.com/cyber802s","@cyber802s")</f>
        <v>@cyber802s</v>
      </c>
      <c r="C5524" s="6" t="s">
        <v>1645</v>
      </c>
      <c r="D5524" s="5" t="s">
        <v>1644</v>
      </c>
      <c r="E5524" s="9" t="str">
        <f>HYPERLINK("https://twitter.com/cyber802s/status/1034390871771414529","1034390871771414529")</f>
        <v>1034390871771414529</v>
      </c>
      <c r="F5524" s="4"/>
      <c r="G5524" s="4"/>
      <c r="H5524" s="4"/>
      <c r="I5524" s="10" t="str">
        <f>HYPERLINK("http://twitter.com/download/android","Twitter for Android")</f>
        <v>Twitter for Android</v>
      </c>
      <c r="J5524" s="2">
        <v>4188</v>
      </c>
      <c r="K5524" s="2">
        <v>1523</v>
      </c>
      <c r="L5524" s="2">
        <v>14</v>
      </c>
      <c r="M5524" s="2"/>
      <c r="N5524" s="8">
        <v>43156.463206018518</v>
      </c>
      <c r="O5524" s="4" t="s">
        <v>17</v>
      </c>
      <c r="P5524" s="3" t="s">
        <v>1643</v>
      </c>
      <c r="Q5524" s="10" t="s">
        <v>1642</v>
      </c>
      <c r="R5524" s="4"/>
      <c r="S5524" s="9" t="str">
        <f>HYPERLINK("https://pbs.twimg.com/profile_images/1031911396500537351/jFTdlZAf.jpg","View")</f>
        <v>View</v>
      </c>
    </row>
    <row r="5525" spans="1:19" ht="20">
      <c r="A5525" s="8">
        <v>43340.633784722224</v>
      </c>
      <c r="B5525" s="11" t="str">
        <f>HYPERLINK("https://twitter.com/rmohammadi1991","@rmohammadi1991")</f>
        <v>@rmohammadi1991</v>
      </c>
      <c r="C5525" s="6" t="s">
        <v>1641</v>
      </c>
      <c r="D5525" s="5" t="s">
        <v>1640</v>
      </c>
      <c r="E5525" s="9" t="str">
        <f>HYPERLINK("https://twitter.com/rmohammadi1991/status/1034390802141769728","1034390802141769728")</f>
        <v>1034390802141769728</v>
      </c>
      <c r="F5525" s="4"/>
      <c r="G5525" s="4"/>
      <c r="H5525" s="4"/>
      <c r="I5525" s="10" t="str">
        <f>HYPERLINK("http://twitter.com/download/android","Twitter for Android")</f>
        <v>Twitter for Android</v>
      </c>
      <c r="J5525" s="2">
        <v>383</v>
      </c>
      <c r="K5525" s="2">
        <v>768</v>
      </c>
      <c r="L5525" s="2">
        <v>1</v>
      </c>
      <c r="M5525" s="2"/>
      <c r="N5525" s="8">
        <v>42810.041435185187</v>
      </c>
      <c r="O5525" s="4" t="s">
        <v>682</v>
      </c>
      <c r="P5525" s="3" t="s">
        <v>1639</v>
      </c>
      <c r="Q5525" s="4"/>
      <c r="R5525" s="4"/>
      <c r="S5525" s="9" t="str">
        <f>HYPERLINK("https://pbs.twimg.com/profile_images/975270963381198848/XU-5piT1.jpg","View")</f>
        <v>View</v>
      </c>
    </row>
    <row r="5526" spans="1:19" ht="30">
      <c r="A5526" s="8">
        <v>43340.633657407408</v>
      </c>
      <c r="B5526" s="11" t="str">
        <f>HYPERLINK("https://twitter.com/mostafa_ghe","@mostafa_ghe")</f>
        <v>@mostafa_ghe</v>
      </c>
      <c r="C5526" s="6" t="s">
        <v>1638</v>
      </c>
      <c r="D5526" s="5" t="s">
        <v>1637</v>
      </c>
      <c r="E5526" s="9" t="str">
        <f>HYPERLINK("https://twitter.com/mostafa_ghe/status/1034390755836616704","1034390755836616704")</f>
        <v>1034390755836616704</v>
      </c>
      <c r="F5526" s="4"/>
      <c r="G5526" s="10" t="s">
        <v>1636</v>
      </c>
      <c r="H5526" s="4"/>
      <c r="I5526" s="10" t="str">
        <f>HYPERLINK("http://twitter.com/download/android","Twitter for Android")</f>
        <v>Twitter for Android</v>
      </c>
      <c r="J5526" s="2">
        <v>1918</v>
      </c>
      <c r="K5526" s="2">
        <v>1893</v>
      </c>
      <c r="L5526" s="2">
        <v>3</v>
      </c>
      <c r="M5526" s="2"/>
      <c r="N5526" s="8">
        <v>42931.705000000002</v>
      </c>
      <c r="O5526" s="4" t="s">
        <v>1635</v>
      </c>
      <c r="P5526" s="3" t="s">
        <v>1634</v>
      </c>
      <c r="Q5526" s="4"/>
      <c r="R5526" s="4"/>
      <c r="S5526" s="9" t="str">
        <f>HYPERLINK("https://pbs.twimg.com/profile_images/1034348981126672384/YuUYJ2hv.jpg","View")</f>
        <v>View</v>
      </c>
    </row>
    <row r="5527" spans="1:19" ht="20">
      <c r="A5527" s="8">
        <v>43340.633402777778</v>
      </c>
      <c r="B5527" s="11" t="str">
        <f>HYPERLINK("https://twitter.com/Honeyhagani","@Honeyhagani")</f>
        <v>@Honeyhagani</v>
      </c>
      <c r="C5527" s="6" t="s">
        <v>1633</v>
      </c>
      <c r="D5527" s="5" t="s">
        <v>1632</v>
      </c>
      <c r="E5527" s="9" t="str">
        <f>HYPERLINK("https://twitter.com/Honeyhagani/status/1034390662437916672","1034390662437916672")</f>
        <v>1034390662437916672</v>
      </c>
      <c r="F5527" s="4"/>
      <c r="G5527" s="4"/>
      <c r="H5527" s="4"/>
      <c r="I5527" s="10" t="str">
        <f>HYPERLINK("http://twitter.com/download/iphone","Twitter for iPhone")</f>
        <v>Twitter for iPhone</v>
      </c>
      <c r="J5527" s="2">
        <v>19</v>
      </c>
      <c r="K5527" s="2">
        <v>107</v>
      </c>
      <c r="L5527" s="2">
        <v>0</v>
      </c>
      <c r="M5527" s="2"/>
      <c r="N5527" s="8">
        <v>43304.437245370369</v>
      </c>
      <c r="O5527" s="4" t="s">
        <v>1631</v>
      </c>
      <c r="P5527" s="3" t="s">
        <v>1630</v>
      </c>
      <c r="Q5527" s="4"/>
      <c r="R5527" s="4"/>
      <c r="S5527" s="9" t="str">
        <f>HYPERLINK("https://pbs.twimg.com/profile_images/1034388466933682176/MLDwmV3X.jpg","View")</f>
        <v>View</v>
      </c>
    </row>
    <row r="5528" spans="1:19" ht="30">
      <c r="A5528" s="8">
        <v>43340.633252314816</v>
      </c>
      <c r="B5528" s="11" t="str">
        <f>HYPERLINK("https://twitter.com/ponezss","@ponezss")</f>
        <v>@ponezss</v>
      </c>
      <c r="C5528" s="6" t="s">
        <v>1011</v>
      </c>
      <c r="D5528" s="5" t="s">
        <v>1629</v>
      </c>
      <c r="E5528" s="9" t="str">
        <f>HYPERLINK("https://twitter.com/ponezss/status/1034390606716575744","1034390606716575744")</f>
        <v>1034390606716575744</v>
      </c>
      <c r="F5528" s="4"/>
      <c r="G5528" s="10" t="s">
        <v>1628</v>
      </c>
      <c r="H5528" s="4"/>
      <c r="I5528" s="10" t="str">
        <f>HYPERLINK("http://twitter.com","Twitter Web Client")</f>
        <v>Twitter Web Client</v>
      </c>
      <c r="J5528" s="2">
        <v>1356</v>
      </c>
      <c r="K5528" s="2">
        <v>704</v>
      </c>
      <c r="L5528" s="2">
        <v>1</v>
      </c>
      <c r="M5528" s="2"/>
      <c r="N5528" s="8">
        <v>42876.615879629629</v>
      </c>
      <c r="O5528" s="4" t="s">
        <v>17</v>
      </c>
      <c r="P5528" s="3" t="s">
        <v>1009</v>
      </c>
      <c r="Q5528" s="4"/>
      <c r="R5528" s="4"/>
      <c r="S5528" s="9" t="str">
        <f>HYPERLINK("https://pbs.twimg.com/profile_images/998335956628357120/wWcDCWln.jpg","View")</f>
        <v>View</v>
      </c>
    </row>
    <row r="5529" spans="1:19" ht="40">
      <c r="A5529" s="8">
        <v>43340.633206018523</v>
      </c>
      <c r="B5529" s="11" t="str">
        <f>HYPERLINK("https://twitter.com/BargePaiez","@BargePaiez")</f>
        <v>@BargePaiez</v>
      </c>
      <c r="C5529" s="6" t="s">
        <v>1627</v>
      </c>
      <c r="D5529" s="5" t="s">
        <v>1626</v>
      </c>
      <c r="E5529" s="9" t="str">
        <f>HYPERLINK("https://twitter.com/BargePaiez/status/1034390591948435458","1034390591948435458")</f>
        <v>1034390591948435458</v>
      </c>
      <c r="F5529" s="4"/>
      <c r="G5529" s="4"/>
      <c r="H5529" s="4"/>
      <c r="I5529" s="10" t="str">
        <f>HYPERLINK("http://twitter.com/download/android","Twitter for Android")</f>
        <v>Twitter for Android</v>
      </c>
      <c r="J5529" s="2">
        <v>1135</v>
      </c>
      <c r="K5529" s="2">
        <v>325</v>
      </c>
      <c r="L5529" s="2">
        <v>9</v>
      </c>
      <c r="M5529" s="2"/>
      <c r="N5529" s="8">
        <v>42661.090937500005</v>
      </c>
      <c r="O5529" s="4"/>
      <c r="P5529" s="3" t="s">
        <v>1625</v>
      </c>
      <c r="Q5529" s="4"/>
      <c r="R5529" s="4"/>
      <c r="S5529" s="9" t="str">
        <f>HYPERLINK("https://pbs.twimg.com/profile_images/996813071468331008/2GEAdx73.jpg","View")</f>
        <v>View</v>
      </c>
    </row>
    <row r="5530" spans="1:19" ht="20">
      <c r="A5530" s="8">
        <v>43340.633159722223</v>
      </c>
      <c r="B5530" s="11" t="str">
        <f>HYPERLINK("https://twitter.com/omidtaherii","@omidtaherii")</f>
        <v>@omidtaherii</v>
      </c>
      <c r="C5530" s="6" t="s">
        <v>1624</v>
      </c>
      <c r="D5530" s="5" t="s">
        <v>1623</v>
      </c>
      <c r="E5530" s="9" t="str">
        <f>HYPERLINK("https://twitter.com/omidtaherii/status/1034390574240071683","1034390574240071683")</f>
        <v>1034390574240071683</v>
      </c>
      <c r="F5530" s="4"/>
      <c r="G5530" s="4"/>
      <c r="H5530" s="4"/>
      <c r="I5530" s="10" t="str">
        <f>HYPERLINK("http://twitter.com/download/android","Twitter for Android")</f>
        <v>Twitter for Android</v>
      </c>
      <c r="J5530" s="2">
        <v>66</v>
      </c>
      <c r="K5530" s="2">
        <v>130</v>
      </c>
      <c r="L5530" s="2">
        <v>0</v>
      </c>
      <c r="M5530" s="2"/>
      <c r="N5530" s="8">
        <v>42750.620821759258</v>
      </c>
      <c r="O5530" s="4" t="s">
        <v>682</v>
      </c>
      <c r="P5530" s="3" t="s">
        <v>1622</v>
      </c>
      <c r="Q5530" s="4"/>
      <c r="R5530" s="4"/>
      <c r="S5530" s="9" t="str">
        <f>HYPERLINK("https://pbs.twimg.com/profile_images/1034076631449534466/IjWIQCft.jpg","View")</f>
        <v>View</v>
      </c>
    </row>
    <row r="5531" spans="1:19" ht="40">
      <c r="A5531" s="8">
        <v>43340.633101851854</v>
      </c>
      <c r="B5531" s="11" t="str">
        <f>HYPERLINK("https://twitter.com/miraghorbanifar","@miraghorbanifar")</f>
        <v>@miraghorbanifar</v>
      </c>
      <c r="C5531" s="6" t="s">
        <v>1621</v>
      </c>
      <c r="D5531" s="5" t="s">
        <v>1620</v>
      </c>
      <c r="E5531" s="9" t="str">
        <f>HYPERLINK("https://twitter.com/miraghorbanifar/status/1034390554753335296","1034390554753335296")</f>
        <v>1034390554753335296</v>
      </c>
      <c r="F5531" s="4"/>
      <c r="G5531" s="4"/>
      <c r="H5531" s="4"/>
      <c r="I5531" s="10" t="str">
        <f>HYPERLINK("http://twitter.com/download/android","Twitter for Android")</f>
        <v>Twitter for Android</v>
      </c>
      <c r="J5531" s="2">
        <v>11410</v>
      </c>
      <c r="K5531" s="2">
        <v>745</v>
      </c>
      <c r="L5531" s="2">
        <v>82</v>
      </c>
      <c r="M5531" s="2"/>
      <c r="N5531" s="8">
        <v>40732.691886574074</v>
      </c>
      <c r="O5531" s="4" t="s">
        <v>34</v>
      </c>
      <c r="P5531" s="3" t="s">
        <v>1619</v>
      </c>
      <c r="Q5531" s="10" t="s">
        <v>1618</v>
      </c>
      <c r="R5531" s="4"/>
      <c r="S5531" s="9" t="str">
        <f>HYPERLINK("https://pbs.twimg.com/profile_images/1025132115443240961/thCeNfpz.jpg","View")</f>
        <v>View</v>
      </c>
    </row>
    <row r="5532" spans="1:19" ht="20">
      <c r="A5532" s="8">
        <v>43340.6330787037</v>
      </c>
      <c r="B5532" s="11" t="str">
        <f>HYPERLINK("https://twitter.com/Garfieldamman","@Garfieldamman")</f>
        <v>@Garfieldamman</v>
      </c>
      <c r="C5532" s="6" t="s">
        <v>1617</v>
      </c>
      <c r="D5532" s="5" t="s">
        <v>1616</v>
      </c>
      <c r="E5532" s="9" t="str">
        <f>HYPERLINK("https://twitter.com/Garfieldamman/status/1034390544670224384","1034390544670224384")</f>
        <v>1034390544670224384</v>
      </c>
      <c r="F5532" s="4"/>
      <c r="G5532" s="4"/>
      <c r="H5532" s="4"/>
      <c r="I5532" s="10" t="str">
        <f>HYPERLINK("http://twitter.com/download/android","Twitter for Android")</f>
        <v>Twitter for Android</v>
      </c>
      <c r="J5532" s="2">
        <v>156</v>
      </c>
      <c r="K5532" s="2">
        <v>450</v>
      </c>
      <c r="L5532" s="2">
        <v>0</v>
      </c>
      <c r="M5532" s="2"/>
      <c r="N5532" s="8">
        <v>43305.927245370374</v>
      </c>
      <c r="O5532" s="4" t="s">
        <v>1615</v>
      </c>
      <c r="P5532" s="3" t="s">
        <v>1614</v>
      </c>
      <c r="Q5532" s="4"/>
      <c r="R5532" s="4"/>
      <c r="S5532" s="9" t="str">
        <f>HYPERLINK("https://pbs.twimg.com/profile_images/1021814587723837440/oIWUftg8.jpg","View")</f>
        <v>View</v>
      </c>
    </row>
    <row r="5533" spans="1:19" ht="20">
      <c r="A5533" s="8">
        <v>43340.633055555554</v>
      </c>
      <c r="B5533" s="11" t="str">
        <f>HYPERLINK("https://twitter.com/farzad_akb","@farzad_akb")</f>
        <v>@farzad_akb</v>
      </c>
      <c r="C5533" s="6" t="s">
        <v>1613</v>
      </c>
      <c r="D5533" s="5" t="s">
        <v>1612</v>
      </c>
      <c r="E5533" s="9" t="str">
        <f>HYPERLINK("https://twitter.com/farzad_akb/status/1034390535384051713","1034390535384051713")</f>
        <v>1034390535384051713</v>
      </c>
      <c r="F5533" s="4"/>
      <c r="G5533" s="4"/>
      <c r="H5533" s="4"/>
      <c r="I5533" s="10" t="str">
        <f>HYPERLINK("http://twitter.com/download/android","Twitter for Android")</f>
        <v>Twitter for Android</v>
      </c>
      <c r="J5533" s="2">
        <v>37</v>
      </c>
      <c r="K5533" s="2">
        <v>121</v>
      </c>
      <c r="L5533" s="2">
        <v>0</v>
      </c>
      <c r="M5533" s="2"/>
      <c r="N5533" s="8">
        <v>42550.453773148147</v>
      </c>
      <c r="O5533" s="4" t="s">
        <v>1611</v>
      </c>
      <c r="P5533" s="3" t="s">
        <v>1610</v>
      </c>
      <c r="Q5533" s="4"/>
      <c r="R5533" s="4"/>
      <c r="S5533" s="9" t="str">
        <f>HYPERLINK("https://pbs.twimg.com/profile_images/884377819035426817/Vq_QFOdk.jpg","View")</f>
        <v>View</v>
      </c>
    </row>
    <row r="5534" spans="1:19" ht="20">
      <c r="A5534" s="8">
        <v>43340.632754629631</v>
      </c>
      <c r="B5534" s="11" t="str">
        <f>HYPERLINK("https://twitter.com/sedayebarandaz","@sedayebarandaz")</f>
        <v>@sedayebarandaz</v>
      </c>
      <c r="C5534" s="6" t="s">
        <v>1609</v>
      </c>
      <c r="D5534" s="5" t="s">
        <v>1608</v>
      </c>
      <c r="E5534" s="9" t="str">
        <f>HYPERLINK("https://twitter.com/sedayebarandaz/status/1034390425937870848","1034390425937870848")</f>
        <v>1034390425937870848</v>
      </c>
      <c r="F5534" s="4"/>
      <c r="G5534" s="4"/>
      <c r="H5534" s="4"/>
      <c r="I5534" s="10" t="str">
        <f>HYPERLINK("http://twitter.com/download/iphone","Twitter for iPhone")</f>
        <v>Twitter for iPhone</v>
      </c>
      <c r="J5534" s="2">
        <v>70</v>
      </c>
      <c r="K5534" s="2">
        <v>75</v>
      </c>
      <c r="L5534" s="2">
        <v>0</v>
      </c>
      <c r="M5534" s="2"/>
      <c r="N5534" s="8">
        <v>43267.644907407404</v>
      </c>
      <c r="O5534" s="4"/>
      <c r="P5534" s="3" t="s">
        <v>1607</v>
      </c>
      <c r="Q5534" s="4"/>
      <c r="R5534" s="4"/>
      <c r="S5534" s="9" t="str">
        <f>HYPERLINK("https://pbs.twimg.com/profile_images/1007943351742750721/lgxHfx5W.jpg","View")</f>
        <v>View</v>
      </c>
    </row>
    <row r="5535" spans="1:19" ht="40">
      <c r="A5535" s="8">
        <v>43340.632638888885</v>
      </c>
      <c r="B5535" s="11" t="str">
        <f>HYPERLINK("https://twitter.com/TaranomFarhangi","@TaranomFarhangi")</f>
        <v>@TaranomFarhangi</v>
      </c>
      <c r="C5535" s="6" t="s">
        <v>1606</v>
      </c>
      <c r="D5535" s="5" t="s">
        <v>1605</v>
      </c>
      <c r="E5535" s="9" t="str">
        <f>HYPERLINK("https://twitter.com/TaranomFarhangi/status/1034390384787345408","1034390384787345408")</f>
        <v>1034390384787345408</v>
      </c>
      <c r="F5535" s="4"/>
      <c r="G5535" s="4"/>
      <c r="H5535" s="4"/>
      <c r="I5535" s="10" t="str">
        <f>HYPERLINK("http://twitter.com","Twitter Web Client")</f>
        <v>Twitter Web Client</v>
      </c>
      <c r="J5535" s="2">
        <v>2225</v>
      </c>
      <c r="K5535" s="2">
        <v>1963</v>
      </c>
      <c r="L5535" s="2">
        <v>10</v>
      </c>
      <c r="M5535" s="2"/>
      <c r="N5535" s="8">
        <v>42911.834155092598</v>
      </c>
      <c r="O5535" s="4" t="s">
        <v>682</v>
      </c>
      <c r="P5535" s="3" t="s">
        <v>1604</v>
      </c>
      <c r="Q5535" s="4"/>
      <c r="R5535" s="4"/>
      <c r="S5535" s="9" t="str">
        <f>HYPERLINK("https://pbs.twimg.com/profile_images/955477266342932481/stp5_Uoi.jpg","View")</f>
        <v>View</v>
      </c>
    </row>
    <row r="5536" spans="1:19" ht="40">
      <c r="A5536" s="8">
        <v>43340.632395833338</v>
      </c>
      <c r="B5536" s="11" t="str">
        <f>HYPERLINK("https://twitter.com/Amirr3365","@Amirr3365")</f>
        <v>@Amirr3365</v>
      </c>
      <c r="C5536" s="6" t="s">
        <v>1603</v>
      </c>
      <c r="D5536" s="5" t="s">
        <v>1602</v>
      </c>
      <c r="E5536" s="9" t="str">
        <f>HYPERLINK("https://twitter.com/Amirr3365/status/1034390297470545920","1034390297470545920")</f>
        <v>1034390297470545920</v>
      </c>
      <c r="F5536" s="4"/>
      <c r="G5536" s="4"/>
      <c r="H5536" s="4"/>
      <c r="I5536" s="10" t="str">
        <f>HYPERLINK("http://twitter.com/download/iphone","Twitter for iPhone")</f>
        <v>Twitter for iPhone</v>
      </c>
      <c r="J5536" s="2">
        <v>7</v>
      </c>
      <c r="K5536" s="2">
        <v>14</v>
      </c>
      <c r="L5536" s="2">
        <v>0</v>
      </c>
      <c r="M5536" s="2"/>
      <c r="N5536" s="8">
        <v>42800.674745370372</v>
      </c>
      <c r="O5536" s="4" t="s">
        <v>1601</v>
      </c>
      <c r="P5536" s="3" t="s">
        <v>1600</v>
      </c>
      <c r="Q5536" s="4"/>
      <c r="R5536" s="4"/>
      <c r="S5536" s="9" t="str">
        <f>HYPERLINK("https://pbs.twimg.com/profile_images/982926527103930369/pIaU583m.jpg","View")</f>
        <v>View</v>
      </c>
    </row>
    <row r="5537" spans="1:19" ht="40">
      <c r="A5537" s="8">
        <v>43340.632106481484</v>
      </c>
      <c r="B5537" s="11" t="str">
        <f>HYPERLINK("https://twitter.com/user_muham7","@user_muham7")</f>
        <v>@user_muham7</v>
      </c>
      <c r="C5537" s="6" t="s">
        <v>1599</v>
      </c>
      <c r="D5537" s="5" t="s">
        <v>1598</v>
      </c>
      <c r="E5537" s="9" t="str">
        <f>HYPERLINK("https://twitter.com/user_muham7/status/1034390193044946945","1034390193044946945")</f>
        <v>1034390193044946945</v>
      </c>
      <c r="F5537" s="4"/>
      <c r="G5537" s="4"/>
      <c r="H5537" s="4"/>
      <c r="I5537" s="10" t="str">
        <f>HYPERLINK("http://twitter.com/download/iphone","Twitter for iPhone")</f>
        <v>Twitter for iPhone</v>
      </c>
      <c r="J5537" s="2">
        <v>56</v>
      </c>
      <c r="K5537" s="2">
        <v>112</v>
      </c>
      <c r="L5537" s="2">
        <v>1</v>
      </c>
      <c r="M5537" s="2"/>
      <c r="N5537" s="8">
        <v>43321.088946759264</v>
      </c>
      <c r="O5537" s="4" t="s">
        <v>34</v>
      </c>
      <c r="P5537" s="3" t="s">
        <v>1597</v>
      </c>
      <c r="Q5537" s="10" t="s">
        <v>1596</v>
      </c>
      <c r="R5537" s="4"/>
      <c r="S5537" s="9" t="str">
        <f>HYPERLINK("https://pbs.twimg.com/profile_images/1032365097933582343/a6ObffBY.jpg","View")</f>
        <v>View</v>
      </c>
    </row>
    <row r="5538" spans="1:19" ht="40">
      <c r="A5538" s="8">
        <v>43340.631840277776</v>
      </c>
      <c r="B5538" s="11" t="str">
        <f>HYPERLINK("https://twitter.com/ati_rzm0625","@ati_rzm0625")</f>
        <v>@ati_rzm0625</v>
      </c>
      <c r="C5538" s="6" t="s">
        <v>1564</v>
      </c>
      <c r="D5538" s="5" t="s">
        <v>1595</v>
      </c>
      <c r="E5538" s="9" t="str">
        <f>HYPERLINK("https://twitter.com/ati_rzm0625/status/1034390096559177729","1034390096559177729")</f>
        <v>1034390096559177729</v>
      </c>
      <c r="F5538" s="4"/>
      <c r="G5538" s="4"/>
      <c r="H5538" s="4"/>
      <c r="I5538" s="10" t="str">
        <f>HYPERLINK("http://twitter.com/download/android","Twitter for Android")</f>
        <v>Twitter for Android</v>
      </c>
      <c r="J5538" s="2">
        <v>1694</v>
      </c>
      <c r="K5538" s="2">
        <v>1459</v>
      </c>
      <c r="L5538" s="2">
        <v>5</v>
      </c>
      <c r="M5538" s="2"/>
      <c r="N5538" s="8">
        <v>42910.990162037036</v>
      </c>
      <c r="O5538" s="4" t="s">
        <v>17</v>
      </c>
      <c r="P5538" s="3" t="s">
        <v>1562</v>
      </c>
      <c r="Q5538" s="4"/>
      <c r="R5538" s="4"/>
      <c r="S5538" s="9" t="str">
        <f>HYPERLINK("https://pbs.twimg.com/profile_images/960262686088007685/2lvZjzx5.jpg","View")</f>
        <v>View</v>
      </c>
    </row>
    <row r="5539" spans="1:19" ht="30">
      <c r="A5539" s="8">
        <v>43340.631412037037</v>
      </c>
      <c r="B5539" s="11" t="str">
        <f>HYPERLINK("https://twitter.com/ati_rzm0625","@ati_rzm0625")</f>
        <v>@ati_rzm0625</v>
      </c>
      <c r="C5539" s="6" t="s">
        <v>1564</v>
      </c>
      <c r="D5539" s="5" t="s">
        <v>1594</v>
      </c>
      <c r="E5539" s="9" t="str">
        <f>HYPERLINK("https://twitter.com/ati_rzm0625/status/1034389941906796544","1034389941906796544")</f>
        <v>1034389941906796544</v>
      </c>
      <c r="F5539" s="4"/>
      <c r="G5539" s="4"/>
      <c r="H5539" s="4"/>
      <c r="I5539" s="10" t="str">
        <f>HYPERLINK("http://twitter.com/download/android","Twitter for Android")</f>
        <v>Twitter for Android</v>
      </c>
      <c r="J5539" s="2">
        <v>1694</v>
      </c>
      <c r="K5539" s="2">
        <v>1459</v>
      </c>
      <c r="L5539" s="2">
        <v>5</v>
      </c>
      <c r="M5539" s="2"/>
      <c r="N5539" s="8">
        <v>42910.990162037036</v>
      </c>
      <c r="O5539" s="4" t="s">
        <v>17</v>
      </c>
      <c r="P5539" s="3" t="s">
        <v>1562</v>
      </c>
      <c r="Q5539" s="4"/>
      <c r="R5539" s="4"/>
      <c r="S5539" s="9" t="str">
        <f>HYPERLINK("https://pbs.twimg.com/profile_images/960262686088007685/2lvZjzx5.jpg","View")</f>
        <v>View</v>
      </c>
    </row>
    <row r="5540" spans="1:19" ht="40">
      <c r="A5540" s="8">
        <v>43340.631192129629</v>
      </c>
      <c r="B5540" s="11" t="str">
        <f>HYPERLINK("https://twitter.com/amirhnee","@amirhnee")</f>
        <v>@amirhnee</v>
      </c>
      <c r="C5540" s="6" t="s">
        <v>1593</v>
      </c>
      <c r="D5540" s="5" t="s">
        <v>1592</v>
      </c>
      <c r="E5540" s="9" t="str">
        <f>HYPERLINK("https://twitter.com/amirhnee/status/1034389860210098176","1034389860210098176")</f>
        <v>1034389860210098176</v>
      </c>
      <c r="F5540" s="4"/>
      <c r="G5540" s="4"/>
      <c r="H5540" s="4"/>
      <c r="I5540" s="10" t="str">
        <f>HYPERLINK("http://twitter.com/download/android","Twitter for Android")</f>
        <v>Twitter for Android</v>
      </c>
      <c r="J5540" s="2">
        <v>73</v>
      </c>
      <c r="K5540" s="2">
        <v>189</v>
      </c>
      <c r="L5540" s="2">
        <v>0</v>
      </c>
      <c r="M5540" s="2"/>
      <c r="N5540" s="8">
        <v>42899.805462962962</v>
      </c>
      <c r="O5540" s="4" t="s">
        <v>1591</v>
      </c>
      <c r="P5540" s="3" t="s">
        <v>1590</v>
      </c>
      <c r="Q5540" s="10" t="s">
        <v>1589</v>
      </c>
      <c r="R5540" s="4"/>
      <c r="S5540" s="9" t="str">
        <f>HYPERLINK("https://pbs.twimg.com/profile_images/1021834342375587841/VA6jFMo-.jpg","View")</f>
        <v>View</v>
      </c>
    </row>
    <row r="5541" spans="1:19" ht="20">
      <c r="A5541" s="8">
        <v>43340.631168981483</v>
      </c>
      <c r="B5541" s="11" t="str">
        <f>HYPERLINK("https://twitter.com/Hoseinshahriary","@Hoseinshahriary")</f>
        <v>@Hoseinshahriary</v>
      </c>
      <c r="C5541" s="6" t="s">
        <v>1588</v>
      </c>
      <c r="D5541" s="5" t="s">
        <v>1587</v>
      </c>
      <c r="E5541" s="9" t="str">
        <f>HYPERLINK("https://twitter.com/Hoseinshahriary/status/1034389852756824064","1034389852756824064")</f>
        <v>1034389852756824064</v>
      </c>
      <c r="F5541" s="4"/>
      <c r="G5541" s="10" t="s">
        <v>1586</v>
      </c>
      <c r="H5541" s="4"/>
      <c r="I5541" s="10" t="str">
        <f>HYPERLINK("http://twitter.com/download/android","Twitter for Android")</f>
        <v>Twitter for Android</v>
      </c>
      <c r="J5541" s="2">
        <v>1713</v>
      </c>
      <c r="K5541" s="2">
        <v>1900</v>
      </c>
      <c r="L5541" s="2">
        <v>2</v>
      </c>
      <c r="M5541" s="2"/>
      <c r="N5541" s="8">
        <v>43222.827291666668</v>
      </c>
      <c r="O5541" s="4" t="s">
        <v>1585</v>
      </c>
      <c r="P5541" s="3" t="s">
        <v>1584</v>
      </c>
      <c r="Q5541" s="4"/>
      <c r="R5541" s="4"/>
      <c r="S5541" s="9" t="str">
        <f>HYPERLINK("https://pbs.twimg.com/profile_images/1006236415045324805/QL66Jljz.jpg","View")</f>
        <v>View</v>
      </c>
    </row>
    <row r="5542" spans="1:19" ht="20">
      <c r="A5542" s="8">
        <v>43340.631145833337</v>
      </c>
      <c r="B5542" s="11" t="str">
        <f>HYPERLINK("https://twitter.com/ipharzan","@ipharzan")</f>
        <v>@ipharzan</v>
      </c>
      <c r="C5542" s="6" t="s">
        <v>1583</v>
      </c>
      <c r="D5542" s="5" t="s">
        <v>1582</v>
      </c>
      <c r="E5542" s="9" t="str">
        <f>HYPERLINK("https://twitter.com/ipharzan/status/1034389844187906050","1034389844187906050")</f>
        <v>1034389844187906050</v>
      </c>
      <c r="F5542" s="4"/>
      <c r="G5542" s="4"/>
      <c r="H5542" s="4"/>
      <c r="I5542" s="10" t="str">
        <f>HYPERLINK("http://twitter.com/download/iphone","Twitter for iPhone")</f>
        <v>Twitter for iPhone</v>
      </c>
      <c r="J5542" s="2">
        <v>13</v>
      </c>
      <c r="K5542" s="2">
        <v>29</v>
      </c>
      <c r="L5542" s="2">
        <v>0</v>
      </c>
      <c r="M5542" s="2"/>
      <c r="N5542" s="8">
        <v>43219.391215277778</v>
      </c>
      <c r="O5542" s="4" t="s">
        <v>1581</v>
      </c>
      <c r="P5542" s="3" t="s">
        <v>1580</v>
      </c>
      <c r="Q5542" s="4"/>
      <c r="R5542" s="4"/>
      <c r="S5542" s="9" t="str">
        <f>HYPERLINK("https://pbs.twimg.com/profile_images/990940342366203904/ReQzfIoi.jpg","View")</f>
        <v>View</v>
      </c>
    </row>
    <row r="5543" spans="1:19" ht="20">
      <c r="A5543" s="8">
        <v>43340.631111111114</v>
      </c>
      <c r="B5543" s="11" t="str">
        <f>HYPERLINK("https://twitter.com/ati_rzm0625","@ati_rzm0625")</f>
        <v>@ati_rzm0625</v>
      </c>
      <c r="C5543" s="6" t="s">
        <v>1564</v>
      </c>
      <c r="D5543" s="5" t="s">
        <v>1579</v>
      </c>
      <c r="E5543" s="9" t="str">
        <f>HYPERLINK("https://twitter.com/ati_rzm0625/status/1034389831667920897","1034389831667920897")</f>
        <v>1034389831667920897</v>
      </c>
      <c r="F5543" s="4"/>
      <c r="G5543" s="4"/>
      <c r="H5543" s="4"/>
      <c r="I5543" s="10" t="str">
        <f>HYPERLINK("http://twitter.com/download/android","Twitter for Android")</f>
        <v>Twitter for Android</v>
      </c>
      <c r="J5543" s="2">
        <v>1694</v>
      </c>
      <c r="K5543" s="2">
        <v>1459</v>
      </c>
      <c r="L5543" s="2">
        <v>5</v>
      </c>
      <c r="M5543" s="2"/>
      <c r="N5543" s="8">
        <v>42910.990162037036</v>
      </c>
      <c r="O5543" s="4" t="s">
        <v>17</v>
      </c>
      <c r="P5543" s="3" t="s">
        <v>1562</v>
      </c>
      <c r="Q5543" s="4"/>
      <c r="R5543" s="4"/>
      <c r="S5543" s="9" t="str">
        <f>HYPERLINK("https://pbs.twimg.com/profile_images/960262686088007685/2lvZjzx5.jpg","View")</f>
        <v>View</v>
      </c>
    </row>
    <row r="5544" spans="1:19" ht="20">
      <c r="A5544" s="8">
        <v>43340.631053240737</v>
      </c>
      <c r="B5544" s="11" t="str">
        <f>HYPERLINK("https://twitter.com/Sedighoseinzade","@Sedighoseinzade")</f>
        <v>@Sedighoseinzade</v>
      </c>
      <c r="C5544" s="6" t="s">
        <v>1578</v>
      </c>
      <c r="D5544" s="5" t="s">
        <v>1577</v>
      </c>
      <c r="E5544" s="9" t="str">
        <f>HYPERLINK("https://twitter.com/Sedighoseinzade/status/1034389811690463232","1034389811690463232")</f>
        <v>1034389811690463232</v>
      </c>
      <c r="F5544" s="4"/>
      <c r="G5544" s="4"/>
      <c r="H5544" s="4"/>
      <c r="I5544" s="10" t="str">
        <f>HYPERLINK("http://twitter.com/download/android","Twitter for Android")</f>
        <v>Twitter for Android</v>
      </c>
      <c r="J5544" s="2">
        <v>111</v>
      </c>
      <c r="K5544" s="2">
        <v>114</v>
      </c>
      <c r="L5544" s="2">
        <v>0</v>
      </c>
      <c r="M5544" s="2"/>
      <c r="N5544" s="8">
        <v>42321.403634259259</v>
      </c>
      <c r="O5544" s="4"/>
      <c r="P5544" s="3" t="s">
        <v>1576</v>
      </c>
      <c r="Q5544" s="4"/>
      <c r="R5544" s="4"/>
      <c r="S5544" s="9" t="str">
        <f>HYPERLINK("https://pbs.twimg.com/profile_images/717245806236082176/Q1qd_KKf.jpg","View")</f>
        <v>View</v>
      </c>
    </row>
    <row r="5545" spans="1:19" ht="40">
      <c r="A5545" s="8">
        <v>43340.631006944444</v>
      </c>
      <c r="B5545" s="11" t="str">
        <f>HYPERLINK("https://twitter.com/davood274","@davood274")</f>
        <v>@davood274</v>
      </c>
      <c r="C5545" s="6" t="s">
        <v>1575</v>
      </c>
      <c r="D5545" s="5" t="s">
        <v>1574</v>
      </c>
      <c r="E5545" s="9" t="str">
        <f>HYPERLINK("https://twitter.com/davood274/status/1034389792090415104","1034389792090415104")</f>
        <v>1034389792090415104</v>
      </c>
      <c r="F5545" s="4"/>
      <c r="G5545" s="4"/>
      <c r="H5545" s="4"/>
      <c r="I5545" s="10" t="str">
        <f>HYPERLINK("https://mobile.twitter.com","Mobile Web (M2)")</f>
        <v>Mobile Web (M2)</v>
      </c>
      <c r="J5545" s="2">
        <v>273</v>
      </c>
      <c r="K5545" s="2">
        <v>600</v>
      </c>
      <c r="L5545" s="2">
        <v>0</v>
      </c>
      <c r="M5545" s="2"/>
      <c r="N5545" s="8">
        <v>41805.405289351853</v>
      </c>
      <c r="O5545" s="4" t="s">
        <v>17</v>
      </c>
      <c r="P5545" s="3" t="s">
        <v>1573</v>
      </c>
      <c r="Q5545" s="4"/>
      <c r="R5545" s="4"/>
      <c r="S5545" s="9" t="str">
        <f>HYPERLINK("https://pbs.twimg.com/profile_images/1005366993006936067/F_JGdASe.jpg","View")</f>
        <v>View</v>
      </c>
    </row>
    <row r="5546" spans="1:19" ht="12.5">
      <c r="A5546" s="8">
        <v>43340.630937499998</v>
      </c>
      <c r="B5546" s="11" t="str">
        <f>HYPERLINK("https://twitter.com/y_heydarizade","@y_heydarizade")</f>
        <v>@y_heydarizade</v>
      </c>
      <c r="C5546" s="6" t="s">
        <v>1572</v>
      </c>
      <c r="D5546" s="5" t="s">
        <v>1571</v>
      </c>
      <c r="E5546" s="9" t="str">
        <f>HYPERLINK("https://twitter.com/y_heydarizade/status/1034389769206353920","1034389769206353920")</f>
        <v>1034389769206353920</v>
      </c>
      <c r="F5546" s="4"/>
      <c r="G5546" s="10" t="s">
        <v>1570</v>
      </c>
      <c r="H5546" s="4"/>
      <c r="I5546" s="10" t="str">
        <f>HYPERLINK("http://twitter.com/download/android","Twitter for Android")</f>
        <v>Twitter for Android</v>
      </c>
      <c r="J5546" s="2">
        <v>31</v>
      </c>
      <c r="K5546" s="2">
        <v>166</v>
      </c>
      <c r="L5546" s="2">
        <v>0</v>
      </c>
      <c r="M5546" s="2"/>
      <c r="N5546" s="8">
        <v>43003.791921296295</v>
      </c>
      <c r="O5546" s="4" t="s">
        <v>17</v>
      </c>
      <c r="P5546" s="3" t="s">
        <v>1569</v>
      </c>
      <c r="Q5546" s="4"/>
      <c r="R5546" s="4"/>
      <c r="S5546" s="9" t="str">
        <f>HYPERLINK("https://pbs.twimg.com/profile_images/1026508367722893312/GOODzOB2.jpg","View")</f>
        <v>View</v>
      </c>
    </row>
    <row r="5547" spans="1:19" ht="40">
      <c r="A5547" s="8">
        <v>43340.63082175926</v>
      </c>
      <c r="B5547" s="11" t="str">
        <f>HYPERLINK("https://twitter.com/bahozechia","@bahozechia")</f>
        <v>@bahozechia</v>
      </c>
      <c r="C5547" s="6" t="s">
        <v>1568</v>
      </c>
      <c r="D5547" s="5" t="s">
        <v>1567</v>
      </c>
      <c r="E5547" s="9" t="str">
        <f>HYPERLINK("https://twitter.com/bahozechia/status/1034389727120646144","1034389727120646144")</f>
        <v>1034389727120646144</v>
      </c>
      <c r="F5547" s="4"/>
      <c r="G5547" s="4"/>
      <c r="H5547" s="4"/>
      <c r="I5547" s="10" t="str">
        <f>HYPERLINK("http://twitter.com/download/iphone","Twitter for iPhone")</f>
        <v>Twitter for iPhone</v>
      </c>
      <c r="J5547" s="2">
        <v>153</v>
      </c>
      <c r="K5547" s="2">
        <v>539</v>
      </c>
      <c r="L5547" s="2">
        <v>0</v>
      </c>
      <c r="M5547" s="2"/>
      <c r="N5547" s="8">
        <v>42973.655312499999</v>
      </c>
      <c r="O5547" s="4"/>
      <c r="P5547" s="3" t="s">
        <v>1566</v>
      </c>
      <c r="Q5547" s="4"/>
      <c r="R5547" s="4"/>
      <c r="S5547" s="9" t="str">
        <f>HYPERLINK("https://pbs.twimg.com/profile_images/1029753948201205760/Bn4DzP9z.jpg","View")</f>
        <v>View</v>
      </c>
    </row>
    <row r="5548" spans="1:19" ht="30">
      <c r="A5548" s="8">
        <v>43340.630694444444</v>
      </c>
      <c r="B5548" s="11" t="str">
        <f>HYPERLINK("https://twitter.com/ati_rzm0625","@ati_rzm0625")</f>
        <v>@ati_rzm0625</v>
      </c>
      <c r="C5548" s="6" t="s">
        <v>1564</v>
      </c>
      <c r="D5548" s="5" t="s">
        <v>1565</v>
      </c>
      <c r="E5548" s="9" t="str">
        <f>HYPERLINK("https://twitter.com/ati_rzm0625/status/1034389680547086336","1034389680547086336")</f>
        <v>1034389680547086336</v>
      </c>
      <c r="F5548" s="4"/>
      <c r="G5548" s="4"/>
      <c r="H5548" s="4"/>
      <c r="I5548" s="10" t="str">
        <f>HYPERLINK("http://twitter.com/download/android","Twitter for Android")</f>
        <v>Twitter for Android</v>
      </c>
      <c r="J5548" s="2">
        <v>1694</v>
      </c>
      <c r="K5548" s="2">
        <v>1459</v>
      </c>
      <c r="L5548" s="2">
        <v>5</v>
      </c>
      <c r="M5548" s="2"/>
      <c r="N5548" s="8">
        <v>42910.990162037036</v>
      </c>
      <c r="O5548" s="4" t="s">
        <v>17</v>
      </c>
      <c r="P5548" s="3" t="s">
        <v>1562</v>
      </c>
      <c r="Q5548" s="4"/>
      <c r="R5548" s="4"/>
      <c r="S5548" s="9" t="str">
        <f>HYPERLINK("https://pbs.twimg.com/profile_images/960262686088007685/2lvZjzx5.jpg","View")</f>
        <v>View</v>
      </c>
    </row>
    <row r="5549" spans="1:19" ht="30">
      <c r="A5549" s="8">
        <v>43340.630567129629</v>
      </c>
      <c r="B5549" s="11" t="str">
        <f>HYPERLINK("https://twitter.com/ati_rzm0625","@ati_rzm0625")</f>
        <v>@ati_rzm0625</v>
      </c>
      <c r="C5549" s="6" t="s">
        <v>1564</v>
      </c>
      <c r="D5549" s="5" t="s">
        <v>1563</v>
      </c>
      <c r="E5549" s="9" t="str">
        <f>HYPERLINK("https://twitter.com/ati_rzm0625/status/1034389635563175936","1034389635563175936")</f>
        <v>1034389635563175936</v>
      </c>
      <c r="F5549" s="4"/>
      <c r="G5549" s="4"/>
      <c r="H5549" s="4"/>
      <c r="I5549" s="10" t="str">
        <f>HYPERLINK("http://twitter.com/download/android","Twitter for Android")</f>
        <v>Twitter for Android</v>
      </c>
      <c r="J5549" s="2">
        <v>1694</v>
      </c>
      <c r="K5549" s="2">
        <v>1459</v>
      </c>
      <c r="L5549" s="2">
        <v>5</v>
      </c>
      <c r="M5549" s="2"/>
      <c r="N5549" s="8">
        <v>42910.990162037036</v>
      </c>
      <c r="O5549" s="4" t="s">
        <v>17</v>
      </c>
      <c r="P5549" s="3" t="s">
        <v>1562</v>
      </c>
      <c r="Q5549" s="4"/>
      <c r="R5549" s="4"/>
      <c r="S5549" s="9" t="str">
        <f>HYPERLINK("https://pbs.twimg.com/profile_images/960262686088007685/2lvZjzx5.jpg","View")</f>
        <v>View</v>
      </c>
    </row>
    <row r="5550" spans="1:19" ht="30">
      <c r="A5550" s="8">
        <v>43340.63045138889</v>
      </c>
      <c r="B5550" s="11" t="str">
        <f>HYPERLINK("https://twitter.com/313Forat","@313Forat")</f>
        <v>@313Forat</v>
      </c>
      <c r="C5550" s="6" t="s">
        <v>1448</v>
      </c>
      <c r="D5550" s="5" t="s">
        <v>1561</v>
      </c>
      <c r="E5550" s="9" t="str">
        <f>HYPERLINK("https://twitter.com/313Forat/status/1034389592751910912","1034389592751910912")</f>
        <v>1034389592751910912</v>
      </c>
      <c r="F5550" s="4"/>
      <c r="G5550" s="10" t="s">
        <v>1560</v>
      </c>
      <c r="H5550" s="4"/>
      <c r="I5550" s="10" t="str">
        <f>HYPERLINK("http://twitter.com/download/android","Twitter for Android")</f>
        <v>Twitter for Android</v>
      </c>
      <c r="J5550" s="2">
        <v>31</v>
      </c>
      <c r="K5550" s="2">
        <v>51</v>
      </c>
      <c r="L5550" s="2">
        <v>1</v>
      </c>
      <c r="M5550" s="2"/>
      <c r="N5550" s="8">
        <v>43334.96194444444</v>
      </c>
      <c r="O5550" s="4"/>
      <c r="P5550" s="3" t="s">
        <v>1445</v>
      </c>
      <c r="Q5550" s="4"/>
      <c r="R5550" s="4"/>
      <c r="S5550" s="9" t="str">
        <f>HYPERLINK("https://pbs.twimg.com/profile_images/1032339671706161152/JftdIxT6.jpg","View")</f>
        <v>View</v>
      </c>
    </row>
    <row r="5551" spans="1:19" ht="30">
      <c r="A5551" s="8">
        <v>43340.630347222221</v>
      </c>
      <c r="B5551" s="11" t="str">
        <f>HYPERLINK("https://twitter.com/mim__ta","@mim__ta")</f>
        <v>@mim__ta</v>
      </c>
      <c r="C5551" s="6" t="s">
        <v>1559</v>
      </c>
      <c r="D5551" s="5" t="s">
        <v>1558</v>
      </c>
      <c r="E5551" s="9" t="str">
        <f>HYPERLINK("https://twitter.com/mim__ta/status/1034389554155974661","1034389554155974661")</f>
        <v>1034389554155974661</v>
      </c>
      <c r="F5551" s="4"/>
      <c r="G5551" s="10" t="s">
        <v>1557</v>
      </c>
      <c r="H5551" s="4"/>
      <c r="I5551" s="10" t="str">
        <f>HYPERLINK("http://twitter.com/download/android","Twitter for Android")</f>
        <v>Twitter for Android</v>
      </c>
      <c r="J5551" s="2">
        <v>2232</v>
      </c>
      <c r="K5551" s="2">
        <v>938</v>
      </c>
      <c r="L5551" s="2">
        <v>8</v>
      </c>
      <c r="M5551" s="2"/>
      <c r="N5551" s="8">
        <v>42670.917094907403</v>
      </c>
      <c r="O5551" s="4" t="s">
        <v>1556</v>
      </c>
      <c r="P5551" s="3" t="s">
        <v>1555</v>
      </c>
      <c r="Q5551" s="4"/>
      <c r="R5551" s="4"/>
      <c r="S5551" s="9" t="str">
        <f>HYPERLINK("https://pbs.twimg.com/profile_images/791710360923435008/hEOXFdCh.jpg","View")</f>
        <v>View</v>
      </c>
    </row>
    <row r="5552" spans="1:19" ht="50">
      <c r="A5552" s="8">
        <v>43340.630289351851</v>
      </c>
      <c r="B5552" s="11" t="str">
        <f>HYPERLINK("https://twitter.com/elhamyazdiha","@elhamyazdiha")</f>
        <v>@elhamyazdiha</v>
      </c>
      <c r="C5552" s="6" t="s">
        <v>1554</v>
      </c>
      <c r="D5552" s="5" t="s">
        <v>1553</v>
      </c>
      <c r="E5552" s="9" t="str">
        <f>HYPERLINK("https://twitter.com/elhamyazdiha/status/1034389532731498496","1034389532731498496")</f>
        <v>1034389532731498496</v>
      </c>
      <c r="F5552" s="10" t="s">
        <v>1552</v>
      </c>
      <c r="G5552" s="10" t="s">
        <v>1551</v>
      </c>
      <c r="H5552" s="4"/>
      <c r="I5552" s="10" t="str">
        <f>HYPERLINK("http://twitter.com/download/android","Twitter for Android")</f>
        <v>Twitter for Android</v>
      </c>
      <c r="J5552" s="2">
        <v>1806</v>
      </c>
      <c r="K5552" s="2">
        <v>984</v>
      </c>
      <c r="L5552" s="2">
        <v>16</v>
      </c>
      <c r="M5552" s="2"/>
      <c r="N5552" s="8">
        <v>41753.356377314813</v>
      </c>
      <c r="O5552" s="4"/>
      <c r="P5552" s="3" t="s">
        <v>1550</v>
      </c>
      <c r="Q5552" s="10" t="s">
        <v>1549</v>
      </c>
      <c r="R5552" s="4"/>
      <c r="S5552" s="9" t="str">
        <f>HYPERLINK("https://pbs.twimg.com/profile_images/1030795426189008896/OTPgne61.jpg","View")</f>
        <v>View</v>
      </c>
    </row>
    <row r="5553" spans="1:19" ht="40">
      <c r="A5553" s="8">
        <v>43340.630208333328</v>
      </c>
      <c r="B5553" s="11" t="str">
        <f>HYPERLINK("https://twitter.com/mahsa_irani_96","@mahsa_irani_96")</f>
        <v>@mahsa_irani_96</v>
      </c>
      <c r="C5553" s="6" t="s">
        <v>1425</v>
      </c>
      <c r="D5553" s="5" t="s">
        <v>1548</v>
      </c>
      <c r="E5553" s="9" t="str">
        <f>HYPERLINK("https://twitter.com/mahsa_irani_96/status/1034389502582841344","1034389502582841344")</f>
        <v>1034389502582841344</v>
      </c>
      <c r="F5553" s="4"/>
      <c r="G5553" s="4"/>
      <c r="H5553" s="4"/>
      <c r="I5553" s="10" t="str">
        <f>HYPERLINK("http://twitter.com/download/android","Twitter for Android")</f>
        <v>Twitter for Android</v>
      </c>
      <c r="J5553" s="2">
        <v>1</v>
      </c>
      <c r="K5553" s="2">
        <v>4</v>
      </c>
      <c r="L5553" s="2">
        <v>0</v>
      </c>
      <c r="M5553" s="2"/>
      <c r="N5553" s="8">
        <v>43331.734328703707</v>
      </c>
      <c r="O5553" s="4"/>
      <c r="P5553" s="3" t="s">
        <v>1423</v>
      </c>
      <c r="Q5553" s="4"/>
      <c r="R5553" s="4"/>
      <c r="S5553" s="9" t="str">
        <f>HYPERLINK("https://pbs.twimg.com/profile_images/1031170491304869889/1cP1DCT0.jpg","View")</f>
        <v>View</v>
      </c>
    </row>
    <row r="5554" spans="1:19" ht="30">
      <c r="A5554" s="8">
        <v>43340.630127314813</v>
      </c>
      <c r="B5554" s="11" t="str">
        <f>HYPERLINK("https://twitter.com/arameshdoostdar","@arameshdoostdar")</f>
        <v>@arameshdoostdar</v>
      </c>
      <c r="C5554" s="6" t="s">
        <v>1547</v>
      </c>
      <c r="D5554" s="5" t="s">
        <v>1546</v>
      </c>
      <c r="E5554" s="9" t="str">
        <f>HYPERLINK("https://twitter.com/arameshdoostdar/status/1034389475324059649","1034389475324059649")</f>
        <v>1034389475324059649</v>
      </c>
      <c r="F5554" s="4"/>
      <c r="G5554" s="4"/>
      <c r="H5554" s="4"/>
      <c r="I5554" s="10" t="str">
        <f>HYPERLINK("http://twitter.com/download/android","Twitter for Android")</f>
        <v>Twitter for Android</v>
      </c>
      <c r="J5554" s="2">
        <v>59</v>
      </c>
      <c r="K5554" s="2">
        <v>223</v>
      </c>
      <c r="L5554" s="2">
        <v>0</v>
      </c>
      <c r="M5554" s="2"/>
      <c r="N5554" s="8">
        <v>43165.988738425927</v>
      </c>
      <c r="O5554" s="4" t="s">
        <v>133</v>
      </c>
      <c r="P5554" s="3" t="s">
        <v>1545</v>
      </c>
      <c r="Q5554" s="4"/>
      <c r="R5554" s="4"/>
      <c r="S5554" s="9" t="str">
        <f>HYPERLINK("https://pbs.twimg.com/profile_images/1004998329170788352/atIKLBEO.jpg","View")</f>
        <v>View</v>
      </c>
    </row>
    <row r="5555" spans="1:19" ht="30">
      <c r="A5555" s="8">
        <v>43340.630115740743</v>
      </c>
      <c r="B5555" s="11" t="str">
        <f>HYPERLINK("https://twitter.com/farzadseifi","@farzadseifi")</f>
        <v>@farzadseifi</v>
      </c>
      <c r="C5555" s="6" t="s">
        <v>1544</v>
      </c>
      <c r="D5555" s="5" t="s">
        <v>1543</v>
      </c>
      <c r="E5555" s="9" t="str">
        <f>HYPERLINK("https://twitter.com/farzadseifi/status/1034389469170782209","1034389469170782209")</f>
        <v>1034389469170782209</v>
      </c>
      <c r="F5555" s="4"/>
      <c r="G5555" s="4"/>
      <c r="H5555" s="4"/>
      <c r="I5555" s="10" t="str">
        <f>HYPERLINK("https://mobile.twitter.com","Twitter Lite")</f>
        <v>Twitter Lite</v>
      </c>
      <c r="J5555" s="2">
        <v>743</v>
      </c>
      <c r="K5555" s="2">
        <v>391</v>
      </c>
      <c r="L5555" s="2">
        <v>1</v>
      </c>
      <c r="M5555" s="2"/>
      <c r="N5555" s="8">
        <v>43071.822881944448</v>
      </c>
      <c r="O5555" s="4" t="s">
        <v>1542</v>
      </c>
      <c r="P5555" s="3" t="s">
        <v>1541</v>
      </c>
      <c r="Q5555" s="10" t="s">
        <v>1540</v>
      </c>
      <c r="R5555" s="4"/>
      <c r="S5555" s="9" t="str">
        <f>HYPERLINK("https://pbs.twimg.com/profile_images/1021696927539310592/jI1rmSTE.jpg","View")</f>
        <v>View</v>
      </c>
    </row>
    <row r="5556" spans="1:19" ht="30">
      <c r="A5556" s="8">
        <v>43340.63009259259</v>
      </c>
      <c r="B5556" s="11" t="str">
        <f>HYPERLINK("https://twitter.com/Appearance_Age","@Appearance_Age")</f>
        <v>@Appearance_Age</v>
      </c>
      <c r="C5556" s="6" t="s">
        <v>1539</v>
      </c>
      <c r="D5556" s="5" t="s">
        <v>1538</v>
      </c>
      <c r="E5556" s="9" t="str">
        <f>HYPERLINK("https://twitter.com/Appearance_Age/status/1034389464112685056","1034389464112685056")</f>
        <v>1034389464112685056</v>
      </c>
      <c r="F5556" s="4"/>
      <c r="G5556" s="10" t="s">
        <v>1537</v>
      </c>
      <c r="H5556" s="4"/>
      <c r="I5556" s="10" t="str">
        <f>HYPERLINK("http://twitter.com/download/android","Twitter for Android")</f>
        <v>Twitter for Android</v>
      </c>
      <c r="J5556" s="2">
        <v>2197</v>
      </c>
      <c r="K5556" s="2">
        <v>1938</v>
      </c>
      <c r="L5556" s="2">
        <v>1</v>
      </c>
      <c r="M5556" s="2"/>
      <c r="N5556" s="8">
        <v>43140.419837962967</v>
      </c>
      <c r="O5556" s="4" t="s">
        <v>34</v>
      </c>
      <c r="P5556" s="3" t="s">
        <v>1536</v>
      </c>
      <c r="Q5556" s="4"/>
      <c r="R5556" s="4"/>
      <c r="S5556" s="9" t="str">
        <f>HYPERLINK("https://pbs.twimg.com/profile_images/961856605665902593/hWLxViKb.jpg","View")</f>
        <v>View</v>
      </c>
    </row>
    <row r="5557" spans="1:19" ht="30">
      <c r="A5557" s="8">
        <v>43340.630000000005</v>
      </c>
      <c r="B5557" s="11" t="str">
        <f>HYPERLINK("https://twitter.com/mollamammadjan","@mollamammadjan")</f>
        <v>@mollamammadjan</v>
      </c>
      <c r="C5557" s="6" t="s">
        <v>1535</v>
      </c>
      <c r="D5557" s="5" t="s">
        <v>1534</v>
      </c>
      <c r="E5557" s="9" t="str">
        <f>HYPERLINK("https://twitter.com/mollamammadjan/status/1034389427714449413","1034389427714449413")</f>
        <v>1034389427714449413</v>
      </c>
      <c r="F5557" s="10" t="s">
        <v>1533</v>
      </c>
      <c r="G5557" s="10" t="s">
        <v>1532</v>
      </c>
      <c r="H5557" s="4"/>
      <c r="I5557" s="10" t="str">
        <f>HYPERLINK("http://twitter.com/download/android","Twitter for Android")</f>
        <v>Twitter for Android</v>
      </c>
      <c r="J5557" s="2">
        <v>466</v>
      </c>
      <c r="K5557" s="2">
        <v>1398</v>
      </c>
      <c r="L5557" s="2">
        <v>0</v>
      </c>
      <c r="M5557" s="2"/>
      <c r="N5557" s="8">
        <v>43329.916365740741</v>
      </c>
      <c r="O5557" s="4"/>
      <c r="P5557" s="3" t="s">
        <v>1531</v>
      </c>
      <c r="Q5557" s="4"/>
      <c r="R5557" s="4"/>
      <c r="S5557" s="9" t="str">
        <f>HYPERLINK("https://pbs.twimg.com/profile_images/1030529941950091265/apv3S-So.jpg","View")</f>
        <v>View</v>
      </c>
    </row>
    <row r="5558" spans="1:19" ht="20">
      <c r="A5558" s="8">
        <v>43340.629976851851</v>
      </c>
      <c r="B5558" s="11" t="str">
        <f>HYPERLINK("https://twitter.com/Roozbeh_rm","@Roozbeh_rm")</f>
        <v>@Roozbeh_rm</v>
      </c>
      <c r="C5558" s="6" t="s">
        <v>1234</v>
      </c>
      <c r="D5558" s="5" t="s">
        <v>1530</v>
      </c>
      <c r="E5558" s="9" t="str">
        <f>HYPERLINK("https://twitter.com/Roozbeh_rm/status/1034389420663861248","1034389420663861248")</f>
        <v>1034389420663861248</v>
      </c>
      <c r="F5558" s="4"/>
      <c r="G5558" s="10" t="s">
        <v>1529</v>
      </c>
      <c r="H5558" s="4"/>
      <c r="I5558" s="10" t="str">
        <f>HYPERLINK("http://twitter.com/download/android","Twitter for Android")</f>
        <v>Twitter for Android</v>
      </c>
      <c r="J5558" s="2">
        <v>132</v>
      </c>
      <c r="K5558" s="2">
        <v>310</v>
      </c>
      <c r="L5558" s="2">
        <v>0</v>
      </c>
      <c r="M5558" s="2"/>
      <c r="N5558" s="8">
        <v>43262.722303240742</v>
      </c>
      <c r="O5558" s="4" t="s">
        <v>1231</v>
      </c>
      <c r="P5558" s="3" t="s">
        <v>1230</v>
      </c>
      <c r="Q5558" s="4"/>
      <c r="R5558" s="4"/>
      <c r="S5558" s="9" t="str">
        <f>HYPERLINK("https://pbs.twimg.com/profile_images/1033619312983121920/KDHQxmMu.jpg","View")</f>
        <v>View</v>
      </c>
    </row>
    <row r="5559" spans="1:19" ht="30">
      <c r="A5559" s="8">
        <v>43340.62976851852</v>
      </c>
      <c r="B5559" s="11" t="str">
        <f>HYPERLINK("https://twitter.com/shaaahin7","@shaaahin7")</f>
        <v>@shaaahin7</v>
      </c>
      <c r="C5559" s="6" t="s">
        <v>1528</v>
      </c>
      <c r="D5559" s="5" t="s">
        <v>1527</v>
      </c>
      <c r="E5559" s="9" t="str">
        <f>HYPERLINK("https://twitter.com/shaaahin7/status/1034389344839131136","1034389344839131136")</f>
        <v>1034389344839131136</v>
      </c>
      <c r="F5559" s="4"/>
      <c r="G5559" s="4"/>
      <c r="H5559" s="4"/>
      <c r="I5559" s="10" t="str">
        <f>HYPERLINK("http://twitter.com/download/android","Twitter for Android")</f>
        <v>Twitter for Android</v>
      </c>
      <c r="J5559" s="2">
        <v>368</v>
      </c>
      <c r="K5559" s="2">
        <v>284</v>
      </c>
      <c r="L5559" s="2">
        <v>3</v>
      </c>
      <c r="M5559" s="2"/>
      <c r="N5559" s="8">
        <v>42751.054652777777</v>
      </c>
      <c r="O5559" s="4" t="s">
        <v>282</v>
      </c>
      <c r="P5559" s="3" t="s">
        <v>1526</v>
      </c>
      <c r="Q5559" s="4"/>
      <c r="R5559" s="4"/>
      <c r="S5559" s="9" t="str">
        <f>HYPERLINK("https://pbs.twimg.com/profile_images/979784817977057280/kFCR1jyv.jpg","View")</f>
        <v>View</v>
      </c>
    </row>
    <row r="5560" spans="1:19" ht="20">
      <c r="A5560" s="8">
        <v>43340.629537037035</v>
      </c>
      <c r="B5560" s="11" t="str">
        <f>HYPERLINK("https://twitter.com/MjSadidi","@MjSadidi")</f>
        <v>@MjSadidi</v>
      </c>
      <c r="C5560" s="6" t="s">
        <v>1525</v>
      </c>
      <c r="D5560" s="5" t="s">
        <v>1524</v>
      </c>
      <c r="E5560" s="9" t="str">
        <f>HYPERLINK("https://twitter.com/MjSadidi/status/1034389261913604096","1034389261913604096")</f>
        <v>1034389261913604096</v>
      </c>
      <c r="F5560" s="4"/>
      <c r="G5560" s="4"/>
      <c r="H5560" s="4"/>
      <c r="I5560" s="10" t="str">
        <f>HYPERLINK("http://twitter.com/download/android","Twitter for Android")</f>
        <v>Twitter for Android</v>
      </c>
      <c r="J5560" s="2">
        <v>300</v>
      </c>
      <c r="K5560" s="2">
        <v>695</v>
      </c>
      <c r="L5560" s="2">
        <v>0</v>
      </c>
      <c r="M5560" s="2"/>
      <c r="N5560" s="8">
        <v>42588.824745370366</v>
      </c>
      <c r="O5560" s="4" t="s">
        <v>1523</v>
      </c>
      <c r="P5560" s="3" t="s">
        <v>1522</v>
      </c>
      <c r="Q5560" s="4"/>
      <c r="R5560" s="4"/>
      <c r="S5560" s="9" t="str">
        <f>HYPERLINK("https://pbs.twimg.com/profile_images/1033669355895173122/iMmC68n1.jpg","View")</f>
        <v>View</v>
      </c>
    </row>
    <row r="5561" spans="1:19" ht="12.5">
      <c r="A5561" s="8">
        <v>43340.629467592589</v>
      </c>
      <c r="B5561" s="11" t="str">
        <f>HYPERLINK("https://twitter.com/bidardelan","@bidardelan")</f>
        <v>@bidardelan</v>
      </c>
      <c r="C5561" s="6" t="s">
        <v>1521</v>
      </c>
      <c r="D5561" s="5" t="s">
        <v>1520</v>
      </c>
      <c r="E5561" s="9" t="str">
        <f>HYPERLINK("https://twitter.com/bidardelan/status/1034389237129457664","1034389237129457664")</f>
        <v>1034389237129457664</v>
      </c>
      <c r="F5561" s="4"/>
      <c r="G5561" s="4"/>
      <c r="H5561" s="4"/>
      <c r="I5561" s="10" t="str">
        <f>HYPERLINK("http://twitter.com/download/android","Twitter for Android")</f>
        <v>Twitter for Android</v>
      </c>
      <c r="J5561" s="2">
        <v>61</v>
      </c>
      <c r="K5561" s="2">
        <v>22</v>
      </c>
      <c r="L5561" s="2">
        <v>3</v>
      </c>
      <c r="M5561" s="2"/>
      <c r="N5561" s="8">
        <v>43119.029166666667</v>
      </c>
      <c r="O5561" s="4" t="s">
        <v>1519</v>
      </c>
      <c r="P5561" s="3" t="s">
        <v>1518</v>
      </c>
      <c r="Q5561" s="4"/>
      <c r="R5561" s="4"/>
      <c r="S5561" s="9" t="str">
        <f>HYPERLINK("https://pbs.twimg.com/profile_images/1007850309845073920/RnOKL-AX.jpg","View")</f>
        <v>View</v>
      </c>
    </row>
    <row r="5562" spans="1:19" ht="40">
      <c r="A5562" s="8">
        <v>43340.629351851851</v>
      </c>
      <c r="B5562" s="11" t="str">
        <f>HYPERLINK("https://twitter.com/Soltaan313","@Soltaan313")</f>
        <v>@Soltaan313</v>
      </c>
      <c r="C5562" s="6" t="s">
        <v>1517</v>
      </c>
      <c r="D5562" s="5" t="s">
        <v>1516</v>
      </c>
      <c r="E5562" s="9" t="str">
        <f>HYPERLINK("https://twitter.com/Soltaan313/status/1034389194339168256","1034389194339168256")</f>
        <v>1034389194339168256</v>
      </c>
      <c r="F5562" s="4"/>
      <c r="G5562" s="4"/>
      <c r="H5562" s="4"/>
      <c r="I5562" s="10" t="str">
        <f>HYPERLINK("http://twitter.com/download/android","Twitter for Android")</f>
        <v>Twitter for Android</v>
      </c>
      <c r="J5562" s="2">
        <v>62</v>
      </c>
      <c r="K5562" s="2">
        <v>121</v>
      </c>
      <c r="L5562" s="2">
        <v>1</v>
      </c>
      <c r="M5562" s="2"/>
      <c r="N5562" s="8">
        <v>42047.916226851856</v>
      </c>
      <c r="O5562" s="4"/>
      <c r="P5562" s="3" t="s">
        <v>1515</v>
      </c>
      <c r="Q5562" s="10" t="s">
        <v>1514</v>
      </c>
      <c r="R5562" s="4"/>
      <c r="S5562" s="9" t="str">
        <f>HYPERLINK("https://pbs.twimg.com/profile_images/1008720566633844736/f1sMmLlj.jpg","View")</f>
        <v>View</v>
      </c>
    </row>
    <row r="5563" spans="1:19" ht="80">
      <c r="A5563" s="8">
        <v>43340.629131944443</v>
      </c>
      <c r="B5563" s="11" t="str">
        <f>HYPERLINK("https://twitter.com/amirsayah1","@amirsayah1")</f>
        <v>@amirsayah1</v>
      </c>
      <c r="C5563" s="6" t="s">
        <v>332</v>
      </c>
      <c r="D5563" s="5" t="s">
        <v>1513</v>
      </c>
      <c r="E5563" s="9" t="str">
        <f>HYPERLINK("https://twitter.com/amirsayah1/status/1034389113846128641","1034389113846128641")</f>
        <v>1034389113846128641</v>
      </c>
      <c r="F5563" s="10" t="s">
        <v>1512</v>
      </c>
      <c r="G5563" s="10" t="s">
        <v>1511</v>
      </c>
      <c r="H5563" s="4"/>
      <c r="I5563" s="10" t="str">
        <f>HYPERLINK("http://twitter.com/download/android","Twitter for Android")</f>
        <v>Twitter for Android</v>
      </c>
      <c r="J5563" s="2">
        <v>1826</v>
      </c>
      <c r="K5563" s="2">
        <v>126</v>
      </c>
      <c r="L5563" s="2">
        <v>15</v>
      </c>
      <c r="M5563" s="2"/>
      <c r="N5563" s="8">
        <v>43297.851585648154</v>
      </c>
      <c r="O5563" s="4"/>
      <c r="P5563" s="3" t="s">
        <v>330</v>
      </c>
      <c r="Q5563" s="4"/>
      <c r="R5563" s="4"/>
      <c r="S5563" s="9" t="str">
        <f>HYPERLINK("https://pbs.twimg.com/profile_images/1031588127075434496/8SFrshob.jpg","View")</f>
        <v>View</v>
      </c>
    </row>
    <row r="5564" spans="1:19" ht="30">
      <c r="A5564" s="8">
        <v>43340.628923611112</v>
      </c>
      <c r="B5564" s="11" t="str">
        <f>HYPERLINK("https://twitter.com/sh_illumination","@sh_illumination")</f>
        <v>@sh_illumination</v>
      </c>
      <c r="C5564" s="6" t="s">
        <v>1510</v>
      </c>
      <c r="D5564" s="5" t="s">
        <v>1509</v>
      </c>
      <c r="E5564" s="9" t="str">
        <f>HYPERLINK("https://twitter.com/sh_illumination/status/1034389040529850371","1034389040529850371")</f>
        <v>1034389040529850371</v>
      </c>
      <c r="F5564" s="4"/>
      <c r="G5564" s="4"/>
      <c r="H5564" s="4"/>
      <c r="I5564" s="10" t="str">
        <f>HYPERLINK("http://twitter.com","Twitter Web Client")</f>
        <v>Twitter Web Client</v>
      </c>
      <c r="J5564" s="2">
        <v>19</v>
      </c>
      <c r="K5564" s="2">
        <v>15</v>
      </c>
      <c r="L5564" s="2">
        <v>0</v>
      </c>
      <c r="M5564" s="2"/>
      <c r="N5564" s="8">
        <v>43222.991898148146</v>
      </c>
      <c r="O5564" s="4"/>
      <c r="P5564" s="3" t="s">
        <v>1508</v>
      </c>
      <c r="Q5564" s="4"/>
      <c r="R5564" s="4"/>
      <c r="S5564" s="2" t="s">
        <v>155</v>
      </c>
    </row>
    <row r="5565" spans="1:19" ht="20">
      <c r="A5565" s="8">
        <v>43340.628900462965</v>
      </c>
      <c r="B5565" s="11" t="str">
        <f>HYPERLINK("https://twitter.com/313_salmaneh","@313_salmaneh")</f>
        <v>@313_salmaneh</v>
      </c>
      <c r="C5565" s="6" t="s">
        <v>1044</v>
      </c>
      <c r="D5565" s="5" t="s">
        <v>1507</v>
      </c>
      <c r="E5565" s="9" t="str">
        <f>HYPERLINK("https://twitter.com/313_salmaneh/status/1034389032049025024","1034389032049025024")</f>
        <v>1034389032049025024</v>
      </c>
      <c r="F5565" s="4"/>
      <c r="G5565" s="10" t="s">
        <v>1506</v>
      </c>
      <c r="H5565" s="4"/>
      <c r="I5565" s="10" t="str">
        <f>HYPERLINK("http://twitter.com/download/android","Twitter for Android")</f>
        <v>Twitter for Android</v>
      </c>
      <c r="J5565" s="2">
        <v>3948</v>
      </c>
      <c r="K5565" s="2">
        <v>1636</v>
      </c>
      <c r="L5565" s="2">
        <v>17</v>
      </c>
      <c r="M5565" s="2"/>
      <c r="N5565" s="8">
        <v>42726.000833333332</v>
      </c>
      <c r="O5565" s="4" t="s">
        <v>1041</v>
      </c>
      <c r="P5565" s="3" t="s">
        <v>1040</v>
      </c>
      <c r="Q5565" s="4"/>
      <c r="R5565" s="4"/>
      <c r="S5565" s="9" t="str">
        <f>HYPERLINK("https://pbs.twimg.com/profile_images/983000228478488576/Yu9P0z-W.jpg","View")</f>
        <v>View</v>
      </c>
    </row>
    <row r="5566" spans="1:19" ht="12.5">
      <c r="A5566" s="8">
        <v>43340.628865740742</v>
      </c>
      <c r="B5566" s="11" t="str">
        <f>HYPERLINK("https://twitter.com/Seyedrashmi","@Seyedrashmi")</f>
        <v>@Seyedrashmi</v>
      </c>
      <c r="C5566" s="6" t="s">
        <v>1505</v>
      </c>
      <c r="D5566" s="5" t="s">
        <v>1504</v>
      </c>
      <c r="E5566" s="9" t="str">
        <f>HYPERLINK("https://twitter.com/Seyedrashmi/status/1034389018488844289","1034389018488844289")</f>
        <v>1034389018488844289</v>
      </c>
      <c r="F5566" s="4"/>
      <c r="G5566" s="4"/>
      <c r="H5566" s="4"/>
      <c r="I5566" s="10" t="str">
        <f>HYPERLINK("http://twitter.com/download/iphone","Twitter for iPhone")</f>
        <v>Twitter for iPhone</v>
      </c>
      <c r="J5566" s="2">
        <v>9</v>
      </c>
      <c r="K5566" s="2">
        <v>26</v>
      </c>
      <c r="L5566" s="2">
        <v>0</v>
      </c>
      <c r="M5566" s="2"/>
      <c r="N5566" s="8">
        <v>40846.517962962964</v>
      </c>
      <c r="O5566" s="4" t="s">
        <v>1503</v>
      </c>
      <c r="P5566" s="3" t="s">
        <v>1502</v>
      </c>
      <c r="Q5566" s="10" t="s">
        <v>1501</v>
      </c>
      <c r="R5566" s="4"/>
      <c r="S5566" s="9" t="str">
        <f>HYPERLINK("https://pbs.twimg.com/profile_images/1010528866815959040/b5_hEHrn.jpg","View")</f>
        <v>View</v>
      </c>
    </row>
    <row r="5567" spans="1:19" ht="20">
      <c r="A5567" s="8">
        <v>43340.628402777773</v>
      </c>
      <c r="B5567" s="11" t="str">
        <f>HYPERLINK("https://twitter.com/SYLVESTER_PARS","@SYLVESTER_PARS")</f>
        <v>@SYLVESTER_PARS</v>
      </c>
      <c r="C5567" s="6" t="s">
        <v>1500</v>
      </c>
      <c r="D5567" s="5" t="s">
        <v>1499</v>
      </c>
      <c r="E5567" s="9" t="str">
        <f>HYPERLINK("https://twitter.com/SYLVESTER_PARS/status/1034388851207401472","1034388851207401472")</f>
        <v>1034388851207401472</v>
      </c>
      <c r="F5567" s="4"/>
      <c r="G5567" s="4"/>
      <c r="H5567" s="4"/>
      <c r="I5567" s="10" t="str">
        <f>HYPERLINK("http://twitter.com/download/android","Twitter for Android")</f>
        <v>Twitter for Android</v>
      </c>
      <c r="J5567" s="2">
        <v>635</v>
      </c>
      <c r="K5567" s="2">
        <v>944</v>
      </c>
      <c r="L5567" s="2">
        <v>2</v>
      </c>
      <c r="M5567" s="2"/>
      <c r="N5567" s="8">
        <v>43101.032152777778</v>
      </c>
      <c r="O5567" s="4" t="s">
        <v>1498</v>
      </c>
      <c r="P5567" s="3" t="s">
        <v>1497</v>
      </c>
      <c r="Q5567" s="4"/>
      <c r="R5567" s="4"/>
      <c r="S5567" s="9" t="str">
        <f>HYPERLINK("https://pbs.twimg.com/profile_images/980717197180973058/Q5j1E_3-.jpg","View")</f>
        <v>View</v>
      </c>
    </row>
    <row r="5568" spans="1:19" ht="60">
      <c r="A5568" s="8">
        <v>43340.628368055557</v>
      </c>
      <c r="B5568" s="11" t="str">
        <f>HYPERLINK("https://twitter.com/Nightingale_SA","@Nightingale_SA")</f>
        <v>@Nightingale_SA</v>
      </c>
      <c r="C5568" s="6" t="s">
        <v>889</v>
      </c>
      <c r="D5568" s="5" t="s">
        <v>1496</v>
      </c>
      <c r="E5568" s="9" t="str">
        <f>HYPERLINK("https://twitter.com/Nightingale_SA/status/1034388837865336832","1034388837865336832")</f>
        <v>1034388837865336832</v>
      </c>
      <c r="F5568" s="10" t="s">
        <v>1495</v>
      </c>
      <c r="G5568" s="4"/>
      <c r="H5568" s="4"/>
      <c r="I5568" s="10" t="str">
        <f>HYPERLINK("http://twitter.com","Twitter Web Client")</f>
        <v>Twitter Web Client</v>
      </c>
      <c r="J5568" s="2">
        <v>181</v>
      </c>
      <c r="K5568" s="2">
        <v>679</v>
      </c>
      <c r="L5568" s="2">
        <v>1</v>
      </c>
      <c r="M5568" s="2"/>
      <c r="N5568" s="8">
        <v>43193.657326388886</v>
      </c>
      <c r="O5568" s="4"/>
      <c r="P5568" s="3" t="s">
        <v>886</v>
      </c>
      <c r="Q5568" s="4"/>
      <c r="R5568" s="4"/>
      <c r="S5568" s="9" t="str">
        <f>HYPERLINK("https://pbs.twimg.com/profile_images/981131756601569280/OkTGUrYl.jpg","View")</f>
        <v>View</v>
      </c>
    </row>
    <row r="5569" spans="1:19" ht="20">
      <c r="A5569" s="8">
        <v>43340.628240740742</v>
      </c>
      <c r="B5569" s="11" t="str">
        <f>HYPERLINK("https://twitter.com/Ramdisius","@Ramdisius")</f>
        <v>@Ramdisius</v>
      </c>
      <c r="C5569" s="6" t="s">
        <v>1494</v>
      </c>
      <c r="D5569" s="5" t="s">
        <v>1493</v>
      </c>
      <c r="E5569" s="9" t="str">
        <f>HYPERLINK("https://twitter.com/Ramdisius/status/1034388792394895361","1034388792394895361")</f>
        <v>1034388792394895361</v>
      </c>
      <c r="F5569" s="4"/>
      <c r="G5569" s="10" t="s">
        <v>1492</v>
      </c>
      <c r="H5569" s="4"/>
      <c r="I5569" s="10" t="str">
        <f>HYPERLINK("http://twitter.com/download/android","Twitter for Android")</f>
        <v>Twitter for Android</v>
      </c>
      <c r="J5569" s="2">
        <v>89</v>
      </c>
      <c r="K5569" s="2">
        <v>103</v>
      </c>
      <c r="L5569" s="2">
        <v>0</v>
      </c>
      <c r="M5569" s="2"/>
      <c r="N5569" s="8">
        <v>42999.626296296294</v>
      </c>
      <c r="O5569" s="4"/>
      <c r="P5569" s="3" t="s">
        <v>1491</v>
      </c>
      <c r="Q5569" s="4"/>
      <c r="R5569" s="4"/>
      <c r="S5569" s="9" t="str">
        <f>HYPERLINK("https://pbs.twimg.com/profile_images/953361613679202306/_YiFOaj_.jpg","View")</f>
        <v>View</v>
      </c>
    </row>
    <row r="5570" spans="1:19" ht="20">
      <c r="A5570" s="8">
        <v>43340.628032407403</v>
      </c>
      <c r="B5570" s="11" t="str">
        <f>HYPERLINK("https://twitter.com/moshajere","@moshajere")</f>
        <v>@moshajere</v>
      </c>
      <c r="C5570" s="6" t="s">
        <v>1375</v>
      </c>
      <c r="D5570" s="5" t="s">
        <v>1490</v>
      </c>
      <c r="E5570" s="9" t="str">
        <f>HYPERLINK("https://twitter.com/moshajere/status/1034388714896666624","1034388714896666624")</f>
        <v>1034388714896666624</v>
      </c>
      <c r="F5570" s="4"/>
      <c r="G5570" s="10" t="s">
        <v>1489</v>
      </c>
      <c r="H5570" s="4"/>
      <c r="I5570" s="10" t="str">
        <f>HYPERLINK("http://twitter.com/download/android","Twitter for Android")</f>
        <v>Twitter for Android</v>
      </c>
      <c r="J5570" s="2">
        <v>21</v>
      </c>
      <c r="K5570" s="2">
        <v>54</v>
      </c>
      <c r="L5570" s="2">
        <v>0</v>
      </c>
      <c r="M5570" s="2"/>
      <c r="N5570" s="8">
        <v>43305.351724537039</v>
      </c>
      <c r="O5570" s="4"/>
      <c r="P5570" s="3"/>
      <c r="Q5570" s="4"/>
      <c r="R5570" s="4"/>
      <c r="S5570" s="9" t="str">
        <f>HYPERLINK("https://pbs.twimg.com/profile_images/1031491761540136960/oH76Sbju.jpg","View")</f>
        <v>View</v>
      </c>
    </row>
    <row r="5571" spans="1:19" ht="20">
      <c r="A5571" s="8">
        <v>43340.627962962964</v>
      </c>
      <c r="B5571" s="11" t="str">
        <f>HYPERLINK("https://twitter.com/zahra_s_1997","@zahra_s_1997")</f>
        <v>@zahra_s_1997</v>
      </c>
      <c r="C5571" s="6" t="s">
        <v>1419</v>
      </c>
      <c r="D5571" s="5" t="s">
        <v>1488</v>
      </c>
      <c r="E5571" s="9" t="str">
        <f>HYPERLINK("https://twitter.com/zahra_s_1997/status/1034388692427833344","1034388692427833344")</f>
        <v>1034388692427833344</v>
      </c>
      <c r="F5571" s="4"/>
      <c r="G5571" s="10" t="s">
        <v>1487</v>
      </c>
      <c r="H5571" s="4"/>
      <c r="I5571" s="10" t="str">
        <f>HYPERLINK("http://twitter.com/download/iphone","Twitter for iPhone")</f>
        <v>Twitter for iPhone</v>
      </c>
      <c r="J5571" s="2">
        <v>129</v>
      </c>
      <c r="K5571" s="2">
        <v>162</v>
      </c>
      <c r="L5571" s="2">
        <v>1</v>
      </c>
      <c r="M5571" s="2"/>
      <c r="N5571" s="8">
        <v>42883.935879629629</v>
      </c>
      <c r="O5571" s="4"/>
      <c r="P5571" s="3"/>
      <c r="Q5571" s="4"/>
      <c r="R5571" s="4"/>
      <c r="S5571" s="9" t="str">
        <f>HYPERLINK("https://pbs.twimg.com/profile_images/868894987764850690/SVpsJHzm.jpg","View")</f>
        <v>View</v>
      </c>
    </row>
    <row r="5572" spans="1:19" ht="30">
      <c r="A5572" s="8">
        <v>43340.627939814818</v>
      </c>
      <c r="B5572" s="11" t="str">
        <f>HYPERLINK("https://twitter.com/mohammadthinker","@mohammadthinker")</f>
        <v>@mohammadthinker</v>
      </c>
      <c r="C5572" s="6" t="s">
        <v>1486</v>
      </c>
      <c r="D5572" s="5" t="s">
        <v>1485</v>
      </c>
      <c r="E5572" s="9" t="str">
        <f>HYPERLINK("https://twitter.com/mohammadthinker/status/1034388682852192256","1034388682852192256")</f>
        <v>1034388682852192256</v>
      </c>
      <c r="F5572" s="4"/>
      <c r="G5572" s="4"/>
      <c r="H5572" s="4"/>
      <c r="I5572" s="10" t="str">
        <f>HYPERLINK("http://twitter.com/download/android","Twitter for Android")</f>
        <v>Twitter for Android</v>
      </c>
      <c r="J5572" s="2">
        <v>63</v>
      </c>
      <c r="K5572" s="2">
        <v>205</v>
      </c>
      <c r="L5572" s="2">
        <v>0</v>
      </c>
      <c r="M5572" s="2"/>
      <c r="N5572" s="8">
        <v>41567.687824074077</v>
      </c>
      <c r="O5572" s="4"/>
      <c r="P5572" s="3" t="s">
        <v>1484</v>
      </c>
      <c r="Q5572" s="4"/>
      <c r="R5572" s="4"/>
      <c r="S5572" s="9" t="str">
        <f>HYPERLINK("https://pbs.twimg.com/profile_images/378800000623333820/874e1b5311877f6e3be086bca31d0abf.jpeg","View")</f>
        <v>View</v>
      </c>
    </row>
    <row r="5573" spans="1:19" ht="30">
      <c r="A5573" s="8">
        <v>43340.627743055556</v>
      </c>
      <c r="B5573" s="11" t="str">
        <f>HYPERLINK("https://twitter.com/OmidM27","@OmidM27")</f>
        <v>@OmidM27</v>
      </c>
      <c r="C5573" s="6" t="s">
        <v>1483</v>
      </c>
      <c r="D5573" s="5" t="s">
        <v>1482</v>
      </c>
      <c r="E5573" s="9" t="str">
        <f>HYPERLINK("https://twitter.com/OmidM27/status/1034388611410669568","1034388611410669568")</f>
        <v>1034388611410669568</v>
      </c>
      <c r="F5573" s="4"/>
      <c r="G5573" s="4"/>
      <c r="H5573" s="4"/>
      <c r="I5573" s="10" t="str">
        <f>HYPERLINK("http://twitter.com/download/iphone","Twitter for iPhone")</f>
        <v>Twitter for iPhone</v>
      </c>
      <c r="J5573" s="2">
        <v>18</v>
      </c>
      <c r="K5573" s="2">
        <v>29</v>
      </c>
      <c r="L5573" s="2">
        <v>0</v>
      </c>
      <c r="M5573" s="2"/>
      <c r="N5573" s="8">
        <v>42239.052673611106</v>
      </c>
      <c r="O5573" s="4"/>
      <c r="P5573" s="3" t="s">
        <v>1481</v>
      </c>
      <c r="Q5573" s="4"/>
      <c r="R5573" s="4"/>
      <c r="S5573" s="9" t="str">
        <f>HYPERLINK("https://pbs.twimg.com/profile_images/987326046394638336/CZHqkyAr.jpg","View")</f>
        <v>View</v>
      </c>
    </row>
    <row r="5574" spans="1:19" ht="20">
      <c r="A5574" s="8">
        <v>43340.627511574072</v>
      </c>
      <c r="B5574" s="11" t="str">
        <f>HYPERLINK("https://twitter.com/sirwansh123","@sirwansh123")</f>
        <v>@sirwansh123</v>
      </c>
      <c r="C5574" s="6" t="s">
        <v>1480</v>
      </c>
      <c r="D5574" s="5" t="s">
        <v>1479</v>
      </c>
      <c r="E5574" s="9" t="str">
        <f>HYPERLINK("https://twitter.com/sirwansh123/status/1034388527201636352","1034388527201636352")</f>
        <v>1034388527201636352</v>
      </c>
      <c r="F5574" s="4"/>
      <c r="G5574" s="4"/>
      <c r="H5574" s="4"/>
      <c r="I5574" s="10" t="str">
        <f>HYPERLINK("http://twitter.com/download/android","Twitter for Android")</f>
        <v>Twitter for Android</v>
      </c>
      <c r="J5574" s="2">
        <v>371</v>
      </c>
      <c r="K5574" s="2">
        <v>216</v>
      </c>
      <c r="L5574" s="2">
        <v>2</v>
      </c>
      <c r="M5574" s="2"/>
      <c r="N5574" s="8">
        <v>42314.703611111108</v>
      </c>
      <c r="O5574" s="4"/>
      <c r="P5574" s="3"/>
      <c r="Q5574" s="4"/>
      <c r="R5574" s="4"/>
      <c r="S5574" s="9" t="str">
        <f>HYPERLINK("https://pbs.twimg.com/profile_images/985475503393001472/vQHJRlDH.jpg","View")</f>
        <v>View</v>
      </c>
    </row>
    <row r="5575" spans="1:19" ht="20">
      <c r="A5575" s="8">
        <v>43340.627500000002</v>
      </c>
      <c r="B5575" s="11" t="str">
        <f>HYPERLINK("https://twitter.com/Ebne_Farsi","@Ebne_Farsi")</f>
        <v>@Ebne_Farsi</v>
      </c>
      <c r="C5575" s="6" t="s">
        <v>1478</v>
      </c>
      <c r="D5575" s="5" t="s">
        <v>1477</v>
      </c>
      <c r="E5575" s="9" t="str">
        <f>HYPERLINK("https://twitter.com/Ebne_Farsi/status/1034388521539317761","1034388521539317761")</f>
        <v>1034388521539317761</v>
      </c>
      <c r="F5575" s="4"/>
      <c r="G5575" s="4"/>
      <c r="H5575" s="4"/>
      <c r="I5575" s="10" t="str">
        <f>HYPERLINK("http://twitter.com/download/android","Twitter for Android")</f>
        <v>Twitter for Android</v>
      </c>
      <c r="J5575" s="2">
        <v>1677</v>
      </c>
      <c r="K5575" s="2">
        <v>1337</v>
      </c>
      <c r="L5575" s="2">
        <v>1</v>
      </c>
      <c r="M5575" s="2"/>
      <c r="N5575" s="8">
        <v>43037.905636574069</v>
      </c>
      <c r="O5575" s="4" t="s">
        <v>1476</v>
      </c>
      <c r="P5575" s="3" t="s">
        <v>1475</v>
      </c>
      <c r="Q5575" s="4"/>
      <c r="R5575" s="4"/>
      <c r="S5575" s="9" t="str">
        <f>HYPERLINK("https://pbs.twimg.com/profile_images/1009714772403683330/9RcOX3rA.jpg","View")</f>
        <v>View</v>
      </c>
    </row>
    <row r="5576" spans="1:19" ht="30">
      <c r="A5576" s="8">
        <v>43340.62736111111</v>
      </c>
      <c r="B5576" s="11" t="str">
        <f>HYPERLINK("https://twitter.com/khorammanesh","@khorammanesh")</f>
        <v>@khorammanesh</v>
      </c>
      <c r="C5576" s="6" t="s">
        <v>1474</v>
      </c>
      <c r="D5576" s="5" t="s">
        <v>1473</v>
      </c>
      <c r="E5576" s="9" t="str">
        <f>HYPERLINK("https://twitter.com/khorammanesh/status/1034388470670786560","1034388470670786560")</f>
        <v>1034388470670786560</v>
      </c>
      <c r="F5576" s="4"/>
      <c r="G5576" s="4"/>
      <c r="H5576" s="4"/>
      <c r="I5576" s="10" t="str">
        <f>HYPERLINK("http://twitter.com/download/android","Twitter for Android")</f>
        <v>Twitter for Android</v>
      </c>
      <c r="J5576" s="2">
        <v>1525</v>
      </c>
      <c r="K5576" s="2">
        <v>1452</v>
      </c>
      <c r="L5576" s="2">
        <v>1</v>
      </c>
      <c r="M5576" s="2"/>
      <c r="N5576" s="8">
        <v>42623.036261574074</v>
      </c>
      <c r="O5576" s="4" t="s">
        <v>1472</v>
      </c>
      <c r="P5576" s="3" t="s">
        <v>1471</v>
      </c>
      <c r="Q5576" s="4"/>
      <c r="R5576" s="4"/>
      <c r="S5576" s="9" t="str">
        <f>HYPERLINK("https://pbs.twimg.com/profile_images/953639125722288128/jy-SC-z5.jpg","View")</f>
        <v>View</v>
      </c>
    </row>
    <row r="5577" spans="1:19" ht="40">
      <c r="A5577" s="8">
        <v>43340.627210648148</v>
      </c>
      <c r="B5577" s="11" t="str">
        <f>HYPERLINK("https://twitter.com/hamidhamedireza","@hamidhamedireza")</f>
        <v>@hamidhamedireza</v>
      </c>
      <c r="C5577" s="6" t="s">
        <v>1470</v>
      </c>
      <c r="D5577" s="5" t="s">
        <v>1469</v>
      </c>
      <c r="E5577" s="9" t="str">
        <f>HYPERLINK("https://twitter.com/hamidhamedireza/status/1034388417281437696","1034388417281437696")</f>
        <v>1034388417281437696</v>
      </c>
      <c r="F5577" s="4"/>
      <c r="G5577" s="4"/>
      <c r="H5577" s="4"/>
      <c r="I5577" s="10" t="str">
        <f>HYPERLINK("http://twitter.com/#!/download/ipad","Twitter for iPad")</f>
        <v>Twitter for iPad</v>
      </c>
      <c r="J5577" s="2">
        <v>22</v>
      </c>
      <c r="K5577" s="2">
        <v>329</v>
      </c>
      <c r="L5577" s="2">
        <v>0</v>
      </c>
      <c r="M5577" s="2"/>
      <c r="N5577" s="8">
        <v>39821.731736111113</v>
      </c>
      <c r="O5577" s="4"/>
      <c r="P5577" s="3" t="s">
        <v>1468</v>
      </c>
      <c r="Q5577" s="4"/>
      <c r="R5577" s="4"/>
      <c r="S5577" s="9" t="str">
        <f>HYPERLINK("https://pbs.twimg.com/profile_images/782934914794651648/CpY0_zk8.jpg","View")</f>
        <v>View</v>
      </c>
    </row>
    <row r="5578" spans="1:19" ht="40">
      <c r="A5578" s="8">
        <v>43340.626828703702</v>
      </c>
      <c r="B5578" s="11" t="str">
        <f>HYPERLINK("https://twitter.com/loolivashmey","@loolivashmey")</f>
        <v>@loolivashmey</v>
      </c>
      <c r="C5578" s="6" t="s">
        <v>1467</v>
      </c>
      <c r="D5578" s="5" t="s">
        <v>1466</v>
      </c>
      <c r="E5578" s="9" t="str">
        <f>HYPERLINK("https://twitter.com/loolivashmey/status/1034388281121808384","1034388281121808384")</f>
        <v>1034388281121808384</v>
      </c>
      <c r="F5578" s="4"/>
      <c r="G5578" s="4"/>
      <c r="H5578" s="4"/>
      <c r="I5578" s="10" t="str">
        <f>HYPERLINK("http://twitter.com/download/android","Twitter for Android")</f>
        <v>Twitter for Android</v>
      </c>
      <c r="J5578" s="2">
        <v>8</v>
      </c>
      <c r="K5578" s="2">
        <v>53</v>
      </c>
      <c r="L5578" s="2">
        <v>0</v>
      </c>
      <c r="M5578" s="2"/>
      <c r="N5578" s="8">
        <v>42904.726412037038</v>
      </c>
      <c r="O5578" s="4" t="s">
        <v>1465</v>
      </c>
      <c r="P5578" s="3" t="s">
        <v>1464</v>
      </c>
      <c r="Q5578" s="4"/>
      <c r="R5578" s="4"/>
      <c r="S5578" s="9" t="str">
        <f>HYPERLINK("https://pbs.twimg.com/profile_images/1032157714875670528/bybPqreD.jpg","View")</f>
        <v>View</v>
      </c>
    </row>
    <row r="5579" spans="1:19" ht="30">
      <c r="A5579" s="8">
        <v>43340.626828703702</v>
      </c>
      <c r="B5579" s="11" t="str">
        <f>HYPERLINK("https://twitter.com/don__zhuan","@don__zhuan")</f>
        <v>@don__zhuan</v>
      </c>
      <c r="C5579" s="6" t="s">
        <v>1463</v>
      </c>
      <c r="D5579" s="5" t="s">
        <v>1462</v>
      </c>
      <c r="E5579" s="9" t="str">
        <f>HYPERLINK("https://twitter.com/don__zhuan/status/1034388279641206785","1034388279641206785")</f>
        <v>1034388279641206785</v>
      </c>
      <c r="F5579" s="4"/>
      <c r="G5579" s="4"/>
      <c r="H5579" s="4"/>
      <c r="I5579" s="10" t="str">
        <f>HYPERLINK("http://twitter.com/download/android","Twitter for Android")</f>
        <v>Twitter for Android</v>
      </c>
      <c r="J5579" s="2">
        <v>179</v>
      </c>
      <c r="K5579" s="2">
        <v>295</v>
      </c>
      <c r="L5579" s="2">
        <v>0</v>
      </c>
      <c r="M5579" s="2"/>
      <c r="N5579" s="8">
        <v>42725.866319444445</v>
      </c>
      <c r="O5579" s="4"/>
      <c r="P5579" s="3" t="s">
        <v>1461</v>
      </c>
      <c r="Q5579" s="4"/>
      <c r="R5579" s="4"/>
      <c r="S5579" s="9" t="str">
        <f>HYPERLINK("https://pbs.twimg.com/profile_images/1005184701735342080/lhLOLdKN.jpg","View")</f>
        <v>View</v>
      </c>
    </row>
    <row r="5580" spans="1:19" ht="20">
      <c r="A5580" s="8">
        <v>43340.62667824074</v>
      </c>
      <c r="B5580" s="11" t="str">
        <f>HYPERLINK("https://twitter.com/Alisan17b","@Alisan17b")</f>
        <v>@Alisan17b</v>
      </c>
      <c r="C5580" s="6" t="s">
        <v>1460</v>
      </c>
      <c r="D5580" s="5" t="s">
        <v>1459</v>
      </c>
      <c r="E5580" s="9" t="str">
        <f>HYPERLINK("https://twitter.com/Alisan17b/status/1034388225618571264","1034388225618571264")</f>
        <v>1034388225618571264</v>
      </c>
      <c r="F5580" s="4"/>
      <c r="G5580" s="4"/>
      <c r="H5580" s="4"/>
      <c r="I5580" s="10" t="str">
        <f>HYPERLINK("http://twitter.com/download/android","Twitter for Android")</f>
        <v>Twitter for Android</v>
      </c>
      <c r="J5580" s="2">
        <v>4074</v>
      </c>
      <c r="K5580" s="2">
        <v>3925</v>
      </c>
      <c r="L5580" s="2">
        <v>4</v>
      </c>
      <c r="M5580" s="2"/>
      <c r="N5580" s="8">
        <v>42912.708356481482</v>
      </c>
      <c r="O5580" s="4"/>
      <c r="P5580" s="3" t="s">
        <v>1458</v>
      </c>
      <c r="Q5580" s="4"/>
      <c r="R5580" s="4"/>
      <c r="S5580" s="9" t="str">
        <f>HYPERLINK("https://pbs.twimg.com/profile_images/961373348566654977/5mYRWX2f.jpg","View")</f>
        <v>View</v>
      </c>
    </row>
    <row r="5581" spans="1:19" ht="40">
      <c r="A5581" s="8">
        <v>43340.626620370371</v>
      </c>
      <c r="B5581" s="11" t="str">
        <f>HYPERLINK("https://twitter.com/A_Raefipour","@A_Raefipour")</f>
        <v>@A_Raefipour</v>
      </c>
      <c r="C5581" s="6" t="s">
        <v>1457</v>
      </c>
      <c r="D5581" s="5" t="s">
        <v>1456</v>
      </c>
      <c r="E5581" s="9" t="str">
        <f>HYPERLINK("https://twitter.com/A_Raefipour/status/1034388202772148225","1034388202772148225")</f>
        <v>1034388202772148225</v>
      </c>
      <c r="F5581" s="4"/>
      <c r="G5581" s="4"/>
      <c r="H5581" s="4"/>
      <c r="I5581" s="10" t="str">
        <f>HYPERLINK("http://twitter.com/download/android","Twitter for Android")</f>
        <v>Twitter for Android</v>
      </c>
      <c r="J5581" s="2">
        <v>19086</v>
      </c>
      <c r="K5581" s="2">
        <v>1</v>
      </c>
      <c r="L5581" s="2">
        <v>91</v>
      </c>
      <c r="M5581" s="2"/>
      <c r="N5581" s="8">
        <v>43079.042025462964</v>
      </c>
      <c r="O5581" s="4" t="s">
        <v>894</v>
      </c>
      <c r="P5581" s="3" t="s">
        <v>1455</v>
      </c>
      <c r="Q5581" s="10" t="s">
        <v>1454</v>
      </c>
      <c r="R5581" s="4"/>
      <c r="S5581" s="9" t="str">
        <f>HYPERLINK("https://pbs.twimg.com/profile_images/1008970086621827072/6pHlJzDK.jpg","View")</f>
        <v>View</v>
      </c>
    </row>
    <row r="5582" spans="1:19" ht="30">
      <c r="A5582" s="8">
        <v>43340.626469907409</v>
      </c>
      <c r="B5582" s="11" t="str">
        <f>HYPERLINK("https://twitter.com/cuponinho","@cuponinho")</f>
        <v>@cuponinho</v>
      </c>
      <c r="C5582" s="6" t="s">
        <v>1403</v>
      </c>
      <c r="D5582" s="5" t="s">
        <v>1453</v>
      </c>
      <c r="E5582" s="9" t="str">
        <f>HYPERLINK("https://twitter.com/cuponinho/status/1034388148749565953","1034388148749565953")</f>
        <v>1034388148749565953</v>
      </c>
      <c r="F5582" s="4"/>
      <c r="G5582" s="4"/>
      <c r="H5582" s="4"/>
      <c r="I5582" s="10" t="str">
        <f>HYPERLINK("http://twitter.com/download/iphone","Twitter for iPhone")</f>
        <v>Twitter for iPhone</v>
      </c>
      <c r="J5582" s="2">
        <v>1569</v>
      </c>
      <c r="K5582" s="2">
        <v>1189</v>
      </c>
      <c r="L5582" s="2">
        <v>4</v>
      </c>
      <c r="M5582" s="2"/>
      <c r="N5582" s="8">
        <v>41618.113599537035</v>
      </c>
      <c r="O5582" s="4" t="s">
        <v>133</v>
      </c>
      <c r="P5582" s="3" t="s">
        <v>1401</v>
      </c>
      <c r="Q5582" s="4"/>
      <c r="R5582" s="4"/>
      <c r="S5582" s="9" t="str">
        <f>HYPERLINK("https://pbs.twimg.com/profile_images/1027478406517207040/FvpHWpv2.jpg","View")</f>
        <v>View</v>
      </c>
    </row>
    <row r="5583" spans="1:19" ht="30">
      <c r="A5583" s="8">
        <v>43340.626284722224</v>
      </c>
      <c r="B5583" s="11" t="str">
        <f>HYPERLINK("https://twitter.com/don_masim","@don_masim")</f>
        <v>@don_masim</v>
      </c>
      <c r="C5583" s="6" t="s">
        <v>1452</v>
      </c>
      <c r="D5583" s="5" t="s">
        <v>1451</v>
      </c>
      <c r="E5583" s="9" t="str">
        <f>HYPERLINK("https://twitter.com/don_masim/status/1034388081695064065","1034388081695064065")</f>
        <v>1034388081695064065</v>
      </c>
      <c r="F5583" s="4"/>
      <c r="G5583" s="10" t="s">
        <v>1450</v>
      </c>
      <c r="H5583" s="4"/>
      <c r="I5583" s="10" t="str">
        <f>HYPERLINK("http://twitter.com","Twitter Web Client")</f>
        <v>Twitter Web Client</v>
      </c>
      <c r="J5583" s="2">
        <v>49</v>
      </c>
      <c r="K5583" s="2">
        <v>52</v>
      </c>
      <c r="L5583" s="2">
        <v>0</v>
      </c>
      <c r="M5583" s="2"/>
      <c r="N5583" s="8">
        <v>43219.581655092596</v>
      </c>
      <c r="O5583" s="4"/>
      <c r="P5583" s="3" t="s">
        <v>1449</v>
      </c>
      <c r="Q5583" s="4"/>
      <c r="R5583" s="4"/>
      <c r="S5583" s="9" t="str">
        <f>HYPERLINK("https://pbs.twimg.com/profile_images/1032192499538952193/uDkk2vy1.jpg","View")</f>
        <v>View</v>
      </c>
    </row>
    <row r="5584" spans="1:19" ht="30">
      <c r="A5584" s="8">
        <v>43340.626250000001</v>
      </c>
      <c r="B5584" s="11" t="str">
        <f>HYPERLINK("https://twitter.com/313Forat","@313Forat")</f>
        <v>@313Forat</v>
      </c>
      <c r="C5584" s="6" t="s">
        <v>1448</v>
      </c>
      <c r="D5584" s="5" t="s">
        <v>1447</v>
      </c>
      <c r="E5584" s="9" t="str">
        <f>HYPERLINK("https://twitter.com/313Forat/status/1034388068462206976","1034388068462206976")</f>
        <v>1034388068462206976</v>
      </c>
      <c r="F5584" s="4"/>
      <c r="G5584" s="10" t="s">
        <v>1446</v>
      </c>
      <c r="H5584" s="4"/>
      <c r="I5584" s="10" t="str">
        <f>HYPERLINK("http://twitter.com/download/android","Twitter for Android")</f>
        <v>Twitter for Android</v>
      </c>
      <c r="J5584" s="2">
        <v>31</v>
      </c>
      <c r="K5584" s="2">
        <v>51</v>
      </c>
      <c r="L5584" s="2">
        <v>1</v>
      </c>
      <c r="M5584" s="2"/>
      <c r="N5584" s="8">
        <v>43334.96194444444</v>
      </c>
      <c r="O5584" s="4"/>
      <c r="P5584" s="3" t="s">
        <v>1445</v>
      </c>
      <c r="Q5584" s="4"/>
      <c r="R5584" s="4"/>
      <c r="S5584" s="9" t="str">
        <f>HYPERLINK("https://pbs.twimg.com/profile_images/1032339671706161152/JftdIxT6.jpg","View")</f>
        <v>View</v>
      </c>
    </row>
    <row r="5585" spans="1:19" ht="40">
      <c r="A5585" s="8">
        <v>43340.626030092593</v>
      </c>
      <c r="B5585" s="11" t="str">
        <f>HYPERLINK("https://twitter.com/hosseinAlian","@hosseinAlian")</f>
        <v>@hosseinAlian</v>
      </c>
      <c r="C5585" s="6" t="s">
        <v>1444</v>
      </c>
      <c r="D5585" s="5" t="s">
        <v>1443</v>
      </c>
      <c r="E5585" s="9" t="str">
        <f>HYPERLINK("https://twitter.com/hosseinAlian/status/1034387989017845761","1034387989017845761")</f>
        <v>1034387989017845761</v>
      </c>
      <c r="F5585" s="4"/>
      <c r="G5585" s="4"/>
      <c r="H5585" s="4"/>
      <c r="I5585" s="10" t="str">
        <f>HYPERLINK("http://twitter.com/download/android","Twitter for Android")</f>
        <v>Twitter for Android</v>
      </c>
      <c r="J5585" s="2">
        <v>305</v>
      </c>
      <c r="K5585" s="2">
        <v>265</v>
      </c>
      <c r="L5585" s="2">
        <v>0</v>
      </c>
      <c r="M5585" s="2"/>
      <c r="N5585" s="8">
        <v>40958.543263888889</v>
      </c>
      <c r="O5585" s="4" t="s">
        <v>324</v>
      </c>
      <c r="P5585" s="3" t="s">
        <v>1442</v>
      </c>
      <c r="Q5585" s="10" t="s">
        <v>1441</v>
      </c>
      <c r="R5585" s="4"/>
      <c r="S5585" s="9" t="str">
        <f>HYPERLINK("https://pbs.twimg.com/profile_images/1025285342235115521/dh4zjQHR.jpg","View")</f>
        <v>View</v>
      </c>
    </row>
    <row r="5586" spans="1:19" ht="30">
      <c r="A5586" s="8">
        <v>43340.625671296293</v>
      </c>
      <c r="B5586" s="11" t="str">
        <f>HYPERLINK("https://twitter.com/HamidNiyati","@HamidNiyati")</f>
        <v>@HamidNiyati</v>
      </c>
      <c r="C5586" s="6" t="s">
        <v>1440</v>
      </c>
      <c r="D5586" s="5" t="s">
        <v>1439</v>
      </c>
      <c r="E5586" s="9" t="str">
        <f>HYPERLINK("https://twitter.com/HamidNiyati/status/1034387861401821187","1034387861401821187")</f>
        <v>1034387861401821187</v>
      </c>
      <c r="F5586" s="4"/>
      <c r="G5586" s="4"/>
      <c r="H5586" s="4"/>
      <c r="I5586" s="10" t="str">
        <f>HYPERLINK("http://twitter.com","Twitter Web Client")</f>
        <v>Twitter Web Client</v>
      </c>
      <c r="J5586" s="2">
        <v>142</v>
      </c>
      <c r="K5586" s="2">
        <v>152</v>
      </c>
      <c r="L5586" s="2">
        <v>1</v>
      </c>
      <c r="M5586" s="2"/>
      <c r="N5586" s="8">
        <v>42420.904745370368</v>
      </c>
      <c r="O5586" s="4" t="s">
        <v>1438</v>
      </c>
      <c r="P5586" s="3" t="s">
        <v>1437</v>
      </c>
      <c r="Q5586" s="4"/>
      <c r="R5586" s="4"/>
      <c r="S5586" s="9" t="str">
        <f>HYPERLINK("https://pbs.twimg.com/profile_images/823963600624775172/ypT-8POg.jpg","View")</f>
        <v>View</v>
      </c>
    </row>
    <row r="5587" spans="1:19" ht="30">
      <c r="A5587" s="8">
        <v>43340.625659722224</v>
      </c>
      <c r="B5587" s="11" t="str">
        <f>HYPERLINK("https://twitter.com/AmirrKalhor","@AmirrKalhor")</f>
        <v>@AmirrKalhor</v>
      </c>
      <c r="C5587" s="6" t="s">
        <v>1436</v>
      </c>
      <c r="D5587" s="5" t="s">
        <v>1435</v>
      </c>
      <c r="E5587" s="9" t="str">
        <f>HYPERLINK("https://twitter.com/AmirrKalhor/status/1034387855307628547","1034387855307628547")</f>
        <v>1034387855307628547</v>
      </c>
      <c r="F5587" s="4"/>
      <c r="G5587" s="4"/>
      <c r="H5587" s="4"/>
      <c r="I5587" s="10" t="str">
        <f>HYPERLINK("http://twitter.com","Twitter Web Client")</f>
        <v>Twitter Web Client</v>
      </c>
      <c r="J5587" s="2">
        <v>2777</v>
      </c>
      <c r="K5587" s="2">
        <v>481</v>
      </c>
      <c r="L5587" s="2">
        <v>24</v>
      </c>
      <c r="M5587" s="2"/>
      <c r="N5587" s="8">
        <v>41151.765324074076</v>
      </c>
      <c r="O5587" s="4" t="s">
        <v>34</v>
      </c>
      <c r="P5587" s="3" t="s">
        <v>1434</v>
      </c>
      <c r="Q5587" s="10" t="s">
        <v>1433</v>
      </c>
      <c r="R5587" s="4"/>
      <c r="S5587" s="9" t="str">
        <f>HYPERLINK("https://pbs.twimg.com/profile_images/649370764307746817/fLCkhK5A.jpg","View")</f>
        <v>View</v>
      </c>
    </row>
    <row r="5588" spans="1:19" ht="30">
      <c r="A5588" s="8">
        <v>43340.625416666662</v>
      </c>
      <c r="B5588" s="11" t="str">
        <f>HYPERLINK("https://twitter.com/hamzehnaderi","@hamzehnaderi")</f>
        <v>@hamzehnaderi</v>
      </c>
      <c r="C5588" s="6" t="s">
        <v>1432</v>
      </c>
      <c r="D5588" s="5" t="s">
        <v>1431</v>
      </c>
      <c r="E5588" s="9" t="str">
        <f>HYPERLINK("https://twitter.com/hamzehnaderi/status/1034387768691056640","1034387768691056640")</f>
        <v>1034387768691056640</v>
      </c>
      <c r="F5588" s="4"/>
      <c r="G5588" s="10" t="s">
        <v>1430</v>
      </c>
      <c r="H5588" s="4"/>
      <c r="I5588" s="10" t="str">
        <f>HYPERLINK("http://twitter.com/download/android","Twitter for Android")</f>
        <v>Twitter for Android</v>
      </c>
      <c r="J5588" s="2">
        <v>46</v>
      </c>
      <c r="K5588" s="2">
        <v>82</v>
      </c>
      <c r="L5588" s="2">
        <v>0</v>
      </c>
      <c r="M5588" s="2"/>
      <c r="N5588" s="8">
        <v>43156.054907407408</v>
      </c>
      <c r="O5588" s="4"/>
      <c r="P5588" s="3" t="s">
        <v>1429</v>
      </c>
      <c r="Q5588" s="4"/>
      <c r="R5588" s="4"/>
      <c r="S5588" s="9" t="str">
        <f>HYPERLINK("https://pbs.twimg.com/profile_images/1031398462313693184/dszP7Fqa.jpg","View")</f>
        <v>View</v>
      </c>
    </row>
    <row r="5589" spans="1:19" ht="40">
      <c r="A5589" s="8">
        <v>43340.625324074077</v>
      </c>
      <c r="B5589" s="11" t="str">
        <f>HYPERLINK("https://twitter.com/saeid_rajabi","@saeid_rajabi")</f>
        <v>@saeid_rajabi</v>
      </c>
      <c r="C5589" s="6" t="s">
        <v>1428</v>
      </c>
      <c r="D5589" s="5" t="s">
        <v>1427</v>
      </c>
      <c r="E5589" s="9" t="str">
        <f>HYPERLINK("https://twitter.com/saeid_rajabi/status/1034387732758450176","1034387732758450176")</f>
        <v>1034387732758450176</v>
      </c>
      <c r="F5589" s="4"/>
      <c r="G5589" s="4"/>
      <c r="H5589" s="4"/>
      <c r="I5589" s="10" t="str">
        <f>HYPERLINK("http://twitter.com/download/android","Twitter for Android")</f>
        <v>Twitter for Android</v>
      </c>
      <c r="J5589" s="2">
        <v>116</v>
      </c>
      <c r="K5589" s="2">
        <v>101</v>
      </c>
      <c r="L5589" s="2">
        <v>0</v>
      </c>
      <c r="M5589" s="2"/>
      <c r="N5589" s="8">
        <v>41836.119363425925</v>
      </c>
      <c r="O5589" s="4" t="s">
        <v>1426</v>
      </c>
      <c r="P5589" s="3"/>
      <c r="Q5589" s="4"/>
      <c r="R5589" s="4"/>
      <c r="S5589" s="9" t="str">
        <f>HYPERLINK("https://pbs.twimg.com/profile_images/928148255522852865/C6tPS5v4.jpg","View")</f>
        <v>View</v>
      </c>
    </row>
    <row r="5590" spans="1:19" ht="50">
      <c r="A5590" s="8">
        <v>43340.625023148154</v>
      </c>
      <c r="B5590" s="11" t="str">
        <f>HYPERLINK("https://twitter.com/mahsa_irani_96","@mahsa_irani_96")</f>
        <v>@mahsa_irani_96</v>
      </c>
      <c r="C5590" s="6" t="s">
        <v>1425</v>
      </c>
      <c r="D5590" s="5" t="s">
        <v>1424</v>
      </c>
      <c r="E5590" s="9" t="str">
        <f>HYPERLINK("https://twitter.com/mahsa_irani_96/status/1034387623882698753","1034387623882698753")</f>
        <v>1034387623882698753</v>
      </c>
      <c r="F5590" s="4"/>
      <c r="G5590" s="4"/>
      <c r="H5590" s="4"/>
      <c r="I5590" s="10" t="str">
        <f>HYPERLINK("http://twitter.com/download/android","Twitter for Android")</f>
        <v>Twitter for Android</v>
      </c>
      <c r="J5590" s="2">
        <v>1</v>
      </c>
      <c r="K5590" s="2">
        <v>4</v>
      </c>
      <c r="L5590" s="2">
        <v>0</v>
      </c>
      <c r="M5590" s="2"/>
      <c r="N5590" s="8">
        <v>43331.734328703707</v>
      </c>
      <c r="O5590" s="4"/>
      <c r="P5590" s="3" t="s">
        <v>1423</v>
      </c>
      <c r="Q5590" s="4"/>
      <c r="R5590" s="4"/>
      <c r="S5590" s="9" t="str">
        <f>HYPERLINK("https://pbs.twimg.com/profile_images/1031170491304869889/1cP1DCT0.jpg","View")</f>
        <v>View</v>
      </c>
    </row>
    <row r="5591" spans="1:19" ht="30">
      <c r="A5591" s="8">
        <v>43340.624872685185</v>
      </c>
      <c r="B5591" s="11" t="str">
        <f>HYPERLINK("https://twitter.com/dadashAli2","@dadashAli2")</f>
        <v>@dadashAli2</v>
      </c>
      <c r="C5591" s="6" t="s">
        <v>1422</v>
      </c>
      <c r="D5591" s="5" t="s">
        <v>1421</v>
      </c>
      <c r="E5591" s="9" t="str">
        <f>HYPERLINK("https://twitter.com/dadashAli2/status/1034387571474743296","1034387571474743296")</f>
        <v>1034387571474743296</v>
      </c>
      <c r="F5591" s="4"/>
      <c r="G5591" s="4"/>
      <c r="H5591" s="4"/>
      <c r="I5591" s="10" t="str">
        <f>HYPERLINK("http://twitter.com","Twitter Web Client")</f>
        <v>Twitter Web Client</v>
      </c>
      <c r="J5591" s="2">
        <v>10</v>
      </c>
      <c r="K5591" s="2">
        <v>23</v>
      </c>
      <c r="L5591" s="2">
        <v>0</v>
      </c>
      <c r="M5591" s="2"/>
      <c r="N5591" s="8">
        <v>43335.036458333328</v>
      </c>
      <c r="O5591" s="4" t="s">
        <v>34</v>
      </c>
      <c r="P5591" s="3" t="s">
        <v>1420</v>
      </c>
      <c r="Q5591" s="4"/>
      <c r="R5591" s="4"/>
      <c r="S5591" s="9" t="str">
        <f>HYPERLINK("https://pbs.twimg.com/profile_images/1032379185220575233/TBW05FuH.jpg","View")</f>
        <v>View</v>
      </c>
    </row>
    <row r="5592" spans="1:19" ht="20">
      <c r="A5592" s="8">
        <v>43340.624560185184</v>
      </c>
      <c r="B5592" s="11" t="str">
        <f>HYPERLINK("https://twitter.com/zahra_s_1997","@zahra_s_1997")</f>
        <v>@zahra_s_1997</v>
      </c>
      <c r="C5592" s="6" t="s">
        <v>1419</v>
      </c>
      <c r="D5592" s="5" t="s">
        <v>1418</v>
      </c>
      <c r="E5592" s="9" t="str">
        <f>HYPERLINK("https://twitter.com/zahra_s_1997/status/1034387455347183617","1034387455347183617")</f>
        <v>1034387455347183617</v>
      </c>
      <c r="F5592" s="4"/>
      <c r="G5592" s="4"/>
      <c r="H5592" s="4"/>
      <c r="I5592" s="10" t="str">
        <f>HYPERLINK("http://twitter.com/download/iphone","Twitter for iPhone")</f>
        <v>Twitter for iPhone</v>
      </c>
      <c r="J5592" s="2">
        <v>129</v>
      </c>
      <c r="K5592" s="2">
        <v>162</v>
      </c>
      <c r="L5592" s="2">
        <v>1</v>
      </c>
      <c r="M5592" s="2"/>
      <c r="N5592" s="8">
        <v>42883.935879629629</v>
      </c>
      <c r="O5592" s="4"/>
      <c r="P5592" s="3"/>
      <c r="Q5592" s="4"/>
      <c r="R5592" s="4"/>
      <c r="S5592" s="9" t="str">
        <f>HYPERLINK("https://pbs.twimg.com/profile_images/868894987764850690/SVpsJHzm.jpg","View")</f>
        <v>View</v>
      </c>
    </row>
    <row r="5593" spans="1:19" ht="40">
      <c r="A5593" s="8">
        <v>43340.624467592592</v>
      </c>
      <c r="B5593" s="11" t="str">
        <f>HYPERLINK("https://twitter.com/Vesam11Vesam1","@Vesam11Vesam1")</f>
        <v>@Vesam11Vesam1</v>
      </c>
      <c r="C5593" s="6" t="s">
        <v>1417</v>
      </c>
      <c r="D5593" s="5" t="s">
        <v>1416</v>
      </c>
      <c r="E5593" s="9" t="str">
        <f>HYPERLINK("https://twitter.com/Vesam11Vesam1/status/1034387423789232128","1034387423789232128")</f>
        <v>1034387423789232128</v>
      </c>
      <c r="F5593" s="4"/>
      <c r="G5593" s="4"/>
      <c r="H5593" s="4"/>
      <c r="I5593" s="10" t="str">
        <f>HYPERLINK("https://mobile.twitter.com","Twitter Lite")</f>
        <v>Twitter Lite</v>
      </c>
      <c r="J5593" s="2">
        <v>34</v>
      </c>
      <c r="K5593" s="2">
        <v>58</v>
      </c>
      <c r="L5593" s="2">
        <v>0</v>
      </c>
      <c r="M5593" s="2"/>
      <c r="N5593" s="8">
        <v>41566.807708333334</v>
      </c>
      <c r="O5593" s="4" t="s">
        <v>1415</v>
      </c>
      <c r="P5593" s="3" t="s">
        <v>1414</v>
      </c>
      <c r="Q5593" s="10" t="s">
        <v>1413</v>
      </c>
      <c r="R5593" s="4"/>
      <c r="S5593" s="9" t="str">
        <f>HYPERLINK("https://pbs.twimg.com/profile_images/928268306641014784/6HN52SC9.jpg","View")</f>
        <v>View</v>
      </c>
    </row>
    <row r="5594" spans="1:19" ht="40">
      <c r="A5594" s="8">
        <v>43340.624224537038</v>
      </c>
      <c r="B5594" s="11" t="str">
        <f>HYPERLINK("https://twitter.com/hr_salehi","@hr_salehi")</f>
        <v>@hr_salehi</v>
      </c>
      <c r="C5594" s="6" t="s">
        <v>1412</v>
      </c>
      <c r="D5594" s="5" t="s">
        <v>1411</v>
      </c>
      <c r="E5594" s="9" t="str">
        <f>HYPERLINK("https://twitter.com/hr_salehi/status/1034387337516593152","1034387337516593152")</f>
        <v>1034387337516593152</v>
      </c>
      <c r="F5594" s="4"/>
      <c r="G5594" s="4"/>
      <c r="H5594" s="4"/>
      <c r="I5594" s="10" t="str">
        <f>HYPERLINK("http://twitter.com/download/iphone","Twitter for iPhone")</f>
        <v>Twitter for iPhone</v>
      </c>
      <c r="J5594" s="2">
        <v>2439</v>
      </c>
      <c r="K5594" s="2">
        <v>1164</v>
      </c>
      <c r="L5594" s="2">
        <v>20</v>
      </c>
      <c r="M5594" s="2"/>
      <c r="N5594" s="8">
        <v>42499.405150462961</v>
      </c>
      <c r="O5594" s="4" t="s">
        <v>34</v>
      </c>
      <c r="P5594" s="3" t="s">
        <v>1410</v>
      </c>
      <c r="Q5594" s="10" t="s">
        <v>1409</v>
      </c>
      <c r="R5594" s="4"/>
      <c r="S5594" s="9" t="str">
        <f>HYPERLINK("https://pbs.twimg.com/profile_images/1019473534941384705/BvCJU4_s.jpg","View")</f>
        <v>View</v>
      </c>
    </row>
    <row r="5595" spans="1:19" ht="30">
      <c r="A5595" s="8">
        <v>43340.624039351853</v>
      </c>
      <c r="B5595" s="11" t="str">
        <f>HYPERLINK("https://twitter.com/Diba48830581","@Diba48830581")</f>
        <v>@Diba48830581</v>
      </c>
      <c r="C5595" s="6" t="s">
        <v>1408</v>
      </c>
      <c r="D5595" s="5" t="s">
        <v>1407</v>
      </c>
      <c r="E5595" s="9" t="str">
        <f>HYPERLINK("https://twitter.com/Diba48830581/status/1034387267719258112","1034387267719258112")</f>
        <v>1034387267719258112</v>
      </c>
      <c r="F5595" s="4"/>
      <c r="G5595" s="4"/>
      <c r="H5595" s="4"/>
      <c r="I5595" s="10" t="str">
        <f>HYPERLINK("http://twitter.com/download/android","Twitter for Android")</f>
        <v>Twitter for Android</v>
      </c>
      <c r="J5595" s="2">
        <v>140</v>
      </c>
      <c r="K5595" s="2">
        <v>207</v>
      </c>
      <c r="L5595" s="2">
        <v>0</v>
      </c>
      <c r="M5595" s="2"/>
      <c r="N5595" s="8">
        <v>43316.536157407405</v>
      </c>
      <c r="O5595" s="4" t="s">
        <v>1406</v>
      </c>
      <c r="P5595" s="3" t="s">
        <v>1405</v>
      </c>
      <c r="Q5595" s="10" t="s">
        <v>1404</v>
      </c>
      <c r="R5595" s="4"/>
      <c r="S5595" s="9" t="str">
        <f>HYPERLINK("https://pbs.twimg.com/profile_images/1025660835778256896/ir2MrYIY.jpg","View")</f>
        <v>View</v>
      </c>
    </row>
    <row r="5596" spans="1:19" ht="30">
      <c r="A5596" s="8">
        <v>43340.623379629629</v>
      </c>
      <c r="B5596" s="11" t="str">
        <f>HYPERLINK("https://twitter.com/cuponinho","@cuponinho")</f>
        <v>@cuponinho</v>
      </c>
      <c r="C5596" s="6" t="s">
        <v>1403</v>
      </c>
      <c r="D5596" s="5" t="s">
        <v>1402</v>
      </c>
      <c r="E5596" s="9" t="str">
        <f>HYPERLINK("https://twitter.com/cuponinho/status/1034387028866211841","1034387028866211841")</f>
        <v>1034387028866211841</v>
      </c>
      <c r="F5596" s="4"/>
      <c r="G5596" s="4"/>
      <c r="H5596" s="4"/>
      <c r="I5596" s="10" t="str">
        <f>HYPERLINK("http://twitter.com/download/iphone","Twitter for iPhone")</f>
        <v>Twitter for iPhone</v>
      </c>
      <c r="J5596" s="2">
        <v>1569</v>
      </c>
      <c r="K5596" s="2">
        <v>1189</v>
      </c>
      <c r="L5596" s="2">
        <v>4</v>
      </c>
      <c r="M5596" s="2"/>
      <c r="N5596" s="8">
        <v>41618.113599537035</v>
      </c>
      <c r="O5596" s="4" t="s">
        <v>133</v>
      </c>
      <c r="P5596" s="3" t="s">
        <v>1401</v>
      </c>
      <c r="Q5596" s="4"/>
      <c r="R5596" s="4"/>
      <c r="S5596" s="9" t="str">
        <f>HYPERLINK("https://pbs.twimg.com/profile_images/1027478406517207040/FvpHWpv2.jpg","View")</f>
        <v>View</v>
      </c>
    </row>
    <row r="5597" spans="1:19" ht="40">
      <c r="A5597" s="8">
        <v>43340.623344907406</v>
      </c>
      <c r="B5597" s="11" t="str">
        <f>HYPERLINK("https://twitter.com/KmemariIran","@KmemariIran")</f>
        <v>@KmemariIran</v>
      </c>
      <c r="C5597" s="6" t="s">
        <v>1400</v>
      </c>
      <c r="D5597" s="5" t="s">
        <v>1399</v>
      </c>
      <c r="E5597" s="9" t="str">
        <f>HYPERLINK("https://twitter.com/KmemariIran/status/1034387016102891521","1034387016102891521")</f>
        <v>1034387016102891521</v>
      </c>
      <c r="F5597" s="4"/>
      <c r="G5597" s="4"/>
      <c r="H5597" s="4"/>
      <c r="I5597" s="10" t="str">
        <f>HYPERLINK("http://twitter.com/download/iphone","Twitter for iPhone")</f>
        <v>Twitter for iPhone</v>
      </c>
      <c r="J5597" s="2">
        <v>1624</v>
      </c>
      <c r="K5597" s="2">
        <v>4631</v>
      </c>
      <c r="L5597" s="2">
        <v>1</v>
      </c>
      <c r="M5597" s="2"/>
      <c r="N5597" s="8">
        <v>41314.427916666667</v>
      </c>
      <c r="O5597" s="4"/>
      <c r="P5597" s="3"/>
      <c r="Q5597" s="4"/>
      <c r="R5597" s="4"/>
      <c r="S5597" s="9" t="str">
        <f>HYPERLINK("https://pbs.twimg.com/profile_images/898805624657629186/OjMXkXe4.jpg","View")</f>
        <v>View</v>
      </c>
    </row>
    <row r="5598" spans="1:19" ht="20">
      <c r="A5598" s="8">
        <v>43340.62327546296</v>
      </c>
      <c r="B5598" s="11" t="str">
        <f>HYPERLINK("https://twitter.com/baran2z","@baran2z")</f>
        <v>@baran2z</v>
      </c>
      <c r="C5598" s="6" t="s">
        <v>1398</v>
      </c>
      <c r="D5598" s="5" t="s">
        <v>1397</v>
      </c>
      <c r="E5598" s="9" t="str">
        <f>HYPERLINK("https://twitter.com/baran2z/status/1034386992602202112","1034386992602202112")</f>
        <v>1034386992602202112</v>
      </c>
      <c r="F5598" s="4"/>
      <c r="G5598" s="4"/>
      <c r="H5598" s="4"/>
      <c r="I5598" s="10" t="str">
        <f>HYPERLINK("http://twitter.com/download/android","Twitter for Android")</f>
        <v>Twitter for Android</v>
      </c>
      <c r="J5598" s="2">
        <v>348</v>
      </c>
      <c r="K5598" s="2">
        <v>425</v>
      </c>
      <c r="L5598" s="2">
        <v>0</v>
      </c>
      <c r="M5598" s="2"/>
      <c r="N5598" s="8">
        <v>42030.673206018517</v>
      </c>
      <c r="O5598" s="4"/>
      <c r="P5598" s="3" t="s">
        <v>1396</v>
      </c>
      <c r="Q5598" s="4"/>
      <c r="R5598" s="4"/>
      <c r="S5598" s="9" t="str">
        <f>HYPERLINK("https://pbs.twimg.com/profile_images/1013346496715132928/lehM4YVI.jpg","View")</f>
        <v>View</v>
      </c>
    </row>
    <row r="5599" spans="1:19" ht="30">
      <c r="A5599" s="8">
        <v>43340.596377314811</v>
      </c>
      <c r="B5599" s="11" t="str">
        <f>HYPERLINK("https://twitter.com/MademoiselleJiz","@MademoiselleJiz")</f>
        <v>@MademoiselleJiz</v>
      </c>
      <c r="C5599" s="6" t="s">
        <v>1395</v>
      </c>
      <c r="D5599" s="5" t="s">
        <v>1394</v>
      </c>
      <c r="E5599" s="9" t="str">
        <f>HYPERLINK("https://twitter.com/MademoiselleJiz/status/1034377243877879808","1034377243877879808")</f>
        <v>1034377243877879808</v>
      </c>
      <c r="F5599" s="4"/>
      <c r="G5599" s="4"/>
      <c r="H5599" s="4"/>
      <c r="I5599" s="10" t="str">
        <f>HYPERLINK("http://twitter.com/download/android","Twitter for Android")</f>
        <v>Twitter for Android</v>
      </c>
      <c r="J5599" s="2">
        <v>293</v>
      </c>
      <c r="K5599" s="2">
        <v>183</v>
      </c>
      <c r="L5599" s="2">
        <v>2</v>
      </c>
      <c r="M5599" s="2"/>
      <c r="N5599" s="8">
        <v>43100.913148148145</v>
      </c>
      <c r="O5599" s="4" t="s">
        <v>1393</v>
      </c>
      <c r="P5599" s="3" t="s">
        <v>1392</v>
      </c>
      <c r="Q5599" s="4"/>
      <c r="R5599" s="4"/>
      <c r="S5599" s="9" t="str">
        <f>HYPERLINK("https://pbs.twimg.com/profile_images/996454790480777216/VbZ9LSob.jpg","View")</f>
        <v>View</v>
      </c>
    </row>
    <row r="5600" spans="1:19" ht="20">
      <c r="A5600" s="8">
        <v>43340.596203703702</v>
      </c>
      <c r="B5600" s="11" t="str">
        <f>HYPERLINK("https://twitter.com/yekkhabarnegar","@yekkhabarnegar")</f>
        <v>@yekkhabarnegar</v>
      </c>
      <c r="C5600" s="6" t="s">
        <v>1391</v>
      </c>
      <c r="D5600" s="5" t="s">
        <v>1390</v>
      </c>
      <c r="E5600" s="9" t="str">
        <f>HYPERLINK("https://twitter.com/yekkhabarnegar/status/1034377181848317952","1034377181848317952")</f>
        <v>1034377181848317952</v>
      </c>
      <c r="F5600" s="4"/>
      <c r="G5600" s="4"/>
      <c r="H5600" s="4"/>
      <c r="I5600" s="10" t="str">
        <f>HYPERLINK("http://twitter.com","Twitter Web Client")</f>
        <v>Twitter Web Client</v>
      </c>
      <c r="J5600" s="2">
        <v>1122</v>
      </c>
      <c r="K5600" s="2">
        <v>1150</v>
      </c>
      <c r="L5600" s="2">
        <v>1</v>
      </c>
      <c r="M5600" s="2"/>
      <c r="N5600" s="8">
        <v>42979.434108796297</v>
      </c>
      <c r="O5600" s="4" t="s">
        <v>1389</v>
      </c>
      <c r="P5600" s="3" t="s">
        <v>1388</v>
      </c>
      <c r="Q5600" s="4"/>
      <c r="R5600" s="4"/>
      <c r="S5600" s="9" t="str">
        <f>HYPERLINK("https://pbs.twimg.com/profile_images/903504189174808577/ylv8Aa4y.jpg","View")</f>
        <v>View</v>
      </c>
    </row>
    <row r="5601" spans="1:19" ht="20">
      <c r="A5601" s="8">
        <v>43340.596145833333</v>
      </c>
      <c r="B5601" s="11" t="str">
        <f>HYPERLINK("https://twitter.com/ShahrivarDokht","@ShahrivarDokht")</f>
        <v>@ShahrivarDokht</v>
      </c>
      <c r="C5601" s="6" t="s">
        <v>1096</v>
      </c>
      <c r="D5601" s="5" t="s">
        <v>1387</v>
      </c>
      <c r="E5601" s="9" t="str">
        <f>HYPERLINK("https://twitter.com/ShahrivarDokht/status/1034377162130944001","1034377162130944001")</f>
        <v>1034377162130944001</v>
      </c>
      <c r="F5601" s="4"/>
      <c r="G5601" s="4"/>
      <c r="H5601" s="4"/>
      <c r="I5601" s="10" t="str">
        <f>HYPERLINK("http://twitter.com/download/android","Twitter for Android")</f>
        <v>Twitter for Android</v>
      </c>
      <c r="J5601" s="2">
        <v>2826</v>
      </c>
      <c r="K5601" s="2">
        <v>2932</v>
      </c>
      <c r="L5601" s="2">
        <v>4</v>
      </c>
      <c r="M5601" s="2"/>
      <c r="N5601" s="8">
        <v>43232.907650462963</v>
      </c>
      <c r="O5601" s="4" t="s">
        <v>17</v>
      </c>
      <c r="P5601" s="3" t="s">
        <v>1094</v>
      </c>
      <c r="Q5601" s="4"/>
      <c r="R5601" s="4"/>
      <c r="S5601" s="9" t="str">
        <f>HYPERLINK("https://pbs.twimg.com/profile_images/1009806470165225472/0jnAt4qJ.jpg","View")</f>
        <v>View</v>
      </c>
    </row>
    <row r="5602" spans="1:19" ht="30">
      <c r="A5602" s="8">
        <v>43340.596064814818</v>
      </c>
      <c r="B5602" s="11" t="str">
        <f>HYPERLINK("https://twitter.com/Realmhmdali","@Realmhmdali")</f>
        <v>@Realmhmdali</v>
      </c>
      <c r="C5602" s="6" t="s">
        <v>1386</v>
      </c>
      <c r="D5602" s="5" t="s">
        <v>1385</v>
      </c>
      <c r="E5602" s="9" t="str">
        <f>HYPERLINK("https://twitter.com/Realmhmdali/status/1034377132326170625","1034377132326170625")</f>
        <v>1034377132326170625</v>
      </c>
      <c r="F5602" s="4"/>
      <c r="G5602" s="10" t="s">
        <v>1384</v>
      </c>
      <c r="H5602" s="4"/>
      <c r="I5602" s="10" t="str">
        <f>HYPERLINK("http://twitter.com/download/android","Twitter for Android")</f>
        <v>Twitter for Android</v>
      </c>
      <c r="J5602" s="2">
        <v>1813</v>
      </c>
      <c r="K5602" s="2">
        <v>860</v>
      </c>
      <c r="L5602" s="2">
        <v>3</v>
      </c>
      <c r="M5602" s="2"/>
      <c r="N5602" s="8">
        <v>42797.485694444447</v>
      </c>
      <c r="O5602" s="4" t="s">
        <v>324</v>
      </c>
      <c r="P5602" s="3" t="s">
        <v>1383</v>
      </c>
      <c r="Q5602" s="4"/>
      <c r="R5602" s="4"/>
      <c r="S5602" s="9" t="str">
        <f>HYPERLINK("https://pbs.twimg.com/profile_images/1018577881272848388/YDJfbKEC.jpg","View")</f>
        <v>View</v>
      </c>
    </row>
    <row r="5603" spans="1:19" ht="20">
      <c r="A5603" s="8">
        <v>43340.596064814818</v>
      </c>
      <c r="B5603" s="11" t="str">
        <f>HYPERLINK("https://twitter.com/EmadHelmi","@EmadHelmi")</f>
        <v>@EmadHelmi</v>
      </c>
      <c r="C5603" s="6" t="s">
        <v>1382</v>
      </c>
      <c r="D5603" s="5" t="s">
        <v>1381</v>
      </c>
      <c r="E5603" s="9" t="str">
        <f>HYPERLINK("https://twitter.com/EmadHelmi/status/1034377129595691009","1034377129595691009")</f>
        <v>1034377129595691009</v>
      </c>
      <c r="F5603" s="4"/>
      <c r="G5603" s="4"/>
      <c r="H5603" s="4"/>
      <c r="I5603" s="10" t="str">
        <f>HYPERLINK("http://twitter.com/download/android","Twitter for Android")</f>
        <v>Twitter for Android</v>
      </c>
      <c r="J5603" s="2">
        <v>97</v>
      </c>
      <c r="K5603" s="2">
        <v>144</v>
      </c>
      <c r="L5603" s="2">
        <v>0</v>
      </c>
      <c r="M5603" s="2"/>
      <c r="N5603" s="8">
        <v>42221.894965277781</v>
      </c>
      <c r="O5603" s="4" t="s">
        <v>133</v>
      </c>
      <c r="P5603" s="3"/>
      <c r="Q5603" s="4"/>
      <c r="R5603" s="4"/>
      <c r="S5603" s="9" t="str">
        <f>HYPERLINK("https://pbs.twimg.com/profile_images/878264862484443136/_jWSznYl.jpg","View")</f>
        <v>View</v>
      </c>
    </row>
    <row r="5604" spans="1:19" ht="30">
      <c r="A5604" s="8">
        <v>43340.596053240741</v>
      </c>
      <c r="B5604" s="11" t="str">
        <f>HYPERLINK("https://twitter.com/Shahidkharazi","@Shahidkharazi")</f>
        <v>@Shahidkharazi</v>
      </c>
      <c r="C5604" s="6" t="s">
        <v>1380</v>
      </c>
      <c r="D5604" s="5" t="s">
        <v>1379</v>
      </c>
      <c r="E5604" s="9" t="str">
        <f>HYPERLINK("https://twitter.com/Shahidkharazi/status/1034377126349336576","1034377126349336576")</f>
        <v>1034377126349336576</v>
      </c>
      <c r="F5604" s="4"/>
      <c r="G5604" s="4"/>
      <c r="H5604" s="4"/>
      <c r="I5604" s="10" t="str">
        <f>HYPERLINK("http://twitter.com/download/android","Twitter for Android")</f>
        <v>Twitter for Android</v>
      </c>
      <c r="J5604" s="2">
        <v>984</v>
      </c>
      <c r="K5604" s="2">
        <v>214</v>
      </c>
      <c r="L5604" s="2">
        <v>9</v>
      </c>
      <c r="M5604" s="2"/>
      <c r="N5604" s="8">
        <v>42786.91805555555</v>
      </c>
      <c r="O5604" s="4" t="s">
        <v>1378</v>
      </c>
      <c r="P5604" s="3" t="s">
        <v>1377</v>
      </c>
      <c r="Q5604" s="4"/>
      <c r="R5604" s="4"/>
      <c r="S5604" s="9" t="str">
        <f>HYPERLINK("https://pbs.twimg.com/profile_images/1004021491904761861/a2dyf0Ho.jpg","View")</f>
        <v>View</v>
      </c>
    </row>
    <row r="5605" spans="1:19" ht="20">
      <c r="A5605" s="8">
        <v>43340.595983796295</v>
      </c>
      <c r="B5605" s="11" t="str">
        <f>HYPERLINK("https://twitter.com/johnunlockk","@johnunlockk")</f>
        <v>@johnunlockk</v>
      </c>
      <c r="C5605" s="6" t="s">
        <v>1291</v>
      </c>
      <c r="D5605" s="5" t="s">
        <v>1376</v>
      </c>
      <c r="E5605" s="9" t="str">
        <f>HYPERLINK("https://twitter.com/johnunlockk/status/1034377099971358720","1034377099971358720")</f>
        <v>1034377099971358720</v>
      </c>
      <c r="F5605" s="4"/>
      <c r="G5605" s="4"/>
      <c r="H5605" s="4"/>
      <c r="I5605" s="10" t="str">
        <f>HYPERLINK("http://twitter.com/download/android","Twitter for Android")</f>
        <v>Twitter for Android</v>
      </c>
      <c r="J5605" s="2">
        <v>62</v>
      </c>
      <c r="K5605" s="2">
        <v>138</v>
      </c>
      <c r="L5605" s="2">
        <v>0</v>
      </c>
      <c r="M5605" s="2"/>
      <c r="N5605" s="8">
        <v>43258.825254629628</v>
      </c>
      <c r="O5605" s="4"/>
      <c r="P5605" s="3"/>
      <c r="Q5605" s="4"/>
      <c r="R5605" s="4"/>
      <c r="S5605" s="9" t="str">
        <f>HYPERLINK("https://pbs.twimg.com/profile_images/1004779158084321280/vPdlEx4b.jpg","View")</f>
        <v>View</v>
      </c>
    </row>
    <row r="5606" spans="1:19" ht="20">
      <c r="A5606" s="8">
        <v>43340.595972222218</v>
      </c>
      <c r="B5606" s="11" t="str">
        <f>HYPERLINK("https://twitter.com/moshajere","@moshajere")</f>
        <v>@moshajere</v>
      </c>
      <c r="C5606" s="6" t="s">
        <v>1375</v>
      </c>
      <c r="D5606" s="5" t="s">
        <v>1374</v>
      </c>
      <c r="E5606" s="9" t="str">
        <f>HYPERLINK("https://twitter.com/moshajere/status/1034377096464920576","1034377096464920576")</f>
        <v>1034377096464920576</v>
      </c>
      <c r="F5606" s="4"/>
      <c r="G5606" s="10" t="s">
        <v>1373</v>
      </c>
      <c r="H5606" s="4"/>
      <c r="I5606" s="10" t="str">
        <f>HYPERLINK("http://twitter.com/download/android","Twitter for Android")</f>
        <v>Twitter for Android</v>
      </c>
      <c r="J5606" s="2">
        <v>19</v>
      </c>
      <c r="K5606" s="2">
        <v>54</v>
      </c>
      <c r="L5606" s="2">
        <v>0</v>
      </c>
      <c r="M5606" s="2"/>
      <c r="N5606" s="8">
        <v>43305.351724537039</v>
      </c>
      <c r="O5606" s="4"/>
      <c r="P5606" s="3"/>
      <c r="Q5606" s="4"/>
      <c r="R5606" s="4"/>
      <c r="S5606" s="9" t="str">
        <f>HYPERLINK("https://pbs.twimg.com/profile_images/1031491761540136960/oH76Sbju.jpg","View")</f>
        <v>View</v>
      </c>
    </row>
    <row r="5607" spans="1:19" ht="30">
      <c r="A5607" s="8">
        <v>43340.595960648148</v>
      </c>
      <c r="B5607" s="11" t="str">
        <f>HYPERLINK("https://twitter.com/mahdim_61","@mahdim_61")</f>
        <v>@mahdim_61</v>
      </c>
      <c r="C5607" s="6" t="s">
        <v>1372</v>
      </c>
      <c r="D5607" s="5" t="s">
        <v>1371</v>
      </c>
      <c r="E5607" s="9" t="str">
        <f>HYPERLINK("https://twitter.com/mahdim_61/status/1034377095361773568","1034377095361773568")</f>
        <v>1034377095361773568</v>
      </c>
      <c r="F5607" s="4"/>
      <c r="G5607" s="4"/>
      <c r="H5607" s="4"/>
      <c r="I5607" s="10" t="str">
        <f>HYPERLINK("http://twitter.com/download/iphone","Twitter for iPhone")</f>
        <v>Twitter for iPhone</v>
      </c>
      <c r="J5607" s="2">
        <v>2437</v>
      </c>
      <c r="K5607" s="2">
        <v>2710</v>
      </c>
      <c r="L5607" s="2">
        <v>5</v>
      </c>
      <c r="M5607" s="2"/>
      <c r="N5607" s="8">
        <v>43120.900173611109</v>
      </c>
      <c r="O5607" s="4"/>
      <c r="P5607" s="3" t="s">
        <v>1370</v>
      </c>
      <c r="Q5607" s="10" t="s">
        <v>1369</v>
      </c>
      <c r="R5607" s="4"/>
      <c r="S5607" s="9" t="str">
        <f>HYPERLINK("https://pbs.twimg.com/profile_images/1015906511132995584/NJ32LAt6.jpg","View")</f>
        <v>View</v>
      </c>
    </row>
    <row r="5608" spans="1:19" ht="30">
      <c r="A5608" s="8">
        <v>43340.595694444448</v>
      </c>
      <c r="B5608" s="11" t="str">
        <f>HYPERLINK("https://twitter.com/gol_parr","@gol_parr")</f>
        <v>@gol_parr</v>
      </c>
      <c r="C5608" s="6" t="s">
        <v>1368</v>
      </c>
      <c r="D5608" s="5" t="s">
        <v>1367</v>
      </c>
      <c r="E5608" s="9" t="str">
        <f>HYPERLINK("https://twitter.com/gol_parr/status/1034376994954330112","1034376994954330112")</f>
        <v>1034376994954330112</v>
      </c>
      <c r="F5608" s="4"/>
      <c r="G5608" s="4"/>
      <c r="H5608" s="4"/>
      <c r="I5608" s="10" t="str">
        <f>HYPERLINK("http://twitter.com/download/android","Twitter for Android")</f>
        <v>Twitter for Android</v>
      </c>
      <c r="J5608" s="2">
        <v>203</v>
      </c>
      <c r="K5608" s="2">
        <v>156</v>
      </c>
      <c r="L5608" s="2">
        <v>2</v>
      </c>
      <c r="M5608" s="2"/>
      <c r="N5608" s="8">
        <v>43170.706469907411</v>
      </c>
      <c r="O5608" s="4" t="s">
        <v>17</v>
      </c>
      <c r="P5608" s="3" t="s">
        <v>1366</v>
      </c>
      <c r="Q5608" s="4"/>
      <c r="R5608" s="4"/>
      <c r="S5608" s="9" t="str">
        <f>HYPERLINK("https://pbs.twimg.com/profile_images/992276702305779712/gHDUsIDh.jpg","View")</f>
        <v>View</v>
      </c>
    </row>
    <row r="5609" spans="1:19" ht="40">
      <c r="A5609" s="8">
        <v>43340.595648148148</v>
      </c>
      <c r="B5609" s="11" t="str">
        <f>HYPERLINK("https://twitter.com/samharisirani","@samharisirani")</f>
        <v>@samharisirani</v>
      </c>
      <c r="C5609" s="6" t="s">
        <v>1365</v>
      </c>
      <c r="D5609" s="5" t="s">
        <v>1364</v>
      </c>
      <c r="E5609" s="9" t="str">
        <f>HYPERLINK("https://twitter.com/samharisirani/status/1034376980752347136","1034376980752347136")</f>
        <v>1034376980752347136</v>
      </c>
      <c r="F5609" s="4"/>
      <c r="G5609" s="4"/>
      <c r="H5609" s="4"/>
      <c r="I5609" s="10" t="str">
        <f>HYPERLINK("http://twitter.com/download/android","Twitter for Android")</f>
        <v>Twitter for Android</v>
      </c>
      <c r="J5609" s="2">
        <v>4587</v>
      </c>
      <c r="K5609" s="2">
        <v>2504</v>
      </c>
      <c r="L5609" s="2">
        <v>8</v>
      </c>
      <c r="M5609" s="2"/>
      <c r="N5609" s="8">
        <v>41713.290879629625</v>
      </c>
      <c r="O5609" s="4" t="s">
        <v>1363</v>
      </c>
      <c r="P5609" s="3" t="s">
        <v>1362</v>
      </c>
      <c r="Q5609" s="4"/>
      <c r="R5609" s="4"/>
      <c r="S5609" s="9" t="str">
        <f>HYPERLINK("https://pbs.twimg.com/profile_images/947049442842152962/dI4P1puy.jpg","View")</f>
        <v>View</v>
      </c>
    </row>
    <row r="5610" spans="1:19" ht="30">
      <c r="A5610" s="8">
        <v>43340.595497685186</v>
      </c>
      <c r="B5610" s="11" t="str">
        <f>HYPERLINK("https://twitter.com/iiinjaneb","@iiinjaneb")</f>
        <v>@iiinjaneb</v>
      </c>
      <c r="C5610" s="6" t="s">
        <v>1361</v>
      </c>
      <c r="D5610" s="5" t="s">
        <v>1360</v>
      </c>
      <c r="E5610" s="9" t="str">
        <f>HYPERLINK("https://twitter.com/iiinjaneb/status/1034376926813675521","1034376926813675521")</f>
        <v>1034376926813675521</v>
      </c>
      <c r="F5610" s="4"/>
      <c r="G5610" s="4"/>
      <c r="H5610" s="4"/>
      <c r="I5610" s="10" t="str">
        <f>HYPERLINK("http://twitter.com","Twitter Web Client")</f>
        <v>Twitter Web Client</v>
      </c>
      <c r="J5610" s="2">
        <v>176</v>
      </c>
      <c r="K5610" s="2">
        <v>438</v>
      </c>
      <c r="L5610" s="2">
        <v>0</v>
      </c>
      <c r="M5610" s="2"/>
      <c r="N5610" s="8">
        <v>40039.88622685185</v>
      </c>
      <c r="O5610" s="4"/>
      <c r="P5610" s="3" t="s">
        <v>1359</v>
      </c>
      <c r="Q5610" s="4"/>
      <c r="R5610" s="4"/>
      <c r="S5610" s="9" t="str">
        <f>HYPERLINK("https://pbs.twimg.com/profile_images/962324779633127424/T8nWgdC-.jpg","View")</f>
        <v>View</v>
      </c>
    </row>
    <row r="5611" spans="1:19" ht="30">
      <c r="A5611" s="8">
        <v>43340.595185185186</v>
      </c>
      <c r="B5611" s="11" t="str">
        <f>HYPERLINK("https://twitter.com/mavaddatf","@mavaddatf")</f>
        <v>@mavaddatf</v>
      </c>
      <c r="C5611" s="6" t="s">
        <v>1358</v>
      </c>
      <c r="D5611" s="5" t="s">
        <v>1357</v>
      </c>
      <c r="E5611" s="9" t="str">
        <f>HYPERLINK("https://twitter.com/mavaddatf/status/1034376811973685248","1034376811973685248")</f>
        <v>1034376811973685248</v>
      </c>
      <c r="F5611" s="4"/>
      <c r="G5611" s="4"/>
      <c r="H5611" s="4"/>
      <c r="I5611" s="10" t="str">
        <f>HYPERLINK("http://twitter.com/download/iphone","Twitter for iPhone")</f>
        <v>Twitter for iPhone</v>
      </c>
      <c r="J5611" s="2">
        <v>114</v>
      </c>
      <c r="K5611" s="2">
        <v>58</v>
      </c>
      <c r="L5611" s="2">
        <v>2</v>
      </c>
      <c r="M5611" s="2"/>
      <c r="N5611" s="8">
        <v>41318.674004629633</v>
      </c>
      <c r="O5611" s="4" t="s">
        <v>1356</v>
      </c>
      <c r="P5611" s="3" t="s">
        <v>1355</v>
      </c>
      <c r="Q5611" s="4"/>
      <c r="R5611" s="4"/>
      <c r="S5611" s="9" t="str">
        <f>HYPERLINK("https://pbs.twimg.com/profile_images/996685870467112961/_2j2btLJ.jpg","View")</f>
        <v>View</v>
      </c>
    </row>
    <row r="5612" spans="1:19" ht="30">
      <c r="A5612" s="8">
        <v>43340.59511574074</v>
      </c>
      <c r="B5612" s="11" t="str">
        <f>HYPERLINK("https://twitter.com/new_sheikh","@new_sheikh")</f>
        <v>@new_sheikh</v>
      </c>
      <c r="C5612" s="6" t="s">
        <v>1354</v>
      </c>
      <c r="D5612" s="5" t="s">
        <v>1353</v>
      </c>
      <c r="E5612" s="9" t="str">
        <f>HYPERLINK("https://twitter.com/new_sheikh/status/1034376787659251714","1034376787659251714")</f>
        <v>1034376787659251714</v>
      </c>
      <c r="F5612" s="4"/>
      <c r="G5612" s="4"/>
      <c r="H5612" s="4"/>
      <c r="I5612" s="10" t="str">
        <f>HYPERLINK("http://twitter.com/download/android","Twitter for Android")</f>
        <v>Twitter for Android</v>
      </c>
      <c r="J5612" s="2">
        <v>1557</v>
      </c>
      <c r="K5612" s="2">
        <v>897</v>
      </c>
      <c r="L5612" s="2">
        <v>1</v>
      </c>
      <c r="M5612" s="2"/>
      <c r="N5612" s="8">
        <v>43175.448726851857</v>
      </c>
      <c r="O5612" s="4" t="s">
        <v>1352</v>
      </c>
      <c r="P5612" s="3" t="s">
        <v>1351</v>
      </c>
      <c r="Q5612" s="4"/>
      <c r="R5612" s="4"/>
      <c r="S5612" s="9" t="str">
        <f>HYPERLINK("https://pbs.twimg.com/profile_images/1014723119183990784/pgI0yxZS.jpg","View")</f>
        <v>View</v>
      </c>
    </row>
    <row r="5613" spans="1:19" ht="20">
      <c r="A5613" s="8">
        <v>43340.595081018517</v>
      </c>
      <c r="B5613" s="11" t="str">
        <f>HYPERLINK("https://twitter.com/haj_Einstein","@haj_Einstein")</f>
        <v>@haj_Einstein</v>
      </c>
      <c r="C5613" s="6" t="s">
        <v>1350</v>
      </c>
      <c r="D5613" s="5" t="s">
        <v>1349</v>
      </c>
      <c r="E5613" s="9" t="str">
        <f>HYPERLINK("https://twitter.com/haj_Einstein/status/1034376773981667329","1034376773981667329")</f>
        <v>1034376773981667329</v>
      </c>
      <c r="F5613" s="4"/>
      <c r="G5613" s="4"/>
      <c r="H5613" s="4"/>
      <c r="I5613" s="10" t="str">
        <f>HYPERLINK("http://twitter.com/download/android","Twitter for Android")</f>
        <v>Twitter for Android</v>
      </c>
      <c r="J5613" s="2">
        <v>1187</v>
      </c>
      <c r="K5613" s="2">
        <v>918</v>
      </c>
      <c r="L5613" s="2">
        <v>0</v>
      </c>
      <c r="M5613" s="2"/>
      <c r="N5613" s="8">
        <v>42513.552152777775</v>
      </c>
      <c r="O5613" s="4" t="s">
        <v>1348</v>
      </c>
      <c r="P5613" s="3" t="s">
        <v>1347</v>
      </c>
      <c r="Q5613" s="4"/>
      <c r="R5613" s="4"/>
      <c r="S5613" s="9" t="str">
        <f>HYPERLINK("https://pbs.twimg.com/profile_images/1026355675037921280/znaIjDgn.jpg","View")</f>
        <v>View</v>
      </c>
    </row>
    <row r="5614" spans="1:19" ht="20">
      <c r="A5614" s="8">
        <v>43340.595046296294</v>
      </c>
      <c r="B5614" s="11" t="str">
        <f>HYPERLINK("https://twitter.com/saeed_ghamari","@saeed_ghamari")</f>
        <v>@saeed_ghamari</v>
      </c>
      <c r="C5614" s="6" t="s">
        <v>1346</v>
      </c>
      <c r="D5614" s="5" t="s">
        <v>1345</v>
      </c>
      <c r="E5614" s="9" t="str">
        <f>HYPERLINK("https://twitter.com/saeed_ghamari/status/1034376761201631232","1034376761201631232")</f>
        <v>1034376761201631232</v>
      </c>
      <c r="F5614" s="4"/>
      <c r="G5614" s="4"/>
      <c r="H5614" s="4"/>
      <c r="I5614" s="10" t="str">
        <f>HYPERLINK("http://twitter.com/download/android","Twitter for Android")</f>
        <v>Twitter for Android</v>
      </c>
      <c r="J5614" s="2">
        <v>5631</v>
      </c>
      <c r="K5614" s="2">
        <v>861</v>
      </c>
      <c r="L5614" s="2">
        <v>12</v>
      </c>
      <c r="M5614" s="2"/>
      <c r="N5614" s="8">
        <v>43087.832731481481</v>
      </c>
      <c r="O5614" s="4" t="s">
        <v>1344</v>
      </c>
      <c r="P5614" s="3" t="s">
        <v>1343</v>
      </c>
      <c r="Q5614" s="4"/>
      <c r="R5614" s="4"/>
      <c r="S5614" s="9" t="str">
        <f>HYPERLINK("https://pbs.twimg.com/profile_images/942803219591331840/xIrN0BY3.jpg","View")</f>
        <v>View</v>
      </c>
    </row>
    <row r="5615" spans="1:19" ht="20">
      <c r="A5615" s="8">
        <v>43340.595023148147</v>
      </c>
      <c r="B5615" s="11" t="str">
        <f>HYPERLINK("https://twitter.com/gffgf544564","@gffgf544564")</f>
        <v>@gffgf544564</v>
      </c>
      <c r="C5615" s="6" t="s">
        <v>1342</v>
      </c>
      <c r="D5615" s="5" t="s">
        <v>1341</v>
      </c>
      <c r="E5615" s="9" t="str">
        <f>HYPERLINK("https://twitter.com/gffgf544564/status/1034376754440355842","1034376754440355842")</f>
        <v>1034376754440355842</v>
      </c>
      <c r="F5615" s="4"/>
      <c r="G5615" s="4"/>
      <c r="H5615" s="4"/>
      <c r="I5615" s="10" t="str">
        <f>HYPERLINK("http://twitter.com/download/android","Twitter for Android")</f>
        <v>Twitter for Android</v>
      </c>
      <c r="J5615" s="2">
        <v>1733</v>
      </c>
      <c r="K5615" s="2">
        <v>2822</v>
      </c>
      <c r="L5615" s="2">
        <v>2</v>
      </c>
      <c r="M5615" s="2"/>
      <c r="N5615" s="8">
        <v>43104.420613425929</v>
      </c>
      <c r="O5615" s="4"/>
      <c r="P5615" s="3" t="s">
        <v>1340</v>
      </c>
      <c r="Q5615" s="4"/>
      <c r="R5615" s="4"/>
      <c r="S5615" s="9" t="str">
        <f>HYPERLINK("https://pbs.twimg.com/profile_images/1030197283537805314/cpSfEgZs.jpg","View")</f>
        <v>View</v>
      </c>
    </row>
    <row r="5616" spans="1:19" ht="30">
      <c r="A5616" s="8">
        <v>43340.594942129625</v>
      </c>
      <c r="B5616" s="11" t="str">
        <f>HYPERLINK("https://twitter.com/ShahrivarDokht","@ShahrivarDokht")</f>
        <v>@ShahrivarDokht</v>
      </c>
      <c r="C5616" s="6" t="s">
        <v>1096</v>
      </c>
      <c r="D5616" s="5" t="s">
        <v>1339</v>
      </c>
      <c r="E5616" s="9" t="str">
        <f>HYPERLINK("https://twitter.com/ShahrivarDokht/status/1034376723343847424","1034376723343847424")</f>
        <v>1034376723343847424</v>
      </c>
      <c r="F5616" s="4"/>
      <c r="G5616" s="4"/>
      <c r="H5616" s="4"/>
      <c r="I5616" s="10" t="str">
        <f>HYPERLINK("http://twitter.com/download/android","Twitter for Android")</f>
        <v>Twitter for Android</v>
      </c>
      <c r="J5616" s="2">
        <v>2826</v>
      </c>
      <c r="K5616" s="2">
        <v>2932</v>
      </c>
      <c r="L5616" s="2">
        <v>4</v>
      </c>
      <c r="M5616" s="2"/>
      <c r="N5616" s="8">
        <v>43232.907650462963</v>
      </c>
      <c r="O5616" s="4" t="s">
        <v>17</v>
      </c>
      <c r="P5616" s="3" t="s">
        <v>1094</v>
      </c>
      <c r="Q5616" s="4"/>
      <c r="R5616" s="4"/>
      <c r="S5616" s="9" t="str">
        <f>HYPERLINK("https://pbs.twimg.com/profile_images/1009806470165225472/0jnAt4qJ.jpg","View")</f>
        <v>View</v>
      </c>
    </row>
    <row r="5617" spans="1:19" ht="20">
      <c r="A5617" s="8">
        <v>43340.594733796301</v>
      </c>
      <c r="B5617" s="11" t="str">
        <f>HYPERLINK("https://twitter.com/zhooki","@zhooki")</f>
        <v>@zhooki</v>
      </c>
      <c r="C5617" s="6" t="s">
        <v>1338</v>
      </c>
      <c r="D5617" s="5" t="s">
        <v>1337</v>
      </c>
      <c r="E5617" s="9" t="str">
        <f>HYPERLINK("https://twitter.com/zhooki/status/1034376648454336514","1034376648454336514")</f>
        <v>1034376648454336514</v>
      </c>
      <c r="F5617" s="4"/>
      <c r="G5617" s="4"/>
      <c r="H5617" s="4"/>
      <c r="I5617" s="10" t="str">
        <f>HYPERLINK("http://twitter.com/download/android","Twitter for Android")</f>
        <v>Twitter for Android</v>
      </c>
      <c r="J5617" s="2">
        <v>1643</v>
      </c>
      <c r="K5617" s="2">
        <v>1511</v>
      </c>
      <c r="L5617" s="2">
        <v>3</v>
      </c>
      <c r="M5617" s="2"/>
      <c r="N5617" s="8">
        <v>43103.019039351857</v>
      </c>
      <c r="O5617" s="4" t="s">
        <v>25</v>
      </c>
      <c r="P5617" s="3" t="s">
        <v>1336</v>
      </c>
      <c r="Q5617" s="4"/>
      <c r="R5617" s="4"/>
      <c r="S5617" s="9" t="str">
        <f>HYPERLINK("https://pbs.twimg.com/profile_images/1030143128945090560/G-tzEe9I.jpg","View")</f>
        <v>View</v>
      </c>
    </row>
    <row r="5618" spans="1:19" ht="30">
      <c r="A5618" s="8">
        <v>43340.594710648147</v>
      </c>
      <c r="B5618" s="11" t="str">
        <f>HYPERLINK("https://twitter.com/Beeman93397010","@Beeman93397010")</f>
        <v>@Beeman93397010</v>
      </c>
      <c r="C5618" s="6" t="s">
        <v>1335</v>
      </c>
      <c r="D5618" s="5" t="s">
        <v>1334</v>
      </c>
      <c r="E5618" s="9" t="str">
        <f>HYPERLINK("https://twitter.com/Beeman93397010/status/1034376638316916736","1034376638316916736")</f>
        <v>1034376638316916736</v>
      </c>
      <c r="F5618" s="4"/>
      <c r="G5618" s="4"/>
      <c r="H5618" s="4"/>
      <c r="I5618" s="10" t="str">
        <f>HYPERLINK("http://twitter.com/download/android","Twitter for Android")</f>
        <v>Twitter for Android</v>
      </c>
      <c r="J5618" s="2">
        <v>127</v>
      </c>
      <c r="K5618" s="2">
        <v>53</v>
      </c>
      <c r="L5618" s="2">
        <v>0</v>
      </c>
      <c r="M5618" s="2"/>
      <c r="N5618" s="8">
        <v>43201.467928240745</v>
      </c>
      <c r="O5618" s="4" t="s">
        <v>1333</v>
      </c>
      <c r="P5618" s="3" t="s">
        <v>1332</v>
      </c>
      <c r="Q5618" s="4"/>
      <c r="R5618" s="4"/>
      <c r="S5618" s="9" t="str">
        <f>HYPERLINK("https://pbs.twimg.com/profile_images/984098314026192896/-naFt74A.jpg","View")</f>
        <v>View</v>
      </c>
    </row>
    <row r="5619" spans="1:19" ht="40">
      <c r="A5619" s="8">
        <v>43340.594560185185</v>
      </c>
      <c r="B5619" s="11" t="str">
        <f>HYPERLINK("https://twitter.com/SHAH_REZA_1400","@SHAH_REZA_1400")</f>
        <v>@SHAH_REZA_1400</v>
      </c>
      <c r="C5619" s="6" t="s">
        <v>1331</v>
      </c>
      <c r="D5619" s="5" t="s">
        <v>1330</v>
      </c>
      <c r="E5619" s="9" t="str">
        <f>HYPERLINK("https://twitter.com/SHAH_REZA_1400/status/1034376587154784256","1034376587154784256")</f>
        <v>1034376587154784256</v>
      </c>
      <c r="F5619" s="4"/>
      <c r="G5619" s="4"/>
      <c r="H5619" s="4"/>
      <c r="I5619" s="10" t="str">
        <f>HYPERLINK("http://twitter.com/download/android","Twitter for Android")</f>
        <v>Twitter for Android</v>
      </c>
      <c r="J5619" s="2">
        <v>433</v>
      </c>
      <c r="K5619" s="2">
        <v>521</v>
      </c>
      <c r="L5619" s="2">
        <v>4</v>
      </c>
      <c r="M5619" s="2"/>
      <c r="N5619" s="8">
        <v>42737.967407407406</v>
      </c>
      <c r="O5619" s="4"/>
      <c r="P5619" s="3"/>
      <c r="Q5619" s="4"/>
      <c r="R5619" s="4"/>
      <c r="S5619" s="9" t="str">
        <f>HYPERLINK("https://pbs.twimg.com/profile_images/957591042294939649/4sj4PShb.jpg","View")</f>
        <v>View</v>
      </c>
    </row>
    <row r="5620" spans="1:19" ht="40">
      <c r="A5620" s="8">
        <v>43340.594490740739</v>
      </c>
      <c r="B5620" s="11" t="str">
        <f>HYPERLINK("https://twitter.com/Maryam9464","@Maryam9464")</f>
        <v>@Maryam9464</v>
      </c>
      <c r="C5620" s="6" t="s">
        <v>1329</v>
      </c>
      <c r="D5620" s="5" t="s">
        <v>1328</v>
      </c>
      <c r="E5620" s="9" t="str">
        <f>HYPERLINK("https://twitter.com/Maryam9464/status/1034376560051138560","1034376560051138560")</f>
        <v>1034376560051138560</v>
      </c>
      <c r="F5620" s="4"/>
      <c r="G5620" s="4"/>
      <c r="H5620" s="4"/>
      <c r="I5620" s="10" t="str">
        <f>HYPERLINK("http://twitter.com/download/android","Twitter for Android")</f>
        <v>Twitter for Android</v>
      </c>
      <c r="J5620" s="2">
        <v>173</v>
      </c>
      <c r="K5620" s="2">
        <v>57</v>
      </c>
      <c r="L5620" s="2">
        <v>0</v>
      </c>
      <c r="M5620" s="2"/>
      <c r="N5620" s="8">
        <v>43288.797800925924</v>
      </c>
      <c r="O5620" s="4" t="s">
        <v>34</v>
      </c>
      <c r="P5620" s="3"/>
      <c r="Q5620" s="4"/>
      <c r="R5620" s="4"/>
      <c r="S5620" s="9" t="str">
        <f>HYPERLINK("https://pbs.twimg.com/profile_images/1026014118606774272/dwhNwygi.jpg","View")</f>
        <v>View</v>
      </c>
    </row>
    <row r="5621" spans="1:19" ht="20">
      <c r="A5621" s="8">
        <v>43340.594363425931</v>
      </c>
      <c r="B5621" s="11" t="str">
        <f>HYPERLINK("https://twitter.com/hajfathiir","@hajfathiir")</f>
        <v>@hajfathiir</v>
      </c>
      <c r="C5621" s="6" t="s">
        <v>1327</v>
      </c>
      <c r="D5621" s="5" t="s">
        <v>1326</v>
      </c>
      <c r="E5621" s="9" t="str">
        <f>HYPERLINK("https://twitter.com/hajfathiir/status/1034376513402138624","1034376513402138624")</f>
        <v>1034376513402138624</v>
      </c>
      <c r="F5621" s="4"/>
      <c r="G5621" s="4"/>
      <c r="H5621" s="4"/>
      <c r="I5621" s="10" t="str">
        <f>HYPERLINK("http://twitter.com/download/android","Twitter for Android")</f>
        <v>Twitter for Android</v>
      </c>
      <c r="J5621" s="2">
        <v>490</v>
      </c>
      <c r="K5621" s="2">
        <v>409</v>
      </c>
      <c r="L5621" s="2">
        <v>6</v>
      </c>
      <c r="M5621" s="2"/>
      <c r="N5621" s="8">
        <v>42640.430520833332</v>
      </c>
      <c r="O5621" s="4" t="s">
        <v>1325</v>
      </c>
      <c r="P5621" s="3" t="s">
        <v>1324</v>
      </c>
      <c r="Q5621" s="10" t="s">
        <v>1323</v>
      </c>
      <c r="R5621" s="4"/>
      <c r="S5621" s="9" t="str">
        <f>HYPERLINK("https://pbs.twimg.com/profile_images/1004377757177073665/t80o9yVp.jpg","View")</f>
        <v>View</v>
      </c>
    </row>
    <row r="5622" spans="1:19" ht="60">
      <c r="A5622" s="8">
        <v>43340.594247685185</v>
      </c>
      <c r="B5622" s="11" t="str">
        <f>HYPERLINK("https://twitter.com/Far_naz64","@Far_naz64")</f>
        <v>@Far_naz64</v>
      </c>
      <c r="C5622" s="6" t="s">
        <v>1322</v>
      </c>
      <c r="D5622" s="5" t="s">
        <v>1321</v>
      </c>
      <c r="E5622" s="9" t="str">
        <f>HYPERLINK("https://twitter.com/Far_naz64/status/1034376473451343872","1034376473451343872")</f>
        <v>1034376473451343872</v>
      </c>
      <c r="F5622" s="10" t="s">
        <v>1320</v>
      </c>
      <c r="G5622" s="4"/>
      <c r="H5622" s="4"/>
      <c r="I5622" s="10" t="str">
        <f>HYPERLINK("http://twitter.com/download/iphone","Twitter for iPhone")</f>
        <v>Twitter for iPhone</v>
      </c>
      <c r="J5622" s="2">
        <v>11756</v>
      </c>
      <c r="K5622" s="2">
        <v>8523</v>
      </c>
      <c r="L5622" s="2">
        <v>64</v>
      </c>
      <c r="M5622" s="2"/>
      <c r="N5622" s="8">
        <v>40598.671585648146</v>
      </c>
      <c r="O5622" s="4" t="s">
        <v>1319</v>
      </c>
      <c r="P5622" s="3" t="s">
        <v>1318</v>
      </c>
      <c r="Q5622" s="10" t="s">
        <v>1317</v>
      </c>
      <c r="R5622" s="4"/>
      <c r="S5622" s="9" t="str">
        <f>HYPERLINK("https://pbs.twimg.com/profile_images/1033840036318519298/u-0VPeXa.jpg","View")</f>
        <v>View</v>
      </c>
    </row>
    <row r="5623" spans="1:19" ht="30">
      <c r="A5623" s="8">
        <v>43340.594236111108</v>
      </c>
      <c r="B5623" s="11" t="str">
        <f>HYPERLINK("https://twitter.com/zoljenan","@zoljenan")</f>
        <v>@zoljenan</v>
      </c>
      <c r="C5623" s="6" t="s">
        <v>1133</v>
      </c>
      <c r="D5623" s="5" t="s">
        <v>1316</v>
      </c>
      <c r="E5623" s="9" t="str">
        <f>HYPERLINK("https://twitter.com/zoljenan/status/1034376468611166209","1034376468611166209")</f>
        <v>1034376468611166209</v>
      </c>
      <c r="F5623" s="4"/>
      <c r="G5623" s="4"/>
      <c r="H5623" s="4"/>
      <c r="I5623" s="10" t="str">
        <f>HYPERLINK("http://twitter.com","Twitter Web Client")</f>
        <v>Twitter Web Client</v>
      </c>
      <c r="J5623" s="2">
        <v>1144</v>
      </c>
      <c r="K5623" s="2">
        <v>1980</v>
      </c>
      <c r="L5623" s="2">
        <v>1</v>
      </c>
      <c r="M5623" s="2"/>
      <c r="N5623" s="8">
        <v>42967.879629629635</v>
      </c>
      <c r="O5623" s="4" t="s">
        <v>34</v>
      </c>
      <c r="P5623" s="3" t="s">
        <v>1131</v>
      </c>
      <c r="Q5623" s="10" t="s">
        <v>1130</v>
      </c>
      <c r="R5623" s="4"/>
      <c r="S5623" s="9" t="str">
        <f>HYPERLINK("https://pbs.twimg.com/profile_images/998224455548612608/hWM4fqeu.jpg","View")</f>
        <v>View</v>
      </c>
    </row>
    <row r="5624" spans="1:19" ht="40">
      <c r="A5624" s="8">
        <v>43340.594178240739</v>
      </c>
      <c r="B5624" s="11" t="str">
        <f>HYPERLINK("https://twitter.com/Alireza_pir","@Alireza_pir")</f>
        <v>@Alireza_pir</v>
      </c>
      <c r="C5624" s="6" t="s">
        <v>1315</v>
      </c>
      <c r="D5624" s="5" t="s">
        <v>1314</v>
      </c>
      <c r="E5624" s="9" t="str">
        <f>HYPERLINK("https://twitter.com/Alireza_pir/status/1034376448012898304","1034376448012898304")</f>
        <v>1034376448012898304</v>
      </c>
      <c r="F5624" s="4"/>
      <c r="G5624" s="4"/>
      <c r="H5624" s="4"/>
      <c r="I5624" s="10" t="str">
        <f>HYPERLINK("http://twitter.com/download/android","Twitter for Android")</f>
        <v>Twitter for Android</v>
      </c>
      <c r="J5624" s="2">
        <v>4</v>
      </c>
      <c r="K5624" s="2">
        <v>1</v>
      </c>
      <c r="L5624" s="2">
        <v>0</v>
      </c>
      <c r="M5624" s="2"/>
      <c r="N5624" s="8">
        <v>43088.832141203704</v>
      </c>
      <c r="O5624" s="4" t="s">
        <v>104</v>
      </c>
      <c r="P5624" s="3" t="s">
        <v>1313</v>
      </c>
      <c r="Q5624" s="10" t="s">
        <v>1312</v>
      </c>
      <c r="R5624" s="4"/>
      <c r="S5624" s="9" t="str">
        <f>HYPERLINK("https://pbs.twimg.com/profile_images/943157483064975360/-c_M3Tiy.jpg","View")</f>
        <v>View</v>
      </c>
    </row>
    <row r="5625" spans="1:19" ht="20">
      <c r="A5625" s="8">
        <v>43340.59412037037</v>
      </c>
      <c r="B5625" s="11" t="str">
        <f>HYPERLINK("https://twitter.com/mstfsaeedi","@mstfsaeedi")</f>
        <v>@mstfsaeedi</v>
      </c>
      <c r="C5625" s="6" t="s">
        <v>1311</v>
      </c>
      <c r="D5625" s="5" t="s">
        <v>1310</v>
      </c>
      <c r="E5625" s="9" t="str">
        <f>HYPERLINK("https://twitter.com/mstfsaeedi/status/1034376428224167937","1034376428224167937")</f>
        <v>1034376428224167937</v>
      </c>
      <c r="F5625" s="4"/>
      <c r="G5625" s="4"/>
      <c r="H5625" s="4"/>
      <c r="I5625" s="10" t="str">
        <f>HYPERLINK("http://twitter.com/download/android","Twitter for Android")</f>
        <v>Twitter for Android</v>
      </c>
      <c r="J5625" s="2">
        <v>131</v>
      </c>
      <c r="K5625" s="2">
        <v>264</v>
      </c>
      <c r="L5625" s="2">
        <v>1</v>
      </c>
      <c r="M5625" s="2"/>
      <c r="N5625" s="8">
        <v>43173.053263888884</v>
      </c>
      <c r="O5625" s="4" t="s">
        <v>34</v>
      </c>
      <c r="P5625" s="3"/>
      <c r="Q5625" s="4"/>
      <c r="R5625" s="4"/>
      <c r="S5625" s="9" t="str">
        <f>HYPERLINK("https://pbs.twimg.com/profile_images/986579831369461762/kQ72_1Fa.jpg","View")</f>
        <v>View</v>
      </c>
    </row>
    <row r="5626" spans="1:19" ht="40">
      <c r="A5626" s="8">
        <v>43340.593958333338</v>
      </c>
      <c r="B5626" s="11" t="str">
        <f>HYPERLINK("https://twitter.com/sabeti_twt","@sabeti_twt")</f>
        <v>@sabeti_twt</v>
      </c>
      <c r="C5626" s="6" t="s">
        <v>1309</v>
      </c>
      <c r="D5626" s="5" t="s">
        <v>1308</v>
      </c>
      <c r="E5626" s="9" t="str">
        <f>HYPERLINK("https://twitter.com/sabeti_twt/status/1034376365993275392","1034376365993275392")</f>
        <v>1034376365993275392</v>
      </c>
      <c r="F5626" s="4"/>
      <c r="G5626" s="4"/>
      <c r="H5626" s="4"/>
      <c r="I5626" s="10" t="str">
        <f>HYPERLINK("http://twitter.com/download/android","Twitter for Android")</f>
        <v>Twitter for Android</v>
      </c>
      <c r="J5626" s="2">
        <v>19230</v>
      </c>
      <c r="K5626" s="2">
        <v>199</v>
      </c>
      <c r="L5626" s="2">
        <v>102</v>
      </c>
      <c r="M5626" s="2"/>
      <c r="N5626" s="8">
        <v>42708.790023148147</v>
      </c>
      <c r="O5626" s="4" t="s">
        <v>104</v>
      </c>
      <c r="P5626" s="3" t="s">
        <v>1307</v>
      </c>
      <c r="Q5626" s="10" t="s">
        <v>1306</v>
      </c>
      <c r="R5626" s="4"/>
      <c r="S5626" s="9" t="str">
        <f>HYPERLINK("https://pbs.twimg.com/profile_images/992804516050423809/unqV-Hrp.jpg","View")</f>
        <v>View</v>
      </c>
    </row>
    <row r="5627" spans="1:19" ht="20">
      <c r="A5627" s="8">
        <v>43340.593923611115</v>
      </c>
      <c r="B5627" s="11" t="str">
        <f>HYPERLINK("https://twitter.com/MKArcher98","@MKArcher98")</f>
        <v>@MKArcher98</v>
      </c>
      <c r="C5627" s="6" t="s">
        <v>1243</v>
      </c>
      <c r="D5627" s="5" t="s">
        <v>1305</v>
      </c>
      <c r="E5627" s="9" t="str">
        <f>HYPERLINK("https://twitter.com/MKArcher98/status/1034376356350619648","1034376356350619648")</f>
        <v>1034376356350619648</v>
      </c>
      <c r="F5627" s="4"/>
      <c r="G5627" s="4"/>
      <c r="H5627" s="4"/>
      <c r="I5627" s="10" t="str">
        <f>HYPERLINK("http://twitter.com/download/android","Twitter for Android")</f>
        <v>Twitter for Android</v>
      </c>
      <c r="J5627" s="2">
        <v>941</v>
      </c>
      <c r="K5627" s="2">
        <v>654</v>
      </c>
      <c r="L5627" s="2">
        <v>3</v>
      </c>
      <c r="M5627" s="2"/>
      <c r="N5627" s="8">
        <v>42531.65115740741</v>
      </c>
      <c r="O5627" s="4" t="s">
        <v>1241</v>
      </c>
      <c r="P5627" s="3" t="s">
        <v>1240</v>
      </c>
      <c r="Q5627" s="10" t="s">
        <v>1239</v>
      </c>
      <c r="R5627" s="4"/>
      <c r="S5627" s="9" t="str">
        <f>HYPERLINK("https://pbs.twimg.com/profile_images/982246888031141888/J-rCC8oG.jpg","View")</f>
        <v>View</v>
      </c>
    </row>
    <row r="5628" spans="1:19" ht="30">
      <c r="A5628" s="8">
        <v>43340.593912037039</v>
      </c>
      <c r="B5628" s="11" t="str">
        <f>HYPERLINK("https://twitter.com/President_bakh","@President_bakh")</f>
        <v>@President_bakh</v>
      </c>
      <c r="C5628" s="6" t="s">
        <v>1304</v>
      </c>
      <c r="D5628" s="5" t="s">
        <v>1303</v>
      </c>
      <c r="E5628" s="9" t="str">
        <f>HYPERLINK("https://twitter.com/President_bakh/status/1034376351866920960","1034376351866920960")</f>
        <v>1034376351866920960</v>
      </c>
      <c r="F5628" s="4"/>
      <c r="G5628" s="10" t="s">
        <v>1302</v>
      </c>
      <c r="H5628" s="4"/>
      <c r="I5628" s="10" t="str">
        <f>HYPERLINK("http://twitter.com/download/android","Twitter for Android")</f>
        <v>Twitter for Android</v>
      </c>
      <c r="J5628" s="2">
        <v>5656</v>
      </c>
      <c r="K5628" s="2">
        <v>5904</v>
      </c>
      <c r="L5628" s="2">
        <v>10</v>
      </c>
      <c r="M5628" s="2"/>
      <c r="N5628" s="8">
        <v>42740.447025462963</v>
      </c>
      <c r="O5628" s="4" t="s">
        <v>1301</v>
      </c>
      <c r="P5628" s="3" t="s">
        <v>1300</v>
      </c>
      <c r="Q5628" s="4"/>
      <c r="R5628" s="4"/>
      <c r="S5628" s="9" t="str">
        <f>HYPERLINK("https://pbs.twimg.com/profile_images/1022158380377493504/Q5RnCHuK.jpg","View")</f>
        <v>View</v>
      </c>
    </row>
    <row r="5629" spans="1:19" ht="12.5">
      <c r="A5629" s="8">
        <v>43340.59376157407</v>
      </c>
      <c r="B5629" s="11" t="str">
        <f>HYPERLINK("https://twitter.com/makavelistik","@makavelistik")</f>
        <v>@makavelistik</v>
      </c>
      <c r="C5629" s="6" t="s">
        <v>1299</v>
      </c>
      <c r="D5629" s="5" t="s">
        <v>1298</v>
      </c>
      <c r="E5629" s="9" t="str">
        <f>HYPERLINK("https://twitter.com/makavelistik/status/1034376295780634624","1034376295780634624")</f>
        <v>1034376295780634624</v>
      </c>
      <c r="F5629" s="4"/>
      <c r="G5629" s="10" t="s">
        <v>1297</v>
      </c>
      <c r="H5629" s="4"/>
      <c r="I5629" s="10" t="str">
        <f>HYPERLINK("http://twitter.com/download/android","Twitter for Android")</f>
        <v>Twitter for Android</v>
      </c>
      <c r="J5629" s="2">
        <v>2</v>
      </c>
      <c r="K5629" s="2">
        <v>3</v>
      </c>
      <c r="L5629" s="2">
        <v>0</v>
      </c>
      <c r="M5629" s="2"/>
      <c r="N5629" s="8">
        <v>43302.925115740742</v>
      </c>
      <c r="O5629" s="4"/>
      <c r="P5629" s="3" t="s">
        <v>1296</v>
      </c>
      <c r="Q5629" s="4"/>
      <c r="R5629" s="4"/>
      <c r="S5629" s="9" t="str">
        <f>HYPERLINK("https://pbs.twimg.com/profile_images/1020735357304868865/qtLNjXw1.jpg","View")</f>
        <v>View</v>
      </c>
    </row>
    <row r="5630" spans="1:19" ht="30">
      <c r="A5630" s="8">
        <v>43340.59373842593</v>
      </c>
      <c r="B5630" s="11" t="str">
        <f>HYPERLINK("https://twitter.com/rahimi_hastam","@rahimi_hastam")</f>
        <v>@rahimi_hastam</v>
      </c>
      <c r="C5630" s="6" t="s">
        <v>1295</v>
      </c>
      <c r="D5630" s="5" t="s">
        <v>1294</v>
      </c>
      <c r="E5630" s="9" t="str">
        <f>HYPERLINK("https://twitter.com/rahimi_hastam/status/1034376287840886784","1034376287840886784")</f>
        <v>1034376287840886784</v>
      </c>
      <c r="F5630" s="4"/>
      <c r="G5630" s="10" t="s">
        <v>1293</v>
      </c>
      <c r="H5630" s="4"/>
      <c r="I5630" s="10" t="str">
        <f>HYPERLINK("http://twitter.com/download/android","Twitter for Android")</f>
        <v>Twitter for Android</v>
      </c>
      <c r="J5630" s="2">
        <v>505</v>
      </c>
      <c r="K5630" s="2">
        <v>1384</v>
      </c>
      <c r="L5630" s="2">
        <v>0</v>
      </c>
      <c r="M5630" s="2"/>
      <c r="N5630" s="8">
        <v>43204.437337962961</v>
      </c>
      <c r="O5630" s="4" t="s">
        <v>104</v>
      </c>
      <c r="P5630" s="3" t="s">
        <v>1292</v>
      </c>
      <c r="Q5630" s="4"/>
      <c r="R5630" s="4"/>
      <c r="S5630" s="9" t="str">
        <f>HYPERLINK("https://pbs.twimg.com/profile_images/1032575473132482561/Qf6TCt9-.jpg","View")</f>
        <v>View</v>
      </c>
    </row>
    <row r="5631" spans="1:19" ht="12.5">
      <c r="A5631" s="8">
        <v>43340.593576388885</v>
      </c>
      <c r="B5631" s="11" t="str">
        <f>HYPERLINK("https://twitter.com/johnunlockk","@johnunlockk")</f>
        <v>@johnunlockk</v>
      </c>
      <c r="C5631" s="6" t="s">
        <v>1291</v>
      </c>
      <c r="D5631" s="5" t="s">
        <v>1290</v>
      </c>
      <c r="E5631" s="9" t="str">
        <f>HYPERLINK("https://twitter.com/johnunlockk/status/1034376229162500096","1034376229162500096")</f>
        <v>1034376229162500096</v>
      </c>
      <c r="F5631" s="4"/>
      <c r="G5631" s="4"/>
      <c r="H5631" s="4"/>
      <c r="I5631" s="10" t="str">
        <f>HYPERLINK("http://twitter.com/download/android","Twitter for Android")</f>
        <v>Twitter for Android</v>
      </c>
      <c r="J5631" s="2">
        <v>62</v>
      </c>
      <c r="K5631" s="2">
        <v>138</v>
      </c>
      <c r="L5631" s="2">
        <v>0</v>
      </c>
      <c r="M5631" s="2"/>
      <c r="N5631" s="8">
        <v>43258.825254629628</v>
      </c>
      <c r="O5631" s="4"/>
      <c r="P5631" s="3"/>
      <c r="Q5631" s="4"/>
      <c r="R5631" s="4"/>
      <c r="S5631" s="9" t="str">
        <f>HYPERLINK("https://pbs.twimg.com/profile_images/1004779158084321280/vPdlEx4b.jpg","View")</f>
        <v>View</v>
      </c>
    </row>
    <row r="5632" spans="1:19" ht="30">
      <c r="A5632" s="8">
        <v>43340.593495370369</v>
      </c>
      <c r="B5632" s="11" t="str">
        <f>HYPERLINK("https://twitter.com/ShahrivarDokht","@ShahrivarDokht")</f>
        <v>@ShahrivarDokht</v>
      </c>
      <c r="C5632" s="6" t="s">
        <v>1096</v>
      </c>
      <c r="D5632" s="5" t="s">
        <v>1289</v>
      </c>
      <c r="E5632" s="9" t="str">
        <f>HYPERLINK("https://twitter.com/ShahrivarDokht/status/1034376199269691392","1034376199269691392")</f>
        <v>1034376199269691392</v>
      </c>
      <c r="F5632" s="4"/>
      <c r="G5632" s="4"/>
      <c r="H5632" s="4"/>
      <c r="I5632" s="10" t="str">
        <f>HYPERLINK("http://twitter.com/download/android","Twitter for Android")</f>
        <v>Twitter for Android</v>
      </c>
      <c r="J5632" s="2">
        <v>2826</v>
      </c>
      <c r="K5632" s="2">
        <v>2932</v>
      </c>
      <c r="L5632" s="2">
        <v>4</v>
      </c>
      <c r="M5632" s="2"/>
      <c r="N5632" s="8">
        <v>43232.907650462963</v>
      </c>
      <c r="O5632" s="4" t="s">
        <v>17</v>
      </c>
      <c r="P5632" s="3" t="s">
        <v>1094</v>
      </c>
      <c r="Q5632" s="4"/>
      <c r="R5632" s="4"/>
      <c r="S5632" s="9" t="str">
        <f>HYPERLINK("https://pbs.twimg.com/profile_images/1009806470165225472/0jnAt4qJ.jpg","View")</f>
        <v>View</v>
      </c>
    </row>
    <row r="5633" spans="1:19" ht="40">
      <c r="A5633" s="8">
        <v>43340.593495370369</v>
      </c>
      <c r="B5633" s="11" t="str">
        <f>HYPERLINK("https://twitter.com/SaeedAganji","@SaeedAganji")</f>
        <v>@SaeedAganji</v>
      </c>
      <c r="C5633" s="6" t="s">
        <v>1288</v>
      </c>
      <c r="D5633" s="5" t="s">
        <v>1287</v>
      </c>
      <c r="E5633" s="9" t="str">
        <f>HYPERLINK("https://twitter.com/SaeedAganji/status/1034376198627966976","1034376198627966976")</f>
        <v>1034376198627966976</v>
      </c>
      <c r="F5633" s="4"/>
      <c r="G5633" s="4"/>
      <c r="H5633" s="4"/>
      <c r="I5633" s="10" t="str">
        <f>HYPERLINK("http://twitter.com/download/android","Twitter for Android")</f>
        <v>Twitter for Android</v>
      </c>
      <c r="J5633" s="2">
        <v>824</v>
      </c>
      <c r="K5633" s="2">
        <v>920</v>
      </c>
      <c r="L5633" s="2">
        <v>8</v>
      </c>
      <c r="M5633" s="2"/>
      <c r="N5633" s="8">
        <v>40720.87877314815</v>
      </c>
      <c r="O5633" s="4" t="s">
        <v>1286</v>
      </c>
      <c r="P5633" s="3" t="s">
        <v>1285</v>
      </c>
      <c r="Q5633" s="4"/>
      <c r="R5633" s="4"/>
      <c r="S5633" s="9" t="str">
        <f>HYPERLINK("https://pbs.twimg.com/profile_images/807996199760490497/b10LUFfD.jpg","View")</f>
        <v>View</v>
      </c>
    </row>
    <row r="5634" spans="1:19" ht="40">
      <c r="A5634" s="8">
        <v>43340.593449074076</v>
      </c>
      <c r="B5634" s="11" t="str">
        <f>HYPERLINK("https://twitter.com/AliNasri90","@AliNasri90")</f>
        <v>@AliNasri90</v>
      </c>
      <c r="C5634" s="6" t="s">
        <v>1284</v>
      </c>
      <c r="D5634" s="5" t="s">
        <v>1283</v>
      </c>
      <c r="E5634" s="9" t="str">
        <f>HYPERLINK("https://twitter.com/AliNasri90/status/1034376184799354880","1034376184799354880")</f>
        <v>1034376184799354880</v>
      </c>
      <c r="F5634" s="4"/>
      <c r="G5634" s="4"/>
      <c r="H5634" s="4"/>
      <c r="I5634" s="10" t="str">
        <f>HYPERLINK("http://twitter.com","Twitter Web Client")</f>
        <v>Twitter Web Client</v>
      </c>
      <c r="J5634" s="2">
        <v>1768</v>
      </c>
      <c r="K5634" s="2">
        <v>256</v>
      </c>
      <c r="L5634" s="2">
        <v>8</v>
      </c>
      <c r="M5634" s="2"/>
      <c r="N5634" s="8">
        <v>42215.441759259258</v>
      </c>
      <c r="O5634" s="4" t="s">
        <v>34</v>
      </c>
      <c r="P5634" s="3"/>
      <c r="Q5634" s="10" t="s">
        <v>1282</v>
      </c>
      <c r="R5634" s="4"/>
      <c r="S5634" s="9" t="str">
        <f>HYPERLINK("https://pbs.twimg.com/profile_images/1024348736510676992/ZSRwcwXQ.jpg","View")</f>
        <v>View</v>
      </c>
    </row>
    <row r="5635" spans="1:19" ht="12.5">
      <c r="A5635" s="8">
        <v>43340.593402777777</v>
      </c>
      <c r="B5635" s="11" t="str">
        <f>HYPERLINK("https://twitter.com/ehsansohrabi_","@ehsansohrabi_")</f>
        <v>@ehsansohrabi_</v>
      </c>
      <c r="C5635" s="6" t="s">
        <v>1281</v>
      </c>
      <c r="D5635" s="5" t="s">
        <v>1280</v>
      </c>
      <c r="E5635" s="9" t="str">
        <f>HYPERLINK("https://twitter.com/ehsansohrabi_/status/1034376167128743936","1034376167128743936")</f>
        <v>1034376167128743936</v>
      </c>
      <c r="F5635" s="4"/>
      <c r="G5635" s="10" t="s">
        <v>1279</v>
      </c>
      <c r="H5635" s="4"/>
      <c r="I5635" s="10" t="str">
        <f>HYPERLINK("http://twitter.com/download/android","Twitter for Android")</f>
        <v>Twitter for Android</v>
      </c>
      <c r="J5635" s="2">
        <v>71</v>
      </c>
      <c r="K5635" s="2">
        <v>109</v>
      </c>
      <c r="L5635" s="2">
        <v>1</v>
      </c>
      <c r="M5635" s="2"/>
      <c r="N5635" s="8">
        <v>43291.508217592593</v>
      </c>
      <c r="O5635" s="4" t="s">
        <v>1278</v>
      </c>
      <c r="P5635" s="3" t="s">
        <v>1277</v>
      </c>
      <c r="Q5635" s="4"/>
      <c r="R5635" s="4"/>
      <c r="S5635" s="9" t="str">
        <f>HYPERLINK("https://pbs.twimg.com/profile_images/1033261883808202752/kWeS-q-n.jpg","View")</f>
        <v>View</v>
      </c>
    </row>
    <row r="5636" spans="1:19" ht="30">
      <c r="A5636" s="8">
        <v>43340.593275462961</v>
      </c>
      <c r="B5636" s="11" t="str">
        <f>HYPERLINK("https://twitter.com/nikrunews","@nikrunews")</f>
        <v>@nikrunews</v>
      </c>
      <c r="C5636" s="6" t="s">
        <v>1165</v>
      </c>
      <c r="D5636" s="5" t="s">
        <v>1276</v>
      </c>
      <c r="E5636" s="9" t="str">
        <f>HYPERLINK("https://twitter.com/nikrunews/status/1034376121867882502","1034376121867882502")</f>
        <v>1034376121867882502</v>
      </c>
      <c r="F5636" s="10" t="s">
        <v>1275</v>
      </c>
      <c r="G5636" s="10" t="s">
        <v>1274</v>
      </c>
      <c r="H5636" s="4"/>
      <c r="I5636" s="10" t="str">
        <f>HYPERLINK("http://twitter.com","Twitter Web Client")</f>
        <v>Twitter Web Client</v>
      </c>
      <c r="J5636" s="2">
        <v>241</v>
      </c>
      <c r="K5636" s="2">
        <v>4940</v>
      </c>
      <c r="L5636" s="2">
        <v>0</v>
      </c>
      <c r="M5636" s="2"/>
      <c r="N5636" s="8">
        <v>43149.612453703703</v>
      </c>
      <c r="O5636" s="4" t="s">
        <v>17</v>
      </c>
      <c r="P5636" s="3" t="s">
        <v>1161</v>
      </c>
      <c r="Q5636" s="10" t="s">
        <v>1160</v>
      </c>
      <c r="R5636" s="4"/>
      <c r="S5636" s="9" t="str">
        <f>HYPERLINK("https://pbs.twimg.com/profile_images/965182972071735296/RtR-H9md.jpg","View")</f>
        <v>View</v>
      </c>
    </row>
    <row r="5637" spans="1:19" ht="30">
      <c r="A5637" s="8">
        <v>43340.593240740738</v>
      </c>
      <c r="B5637" s="11" t="str">
        <f>HYPERLINK("https://twitter.com/zoljenan","@zoljenan")</f>
        <v>@zoljenan</v>
      </c>
      <c r="C5637" s="6" t="s">
        <v>1133</v>
      </c>
      <c r="D5637" s="5" t="s">
        <v>1273</v>
      </c>
      <c r="E5637" s="9" t="str">
        <f>HYPERLINK("https://twitter.com/zoljenan/status/1034376107322208256","1034376107322208256")</f>
        <v>1034376107322208256</v>
      </c>
      <c r="F5637" s="4"/>
      <c r="G5637" s="4"/>
      <c r="H5637" s="4"/>
      <c r="I5637" s="10" t="str">
        <f>HYPERLINK("http://twitter.com","Twitter Web Client")</f>
        <v>Twitter Web Client</v>
      </c>
      <c r="J5637" s="2">
        <v>1144</v>
      </c>
      <c r="K5637" s="2">
        <v>1980</v>
      </c>
      <c r="L5637" s="2">
        <v>1</v>
      </c>
      <c r="M5637" s="2"/>
      <c r="N5637" s="8">
        <v>42967.879629629635</v>
      </c>
      <c r="O5637" s="4" t="s">
        <v>34</v>
      </c>
      <c r="P5637" s="3" t="s">
        <v>1131</v>
      </c>
      <c r="Q5637" s="10" t="s">
        <v>1130</v>
      </c>
      <c r="R5637" s="4"/>
      <c r="S5637" s="9" t="str">
        <f>HYPERLINK("https://pbs.twimg.com/profile_images/998224455548612608/hWM4fqeu.jpg","View")</f>
        <v>View</v>
      </c>
    </row>
    <row r="5638" spans="1:19" ht="30">
      <c r="A5638" s="8">
        <v>43340.593217592592</v>
      </c>
      <c r="B5638" s="11" t="str">
        <f>HYPERLINK("https://twitter.com/AtomicBelonde","@AtomicBelonde")</f>
        <v>@AtomicBelonde</v>
      </c>
      <c r="C5638" s="6" t="s">
        <v>943</v>
      </c>
      <c r="D5638" s="5" t="s">
        <v>1272</v>
      </c>
      <c r="E5638" s="9" t="str">
        <f>HYPERLINK("https://twitter.com/AtomicBelonde/status/1034376099558576128","1034376099558576128")</f>
        <v>1034376099558576128</v>
      </c>
      <c r="F5638" s="4"/>
      <c r="G5638" s="4"/>
      <c r="H5638" s="4"/>
      <c r="I5638" s="10" t="str">
        <f>HYPERLINK("http://twitter.com/download/iphone","Twitter for iPhone")</f>
        <v>Twitter for iPhone</v>
      </c>
      <c r="J5638" s="2">
        <v>986</v>
      </c>
      <c r="K5638" s="2">
        <v>442</v>
      </c>
      <c r="L5638" s="2">
        <v>5</v>
      </c>
      <c r="M5638" s="2"/>
      <c r="N5638" s="8">
        <v>43282.61215277778</v>
      </c>
      <c r="O5638" s="4" t="s">
        <v>940</v>
      </c>
      <c r="P5638" s="3" t="s">
        <v>1271</v>
      </c>
      <c r="Q5638" s="4"/>
      <c r="R5638" s="4"/>
      <c r="S5638" s="9" t="str">
        <f>HYPERLINK("https://pbs.twimg.com/profile_images/1022535772535173120/Mry5G8d3.jpg","View")</f>
        <v>View</v>
      </c>
    </row>
    <row r="5639" spans="1:19" ht="20">
      <c r="A5639" s="8">
        <v>43340.593194444446</v>
      </c>
      <c r="B5639" s="11" t="str">
        <f>HYPERLINK("https://twitter.com/zahra_abed64","@zahra_abed64")</f>
        <v>@zahra_abed64</v>
      </c>
      <c r="C5639" s="6" t="s">
        <v>1270</v>
      </c>
      <c r="D5639" s="5" t="s">
        <v>1269</v>
      </c>
      <c r="E5639" s="9" t="str">
        <f>HYPERLINK("https://twitter.com/zahra_abed64/status/1034376089638821889","1034376089638821889")</f>
        <v>1034376089638821889</v>
      </c>
      <c r="F5639" s="4"/>
      <c r="G5639" s="4"/>
      <c r="H5639" s="4"/>
      <c r="I5639" s="10" t="str">
        <f>HYPERLINK("http://twitter.com/download/android","Twitter for Android")</f>
        <v>Twitter for Android</v>
      </c>
      <c r="J5639" s="2">
        <v>883</v>
      </c>
      <c r="K5639" s="2">
        <v>496</v>
      </c>
      <c r="L5639" s="2">
        <v>2</v>
      </c>
      <c r="M5639" s="2"/>
      <c r="N5639" s="8">
        <v>43186.071134259255</v>
      </c>
      <c r="O5639" s="4" t="s">
        <v>17</v>
      </c>
      <c r="P5639" s="3" t="s">
        <v>1268</v>
      </c>
      <c r="Q5639" s="4"/>
      <c r="R5639" s="4"/>
      <c r="S5639" s="9" t="str">
        <f>HYPERLINK("https://pbs.twimg.com/profile_images/993238470272409600/jfGrfLij.jpg","View")</f>
        <v>View</v>
      </c>
    </row>
    <row r="5640" spans="1:19" ht="20">
      <c r="A5640" s="8">
        <v>43340.592847222222</v>
      </c>
      <c r="B5640" s="11" t="str">
        <f>HYPERLINK("https://twitter.com/mr_banafsh","@mr_banafsh")</f>
        <v>@mr_banafsh</v>
      </c>
      <c r="C5640" s="6" t="s">
        <v>1267</v>
      </c>
      <c r="D5640" s="5" t="s">
        <v>1266</v>
      </c>
      <c r="E5640" s="9" t="str">
        <f>HYPERLINK("https://twitter.com/mr_banafsh/status/1034375967110782981","1034375967110782981")</f>
        <v>1034375967110782981</v>
      </c>
      <c r="F5640" s="4"/>
      <c r="G5640" s="4"/>
      <c r="H5640" s="4"/>
      <c r="I5640" s="10" t="str">
        <f>HYPERLINK("http://twitter.com","Twitter Web Client")</f>
        <v>Twitter Web Client</v>
      </c>
      <c r="J5640" s="2">
        <v>1268</v>
      </c>
      <c r="K5640" s="2">
        <v>135</v>
      </c>
      <c r="L5640" s="2">
        <v>17</v>
      </c>
      <c r="M5640" s="2"/>
      <c r="N5640" s="8">
        <v>41550.757592592592</v>
      </c>
      <c r="O5640" s="4"/>
      <c r="P5640" s="3" t="s">
        <v>1265</v>
      </c>
      <c r="Q5640" s="4"/>
      <c r="R5640" s="4"/>
      <c r="S5640" s="9" t="str">
        <f>HYPERLINK("https://pbs.twimg.com/profile_images/1031662037036875777/UsE92XAi.jpg","View")</f>
        <v>View</v>
      </c>
    </row>
    <row r="5641" spans="1:19" ht="20">
      <c r="A5641" s="8">
        <v>43340.592789351853</v>
      </c>
      <c r="B5641" s="11" t="str">
        <f>HYPERLINK("https://twitter.com/aligatoor14","@aligatoor14")</f>
        <v>@aligatoor14</v>
      </c>
      <c r="C5641" s="6" t="s">
        <v>1154</v>
      </c>
      <c r="D5641" s="5" t="s">
        <v>1264</v>
      </c>
      <c r="E5641" s="9" t="str">
        <f>HYPERLINK("https://twitter.com/aligatoor14/status/1034375946139250695","1034375946139250695")</f>
        <v>1034375946139250695</v>
      </c>
      <c r="F5641" s="4"/>
      <c r="G5641" s="4"/>
      <c r="H5641" s="4"/>
      <c r="I5641" s="10" t="str">
        <f>HYPERLINK("http://twitter.com","Twitter Web Client")</f>
        <v>Twitter Web Client</v>
      </c>
      <c r="J5641" s="2">
        <v>976</v>
      </c>
      <c r="K5641" s="2">
        <v>1007</v>
      </c>
      <c r="L5641" s="2">
        <v>1</v>
      </c>
      <c r="M5641" s="2"/>
      <c r="N5641" s="8">
        <v>43198.968298611115</v>
      </c>
      <c r="O5641" s="4"/>
      <c r="P5641" s="3" t="s">
        <v>1152</v>
      </c>
      <c r="Q5641" s="4"/>
      <c r="R5641" s="4"/>
      <c r="S5641" s="9" t="str">
        <f>HYPERLINK("https://pbs.twimg.com/profile_images/1006943530068185088/peDH8GZ7.jpg","View")</f>
        <v>View</v>
      </c>
    </row>
    <row r="5642" spans="1:19" ht="40">
      <c r="A5642" s="8">
        <v>43340.592789351853</v>
      </c>
      <c r="B5642" s="11" t="str">
        <f>HYPERLINK("https://twitter.com/paragraph1364","@paragraph1364")</f>
        <v>@paragraph1364</v>
      </c>
      <c r="C5642" s="6" t="s">
        <v>865</v>
      </c>
      <c r="D5642" s="5" t="s">
        <v>1263</v>
      </c>
      <c r="E5642" s="9" t="str">
        <f>HYPERLINK("https://twitter.com/paragraph1364/status/1034375943693983744","1034375943693983744")</f>
        <v>1034375943693983744</v>
      </c>
      <c r="F5642" s="10" t="s">
        <v>1262</v>
      </c>
      <c r="G5642" s="4"/>
      <c r="H5642" s="4"/>
      <c r="I5642" s="10" t="str">
        <f>HYPERLINK("https://ifttt.com","IFTTT")</f>
        <v>IFTTT</v>
      </c>
      <c r="J5642" s="2">
        <v>117</v>
      </c>
      <c r="K5642" s="2">
        <v>494</v>
      </c>
      <c r="L5642" s="2">
        <v>0</v>
      </c>
      <c r="M5642" s="2"/>
      <c r="N5642" s="8">
        <v>42852.009131944447</v>
      </c>
      <c r="O5642" s="4"/>
      <c r="P5642" s="3"/>
      <c r="Q5642" s="4"/>
      <c r="R5642" s="4"/>
      <c r="S5642" s="9" t="str">
        <f>HYPERLINK("https://pbs.twimg.com/profile_images/1016991790635728896/sLi7JGEx.jpg","View")</f>
        <v>View</v>
      </c>
    </row>
    <row r="5643" spans="1:19" ht="40">
      <c r="A5643" s="8">
        <v>43340.592708333337</v>
      </c>
      <c r="B5643" s="11" t="str">
        <f>HYPERLINK("https://twitter.com/mojtaba_shah","@mojtaba_shah")</f>
        <v>@mojtaba_shah</v>
      </c>
      <c r="C5643" s="6" t="s">
        <v>1261</v>
      </c>
      <c r="D5643" s="5" t="s">
        <v>1260</v>
      </c>
      <c r="E5643" s="9" t="str">
        <f>HYPERLINK("https://twitter.com/mojtaba_shah/status/1034375914577125376","1034375914577125376")</f>
        <v>1034375914577125376</v>
      </c>
      <c r="F5643" s="4"/>
      <c r="G5643" s="4"/>
      <c r="H5643" s="4"/>
      <c r="I5643" s="10" t="str">
        <f>HYPERLINK("http://twitter.com/download/android","Twitter for Android")</f>
        <v>Twitter for Android</v>
      </c>
      <c r="J5643" s="2">
        <v>1749</v>
      </c>
      <c r="K5643" s="2">
        <v>4950</v>
      </c>
      <c r="L5643" s="2">
        <v>6</v>
      </c>
      <c r="M5643" s="2"/>
      <c r="N5643" s="8">
        <v>43014.747118055559</v>
      </c>
      <c r="O5643" s="4" t="s">
        <v>1259</v>
      </c>
      <c r="P5643" s="3" t="s">
        <v>1258</v>
      </c>
      <c r="Q5643" s="4"/>
      <c r="R5643" s="4"/>
      <c r="S5643" s="9" t="str">
        <f>HYPERLINK("https://pbs.twimg.com/profile_images/916510980024274944/YHkVPg8R.jpg","View")</f>
        <v>View</v>
      </c>
    </row>
    <row r="5644" spans="1:19" ht="20">
      <c r="A5644" s="8">
        <v>43340.592581018514</v>
      </c>
      <c r="B5644" s="11" t="str">
        <f>HYPERLINK("https://twitter.com/h_abdolmanafi","@h_abdolmanafi")</f>
        <v>@h_abdolmanafi</v>
      </c>
      <c r="C5644" s="6" t="s">
        <v>1257</v>
      </c>
      <c r="D5644" s="5" t="s">
        <v>1256</v>
      </c>
      <c r="E5644" s="9" t="str">
        <f>HYPERLINK("https://twitter.com/h_abdolmanafi/status/1034375867340926977","1034375867340926977")</f>
        <v>1034375867340926977</v>
      </c>
      <c r="F5644" s="4"/>
      <c r="G5644" s="4"/>
      <c r="H5644" s="4"/>
      <c r="I5644" s="10" t="str">
        <f>HYPERLINK("http://twitter.com/download/android","Twitter for Android")</f>
        <v>Twitter for Android</v>
      </c>
      <c r="J5644" s="2">
        <v>2326</v>
      </c>
      <c r="K5644" s="2">
        <v>0</v>
      </c>
      <c r="L5644" s="2">
        <v>9</v>
      </c>
      <c r="M5644" s="2"/>
      <c r="N5644" s="8">
        <v>42744.643518518518</v>
      </c>
      <c r="O5644" s="4" t="s">
        <v>17</v>
      </c>
      <c r="P5644" s="3" t="s">
        <v>1255</v>
      </c>
      <c r="Q5644" s="4"/>
      <c r="R5644" s="4"/>
      <c r="S5644" s="9" t="str">
        <f>HYPERLINK("https://pbs.twimg.com/profile_images/1034273035132563458/5cIwQ75C.jpg","View")</f>
        <v>View</v>
      </c>
    </row>
    <row r="5645" spans="1:19" ht="30">
      <c r="A5645" s="8">
        <v>43340.592418981483</v>
      </c>
      <c r="B5645" s="11" t="str">
        <f>HYPERLINK("https://twitter.com/shahrokherfani1","@shahrokherfani1")</f>
        <v>@shahrokherfani1</v>
      </c>
      <c r="C5645" s="6" t="s">
        <v>1254</v>
      </c>
      <c r="D5645" s="5" t="s">
        <v>1253</v>
      </c>
      <c r="E5645" s="9" t="str">
        <f>HYPERLINK("https://twitter.com/shahrokherfani1/status/1034375809765650432","1034375809765650432")</f>
        <v>1034375809765650432</v>
      </c>
      <c r="F5645" s="4"/>
      <c r="G5645" s="4"/>
      <c r="H5645" s="4"/>
      <c r="I5645" s="10" t="str">
        <f>HYPERLINK("http://twitter.com/download/android","Twitter for Android")</f>
        <v>Twitter for Android</v>
      </c>
      <c r="J5645" s="2">
        <v>3201</v>
      </c>
      <c r="K5645" s="2">
        <v>1893</v>
      </c>
      <c r="L5645" s="2">
        <v>4</v>
      </c>
      <c r="M5645" s="2"/>
      <c r="N5645" s="8">
        <v>42861.492835648147</v>
      </c>
      <c r="O5645" s="4" t="s">
        <v>1252</v>
      </c>
      <c r="P5645" s="3" t="s">
        <v>1251</v>
      </c>
      <c r="Q5645" s="4"/>
      <c r="R5645" s="4"/>
      <c r="S5645" s="9" t="str">
        <f>HYPERLINK("https://pbs.twimg.com/profile_images/1019116936460951553/3cdGI451.jpg","View")</f>
        <v>View</v>
      </c>
    </row>
    <row r="5646" spans="1:19" ht="20">
      <c r="A5646" s="8">
        <v>43340.59238425926</v>
      </c>
      <c r="B5646" s="11" t="str">
        <f>HYPERLINK("https://twitter.com/ef_sadat","@ef_sadat")</f>
        <v>@ef_sadat</v>
      </c>
      <c r="C5646" s="6" t="s">
        <v>1250</v>
      </c>
      <c r="D5646" s="5" t="s">
        <v>1249</v>
      </c>
      <c r="E5646" s="9" t="str">
        <f>HYPERLINK("https://twitter.com/ef_sadat/status/1034375798638211072","1034375798638211072")</f>
        <v>1034375798638211072</v>
      </c>
      <c r="F5646" s="4"/>
      <c r="G5646" s="4"/>
      <c r="H5646" s="4"/>
      <c r="I5646" s="10" t="str">
        <f>HYPERLINK("http://twitter.com/download/android","Twitter for Android")</f>
        <v>Twitter for Android</v>
      </c>
      <c r="J5646" s="2">
        <v>192</v>
      </c>
      <c r="K5646" s="2">
        <v>54</v>
      </c>
      <c r="L5646" s="2">
        <v>0</v>
      </c>
      <c r="M5646" s="2"/>
      <c r="N5646" s="8">
        <v>42733.615277777775</v>
      </c>
      <c r="O5646" s="4" t="s">
        <v>1248</v>
      </c>
      <c r="P5646" s="3" t="s">
        <v>1247</v>
      </c>
      <c r="Q5646" s="10" t="s">
        <v>1246</v>
      </c>
      <c r="R5646" s="4"/>
      <c r="S5646" s="9" t="str">
        <f>HYPERLINK("https://pbs.twimg.com/profile_images/1001711129050144770/gg2RwXTy.jpg","View")</f>
        <v>View</v>
      </c>
    </row>
    <row r="5647" spans="1:19" ht="40">
      <c r="A5647" s="8">
        <v>43340.592175925922</v>
      </c>
      <c r="B5647" s="11" t="str">
        <f>HYPERLINK("https://twitter.com/LSetiz","@LSetiz")</f>
        <v>@LSetiz</v>
      </c>
      <c r="C5647" s="6" t="s">
        <v>1151</v>
      </c>
      <c r="D5647" s="5" t="s">
        <v>1245</v>
      </c>
      <c r="E5647" s="9" t="str">
        <f>HYPERLINK("https://twitter.com/LSetiz/status/1034375719911153664","1034375719911153664")</f>
        <v>1034375719911153664</v>
      </c>
      <c r="F5647" s="4"/>
      <c r="G5647" s="10" t="s">
        <v>1244</v>
      </c>
      <c r="H5647" s="4"/>
      <c r="I5647" s="10" t="str">
        <f>HYPERLINK("http://twitter.com","Twitter Web Client")</f>
        <v>Twitter Web Client</v>
      </c>
      <c r="J5647" s="2">
        <v>270</v>
      </c>
      <c r="K5647" s="2">
        <v>494</v>
      </c>
      <c r="L5647" s="2">
        <v>0</v>
      </c>
      <c r="M5647" s="2"/>
      <c r="N5647" s="8">
        <v>43322.864803240736</v>
      </c>
      <c r="O5647" s="4"/>
      <c r="P5647" s="3" t="s">
        <v>1149</v>
      </c>
      <c r="Q5647" s="4"/>
      <c r="R5647" s="4"/>
      <c r="S5647" s="9" t="str">
        <f>HYPERLINK("https://pbs.twimg.com/profile_images/1028211361074085888/yHmcStVU.jpg","View")</f>
        <v>View</v>
      </c>
    </row>
    <row r="5648" spans="1:19" ht="20">
      <c r="A5648" s="8">
        <v>43340.592013888891</v>
      </c>
      <c r="B5648" s="11" t="str">
        <f>HYPERLINK("https://twitter.com/MKArcher98","@MKArcher98")</f>
        <v>@MKArcher98</v>
      </c>
      <c r="C5648" s="6" t="s">
        <v>1243</v>
      </c>
      <c r="D5648" s="5" t="s">
        <v>1242</v>
      </c>
      <c r="E5648" s="9" t="str">
        <f>HYPERLINK("https://twitter.com/MKArcher98/status/1034375662113570816","1034375662113570816")</f>
        <v>1034375662113570816</v>
      </c>
      <c r="F5648" s="4"/>
      <c r="G5648" s="4"/>
      <c r="H5648" s="4"/>
      <c r="I5648" s="10" t="str">
        <f>HYPERLINK("http://twitter.com/download/android","Twitter for Android")</f>
        <v>Twitter for Android</v>
      </c>
      <c r="J5648" s="2">
        <v>941</v>
      </c>
      <c r="K5648" s="2">
        <v>654</v>
      </c>
      <c r="L5648" s="2">
        <v>3</v>
      </c>
      <c r="M5648" s="2"/>
      <c r="N5648" s="8">
        <v>42531.65115740741</v>
      </c>
      <c r="O5648" s="4" t="s">
        <v>1241</v>
      </c>
      <c r="P5648" s="3" t="s">
        <v>1240</v>
      </c>
      <c r="Q5648" s="10" t="s">
        <v>1239</v>
      </c>
      <c r="R5648" s="4"/>
      <c r="S5648" s="9" t="str">
        <f>HYPERLINK("https://pbs.twimg.com/profile_images/982246888031141888/J-rCC8oG.jpg","View")</f>
        <v>View</v>
      </c>
    </row>
    <row r="5649" spans="1:19" ht="40">
      <c r="A5649" s="8">
        <v>43340.591932870375</v>
      </c>
      <c r="B5649" s="11" t="str">
        <f>HYPERLINK("https://twitter.com/sarbazrahbar313","@sarbazrahbar313")</f>
        <v>@sarbazrahbar313</v>
      </c>
      <c r="C5649" s="6" t="s">
        <v>312</v>
      </c>
      <c r="D5649" s="5" t="s">
        <v>1238</v>
      </c>
      <c r="E5649" s="9" t="str">
        <f>HYPERLINK("https://twitter.com/sarbazrahbar313/status/1034375635752427525","1034375635752427525")</f>
        <v>1034375635752427525</v>
      </c>
      <c r="F5649" s="4"/>
      <c r="G5649" s="4"/>
      <c r="H5649" s="4"/>
      <c r="I5649" s="10" t="str">
        <f>HYPERLINK("http://twitter.com/download/android","Twitter for Android")</f>
        <v>Twitter for Android</v>
      </c>
      <c r="J5649" s="2">
        <v>3570</v>
      </c>
      <c r="K5649" s="2">
        <v>330</v>
      </c>
      <c r="L5649" s="2">
        <v>15</v>
      </c>
      <c r="M5649" s="2"/>
      <c r="N5649" s="8">
        <v>42827.622164351851</v>
      </c>
      <c r="O5649" s="4" t="s">
        <v>310</v>
      </c>
      <c r="P5649" s="3" t="s">
        <v>309</v>
      </c>
      <c r="Q5649" s="10" t="s">
        <v>308</v>
      </c>
      <c r="R5649" s="4"/>
      <c r="S5649" s="9" t="str">
        <f>HYPERLINK("https://pbs.twimg.com/profile_images/998167996018319360/DKJodYPK.jpg","View")</f>
        <v>View</v>
      </c>
    </row>
    <row r="5650" spans="1:19" ht="20">
      <c r="A5650" s="8">
        <v>43340.591793981483</v>
      </c>
      <c r="B5650" s="11" t="str">
        <f>HYPERLINK("https://twitter.com/neyastan2","@neyastan2")</f>
        <v>@neyastan2</v>
      </c>
      <c r="C5650" s="6" t="s">
        <v>1237</v>
      </c>
      <c r="D5650" s="5" t="s">
        <v>1236</v>
      </c>
      <c r="E5650" s="9" t="str">
        <f>HYPERLINK("https://twitter.com/neyastan2/status/1034375582178594818","1034375582178594818")</f>
        <v>1034375582178594818</v>
      </c>
      <c r="F5650" s="4"/>
      <c r="G5650" s="4"/>
      <c r="H5650" s="4"/>
      <c r="I5650" s="10" t="str">
        <f>HYPERLINK("https://mobile.twitter.com","Twitter Lite")</f>
        <v>Twitter Lite</v>
      </c>
      <c r="J5650" s="2">
        <v>37</v>
      </c>
      <c r="K5650" s="2">
        <v>63</v>
      </c>
      <c r="L5650" s="2">
        <v>0</v>
      </c>
      <c r="M5650" s="2"/>
      <c r="N5650" s="8">
        <v>40994.042303240742</v>
      </c>
      <c r="O5650" s="4"/>
      <c r="P5650" s="3"/>
      <c r="Q5650" s="4"/>
      <c r="R5650" s="4"/>
      <c r="S5650" s="9" t="str">
        <f>HYPERLINK("https://pbs.twimg.com/profile_images/1034373801029591040/YSnJez71.jpg","View")</f>
        <v>View</v>
      </c>
    </row>
    <row r="5651" spans="1:19" ht="20">
      <c r="A5651" s="8">
        <v>43340.591458333336</v>
      </c>
      <c r="B5651" s="11" t="str">
        <f>HYPERLINK("https://twitter.com/ShahrivarDokht","@ShahrivarDokht")</f>
        <v>@ShahrivarDokht</v>
      </c>
      <c r="C5651" s="6" t="s">
        <v>1096</v>
      </c>
      <c r="D5651" s="5" t="s">
        <v>1235</v>
      </c>
      <c r="E5651" s="9" t="str">
        <f>HYPERLINK("https://twitter.com/ShahrivarDokht/status/1034375463563608065","1034375463563608065")</f>
        <v>1034375463563608065</v>
      </c>
      <c r="F5651" s="4"/>
      <c r="G5651" s="4"/>
      <c r="H5651" s="4"/>
      <c r="I5651" s="10" t="str">
        <f>HYPERLINK("http://twitter.com/download/android","Twitter for Android")</f>
        <v>Twitter for Android</v>
      </c>
      <c r="J5651" s="2">
        <v>2826</v>
      </c>
      <c r="K5651" s="2">
        <v>2932</v>
      </c>
      <c r="L5651" s="2">
        <v>4</v>
      </c>
      <c r="M5651" s="2"/>
      <c r="N5651" s="8">
        <v>43232.907650462963</v>
      </c>
      <c r="O5651" s="4" t="s">
        <v>17</v>
      </c>
      <c r="P5651" s="3" t="s">
        <v>1094</v>
      </c>
      <c r="Q5651" s="4"/>
      <c r="R5651" s="4"/>
      <c r="S5651" s="9" t="str">
        <f>HYPERLINK("https://pbs.twimg.com/profile_images/1009806470165225472/0jnAt4qJ.jpg","View")</f>
        <v>View</v>
      </c>
    </row>
    <row r="5652" spans="1:19" ht="30">
      <c r="A5652" s="8">
        <v>43340.591400462959</v>
      </c>
      <c r="B5652" s="11" t="str">
        <f>HYPERLINK("https://twitter.com/Roozbeh_rm","@Roozbeh_rm")</f>
        <v>@Roozbeh_rm</v>
      </c>
      <c r="C5652" s="6" t="s">
        <v>1234</v>
      </c>
      <c r="D5652" s="5" t="s">
        <v>1233</v>
      </c>
      <c r="E5652" s="9" t="str">
        <f>HYPERLINK("https://twitter.com/Roozbeh_rm/status/1034375440104910849","1034375440104910849")</f>
        <v>1034375440104910849</v>
      </c>
      <c r="F5652" s="4"/>
      <c r="G5652" s="10" t="s">
        <v>1232</v>
      </c>
      <c r="H5652" s="4"/>
      <c r="I5652" s="10" t="str">
        <f>HYPERLINK("http://twitter.com/download/android","Twitter for Android")</f>
        <v>Twitter for Android</v>
      </c>
      <c r="J5652" s="2">
        <v>131</v>
      </c>
      <c r="K5652" s="2">
        <v>310</v>
      </c>
      <c r="L5652" s="2">
        <v>0</v>
      </c>
      <c r="M5652" s="2"/>
      <c r="N5652" s="8">
        <v>43262.722303240742</v>
      </c>
      <c r="O5652" s="4" t="s">
        <v>1231</v>
      </c>
      <c r="P5652" s="3" t="s">
        <v>1230</v>
      </c>
      <c r="Q5652" s="4"/>
      <c r="R5652" s="4"/>
      <c r="S5652" s="9" t="str">
        <f>HYPERLINK("https://pbs.twimg.com/profile_images/1033619312983121920/KDHQxmMu.jpg","View")</f>
        <v>View</v>
      </c>
    </row>
    <row r="5653" spans="1:19" ht="40">
      <c r="A5653" s="8">
        <v>43340.590648148151</v>
      </c>
      <c r="B5653" s="11" t="str">
        <f>HYPERLINK("https://twitter.com/Nazanin_kamali","@Nazanin_kamali")</f>
        <v>@Nazanin_kamali</v>
      </c>
      <c r="C5653" s="6" t="s">
        <v>1229</v>
      </c>
      <c r="D5653" s="5" t="s">
        <v>1228</v>
      </c>
      <c r="E5653" s="9" t="str">
        <f>HYPERLINK("https://twitter.com/Nazanin_kamali/status/1034375169152897024","1034375169152897024")</f>
        <v>1034375169152897024</v>
      </c>
      <c r="F5653" s="4"/>
      <c r="G5653" s="4"/>
      <c r="H5653" s="4"/>
      <c r="I5653" s="10" t="str">
        <f>HYPERLINK("http://twitter.com","Twitter Web Client")</f>
        <v>Twitter Web Client</v>
      </c>
      <c r="J5653" s="2">
        <v>18947</v>
      </c>
      <c r="K5653" s="2">
        <v>3408</v>
      </c>
      <c r="L5653" s="2">
        <v>50</v>
      </c>
      <c r="M5653" s="2"/>
      <c r="N5653" s="8">
        <v>42807.639085648145</v>
      </c>
      <c r="O5653" s="4"/>
      <c r="P5653" s="3" t="s">
        <v>1227</v>
      </c>
      <c r="Q5653" s="4"/>
      <c r="R5653" s="4"/>
      <c r="S5653" s="9" t="str">
        <f>HYPERLINK("https://pbs.twimg.com/profile_images/1033255938722078720/V_kGtRzE.jpg","View")</f>
        <v>View</v>
      </c>
    </row>
    <row r="5654" spans="1:19" ht="30">
      <c r="A5654" s="8">
        <v>43340.590624999997</v>
      </c>
      <c r="B5654" s="11" t="str">
        <f>HYPERLINK("https://twitter.com/yVA4ATUfdofr2xS","@yVA4ATUfdofr2xS")</f>
        <v>@yVA4ATUfdofr2xS</v>
      </c>
      <c r="C5654" s="6" t="s">
        <v>27</v>
      </c>
      <c r="D5654" s="5" t="s">
        <v>1226</v>
      </c>
      <c r="E5654" s="9" t="str">
        <f>HYPERLINK("https://twitter.com/yVA4ATUfdofr2xS/status/1034375161754071040","1034375161754071040")</f>
        <v>1034375161754071040</v>
      </c>
      <c r="F5654" s="10" t="s">
        <v>1225</v>
      </c>
      <c r="G5654" s="4"/>
      <c r="H5654" s="4"/>
      <c r="I5654" s="10" t="str">
        <f>HYPERLINK("http://twitter.com","Twitter Web Client")</f>
        <v>Twitter Web Client</v>
      </c>
      <c r="J5654" s="2">
        <v>127</v>
      </c>
      <c r="K5654" s="2">
        <v>211</v>
      </c>
      <c r="L5654" s="2">
        <v>0</v>
      </c>
      <c r="M5654" s="2"/>
      <c r="N5654" s="8">
        <v>43323.438252314816</v>
      </c>
      <c r="O5654" s="4" t="s">
        <v>25</v>
      </c>
      <c r="P5654" s="3" t="s">
        <v>24</v>
      </c>
      <c r="Q5654" s="4"/>
      <c r="R5654" s="4"/>
      <c r="S5654" s="9" t="str">
        <f>HYPERLINK("https://pbs.twimg.com/profile_images/1028178183206498305/b7usXKsw.jpg","View")</f>
        <v>View</v>
      </c>
    </row>
    <row r="5655" spans="1:19" ht="20">
      <c r="A5655" s="8">
        <v>43340.589942129634</v>
      </c>
      <c r="B5655" s="11" t="str">
        <f>HYPERLINK("https://twitter.com/yaalii_110","@yaalii_110")</f>
        <v>@yaalii_110</v>
      </c>
      <c r="C5655" s="6" t="s">
        <v>1224</v>
      </c>
      <c r="D5655" s="5" t="s">
        <v>1223</v>
      </c>
      <c r="E5655" s="9" t="str">
        <f>HYPERLINK("https://twitter.com/yaalii_110/status/1034374912872464384","1034374912872464384")</f>
        <v>1034374912872464384</v>
      </c>
      <c r="F5655" s="4"/>
      <c r="G5655" s="4"/>
      <c r="H5655" s="4"/>
      <c r="I5655" s="10" t="str">
        <f>HYPERLINK("http://twitter.com/download/android","Twitter for Android")</f>
        <v>Twitter for Android</v>
      </c>
      <c r="J5655" s="2">
        <v>317</v>
      </c>
      <c r="K5655" s="2">
        <v>214</v>
      </c>
      <c r="L5655" s="2">
        <v>1</v>
      </c>
      <c r="M5655" s="2"/>
      <c r="N5655" s="8">
        <v>43246.990578703699</v>
      </c>
      <c r="O5655" s="4"/>
      <c r="P5655" s="3" t="s">
        <v>1222</v>
      </c>
      <c r="Q5655" s="4"/>
      <c r="R5655" s="4"/>
      <c r="S5655" s="9" t="str">
        <f>HYPERLINK("https://pbs.twimg.com/profile_images/1000459175330279425/q_IXc2Kn.jpg","View")</f>
        <v>View</v>
      </c>
    </row>
    <row r="5656" spans="1:19" ht="30">
      <c r="A5656" s="8">
        <v>43340.589907407411</v>
      </c>
      <c r="B5656" s="11" t="str">
        <f>HYPERLINK("https://twitter.com/458_reza","@458_reza")</f>
        <v>@458_reza</v>
      </c>
      <c r="C5656" s="6" t="s">
        <v>1221</v>
      </c>
      <c r="D5656" s="5" t="s">
        <v>1220</v>
      </c>
      <c r="E5656" s="9" t="str">
        <f>HYPERLINK("https://twitter.com/458_reza/status/1034374897764585473","1034374897764585473")</f>
        <v>1034374897764585473</v>
      </c>
      <c r="F5656" s="4"/>
      <c r="G5656" s="4"/>
      <c r="H5656" s="4"/>
      <c r="I5656" s="10" t="str">
        <f>HYPERLINK("http://twitter.com/download/iphone","Twitter for iPhone")</f>
        <v>Twitter for iPhone</v>
      </c>
      <c r="J5656" s="2">
        <v>118</v>
      </c>
      <c r="K5656" s="2">
        <v>178</v>
      </c>
      <c r="L5656" s="2">
        <v>0</v>
      </c>
      <c r="M5656" s="2"/>
      <c r="N5656" s="8">
        <v>41812.539317129631</v>
      </c>
      <c r="O5656" s="4" t="s">
        <v>1219</v>
      </c>
      <c r="P5656" s="3" t="s">
        <v>1218</v>
      </c>
      <c r="Q5656" s="4"/>
      <c r="R5656" s="4"/>
      <c r="S5656" s="9" t="str">
        <f>HYPERLINK("https://pbs.twimg.com/profile_images/940287487728947201/gzGWxfmy.jpg","View")</f>
        <v>View</v>
      </c>
    </row>
    <row r="5657" spans="1:19" ht="40">
      <c r="A5657" s="8">
        <v>43340.589826388888</v>
      </c>
      <c r="B5657" s="11" t="str">
        <f>HYPERLINK("https://twitter.com/ata_afs","@ata_afs")</f>
        <v>@ata_afs</v>
      </c>
      <c r="C5657" s="6" t="s">
        <v>1217</v>
      </c>
      <c r="D5657" s="5" t="s">
        <v>1216</v>
      </c>
      <c r="E5657" s="9" t="str">
        <f>HYPERLINK("https://twitter.com/ata_afs/status/1034374871889793025","1034374871889793025")</f>
        <v>1034374871889793025</v>
      </c>
      <c r="F5657" s="10" t="s">
        <v>1215</v>
      </c>
      <c r="G5657" s="10" t="s">
        <v>1214</v>
      </c>
      <c r="H5657" s="4"/>
      <c r="I5657" s="10" t="str">
        <f>HYPERLINK("http://twitter.com/download/iphone","Twitter for iPhone")</f>
        <v>Twitter for iPhone</v>
      </c>
      <c r="J5657" s="2">
        <v>365</v>
      </c>
      <c r="K5657" s="2">
        <v>692</v>
      </c>
      <c r="L5657" s="2">
        <v>0</v>
      </c>
      <c r="M5657" s="2"/>
      <c r="N5657" s="8">
        <v>41833.536099537036</v>
      </c>
      <c r="O5657" s="4" t="s">
        <v>34</v>
      </c>
      <c r="P5657" s="3" t="s">
        <v>1213</v>
      </c>
      <c r="Q5657" s="4"/>
      <c r="R5657" s="4"/>
      <c r="S5657" s="9" t="str">
        <f>HYPERLINK("https://pbs.twimg.com/profile_images/958374868008960000/IRXSv5-C.jpg","View")</f>
        <v>View</v>
      </c>
    </row>
    <row r="5658" spans="1:19" ht="20">
      <c r="A5658" s="8">
        <v>43340.589641203704</v>
      </c>
      <c r="B5658" s="11" t="str">
        <f>HYPERLINK("https://twitter.com/shakiba_saboor","@shakiba_saboor")</f>
        <v>@shakiba_saboor</v>
      </c>
      <c r="C5658" s="6" t="s">
        <v>1212</v>
      </c>
      <c r="D5658" s="5" t="s">
        <v>1211</v>
      </c>
      <c r="E5658" s="9" t="str">
        <f>HYPERLINK("https://twitter.com/shakiba_saboor/status/1034374801958363136","1034374801958363136")</f>
        <v>1034374801958363136</v>
      </c>
      <c r="F5658" s="4"/>
      <c r="G5658" s="10" t="s">
        <v>1210</v>
      </c>
      <c r="H5658" s="4"/>
      <c r="I5658" s="10" t="str">
        <f>HYPERLINK("http://twitter.com","Twitter Web Client")</f>
        <v>Twitter Web Client</v>
      </c>
      <c r="J5658" s="2">
        <v>400</v>
      </c>
      <c r="K5658" s="2">
        <v>504</v>
      </c>
      <c r="L5658" s="2">
        <v>1</v>
      </c>
      <c r="M5658" s="2"/>
      <c r="N5658" s="8">
        <v>41614.027511574073</v>
      </c>
      <c r="O5658" s="4" t="s">
        <v>324</v>
      </c>
      <c r="P5658" s="3"/>
      <c r="Q5658" s="4"/>
      <c r="R5658" s="4"/>
      <c r="S5658" s="9" t="str">
        <f>HYPERLINK("https://pbs.twimg.com/profile_images/991062238655123456/3ErHy3hK.jpg","View")</f>
        <v>View</v>
      </c>
    </row>
    <row r="5659" spans="1:19" ht="20">
      <c r="A5659" s="8">
        <v>43340.589548611111</v>
      </c>
      <c r="B5659" s="11" t="str">
        <f>HYPERLINK("https://twitter.com/MahourChavoshi","@MahourChavoshi")</f>
        <v>@MahourChavoshi</v>
      </c>
      <c r="C5659" s="6" t="s">
        <v>1209</v>
      </c>
      <c r="D5659" s="5" t="s">
        <v>1208</v>
      </c>
      <c r="E5659" s="9" t="str">
        <f>HYPERLINK("https://twitter.com/MahourChavoshi/status/1034374768693272576","1034374768693272576")</f>
        <v>1034374768693272576</v>
      </c>
      <c r="F5659" s="4"/>
      <c r="G5659" s="4"/>
      <c r="H5659" s="4"/>
      <c r="I5659" s="10" t="str">
        <f>HYPERLINK("http://twitter.com/download/iphone","Twitter for iPhone")</f>
        <v>Twitter for iPhone</v>
      </c>
      <c r="J5659" s="2">
        <v>30</v>
      </c>
      <c r="K5659" s="2">
        <v>15</v>
      </c>
      <c r="L5659" s="2">
        <v>0</v>
      </c>
      <c r="M5659" s="2"/>
      <c r="N5659" s="8">
        <v>43290.993935185186</v>
      </c>
      <c r="O5659" s="4" t="s">
        <v>1207</v>
      </c>
      <c r="P5659" s="3" t="s">
        <v>1206</v>
      </c>
      <c r="Q5659" s="4"/>
      <c r="R5659" s="4"/>
      <c r="S5659" s="9" t="str">
        <f>HYPERLINK("https://pbs.twimg.com/profile_images/1033473765894696966/qZ1gWKHU.jpg","View")</f>
        <v>View</v>
      </c>
    </row>
    <row r="5660" spans="1:19" ht="20">
      <c r="A5660" s="8">
        <v>43340.589502314819</v>
      </c>
      <c r="B5660" s="11" t="str">
        <f>HYPERLINK("https://twitter.com/yVA4ATUfdofr2xS","@yVA4ATUfdofr2xS")</f>
        <v>@yVA4ATUfdofr2xS</v>
      </c>
      <c r="C5660" s="6" t="s">
        <v>27</v>
      </c>
      <c r="D5660" s="5" t="s">
        <v>1205</v>
      </c>
      <c r="E5660" s="9" t="str">
        <f>HYPERLINK("https://twitter.com/yVA4ATUfdofr2xS/status/1034374753069490176","1034374753069490176")</f>
        <v>1034374753069490176</v>
      </c>
      <c r="F5660" s="4"/>
      <c r="G5660" s="4"/>
      <c r="H5660" s="4"/>
      <c r="I5660" s="10" t="str">
        <f>HYPERLINK("http://twitter.com","Twitter Web Client")</f>
        <v>Twitter Web Client</v>
      </c>
      <c r="J5660" s="2">
        <v>127</v>
      </c>
      <c r="K5660" s="2">
        <v>211</v>
      </c>
      <c r="L5660" s="2">
        <v>0</v>
      </c>
      <c r="M5660" s="2"/>
      <c r="N5660" s="8">
        <v>43323.438252314816</v>
      </c>
      <c r="O5660" s="4" t="s">
        <v>25</v>
      </c>
      <c r="P5660" s="3" t="s">
        <v>24</v>
      </c>
      <c r="Q5660" s="4"/>
      <c r="R5660" s="4"/>
      <c r="S5660" s="9" t="str">
        <f>HYPERLINK("https://pbs.twimg.com/profile_images/1028178183206498305/b7usXKsw.jpg","View")</f>
        <v>View</v>
      </c>
    </row>
    <row r="5661" spans="1:19" ht="30">
      <c r="A5661" s="8">
        <v>43340.589398148149</v>
      </c>
      <c r="B5661" s="11" t="str">
        <f>HYPERLINK("https://twitter.com/ShahrivarDokht","@ShahrivarDokht")</f>
        <v>@ShahrivarDokht</v>
      </c>
      <c r="C5661" s="6" t="s">
        <v>1096</v>
      </c>
      <c r="D5661" s="5" t="s">
        <v>1204</v>
      </c>
      <c r="E5661" s="9" t="str">
        <f>HYPERLINK("https://twitter.com/ShahrivarDokht/status/1034374716948205568","1034374716948205568")</f>
        <v>1034374716948205568</v>
      </c>
      <c r="F5661" s="4"/>
      <c r="G5661" s="4"/>
      <c r="H5661" s="4"/>
      <c r="I5661" s="10" t="str">
        <f>HYPERLINK("http://twitter.com/download/android","Twitter for Android")</f>
        <v>Twitter for Android</v>
      </c>
      <c r="J5661" s="2">
        <v>2826</v>
      </c>
      <c r="K5661" s="2">
        <v>2932</v>
      </c>
      <c r="L5661" s="2">
        <v>4</v>
      </c>
      <c r="M5661" s="2"/>
      <c r="N5661" s="8">
        <v>43232.907650462963</v>
      </c>
      <c r="O5661" s="4" t="s">
        <v>17</v>
      </c>
      <c r="P5661" s="3" t="s">
        <v>1094</v>
      </c>
      <c r="Q5661" s="4"/>
      <c r="R5661" s="4"/>
      <c r="S5661" s="9" t="str">
        <f>HYPERLINK("https://pbs.twimg.com/profile_images/1009806470165225472/0jnAt4qJ.jpg","View")</f>
        <v>View</v>
      </c>
    </row>
    <row r="5662" spans="1:19" ht="40">
      <c r="A5662" s="8">
        <v>43340.589328703703</v>
      </c>
      <c r="B5662" s="11" t="str">
        <f>HYPERLINK("https://twitter.com/komeil1130","@komeil1130")</f>
        <v>@komeil1130</v>
      </c>
      <c r="C5662" s="6" t="s">
        <v>1203</v>
      </c>
      <c r="D5662" s="5" t="s">
        <v>1202</v>
      </c>
      <c r="E5662" s="9" t="str">
        <f>HYPERLINK("https://twitter.com/komeil1130/status/1034374691954286592","1034374691954286592")</f>
        <v>1034374691954286592</v>
      </c>
      <c r="F5662" s="4"/>
      <c r="G5662" s="4"/>
      <c r="H5662" s="4"/>
      <c r="I5662" s="10" t="str">
        <f>HYPERLINK("http://twitter.com/download/android","Twitter for Android")</f>
        <v>Twitter for Android</v>
      </c>
      <c r="J5662" s="2">
        <v>1854</v>
      </c>
      <c r="K5662" s="2">
        <v>247</v>
      </c>
      <c r="L5662" s="2">
        <v>8</v>
      </c>
      <c r="M5662" s="2"/>
      <c r="N5662" s="8">
        <v>42607.573483796295</v>
      </c>
      <c r="O5662" s="4" t="s">
        <v>25</v>
      </c>
      <c r="P5662" s="3" t="s">
        <v>1201</v>
      </c>
      <c r="Q5662" s="4"/>
      <c r="R5662" s="4"/>
      <c r="S5662" s="9" t="str">
        <f>HYPERLINK("https://pbs.twimg.com/profile_images/981586421873020930/WTJANGEc.jpg","View")</f>
        <v>View</v>
      </c>
    </row>
    <row r="5663" spans="1:19" ht="20">
      <c r="A5663" s="8">
        <v>43340.589178240742</v>
      </c>
      <c r="B5663" s="11" t="str">
        <f>HYPERLINK("https://twitter.com/zoljenan","@zoljenan")</f>
        <v>@zoljenan</v>
      </c>
      <c r="C5663" s="6" t="s">
        <v>1133</v>
      </c>
      <c r="D5663" s="5" t="s">
        <v>1200</v>
      </c>
      <c r="E5663" s="9" t="str">
        <f>HYPERLINK("https://twitter.com/zoljenan/status/1034374637227008000","1034374637227008000")</f>
        <v>1034374637227008000</v>
      </c>
      <c r="F5663" s="4"/>
      <c r="G5663" s="4"/>
      <c r="H5663" s="4"/>
      <c r="I5663" s="10" t="str">
        <f>HYPERLINK("http://twitter.com","Twitter Web Client")</f>
        <v>Twitter Web Client</v>
      </c>
      <c r="J5663" s="2">
        <v>1144</v>
      </c>
      <c r="K5663" s="2">
        <v>1980</v>
      </c>
      <c r="L5663" s="2">
        <v>1</v>
      </c>
      <c r="M5663" s="2"/>
      <c r="N5663" s="8">
        <v>42967.879629629635</v>
      </c>
      <c r="O5663" s="4" t="s">
        <v>34</v>
      </c>
      <c r="P5663" s="3" t="s">
        <v>1131</v>
      </c>
      <c r="Q5663" s="10" t="s">
        <v>1130</v>
      </c>
      <c r="R5663" s="4"/>
      <c r="S5663" s="9" t="str">
        <f>HYPERLINK("https://pbs.twimg.com/profile_images/998224455548612608/hWM4fqeu.jpg","View")</f>
        <v>View</v>
      </c>
    </row>
    <row r="5664" spans="1:19" ht="20">
      <c r="A5664" s="8">
        <v>43340.589143518519</v>
      </c>
      <c r="B5664" s="11" t="str">
        <f>HYPERLINK("https://twitter.com/khanomirany","@khanomirany")</f>
        <v>@khanomirany</v>
      </c>
      <c r="C5664" s="6" t="s">
        <v>1199</v>
      </c>
      <c r="D5664" s="5" t="s">
        <v>1198</v>
      </c>
      <c r="E5664" s="9" t="str">
        <f>HYPERLINK("https://twitter.com/khanomirany/status/1034374623436128256","1034374623436128256")</f>
        <v>1034374623436128256</v>
      </c>
      <c r="F5664" s="4"/>
      <c r="G5664" s="10" t="s">
        <v>1197</v>
      </c>
      <c r="H5664" s="4"/>
      <c r="I5664" s="10" t="str">
        <f>HYPERLINK("http://twitter.com/download/android","Twitter for Android")</f>
        <v>Twitter for Android</v>
      </c>
      <c r="J5664" s="2">
        <v>13442</v>
      </c>
      <c r="K5664" s="2">
        <v>205</v>
      </c>
      <c r="L5664" s="2">
        <v>59</v>
      </c>
      <c r="M5664" s="2"/>
      <c r="N5664" s="8">
        <v>42926.44831018518</v>
      </c>
      <c r="O5664" s="4" t="s">
        <v>1196</v>
      </c>
      <c r="P5664" s="3" t="s">
        <v>1195</v>
      </c>
      <c r="Q5664" s="4"/>
      <c r="R5664" s="4"/>
      <c r="S5664" s="9" t="str">
        <f>HYPERLINK("https://pbs.twimg.com/profile_images/1004231973035040768/5IviPa4c.jpg","View")</f>
        <v>View</v>
      </c>
    </row>
    <row r="5665" spans="1:19" ht="20">
      <c r="A5665" s="8">
        <v>43340.589050925926</v>
      </c>
      <c r="B5665" s="11" t="str">
        <f>HYPERLINK("https://twitter.com/leilaiebidel","@leilaiebidel")</f>
        <v>@leilaiebidel</v>
      </c>
      <c r="C5665" s="6" t="s">
        <v>1194</v>
      </c>
      <c r="D5665" s="5" t="s">
        <v>1193</v>
      </c>
      <c r="E5665" s="9" t="str">
        <f>HYPERLINK("https://twitter.com/leilaiebidel/status/1034374588459888640","1034374588459888640")</f>
        <v>1034374588459888640</v>
      </c>
      <c r="F5665" s="4"/>
      <c r="G5665" s="10" t="s">
        <v>1192</v>
      </c>
      <c r="H5665" s="4"/>
      <c r="I5665" s="10" t="str">
        <f>HYPERLINK("http://twitter.com/download/android","Twitter for Android")</f>
        <v>Twitter for Android</v>
      </c>
      <c r="J5665" s="2">
        <v>194</v>
      </c>
      <c r="K5665" s="2">
        <v>690</v>
      </c>
      <c r="L5665" s="2">
        <v>0</v>
      </c>
      <c r="M5665" s="2"/>
      <c r="N5665" s="8">
        <v>43339.463252314818</v>
      </c>
      <c r="O5665" s="4"/>
      <c r="P5665" s="3" t="s">
        <v>1191</v>
      </c>
      <c r="Q5665" s="4"/>
      <c r="R5665" s="4"/>
      <c r="S5665" s="9" t="str">
        <f>HYPERLINK("https://pbs.twimg.com/profile_images/1034021289298669568/jgu25V9U.jpg","View")</f>
        <v>View</v>
      </c>
    </row>
    <row r="5666" spans="1:19" ht="30">
      <c r="A5666" s="8">
        <v>43340.58902777778</v>
      </c>
      <c r="B5666" s="11" t="str">
        <f>HYPERLINK("https://twitter.com/Arman_Truth","@Arman_Truth")</f>
        <v>@Arman_Truth</v>
      </c>
      <c r="C5666" s="6" t="s">
        <v>1190</v>
      </c>
      <c r="D5666" s="5" t="s">
        <v>1189</v>
      </c>
      <c r="E5666" s="9" t="str">
        <f>HYPERLINK("https://twitter.com/Arman_Truth/status/1034374582420090880","1034374582420090880")</f>
        <v>1034374582420090880</v>
      </c>
      <c r="F5666" s="4"/>
      <c r="G5666" s="4"/>
      <c r="H5666" s="4"/>
      <c r="I5666" s="10" t="str">
        <f>HYPERLINK("http://twitter.com/download/iphone","Twitter for iPhone")</f>
        <v>Twitter for iPhone</v>
      </c>
      <c r="J5666" s="2">
        <v>2637</v>
      </c>
      <c r="K5666" s="2">
        <v>893</v>
      </c>
      <c r="L5666" s="2">
        <v>9</v>
      </c>
      <c r="M5666" s="2"/>
      <c r="N5666" s="8">
        <v>42751.806643518517</v>
      </c>
      <c r="O5666" s="4" t="s">
        <v>1188</v>
      </c>
      <c r="P5666" s="3" t="s">
        <v>1187</v>
      </c>
      <c r="Q5666" s="10" t="s">
        <v>1186</v>
      </c>
      <c r="R5666" s="4"/>
      <c r="S5666" s="9" t="str">
        <f>HYPERLINK("https://pbs.twimg.com/profile_images/1020198182452678661/SP0is0Lc.jpg","View")</f>
        <v>View</v>
      </c>
    </row>
    <row r="5667" spans="1:19" ht="40">
      <c r="A5667" s="8">
        <v>43340.588993055557</v>
      </c>
      <c r="B5667" s="11" t="str">
        <f>HYPERLINK("https://twitter.com/karami_sadegh","@karami_sadegh")</f>
        <v>@karami_sadegh</v>
      </c>
      <c r="C5667" s="6" t="s">
        <v>1185</v>
      </c>
      <c r="D5667" s="5" t="s">
        <v>1184</v>
      </c>
      <c r="E5667" s="9" t="str">
        <f>HYPERLINK("https://twitter.com/karami_sadegh/status/1034374569832931334","1034374569832931334")</f>
        <v>1034374569832931334</v>
      </c>
      <c r="F5667" s="4"/>
      <c r="G5667" s="4"/>
      <c r="H5667" s="4"/>
      <c r="I5667" s="10" t="str">
        <f>HYPERLINK("http://twitter.com/download/iphone","Twitter for iPhone")</f>
        <v>Twitter for iPhone</v>
      </c>
      <c r="J5667" s="2">
        <v>38</v>
      </c>
      <c r="K5667" s="2">
        <v>37</v>
      </c>
      <c r="L5667" s="2">
        <v>0</v>
      </c>
      <c r="M5667" s="2"/>
      <c r="N5667" s="8">
        <v>43015.835775462961</v>
      </c>
      <c r="O5667" s="4" t="s">
        <v>1183</v>
      </c>
      <c r="P5667" s="3" t="s">
        <v>1182</v>
      </c>
      <c r="Q5667" s="4"/>
      <c r="R5667" s="4"/>
      <c r="S5667" s="9" t="str">
        <f>HYPERLINK("https://pbs.twimg.com/profile_images/997765743889575936/nZDFJx7h.jpg","View")</f>
        <v>View</v>
      </c>
    </row>
    <row r="5668" spans="1:19" ht="20">
      <c r="A5668" s="8">
        <v>43340.588912037041</v>
      </c>
      <c r="B5668" s="11" t="str">
        <f>HYPERLINK("https://twitter.com/azarbayjaniyam","@azarbayjaniyam")</f>
        <v>@azarbayjaniyam</v>
      </c>
      <c r="C5668" s="6" t="s">
        <v>1181</v>
      </c>
      <c r="D5668" s="5" t="s">
        <v>1180</v>
      </c>
      <c r="E5668" s="9" t="str">
        <f>HYPERLINK("https://twitter.com/azarbayjaniyam/status/1034374539973746690","1034374539973746690")</f>
        <v>1034374539973746690</v>
      </c>
      <c r="F5668" s="4"/>
      <c r="G5668" s="4"/>
      <c r="H5668" s="4"/>
      <c r="I5668" s="10" t="str">
        <f>HYPERLINK("http://twitter.com","Twitter Web Client")</f>
        <v>Twitter Web Client</v>
      </c>
      <c r="J5668" s="2">
        <v>3488</v>
      </c>
      <c r="K5668" s="2">
        <v>1336</v>
      </c>
      <c r="L5668" s="2">
        <v>7</v>
      </c>
      <c r="M5668" s="2"/>
      <c r="N5668" s="8">
        <v>42945.825787037036</v>
      </c>
      <c r="O5668" s="4"/>
      <c r="P5668" s="3" t="s">
        <v>1179</v>
      </c>
      <c r="Q5668" s="4"/>
      <c r="R5668" s="4"/>
      <c r="S5668" s="9" t="str">
        <f>HYPERLINK("https://pbs.twimg.com/profile_images/1032715286896500736/tnnz6KWg.jpg","View")</f>
        <v>View</v>
      </c>
    </row>
    <row r="5669" spans="1:19" ht="40">
      <c r="A5669" s="8">
        <v>43340.588854166665</v>
      </c>
      <c r="B5669" s="11" t="str">
        <f>HYPERLINK("https://twitter.com/Mori_A4","@Mori_A4")</f>
        <v>@Mori_A4</v>
      </c>
      <c r="C5669" s="6" t="s">
        <v>1178</v>
      </c>
      <c r="D5669" s="5" t="s">
        <v>1177</v>
      </c>
      <c r="E5669" s="9" t="str">
        <f>HYPERLINK("https://twitter.com/Mori_A4/status/1034374516896616450","1034374516896616450")</f>
        <v>1034374516896616450</v>
      </c>
      <c r="F5669" s="4"/>
      <c r="G5669" s="4"/>
      <c r="H5669" s="4"/>
      <c r="I5669" s="10" t="str">
        <f>HYPERLINK("http://twitter.com/download/android","Twitter for Android")</f>
        <v>Twitter for Android</v>
      </c>
      <c r="J5669" s="2">
        <v>85</v>
      </c>
      <c r="K5669" s="2">
        <v>163</v>
      </c>
      <c r="L5669" s="2">
        <v>1</v>
      </c>
      <c r="M5669" s="2"/>
      <c r="N5669" s="8">
        <v>41451.126851851848</v>
      </c>
      <c r="O5669" s="4" t="s">
        <v>1176</v>
      </c>
      <c r="P5669" s="3" t="s">
        <v>1175</v>
      </c>
      <c r="Q5669" s="4"/>
      <c r="R5669" s="4"/>
      <c r="S5669" s="9" t="str">
        <f>HYPERLINK("https://pbs.twimg.com/profile_images/951170427115786240/isc_fFcL.jpg","View")</f>
        <v>View</v>
      </c>
    </row>
    <row r="5670" spans="1:19" ht="30">
      <c r="A5670" s="8">
        <v>43340.58865740741</v>
      </c>
      <c r="B5670" s="11" t="str">
        <f>HYPERLINK("https://twitter.com/ManotoNews","@ManotoNews")</f>
        <v>@ManotoNews</v>
      </c>
      <c r="C5670" s="6" t="s">
        <v>1174</v>
      </c>
      <c r="D5670" s="5" t="s">
        <v>1173</v>
      </c>
      <c r="E5670" s="9" t="str">
        <f>HYPERLINK("https://twitter.com/ManotoNews/status/1034374445476077569","1034374445476077569")</f>
        <v>1034374445476077569</v>
      </c>
      <c r="F5670" s="4"/>
      <c r="G5670" s="10" t="s">
        <v>1172</v>
      </c>
      <c r="H5670" s="4"/>
      <c r="I5670" s="10" t="str">
        <f>HYPERLINK("http://www.socialflow.com","SocialFlow")</f>
        <v>SocialFlow</v>
      </c>
      <c r="J5670" s="2">
        <v>446669</v>
      </c>
      <c r="K5670" s="2">
        <v>17</v>
      </c>
      <c r="L5670" s="2">
        <v>614</v>
      </c>
      <c r="M5670" s="2" t="s">
        <v>80</v>
      </c>
      <c r="N5670" s="8">
        <v>40859.711631944447</v>
      </c>
      <c r="O5670" s="4" t="s">
        <v>460</v>
      </c>
      <c r="P5670" s="3" t="s">
        <v>1171</v>
      </c>
      <c r="Q5670" s="10" t="s">
        <v>1170</v>
      </c>
      <c r="R5670" s="4"/>
      <c r="S5670" s="9" t="str">
        <f>HYPERLINK("https://pbs.twimg.com/profile_images/976899507744051201/07FIeivp.jpg","View")</f>
        <v>View</v>
      </c>
    </row>
    <row r="5671" spans="1:19" ht="30">
      <c r="A5671" s="8">
        <v>43340.58861111111</v>
      </c>
      <c r="B5671" s="11" t="str">
        <f>HYPERLINK("https://twitter.com/raisit1391","@raisit1391")</f>
        <v>@raisit1391</v>
      </c>
      <c r="C5671" s="6" t="s">
        <v>1169</v>
      </c>
      <c r="D5671" s="5" t="s">
        <v>1168</v>
      </c>
      <c r="E5671" s="9" t="str">
        <f>HYPERLINK("https://twitter.com/raisit1391/status/1034374428308721664","1034374428308721664")</f>
        <v>1034374428308721664</v>
      </c>
      <c r="F5671" s="4"/>
      <c r="G5671" s="4"/>
      <c r="H5671" s="4"/>
      <c r="I5671" s="10" t="str">
        <f>HYPERLINK("http://twitter.com/download/android","Twitter for Android")</f>
        <v>Twitter for Android</v>
      </c>
      <c r="J5671" s="2">
        <v>1468</v>
      </c>
      <c r="K5671" s="2">
        <v>1748</v>
      </c>
      <c r="L5671" s="2">
        <v>0</v>
      </c>
      <c r="M5671" s="2"/>
      <c r="N5671" s="8">
        <v>43283.403217592597</v>
      </c>
      <c r="O5671" s="4" t="s">
        <v>1167</v>
      </c>
      <c r="P5671" s="3" t="s">
        <v>1166</v>
      </c>
      <c r="Q5671" s="4"/>
      <c r="R5671" s="4"/>
      <c r="S5671" s="9" t="str">
        <f>HYPERLINK("https://pbs.twimg.com/profile_images/1022603332475609088/1taJ0uw1.jpg","View")</f>
        <v>View</v>
      </c>
    </row>
    <row r="5672" spans="1:19" ht="40">
      <c r="A5672" s="8">
        <v>43340.588379629626</v>
      </c>
      <c r="B5672" s="11" t="str">
        <f>HYPERLINK("https://twitter.com/nikrunews","@nikrunews")</f>
        <v>@nikrunews</v>
      </c>
      <c r="C5672" s="6" t="s">
        <v>1165</v>
      </c>
      <c r="D5672" s="5" t="s">
        <v>1164</v>
      </c>
      <c r="E5672" s="9" t="str">
        <f>HYPERLINK("https://twitter.com/nikrunews/status/1034374345953402881","1034374345953402881")</f>
        <v>1034374345953402881</v>
      </c>
      <c r="F5672" s="10" t="s">
        <v>1163</v>
      </c>
      <c r="G5672" s="10" t="s">
        <v>1162</v>
      </c>
      <c r="H5672" s="4"/>
      <c r="I5672" s="10" t="str">
        <f>HYPERLINK("http://twitter.com","Twitter Web Client")</f>
        <v>Twitter Web Client</v>
      </c>
      <c r="J5672" s="2">
        <v>241</v>
      </c>
      <c r="K5672" s="2">
        <v>4940</v>
      </c>
      <c r="L5672" s="2">
        <v>0</v>
      </c>
      <c r="M5672" s="2"/>
      <c r="N5672" s="8">
        <v>43149.612453703703</v>
      </c>
      <c r="O5672" s="4" t="s">
        <v>17</v>
      </c>
      <c r="P5672" s="3" t="s">
        <v>1161</v>
      </c>
      <c r="Q5672" s="10" t="s">
        <v>1160</v>
      </c>
      <c r="R5672" s="4"/>
      <c r="S5672" s="9" t="str">
        <f>HYPERLINK("https://pbs.twimg.com/profile_images/965182972071735296/RtR-H9md.jpg","View")</f>
        <v>View</v>
      </c>
    </row>
    <row r="5673" spans="1:19" ht="40">
      <c r="A5673" s="8">
        <v>43340.588252314818</v>
      </c>
      <c r="B5673" s="11" t="str">
        <f>HYPERLINK("https://twitter.com/___myna_","@___myna_")</f>
        <v>@___myna_</v>
      </c>
      <c r="C5673" s="6" t="s">
        <v>1159</v>
      </c>
      <c r="D5673" s="5" t="s">
        <v>1158</v>
      </c>
      <c r="E5673" s="9" t="str">
        <f>HYPERLINK("https://twitter.com/___myna_/status/1034374299367432192","1034374299367432192")</f>
        <v>1034374299367432192</v>
      </c>
      <c r="F5673" s="4"/>
      <c r="G5673" s="4"/>
      <c r="H5673" s="4"/>
      <c r="I5673" s="10" t="str">
        <f>HYPERLINK("http://twitter.com/download/android","Twitter for Android")</f>
        <v>Twitter for Android</v>
      </c>
      <c r="J5673" s="2">
        <v>38</v>
      </c>
      <c r="K5673" s="2">
        <v>46</v>
      </c>
      <c r="L5673" s="2">
        <v>0</v>
      </c>
      <c r="M5673" s="2"/>
      <c r="N5673" s="8">
        <v>43207.966064814813</v>
      </c>
      <c r="O5673" s="4" t="s">
        <v>682</v>
      </c>
      <c r="P5673" s="3"/>
      <c r="Q5673" s="4"/>
      <c r="R5673" s="4"/>
      <c r="S5673" s="9" t="str">
        <f>HYPERLINK("https://pbs.twimg.com/profile_images/1000321455375245314/BYTOpbCe.jpg","View")</f>
        <v>View</v>
      </c>
    </row>
    <row r="5674" spans="1:19" ht="20">
      <c r="A5674" s="8">
        <v>43340.588217592594</v>
      </c>
      <c r="B5674" s="11" t="str">
        <f>HYPERLINK("https://twitter.com/EHS95470211","@EHS95470211")</f>
        <v>@EHS95470211</v>
      </c>
      <c r="C5674" s="6" t="s">
        <v>1157</v>
      </c>
      <c r="D5674" s="5" t="s">
        <v>1156</v>
      </c>
      <c r="E5674" s="9" t="str">
        <f>HYPERLINK("https://twitter.com/EHS95470211/status/1034374286511767552","1034374286511767552")</f>
        <v>1034374286511767552</v>
      </c>
      <c r="F5674" s="4"/>
      <c r="G5674" s="4"/>
      <c r="H5674" s="4"/>
      <c r="I5674" s="10" t="str">
        <f>HYPERLINK("http://twitter.com/download/android","Twitter for Android")</f>
        <v>Twitter for Android</v>
      </c>
      <c r="J5674" s="2">
        <v>160</v>
      </c>
      <c r="K5674" s="2">
        <v>191</v>
      </c>
      <c r="L5674" s="2">
        <v>0</v>
      </c>
      <c r="M5674" s="2"/>
      <c r="N5674" s="8">
        <v>42812.603541666671</v>
      </c>
      <c r="O5674" s="4"/>
      <c r="P5674" s="3" t="s">
        <v>1155</v>
      </c>
      <c r="Q5674" s="4"/>
      <c r="R5674" s="4"/>
      <c r="S5674" s="9" t="str">
        <f>HYPERLINK("https://pbs.twimg.com/profile_images/843065353047543809/IsWQP-e5.jpg","View")</f>
        <v>View</v>
      </c>
    </row>
    <row r="5675" spans="1:19" ht="20">
      <c r="A5675" s="8">
        <v>43340.587743055556</v>
      </c>
      <c r="B5675" s="11" t="str">
        <f>HYPERLINK("https://twitter.com/aligatoor14","@aligatoor14")</f>
        <v>@aligatoor14</v>
      </c>
      <c r="C5675" s="6" t="s">
        <v>1154</v>
      </c>
      <c r="D5675" s="5" t="s">
        <v>1153</v>
      </c>
      <c r="E5675" s="9" t="str">
        <f>HYPERLINK("https://twitter.com/aligatoor14/status/1034374113660477441","1034374113660477441")</f>
        <v>1034374113660477441</v>
      </c>
      <c r="F5675" s="4"/>
      <c r="G5675" s="4"/>
      <c r="H5675" s="4"/>
      <c r="I5675" s="10" t="str">
        <f>HYPERLINK("http://twitter.com","Twitter Web Client")</f>
        <v>Twitter Web Client</v>
      </c>
      <c r="J5675" s="2">
        <v>976</v>
      </c>
      <c r="K5675" s="2">
        <v>1007</v>
      </c>
      <c r="L5675" s="2">
        <v>1</v>
      </c>
      <c r="M5675" s="2"/>
      <c r="N5675" s="8">
        <v>43198.968298611115</v>
      </c>
      <c r="O5675" s="4"/>
      <c r="P5675" s="3" t="s">
        <v>1152</v>
      </c>
      <c r="Q5675" s="4"/>
      <c r="R5675" s="4"/>
      <c r="S5675" s="9" t="str">
        <f>HYPERLINK("https://pbs.twimg.com/profile_images/1006943530068185088/peDH8GZ7.jpg","View")</f>
        <v>View</v>
      </c>
    </row>
    <row r="5676" spans="1:19" ht="80">
      <c r="A5676" s="8">
        <v>43340.587731481486</v>
      </c>
      <c r="B5676" s="11" t="str">
        <f>HYPERLINK("https://twitter.com/LSetiz","@LSetiz")</f>
        <v>@LSetiz</v>
      </c>
      <c r="C5676" s="6" t="s">
        <v>1151</v>
      </c>
      <c r="D5676" s="5" t="s">
        <v>1150</v>
      </c>
      <c r="E5676" s="9" t="str">
        <f>HYPERLINK("https://twitter.com/LSetiz/status/1034374112213454850","1034374112213454850")</f>
        <v>1034374112213454850</v>
      </c>
      <c r="F5676" s="10" t="s">
        <v>612</v>
      </c>
      <c r="G5676" s="4"/>
      <c r="H5676" s="4"/>
      <c r="I5676" s="10" t="str">
        <f>HYPERLINK("http://twitter.com","Twitter Web Client")</f>
        <v>Twitter Web Client</v>
      </c>
      <c r="J5676" s="2">
        <v>270</v>
      </c>
      <c r="K5676" s="2">
        <v>494</v>
      </c>
      <c r="L5676" s="2">
        <v>0</v>
      </c>
      <c r="M5676" s="2"/>
      <c r="N5676" s="8">
        <v>43322.864803240736</v>
      </c>
      <c r="O5676" s="4"/>
      <c r="P5676" s="3" t="s">
        <v>1149</v>
      </c>
      <c r="Q5676" s="4"/>
      <c r="R5676" s="4"/>
      <c r="S5676" s="9" t="str">
        <f>HYPERLINK("https://pbs.twimg.com/profile_images/1028211361074085888/yHmcStVU.jpg","View")</f>
        <v>View</v>
      </c>
    </row>
    <row r="5677" spans="1:19" ht="40">
      <c r="A5677" s="8">
        <v>43340.587685185186</v>
      </c>
      <c r="B5677" s="11" t="str">
        <f>HYPERLINK("https://twitter.com/saeed_arefi","@saeed_arefi")</f>
        <v>@saeed_arefi</v>
      </c>
      <c r="C5677" s="6" t="s">
        <v>1148</v>
      </c>
      <c r="D5677" s="5" t="s">
        <v>1147</v>
      </c>
      <c r="E5677" s="9" t="str">
        <f>HYPERLINK("https://twitter.com/saeed_arefi/status/1034374095813701633","1034374095813701633")</f>
        <v>1034374095813701633</v>
      </c>
      <c r="F5677" s="4"/>
      <c r="G5677" s="4"/>
      <c r="H5677" s="4"/>
      <c r="I5677" s="10" t="str">
        <f>HYPERLINK("http://twitter.com/download/iphone","Twitter for iPhone")</f>
        <v>Twitter for iPhone</v>
      </c>
      <c r="J5677" s="2">
        <v>0</v>
      </c>
      <c r="K5677" s="2">
        <v>0</v>
      </c>
      <c r="L5677" s="2">
        <v>0</v>
      </c>
      <c r="M5677" s="2"/>
      <c r="N5677" s="8">
        <v>43229.558356481481</v>
      </c>
      <c r="O5677" s="4"/>
      <c r="P5677" s="3" t="s">
        <v>1146</v>
      </c>
      <c r="Q5677" s="4"/>
      <c r="R5677" s="4"/>
      <c r="S5677" s="2" t="s">
        <v>155</v>
      </c>
    </row>
    <row r="5678" spans="1:19" ht="20">
      <c r="A5678" s="8">
        <v>43340.587638888886</v>
      </c>
      <c r="B5678" s="11" t="str">
        <f>HYPERLINK("https://twitter.com/Rohoolah_Zam","@Rohoolah_Zam")</f>
        <v>@Rohoolah_Zam</v>
      </c>
      <c r="C5678" s="6" t="s">
        <v>1145</v>
      </c>
      <c r="D5678" s="5" t="s">
        <v>1144</v>
      </c>
      <c r="E5678" s="9" t="str">
        <f>HYPERLINK("https://twitter.com/Rohoolah_Zam/status/1034374076310192130","1034374076310192130")</f>
        <v>1034374076310192130</v>
      </c>
      <c r="F5678" s="4"/>
      <c r="G5678" s="4"/>
      <c r="H5678" s="4"/>
      <c r="I5678" s="10" t="str">
        <f>HYPERLINK("http://twitter.com/download/android","Twitter for Android")</f>
        <v>Twitter for Android</v>
      </c>
      <c r="J5678" s="2">
        <v>59</v>
      </c>
      <c r="K5678" s="2">
        <v>34</v>
      </c>
      <c r="L5678" s="2">
        <v>0</v>
      </c>
      <c r="M5678" s="2"/>
      <c r="N5678" s="8">
        <v>43332.135138888887</v>
      </c>
      <c r="O5678" s="4" t="s">
        <v>1143</v>
      </c>
      <c r="P5678" s="3" t="s">
        <v>1142</v>
      </c>
      <c r="Q5678" s="10" t="s">
        <v>1141</v>
      </c>
      <c r="R5678" s="4"/>
      <c r="S5678" s="9" t="str">
        <f>HYPERLINK("https://pbs.twimg.com/profile_images/1031672579759726595/6qlzY6gT.jpg","View")</f>
        <v>View</v>
      </c>
    </row>
    <row r="5679" spans="1:19" ht="30">
      <c r="A5679" s="8">
        <v>43340.587604166663</v>
      </c>
      <c r="B5679" s="11" t="str">
        <f>HYPERLINK("https://twitter.com/moriteza_","@moriteza_")</f>
        <v>@moriteza_</v>
      </c>
      <c r="C5679" s="6" t="s">
        <v>1140</v>
      </c>
      <c r="D5679" s="5" t="s">
        <v>1139</v>
      </c>
      <c r="E5679" s="9" t="str">
        <f>HYPERLINK("https://twitter.com/moriteza_/status/1034374065862176769","1034374065862176769")</f>
        <v>1034374065862176769</v>
      </c>
      <c r="F5679" s="4"/>
      <c r="G5679" s="4"/>
      <c r="H5679" s="4"/>
      <c r="I5679" s="10" t="str">
        <f>HYPERLINK("http://twitter.com/download/android","Twitter for Android")</f>
        <v>Twitter for Android</v>
      </c>
      <c r="J5679" s="2">
        <v>43</v>
      </c>
      <c r="K5679" s="2">
        <v>49</v>
      </c>
      <c r="L5679" s="2">
        <v>0</v>
      </c>
      <c r="M5679" s="2"/>
      <c r="N5679" s="8">
        <v>42240.114849537036</v>
      </c>
      <c r="O5679" s="4"/>
      <c r="P5679" s="3" t="s">
        <v>1138</v>
      </c>
      <c r="Q5679" s="4"/>
      <c r="R5679" s="4"/>
      <c r="S5679" s="9" t="str">
        <f>HYPERLINK("https://pbs.twimg.com/profile_images/682304383061766144/Oa_wyBKn.jpg","View")</f>
        <v>View</v>
      </c>
    </row>
    <row r="5680" spans="1:19" ht="30">
      <c r="A5680" s="8">
        <v>43340.587592592594</v>
      </c>
      <c r="B5680" s="11" t="str">
        <f>HYPERLINK("https://twitter.com/ApastropheS","@ApastropheS")</f>
        <v>@ApastropheS</v>
      </c>
      <c r="C5680" s="6" t="s">
        <v>1137</v>
      </c>
      <c r="D5680" s="5" t="s">
        <v>1136</v>
      </c>
      <c r="E5680" s="9" t="str">
        <f>HYPERLINK("https://twitter.com/ApastropheS/status/1034374059621068801","1034374059621068801")</f>
        <v>1034374059621068801</v>
      </c>
      <c r="F5680" s="4"/>
      <c r="G5680" s="4"/>
      <c r="H5680" s="4"/>
      <c r="I5680" s="10" t="str">
        <f>HYPERLINK("https://mobile.twitter.com","Mobile Web (M2)")</f>
        <v>Mobile Web (M2)</v>
      </c>
      <c r="J5680" s="2">
        <v>1562</v>
      </c>
      <c r="K5680" s="2">
        <v>532</v>
      </c>
      <c r="L5680" s="2">
        <v>18</v>
      </c>
      <c r="M5680" s="2"/>
      <c r="N5680" s="8">
        <v>42112.321273148147</v>
      </c>
      <c r="O5680" s="4" t="s">
        <v>1135</v>
      </c>
      <c r="P5680" s="3" t="s">
        <v>1134</v>
      </c>
      <c r="Q5680" s="4"/>
      <c r="R5680" s="4"/>
      <c r="S5680" s="9" t="str">
        <f>HYPERLINK("https://pbs.twimg.com/profile_images/610369484512206848/2oeaJTn8.jpg","View")</f>
        <v>View</v>
      </c>
    </row>
    <row r="5681" spans="1:19" ht="30">
      <c r="A5681" s="8">
        <v>43340.587581018517</v>
      </c>
      <c r="B5681" s="11" t="str">
        <f>HYPERLINK("https://twitter.com/zoljenan","@zoljenan")</f>
        <v>@zoljenan</v>
      </c>
      <c r="C5681" s="6" t="s">
        <v>1133</v>
      </c>
      <c r="D5681" s="5" t="s">
        <v>1132</v>
      </c>
      <c r="E5681" s="9" t="str">
        <f>HYPERLINK("https://twitter.com/zoljenan/status/1034374057028927488","1034374057028927488")</f>
        <v>1034374057028927488</v>
      </c>
      <c r="F5681" s="4"/>
      <c r="G5681" s="4"/>
      <c r="H5681" s="4"/>
      <c r="I5681" s="10" t="str">
        <f>HYPERLINK("http://twitter.com","Twitter Web Client")</f>
        <v>Twitter Web Client</v>
      </c>
      <c r="J5681" s="2">
        <v>1144</v>
      </c>
      <c r="K5681" s="2">
        <v>1980</v>
      </c>
      <c r="L5681" s="2">
        <v>1</v>
      </c>
      <c r="M5681" s="2"/>
      <c r="N5681" s="8">
        <v>42967.879629629635</v>
      </c>
      <c r="O5681" s="4" t="s">
        <v>34</v>
      </c>
      <c r="P5681" s="3" t="s">
        <v>1131</v>
      </c>
      <c r="Q5681" s="10" t="s">
        <v>1130</v>
      </c>
      <c r="R5681" s="4"/>
      <c r="S5681" s="9" t="str">
        <f>HYPERLINK("https://pbs.twimg.com/profile_images/998224455548612608/hWM4fqeu.jpg","View")</f>
        <v>View</v>
      </c>
    </row>
    <row r="5682" spans="1:19" ht="30">
      <c r="A5682" s="8">
        <v>43340.58756944444</v>
      </c>
      <c r="B5682" s="11" t="str">
        <f>HYPERLINK("https://twitter.com/mxyzh","@mxyzh")</f>
        <v>@mxyzh</v>
      </c>
      <c r="C5682" s="6" t="s">
        <v>1129</v>
      </c>
      <c r="D5682" s="5" t="s">
        <v>1128</v>
      </c>
      <c r="E5682" s="9" t="str">
        <f>HYPERLINK("https://twitter.com/mxyzh/status/1034374054457876481","1034374054457876481")</f>
        <v>1034374054457876481</v>
      </c>
      <c r="F5682" s="4"/>
      <c r="G5682" s="4"/>
      <c r="H5682" s="4"/>
      <c r="I5682" s="10" t="str">
        <f>HYPERLINK("http://twitter.com/download/android","Twitter for Android")</f>
        <v>Twitter for Android</v>
      </c>
      <c r="J5682" s="2">
        <v>849</v>
      </c>
      <c r="K5682" s="2">
        <v>454</v>
      </c>
      <c r="L5682" s="2">
        <v>5</v>
      </c>
      <c r="M5682" s="2"/>
      <c r="N5682" s="8">
        <v>40732.049108796295</v>
      </c>
      <c r="O5682" s="4" t="s">
        <v>1127</v>
      </c>
      <c r="P5682" s="3" t="s">
        <v>1126</v>
      </c>
      <c r="Q5682" s="4"/>
      <c r="R5682" s="4"/>
      <c r="S5682" s="9" t="str">
        <f>HYPERLINK("https://pbs.twimg.com/profile_images/878004688922267650/P0BEig0M.jpg","View")</f>
        <v>View</v>
      </c>
    </row>
    <row r="5683" spans="1:19" ht="20">
      <c r="A5683" s="8">
        <v>43340.587384259255</v>
      </c>
      <c r="B5683" s="11" t="str">
        <f>HYPERLINK("https://twitter.com/pooriya_fazel68","@pooriya_fazel68")</f>
        <v>@pooriya_fazel68</v>
      </c>
      <c r="C5683" s="6" t="s">
        <v>1125</v>
      </c>
      <c r="D5683" s="5" t="s">
        <v>1124</v>
      </c>
      <c r="E5683" s="9" t="str">
        <f>HYPERLINK("https://twitter.com/pooriya_fazel68/status/1034373986031992832","1034373986031992832")</f>
        <v>1034373986031992832</v>
      </c>
      <c r="F5683" s="4"/>
      <c r="G5683" s="4"/>
      <c r="H5683" s="4"/>
      <c r="I5683" s="10" t="str">
        <f>HYPERLINK("http://twitter.com/download/android","Twitter for Android")</f>
        <v>Twitter for Android</v>
      </c>
      <c r="J5683" s="2">
        <v>247</v>
      </c>
      <c r="K5683" s="2">
        <v>290</v>
      </c>
      <c r="L5683" s="2">
        <v>0</v>
      </c>
      <c r="M5683" s="2"/>
      <c r="N5683" s="8">
        <v>41809.918877314813</v>
      </c>
      <c r="O5683" s="4"/>
      <c r="P5683" s="3" t="s">
        <v>1123</v>
      </c>
      <c r="Q5683" s="4"/>
      <c r="R5683" s="4"/>
      <c r="S5683" s="9" t="str">
        <f>HYPERLINK("https://pbs.twimg.com/profile_images/1034134829367996422/-Pcn-2zq.jpg","View")</f>
        <v>View</v>
      </c>
    </row>
    <row r="5684" spans="1:19" ht="12.5">
      <c r="A5684" s="8">
        <v>43340.587337962963</v>
      </c>
      <c r="B5684" s="11" t="str">
        <f>HYPERLINK("https://twitter.com/mj8166","@mj8166")</f>
        <v>@mj8166</v>
      </c>
      <c r="C5684" s="6" t="s">
        <v>1122</v>
      </c>
      <c r="D5684" s="5" t="s">
        <v>1121</v>
      </c>
      <c r="E5684" s="9" t="str">
        <f>HYPERLINK("https://twitter.com/mj8166/status/1034373970114609152","1034373970114609152")</f>
        <v>1034373970114609152</v>
      </c>
      <c r="F5684" s="4"/>
      <c r="G5684" s="4"/>
      <c r="H5684" s="4"/>
      <c r="I5684" s="10" t="str">
        <f>HYPERLINK("http://twitter.com/download/android","Twitter for Android")</f>
        <v>Twitter for Android</v>
      </c>
      <c r="J5684" s="2">
        <v>89</v>
      </c>
      <c r="K5684" s="2">
        <v>503</v>
      </c>
      <c r="L5684" s="2">
        <v>0</v>
      </c>
      <c r="M5684" s="2"/>
      <c r="N5684" s="8">
        <v>42331.851631944446</v>
      </c>
      <c r="O5684" s="4" t="s">
        <v>34</v>
      </c>
      <c r="P5684" s="3"/>
      <c r="Q5684" s="4"/>
      <c r="R5684" s="4"/>
      <c r="S5684" s="9" t="str">
        <f>HYPERLINK("https://pbs.twimg.com/profile_images/865843253714833408/psX-TtHi.jpg","View")</f>
        <v>View</v>
      </c>
    </row>
    <row r="5685" spans="1:19" ht="20">
      <c r="A5685" s="8">
        <v>43340.587233796294</v>
      </c>
      <c r="B5685" s="11" t="str">
        <f>HYPERLINK("https://twitter.com/haj_pourya","@haj_pourya")</f>
        <v>@haj_pourya</v>
      </c>
      <c r="C5685" s="6" t="s">
        <v>1120</v>
      </c>
      <c r="D5685" s="5" t="s">
        <v>1119</v>
      </c>
      <c r="E5685" s="9" t="str">
        <f>HYPERLINK("https://twitter.com/haj_pourya/status/1034373930402934784","1034373930402934784")</f>
        <v>1034373930402934784</v>
      </c>
      <c r="F5685" s="4"/>
      <c r="G5685" s="10" t="s">
        <v>1118</v>
      </c>
      <c r="H5685" s="4"/>
      <c r="I5685" s="10" t="str">
        <f>HYPERLINK("http://twitter.com/download/android","Twitter for Android")</f>
        <v>Twitter for Android</v>
      </c>
      <c r="J5685" s="2">
        <v>307</v>
      </c>
      <c r="K5685" s="2">
        <v>333</v>
      </c>
      <c r="L5685" s="2">
        <v>0</v>
      </c>
      <c r="M5685" s="2"/>
      <c r="N5685" s="8">
        <v>43311.01262731482</v>
      </c>
      <c r="O5685" s="4" t="s">
        <v>1117</v>
      </c>
      <c r="P5685" s="3" t="s">
        <v>1116</v>
      </c>
      <c r="Q5685" s="4"/>
      <c r="R5685" s="4"/>
      <c r="S5685" s="9" t="str">
        <f>HYPERLINK("https://pbs.twimg.com/profile_images/1024224573112414208/e2fVor1D.jpg","View")</f>
        <v>View</v>
      </c>
    </row>
    <row r="5686" spans="1:19" ht="20">
      <c r="A5686" s="8">
        <v>43340.587222222224</v>
      </c>
      <c r="B5686" s="11" t="str">
        <f>HYPERLINK("https://twitter.com/_mohamad_naser","@_mohamad_naser")</f>
        <v>@_mohamad_naser</v>
      </c>
      <c r="C5686" s="6" t="s">
        <v>1115</v>
      </c>
      <c r="D5686" s="5" t="s">
        <v>1114</v>
      </c>
      <c r="E5686" s="9" t="str">
        <f>HYPERLINK("https://twitter.com/_mohamad_naser/status/1034373925118136320","1034373925118136320")</f>
        <v>1034373925118136320</v>
      </c>
      <c r="F5686" s="4"/>
      <c r="G5686" s="4"/>
      <c r="H5686" s="4"/>
      <c r="I5686" s="10" t="str">
        <f>HYPERLINK("http://twitter.com/download/iphone","Twitter for iPhone")</f>
        <v>Twitter for iPhone</v>
      </c>
      <c r="J5686" s="2">
        <v>546</v>
      </c>
      <c r="K5686" s="2">
        <v>1144</v>
      </c>
      <c r="L5686" s="2">
        <v>0</v>
      </c>
      <c r="M5686" s="2"/>
      <c r="N5686" s="8">
        <v>42816.931273148148</v>
      </c>
      <c r="O5686" s="4" t="s">
        <v>1113</v>
      </c>
      <c r="P5686" s="3" t="s">
        <v>1112</v>
      </c>
      <c r="Q5686" s="10" t="s">
        <v>1111</v>
      </c>
      <c r="R5686" s="4"/>
      <c r="S5686" s="9" t="str">
        <f>HYPERLINK("https://pbs.twimg.com/profile_images/1022536562272284672/Q_4zBmZK.jpg","View")</f>
        <v>View</v>
      </c>
    </row>
    <row r="5687" spans="1:19" ht="40">
      <c r="A5687" s="8">
        <v>43340.587222222224</v>
      </c>
      <c r="B5687" s="11" t="str">
        <f>HYPERLINK("https://twitter.com/Heftekhari3","@Heftekhari3")</f>
        <v>@Heftekhari3</v>
      </c>
      <c r="C5687" s="6" t="s">
        <v>1110</v>
      </c>
      <c r="D5687" s="5" t="s">
        <v>1109</v>
      </c>
      <c r="E5687" s="9" t="str">
        <f>HYPERLINK("https://twitter.com/Heftekhari3/status/1034373924606431232","1034373924606431232")</f>
        <v>1034373924606431232</v>
      </c>
      <c r="F5687" s="4"/>
      <c r="G5687" s="4"/>
      <c r="H5687" s="4"/>
      <c r="I5687" s="10" t="str">
        <f>HYPERLINK("https://mobile.twitter.com","Twitter Lite")</f>
        <v>Twitter Lite</v>
      </c>
      <c r="J5687" s="2">
        <v>5</v>
      </c>
      <c r="K5687" s="2">
        <v>13</v>
      </c>
      <c r="L5687" s="2">
        <v>0</v>
      </c>
      <c r="M5687" s="2"/>
      <c r="N5687" s="8">
        <v>42744.820509259254</v>
      </c>
      <c r="O5687" s="4" t="s">
        <v>133</v>
      </c>
      <c r="P5687" s="3" t="s">
        <v>1108</v>
      </c>
      <c r="Q5687" s="4"/>
      <c r="R5687" s="4"/>
      <c r="S5687" s="9" t="str">
        <f>HYPERLINK("https://pbs.twimg.com/profile_images/1028288552839393280/9HRpW9VD.jpg","View")</f>
        <v>View</v>
      </c>
    </row>
    <row r="5688" spans="1:19" ht="20">
      <c r="A5688" s="8">
        <v>43340.587094907409</v>
      </c>
      <c r="B5688" s="11" t="str">
        <f>HYPERLINK("https://twitter.com/bozorgva","@bozorgva")</f>
        <v>@bozorgva</v>
      </c>
      <c r="C5688" s="6" t="s">
        <v>1107</v>
      </c>
      <c r="D5688" s="5" t="s">
        <v>1106</v>
      </c>
      <c r="E5688" s="9" t="str">
        <f>HYPERLINK("https://twitter.com/bozorgva/status/1034373880960483328","1034373880960483328")</f>
        <v>1034373880960483328</v>
      </c>
      <c r="F5688" s="4"/>
      <c r="G5688" s="4"/>
      <c r="H5688" s="4"/>
      <c r="I5688" s="10" t="str">
        <f>HYPERLINK("http://twitter.com/download/android","Twitter for Android")</f>
        <v>Twitter for Android</v>
      </c>
      <c r="J5688" s="2">
        <v>311</v>
      </c>
      <c r="K5688" s="2">
        <v>1</v>
      </c>
      <c r="L5688" s="2">
        <v>1</v>
      </c>
      <c r="M5688" s="2"/>
      <c r="N5688" s="8">
        <v>43260.988402777773</v>
      </c>
      <c r="O5688" s="4" t="s">
        <v>1105</v>
      </c>
      <c r="P5688" s="3" t="s">
        <v>1104</v>
      </c>
      <c r="Q5688" s="4"/>
      <c r="R5688" s="4"/>
      <c r="S5688" s="9" t="str">
        <f>HYPERLINK("https://pbs.twimg.com/profile_images/1023506825705078791/xaT_ddIq.jpg","View")</f>
        <v>View</v>
      </c>
    </row>
    <row r="5689" spans="1:19" ht="12.5">
      <c r="A5689" s="8">
        <v>43340.587083333332</v>
      </c>
      <c r="B5689" s="11" t="str">
        <f>HYPERLINK("https://twitter.com/yVA4ATUfdofr2xS","@yVA4ATUfdofr2xS")</f>
        <v>@yVA4ATUfdofr2xS</v>
      </c>
      <c r="C5689" s="6" t="s">
        <v>27</v>
      </c>
      <c r="D5689" s="5" t="s">
        <v>1103</v>
      </c>
      <c r="E5689" s="9" t="str">
        <f>HYPERLINK("https://twitter.com/yVA4ATUfdofr2xS/status/1034373875256250368","1034373875256250368")</f>
        <v>1034373875256250368</v>
      </c>
      <c r="F5689" s="4"/>
      <c r="G5689" s="4"/>
      <c r="H5689" s="4"/>
      <c r="I5689" s="10" t="str">
        <f>HYPERLINK("http://twitter.com","Twitter Web Client")</f>
        <v>Twitter Web Client</v>
      </c>
      <c r="J5689" s="2">
        <v>127</v>
      </c>
      <c r="K5689" s="2">
        <v>211</v>
      </c>
      <c r="L5689" s="2">
        <v>0</v>
      </c>
      <c r="M5689" s="2"/>
      <c r="N5689" s="8">
        <v>43323.438252314816</v>
      </c>
      <c r="O5689" s="4" t="s">
        <v>25</v>
      </c>
      <c r="P5689" s="3" t="s">
        <v>24</v>
      </c>
      <c r="Q5689" s="4"/>
      <c r="R5689" s="4"/>
      <c r="S5689" s="9" t="str">
        <f>HYPERLINK("https://pbs.twimg.com/profile_images/1028178183206498305/b7usXKsw.jpg","View")</f>
        <v>View</v>
      </c>
    </row>
    <row r="5690" spans="1:19" ht="40">
      <c r="A5690" s="8">
        <v>43340.58694444444</v>
      </c>
      <c r="B5690" s="11" t="str">
        <f>HYPERLINK("https://twitter.com/tahtetaasir","@tahtetaasir")</f>
        <v>@tahtetaasir</v>
      </c>
      <c r="C5690" s="6" t="s">
        <v>1102</v>
      </c>
      <c r="D5690" s="5" t="s">
        <v>1101</v>
      </c>
      <c r="E5690" s="9" t="str">
        <f>HYPERLINK("https://twitter.com/tahtetaasir/status/1034373824051965957","1034373824051965957")</f>
        <v>1034373824051965957</v>
      </c>
      <c r="F5690" s="4"/>
      <c r="G5690" s="4"/>
      <c r="H5690" s="4"/>
      <c r="I5690" s="10" t="str">
        <f>HYPERLINK("http://twitter.com","Twitter Web Client")</f>
        <v>Twitter Web Client</v>
      </c>
      <c r="J5690" s="2">
        <v>1359</v>
      </c>
      <c r="K5690" s="2">
        <v>1441</v>
      </c>
      <c r="L5690" s="2">
        <v>4</v>
      </c>
      <c r="M5690" s="2"/>
      <c r="N5690" s="8">
        <v>42114.778182870374</v>
      </c>
      <c r="O5690" s="4"/>
      <c r="P5690" s="3" t="s">
        <v>1100</v>
      </c>
      <c r="Q5690" s="4"/>
      <c r="R5690" s="4"/>
      <c r="S5690" s="9" t="str">
        <f>HYPERLINK("https://pbs.twimg.com/profile_images/940588239999475714/5uUcmbjC.jpg","View")</f>
        <v>View</v>
      </c>
    </row>
    <row r="5691" spans="1:19" ht="30">
      <c r="A5691" s="8">
        <v>43340.586875000001</v>
      </c>
      <c r="B5691" s="11" t="str">
        <f>HYPERLINK("https://twitter.com/navidm67","@navidm67")</f>
        <v>@navidm67</v>
      </c>
      <c r="C5691" s="6" t="s">
        <v>1099</v>
      </c>
      <c r="D5691" s="5" t="s">
        <v>1098</v>
      </c>
      <c r="E5691" s="9" t="str">
        <f>HYPERLINK("https://twitter.com/navidm67/status/1034373801029640192","1034373801029640192")</f>
        <v>1034373801029640192</v>
      </c>
      <c r="F5691" s="4"/>
      <c r="G5691" s="4"/>
      <c r="H5691" s="4"/>
      <c r="I5691" s="10" t="str">
        <f>HYPERLINK("http://twitter.com/download/iphone","Twitter for iPhone")</f>
        <v>Twitter for iPhone</v>
      </c>
      <c r="J5691" s="2">
        <v>445</v>
      </c>
      <c r="K5691" s="2">
        <v>475</v>
      </c>
      <c r="L5691" s="2">
        <v>1</v>
      </c>
      <c r="M5691" s="2"/>
      <c r="N5691" s="8">
        <v>43270.400925925926</v>
      </c>
      <c r="O5691" s="4"/>
      <c r="P5691" s="3" t="s">
        <v>1097</v>
      </c>
      <c r="Q5691" s="4"/>
      <c r="R5691" s="4"/>
      <c r="S5691" s="9" t="str">
        <f>HYPERLINK("https://pbs.twimg.com/profile_images/1027305203702419459/W2P90AQh.jpg","View")</f>
        <v>View</v>
      </c>
    </row>
    <row r="5692" spans="1:19" ht="20">
      <c r="A5692" s="8">
        <v>43340.586851851855</v>
      </c>
      <c r="B5692" s="11" t="str">
        <f>HYPERLINK("https://twitter.com/ShahrivarDokht","@ShahrivarDokht")</f>
        <v>@ShahrivarDokht</v>
      </c>
      <c r="C5692" s="6" t="s">
        <v>1096</v>
      </c>
      <c r="D5692" s="5" t="s">
        <v>1095</v>
      </c>
      <c r="E5692" s="9" t="str">
        <f>HYPERLINK("https://twitter.com/ShahrivarDokht/status/1034373793127587841","1034373793127587841")</f>
        <v>1034373793127587841</v>
      </c>
      <c r="F5692" s="4"/>
      <c r="G5692" s="4"/>
      <c r="H5692" s="4"/>
      <c r="I5692" s="10" t="str">
        <f>HYPERLINK("http://twitter.com/download/android","Twitter for Android")</f>
        <v>Twitter for Android</v>
      </c>
      <c r="J5692" s="2">
        <v>2826</v>
      </c>
      <c r="K5692" s="2">
        <v>2932</v>
      </c>
      <c r="L5692" s="2">
        <v>4</v>
      </c>
      <c r="M5692" s="2"/>
      <c r="N5692" s="8">
        <v>43232.907650462963</v>
      </c>
      <c r="O5692" s="4" t="s">
        <v>17</v>
      </c>
      <c r="P5692" s="3" t="s">
        <v>1094</v>
      </c>
      <c r="Q5692" s="4"/>
      <c r="R5692" s="4"/>
      <c r="S5692" s="9" t="str">
        <f>HYPERLINK("https://pbs.twimg.com/profile_images/1009806470165225472/0jnAt4qJ.jpg","View")</f>
        <v>View</v>
      </c>
    </row>
    <row r="5693" spans="1:19" ht="40">
      <c r="A5693" s="8">
        <v>43340.586643518516</v>
      </c>
      <c r="B5693" s="11" t="str">
        <f>HYPERLINK("https://twitter.com/h_g_21","@h_g_21")</f>
        <v>@h_g_21</v>
      </c>
      <c r="C5693" s="6" t="s">
        <v>1093</v>
      </c>
      <c r="D5693" s="5" t="s">
        <v>1092</v>
      </c>
      <c r="E5693" s="9" t="str">
        <f>HYPERLINK("https://twitter.com/h_g_21/status/1034373715545530368","1034373715545530368")</f>
        <v>1034373715545530368</v>
      </c>
      <c r="F5693" s="4"/>
      <c r="G5693" s="4"/>
      <c r="H5693" s="4"/>
      <c r="I5693" s="10" t="str">
        <f>HYPERLINK("http://twitter.com/download/android","Twitter for Android")</f>
        <v>Twitter for Android</v>
      </c>
      <c r="J5693" s="2">
        <v>1886</v>
      </c>
      <c r="K5693" s="2">
        <v>1100</v>
      </c>
      <c r="L5693" s="2">
        <v>3</v>
      </c>
      <c r="M5693" s="2"/>
      <c r="N5693" s="8">
        <v>42730.685324074075</v>
      </c>
      <c r="O5693" s="4"/>
      <c r="P5693" s="3" t="s">
        <v>1091</v>
      </c>
      <c r="Q5693" s="4"/>
      <c r="R5693" s="4"/>
      <c r="S5693" s="9" t="str">
        <f>HYPERLINK("https://pbs.twimg.com/profile_images/983791237143711746/8Eiztf9g.jpg","View")</f>
        <v>View</v>
      </c>
    </row>
    <row r="5694" spans="1:19" ht="40">
      <c r="A5694" s="8">
        <v>43340.586469907408</v>
      </c>
      <c r="B5694" s="11" t="str">
        <f>HYPERLINK("https://twitter.com/Meeladbamaei70","@Meeladbamaei70")</f>
        <v>@Meeladbamaei70</v>
      </c>
      <c r="C5694" s="6" t="s">
        <v>1090</v>
      </c>
      <c r="D5694" s="5" t="s">
        <v>1089</v>
      </c>
      <c r="E5694" s="9" t="str">
        <f>HYPERLINK("https://twitter.com/Meeladbamaei70/status/1034373655705411584","1034373655705411584")</f>
        <v>1034373655705411584</v>
      </c>
      <c r="F5694" s="4"/>
      <c r="G5694" s="4"/>
      <c r="H5694" s="4"/>
      <c r="I5694" s="10" t="str">
        <f>HYPERLINK("https://mobile.twitter.com","Twitter Lite")</f>
        <v>Twitter Lite</v>
      </c>
      <c r="J5694" s="2">
        <v>208</v>
      </c>
      <c r="K5694" s="2">
        <v>35</v>
      </c>
      <c r="L5694" s="2">
        <v>1</v>
      </c>
      <c r="M5694" s="2"/>
      <c r="N5694" s="8">
        <v>42992.701516203699</v>
      </c>
      <c r="O5694" s="4"/>
      <c r="P5694" s="3" t="s">
        <v>1088</v>
      </c>
      <c r="Q5694" s="4"/>
      <c r="R5694" s="4"/>
      <c r="S5694" s="9" t="str">
        <f>HYPERLINK("https://pbs.twimg.com/profile_images/951840232436985856/WxB6KmYK.jpg","View")</f>
        <v>View</v>
      </c>
    </row>
    <row r="5695" spans="1:19" ht="30">
      <c r="A5695" s="8">
        <v>43340.586180555554</v>
      </c>
      <c r="B5695" s="11" t="str">
        <f>HYPERLINK("https://twitter.com/hazbavi58","@hazbavi58")</f>
        <v>@hazbavi58</v>
      </c>
      <c r="C5695" s="6" t="s">
        <v>1087</v>
      </c>
      <c r="D5695" s="5" t="s">
        <v>1086</v>
      </c>
      <c r="E5695" s="9" t="str">
        <f>HYPERLINK("https://twitter.com/hazbavi58/status/1034373547563601921","1034373547563601921")</f>
        <v>1034373547563601921</v>
      </c>
      <c r="F5695" s="4"/>
      <c r="G5695" s="4"/>
      <c r="H5695" s="4"/>
      <c r="I5695" s="10" t="str">
        <f>HYPERLINK("http://twitter.com/download/android","Twitter for Android")</f>
        <v>Twitter for Android</v>
      </c>
      <c r="J5695" s="2">
        <v>2265</v>
      </c>
      <c r="K5695" s="2">
        <v>2310</v>
      </c>
      <c r="L5695" s="2">
        <v>2</v>
      </c>
      <c r="M5695" s="2"/>
      <c r="N5695" s="8">
        <v>42730.451585648145</v>
      </c>
      <c r="O5695" s="4" t="s">
        <v>34</v>
      </c>
      <c r="P5695" s="3" t="s">
        <v>1085</v>
      </c>
      <c r="Q5695" s="4"/>
      <c r="R5695" s="4"/>
      <c r="S5695" s="9" t="str">
        <f>HYPERLINK("https://pbs.twimg.com/profile_images/1027533869694758912/P3SDvZdZ.jpg","View")</f>
        <v>View</v>
      </c>
    </row>
    <row r="5696" spans="1:19" ht="30">
      <c r="A5696" s="8">
        <v>43340.586168981477</v>
      </c>
      <c r="B5696" s="11" t="str">
        <f>HYPERLINK("https://twitter.com/irani12aa","@irani12aa")</f>
        <v>@irani12aa</v>
      </c>
      <c r="C5696" s="6" t="s">
        <v>1084</v>
      </c>
      <c r="D5696" s="5" t="s">
        <v>1083</v>
      </c>
      <c r="E5696" s="9" t="str">
        <f>HYPERLINK("https://twitter.com/irani12aa/status/1034373545663574016","1034373545663574016")</f>
        <v>1034373545663574016</v>
      </c>
      <c r="F5696" s="4"/>
      <c r="G5696" s="4"/>
      <c r="H5696" s="4"/>
      <c r="I5696" s="10" t="str">
        <f>HYPERLINK("http://twitter.com/download/android","Twitter for Android")</f>
        <v>Twitter for Android</v>
      </c>
      <c r="J5696" s="2">
        <v>1550</v>
      </c>
      <c r="K5696" s="2">
        <v>1537</v>
      </c>
      <c r="L5696" s="2">
        <v>2</v>
      </c>
      <c r="M5696" s="2"/>
      <c r="N5696" s="8">
        <v>43105.441979166666</v>
      </c>
      <c r="O5696" s="4" t="s">
        <v>902</v>
      </c>
      <c r="P5696" s="3" t="s">
        <v>1082</v>
      </c>
      <c r="Q5696" s="4"/>
      <c r="R5696" s="4"/>
      <c r="S5696" s="9" t="str">
        <f>HYPERLINK("https://pbs.twimg.com/profile_images/955831574389579779/we7WTQ5y.jpg","View")</f>
        <v>View</v>
      </c>
    </row>
    <row r="5697" spans="1:19" ht="20">
      <c r="A5697" s="8">
        <v>43340.586157407408</v>
      </c>
      <c r="B5697" s="11" t="str">
        <f>HYPERLINK("https://twitter.com/Fm_torabi","@Fm_torabi")</f>
        <v>@Fm_torabi</v>
      </c>
      <c r="C5697" s="6" t="s">
        <v>1081</v>
      </c>
      <c r="D5697" s="5" t="s">
        <v>1080</v>
      </c>
      <c r="E5697" s="9" t="str">
        <f>HYPERLINK("https://twitter.com/Fm_torabi/status/1034373539607011328","1034373539607011328")</f>
        <v>1034373539607011328</v>
      </c>
      <c r="F5697" s="4"/>
      <c r="G5697" s="10" t="s">
        <v>1079</v>
      </c>
      <c r="H5697" s="4"/>
      <c r="I5697" s="10" t="str">
        <f>HYPERLINK("http://twitter.com/download/android","Twitter for Android")</f>
        <v>Twitter for Android</v>
      </c>
      <c r="J5697" s="2">
        <v>1046</v>
      </c>
      <c r="K5697" s="2">
        <v>445</v>
      </c>
      <c r="L5697" s="2">
        <v>4</v>
      </c>
      <c r="M5697" s="2"/>
      <c r="N5697" s="8">
        <v>42970.053993055553</v>
      </c>
      <c r="O5697" s="4" t="s">
        <v>1078</v>
      </c>
      <c r="P5697" s="3" t="s">
        <v>1077</v>
      </c>
      <c r="Q5697" s="4"/>
      <c r="R5697" s="4"/>
      <c r="S5697" s="9" t="str">
        <f>HYPERLINK("https://pbs.twimg.com/profile_images/1026712018462670848/p1cyu7It.jpg","View")</f>
        <v>View</v>
      </c>
    </row>
    <row r="5698" spans="1:19" ht="20">
      <c r="A5698" s="8">
        <v>43340.586111111115</v>
      </c>
      <c r="B5698" s="11" t="str">
        <f>HYPERLINK("https://twitter.com/smostafa1992","@smostafa1992")</f>
        <v>@smostafa1992</v>
      </c>
      <c r="C5698" s="6" t="s">
        <v>1076</v>
      </c>
      <c r="D5698" s="5" t="s">
        <v>1075</v>
      </c>
      <c r="E5698" s="9" t="str">
        <f>HYPERLINK("https://twitter.com/smostafa1992/status/1034373523110862848","1034373523110862848")</f>
        <v>1034373523110862848</v>
      </c>
      <c r="F5698" s="4"/>
      <c r="G5698" s="4"/>
      <c r="H5698" s="4"/>
      <c r="I5698" s="10" t="str">
        <f>HYPERLINK("http://twitter.com/download/iphone","Twitter for iPhone")</f>
        <v>Twitter for iPhone</v>
      </c>
      <c r="J5698" s="2">
        <v>11</v>
      </c>
      <c r="K5698" s="2">
        <v>32</v>
      </c>
      <c r="L5698" s="2">
        <v>0</v>
      </c>
      <c r="M5698" s="2"/>
      <c r="N5698" s="8">
        <v>43326.545289351852</v>
      </c>
      <c r="O5698" s="4" t="s">
        <v>1074</v>
      </c>
      <c r="P5698" s="3" t="s">
        <v>1073</v>
      </c>
      <c r="Q5698" s="10" t="s">
        <v>1072</v>
      </c>
      <c r="R5698" s="4"/>
      <c r="S5698" s="9" t="str">
        <f>HYPERLINK("https://pbs.twimg.com/profile_images/1029287491138990083/OQSkcKdz.jpg","View")</f>
        <v>View</v>
      </c>
    </row>
    <row r="5699" spans="1:19" ht="20">
      <c r="A5699" s="8">
        <v>43340.554722222223</v>
      </c>
      <c r="B5699" s="11" t="str">
        <f>HYPERLINK("https://twitter.com/molfian13","@molfian13")</f>
        <v>@molfian13</v>
      </c>
      <c r="C5699" s="6" t="s">
        <v>1071</v>
      </c>
      <c r="D5699" s="5" t="s">
        <v>1070</v>
      </c>
      <c r="E5699" s="9" t="str">
        <f>HYPERLINK("https://twitter.com/molfian13/status/1034362149274042368","1034362149274042368")</f>
        <v>1034362149274042368</v>
      </c>
      <c r="F5699" s="4"/>
      <c r="G5699" s="4"/>
      <c r="H5699" s="4"/>
      <c r="I5699" s="10" t="str">
        <f>HYPERLINK("http://twitter.com/download/android","Twitter for Android")</f>
        <v>Twitter for Android</v>
      </c>
      <c r="J5699" s="2">
        <v>41</v>
      </c>
      <c r="K5699" s="2">
        <v>38</v>
      </c>
      <c r="L5699" s="2">
        <v>0</v>
      </c>
      <c r="M5699" s="2"/>
      <c r="N5699" s="8">
        <v>43292.854178240741</v>
      </c>
      <c r="O5699" s="4"/>
      <c r="P5699" s="3"/>
      <c r="Q5699" s="4"/>
      <c r="R5699" s="4"/>
      <c r="S5699" s="9" t="str">
        <f>HYPERLINK("https://pbs.twimg.com/profile_images/1017078770124148737/sNn1o8nK.jpg","View")</f>
        <v>View</v>
      </c>
    </row>
    <row r="5700" spans="1:19" ht="40">
      <c r="A5700" s="8">
        <v>43340.554444444446</v>
      </c>
      <c r="B5700" s="11" t="str">
        <f>HYPERLINK("https://twitter.com/KeyvanHoseinvad","@KeyvanHoseinvad")</f>
        <v>@KeyvanHoseinvad</v>
      </c>
      <c r="C5700" s="6" t="s">
        <v>1069</v>
      </c>
      <c r="D5700" s="5" t="s">
        <v>1068</v>
      </c>
      <c r="E5700" s="9" t="str">
        <f>HYPERLINK("https://twitter.com/KeyvanHoseinvad/status/1034362048942141440","1034362048942141440")</f>
        <v>1034362048942141440</v>
      </c>
      <c r="F5700" s="4"/>
      <c r="G5700" s="4"/>
      <c r="H5700" s="4"/>
      <c r="I5700" s="10" t="str">
        <f>HYPERLINK("http://twitter.com/download/android","Twitter for Android")</f>
        <v>Twitter for Android</v>
      </c>
      <c r="J5700" s="2">
        <v>1134</v>
      </c>
      <c r="K5700" s="2">
        <v>1376</v>
      </c>
      <c r="L5700" s="2">
        <v>4</v>
      </c>
      <c r="M5700" s="2"/>
      <c r="N5700" s="8">
        <v>42896.446412037039</v>
      </c>
      <c r="O5700" s="4" t="s">
        <v>1067</v>
      </c>
      <c r="P5700" s="3" t="s">
        <v>1066</v>
      </c>
      <c r="Q5700" s="4"/>
      <c r="R5700" s="4"/>
      <c r="S5700" s="9" t="str">
        <f>HYPERLINK("https://pbs.twimg.com/profile_images/1012366785788641285/dD3ZD0BU.jpg","View")</f>
        <v>View</v>
      </c>
    </row>
    <row r="5701" spans="1:19" ht="40">
      <c r="A5701" s="8">
        <v>43340.554305555561</v>
      </c>
      <c r="B5701" s="11" t="str">
        <f>HYPERLINK("https://twitter.com/aboozarpdk","@aboozarpdk")</f>
        <v>@aboozarpdk</v>
      </c>
      <c r="C5701" s="6" t="s">
        <v>1065</v>
      </c>
      <c r="D5701" s="5" t="s">
        <v>1064</v>
      </c>
      <c r="E5701" s="9" t="str">
        <f>HYPERLINK("https://twitter.com/aboozarpdk/status/1034361997427654657","1034361997427654657")</f>
        <v>1034361997427654657</v>
      </c>
      <c r="F5701" s="4"/>
      <c r="G5701" s="4"/>
      <c r="H5701" s="4"/>
      <c r="I5701" s="10" t="str">
        <f>HYPERLINK("http://twitter.com","Twitter Web Client")</f>
        <v>Twitter Web Client</v>
      </c>
      <c r="J5701" s="2">
        <v>1532</v>
      </c>
      <c r="K5701" s="2">
        <v>1402</v>
      </c>
      <c r="L5701" s="2">
        <v>1</v>
      </c>
      <c r="M5701" s="2"/>
      <c r="N5701" s="8">
        <v>43016.697893518518</v>
      </c>
      <c r="O5701" s="4" t="s">
        <v>1063</v>
      </c>
      <c r="P5701" s="3" t="s">
        <v>1062</v>
      </c>
      <c r="Q5701" s="4"/>
      <c r="R5701" s="4"/>
      <c r="S5701" s="9" t="str">
        <f>HYPERLINK("https://pbs.twimg.com/profile_images/1017302612906053632/lBgztGMI.jpg","View")</f>
        <v>View</v>
      </c>
    </row>
    <row r="5702" spans="1:19" ht="20">
      <c r="A5702" s="8">
        <v>43340.554270833338</v>
      </c>
      <c r="B5702" s="11" t="str">
        <f>HYPERLINK("https://twitter.com/rasool_nmv","@rasool_nmv")</f>
        <v>@rasool_nmv</v>
      </c>
      <c r="C5702" s="6" t="s">
        <v>1061</v>
      </c>
      <c r="D5702" s="5" t="s">
        <v>1060</v>
      </c>
      <c r="E5702" s="9" t="str">
        <f>HYPERLINK("https://twitter.com/rasool_nmv/status/1034361983561293824","1034361983561293824")</f>
        <v>1034361983561293824</v>
      </c>
      <c r="F5702" s="4"/>
      <c r="G5702" s="10" t="s">
        <v>1059</v>
      </c>
      <c r="H5702" s="4"/>
      <c r="I5702" s="10" t="str">
        <f>HYPERLINK("http://twitter.com/download/android","Twitter for Android")</f>
        <v>Twitter for Android</v>
      </c>
      <c r="J5702" s="2">
        <v>421</v>
      </c>
      <c r="K5702" s="2">
        <v>88</v>
      </c>
      <c r="L5702" s="2">
        <v>2</v>
      </c>
      <c r="M5702" s="2"/>
      <c r="N5702" s="8">
        <v>42700.840185185181</v>
      </c>
      <c r="O5702" s="4" t="s">
        <v>1058</v>
      </c>
      <c r="P5702" s="3" t="s">
        <v>1057</v>
      </c>
      <c r="Q5702" s="4"/>
      <c r="R5702" s="4"/>
      <c r="S5702" s="9" t="str">
        <f>HYPERLINK("https://pbs.twimg.com/profile_images/1002305374391820288/NQFEWTPb.jpg","View")</f>
        <v>View</v>
      </c>
    </row>
    <row r="5703" spans="1:19" ht="40">
      <c r="A5703" s="8">
        <v>43340.554039351853</v>
      </c>
      <c r="B5703" s="11" t="str">
        <f>HYPERLINK("https://twitter.com/haj_marx","@haj_marx")</f>
        <v>@haj_marx</v>
      </c>
      <c r="C5703" s="6" t="s">
        <v>1056</v>
      </c>
      <c r="D5703" s="5" t="s">
        <v>1055</v>
      </c>
      <c r="E5703" s="9" t="str">
        <f>HYPERLINK("https://twitter.com/haj_marx/status/1034361901495578624","1034361901495578624")</f>
        <v>1034361901495578624</v>
      </c>
      <c r="F5703" s="4"/>
      <c r="G5703" s="4"/>
      <c r="H5703" s="4"/>
      <c r="I5703" s="10" t="str">
        <f>HYPERLINK("http://twitter.com/download/android","Twitter for Android")</f>
        <v>Twitter for Android</v>
      </c>
      <c r="J5703" s="2">
        <v>723</v>
      </c>
      <c r="K5703" s="2">
        <v>590</v>
      </c>
      <c r="L5703" s="2">
        <v>1</v>
      </c>
      <c r="M5703" s="2"/>
      <c r="N5703" s="8">
        <v>43048.727453703701</v>
      </c>
      <c r="O5703" s="4" t="s">
        <v>34</v>
      </c>
      <c r="P5703" s="3" t="s">
        <v>1054</v>
      </c>
      <c r="Q5703" s="4"/>
      <c r="R5703" s="4"/>
      <c r="S5703" s="9" t="str">
        <f>HYPERLINK("https://pbs.twimg.com/profile_images/1021371763203198976/uedlnO6l.jpg","View")</f>
        <v>View</v>
      </c>
    </row>
    <row r="5704" spans="1:19" ht="40">
      <c r="A5704" s="8">
        <v>43340.55400462963</v>
      </c>
      <c r="B5704" s="11" t="str">
        <f>HYPERLINK("https://twitter.com/MahdiAsgari133","@MahdiAsgari133")</f>
        <v>@MahdiAsgari133</v>
      </c>
      <c r="C5704" s="6" t="s">
        <v>1053</v>
      </c>
      <c r="D5704" s="5" t="s">
        <v>1052</v>
      </c>
      <c r="E5704" s="9" t="str">
        <f>HYPERLINK("https://twitter.com/MahdiAsgari133/status/1034361889369849856","1034361889369849856")</f>
        <v>1034361889369849856</v>
      </c>
      <c r="F5704" s="4"/>
      <c r="G5704" s="4"/>
      <c r="H5704" s="4"/>
      <c r="I5704" s="10" t="str">
        <f>HYPERLINK("https://mobile.twitter.com","Twitter Lite")</f>
        <v>Twitter Lite</v>
      </c>
      <c r="J5704" s="2">
        <v>188</v>
      </c>
      <c r="K5704" s="2">
        <v>119</v>
      </c>
      <c r="L5704" s="2">
        <v>0</v>
      </c>
      <c r="M5704" s="2"/>
      <c r="N5704" s="8">
        <v>42916.602719907409</v>
      </c>
      <c r="O5704" s="4" t="s">
        <v>1051</v>
      </c>
      <c r="P5704" s="3" t="s">
        <v>1050</v>
      </c>
      <c r="Q5704" s="10" t="s">
        <v>1049</v>
      </c>
      <c r="R5704" s="4"/>
      <c r="S5704" s="9" t="str">
        <f>HYPERLINK("https://pbs.twimg.com/profile_images/904086052658434048/Q_gyx3AW.jpg","View")</f>
        <v>View</v>
      </c>
    </row>
    <row r="5705" spans="1:19" ht="40">
      <c r="A5705" s="8">
        <v>43340.553796296299</v>
      </c>
      <c r="B5705" s="11" t="str">
        <f>HYPERLINK("https://twitter.com/_suffocated","@_suffocated")</f>
        <v>@_suffocated</v>
      </c>
      <c r="C5705" s="6" t="s">
        <v>1048</v>
      </c>
      <c r="D5705" s="5" t="s">
        <v>1047</v>
      </c>
      <c r="E5705" s="9" t="str">
        <f>HYPERLINK("https://twitter.com/_suffocated/status/1034361813981429760","1034361813981429760")</f>
        <v>1034361813981429760</v>
      </c>
      <c r="F5705" s="4"/>
      <c r="G5705" s="4"/>
      <c r="H5705" s="4"/>
      <c r="I5705" s="10" t="str">
        <f>HYPERLINK("http://twitter.com/download/android","Twitter for Android")</f>
        <v>Twitter for Android</v>
      </c>
      <c r="J5705" s="2">
        <v>861</v>
      </c>
      <c r="K5705" s="2">
        <v>327</v>
      </c>
      <c r="L5705" s="2">
        <v>10</v>
      </c>
      <c r="M5705" s="2"/>
      <c r="N5705" s="8">
        <v>39775.348715277782</v>
      </c>
      <c r="O5705" s="4" t="s">
        <v>1046</v>
      </c>
      <c r="P5705" s="3" t="s">
        <v>1045</v>
      </c>
      <c r="Q5705" s="4"/>
      <c r="R5705" s="4"/>
      <c r="S5705" s="9" t="str">
        <f>HYPERLINK("https://pbs.twimg.com/profile_images/995670039671050240/r-3QDZ0V.jpg","View")</f>
        <v>View</v>
      </c>
    </row>
    <row r="5706" spans="1:19" ht="40">
      <c r="A5706" s="8">
        <v>43340.55368055556</v>
      </c>
      <c r="B5706" s="11" t="str">
        <f>HYPERLINK("https://twitter.com/313_salmaneh","@313_salmaneh")</f>
        <v>@313_salmaneh</v>
      </c>
      <c r="C5706" s="6" t="s">
        <v>1044</v>
      </c>
      <c r="D5706" s="5" t="s">
        <v>1043</v>
      </c>
      <c r="E5706" s="9" t="str">
        <f>HYPERLINK("https://twitter.com/313_salmaneh/status/1034361769484083201","1034361769484083201")</f>
        <v>1034361769484083201</v>
      </c>
      <c r="F5706" s="10" t="s">
        <v>1042</v>
      </c>
      <c r="G5706" s="4"/>
      <c r="H5706" s="4"/>
      <c r="I5706" s="10" t="str">
        <f>HYPERLINK("http://twitter.com/download/android","Twitter for Android")</f>
        <v>Twitter for Android</v>
      </c>
      <c r="J5706" s="2">
        <v>3949</v>
      </c>
      <c r="K5706" s="2">
        <v>1636</v>
      </c>
      <c r="L5706" s="2">
        <v>17</v>
      </c>
      <c r="M5706" s="2"/>
      <c r="N5706" s="8">
        <v>42726.000833333332</v>
      </c>
      <c r="O5706" s="4" t="s">
        <v>1041</v>
      </c>
      <c r="P5706" s="3" t="s">
        <v>1040</v>
      </c>
      <c r="Q5706" s="4"/>
      <c r="R5706" s="4"/>
      <c r="S5706" s="9" t="str">
        <f>HYPERLINK("https://pbs.twimg.com/profile_images/983000228478488576/Yu9P0z-W.jpg","View")</f>
        <v>View</v>
      </c>
    </row>
    <row r="5707" spans="1:19" ht="40">
      <c r="A5707" s="8">
        <v>43340.553657407407</v>
      </c>
      <c r="B5707" s="11" t="str">
        <f>HYPERLINK("https://twitter.com/Nightingale_SA","@Nightingale_SA")</f>
        <v>@Nightingale_SA</v>
      </c>
      <c r="C5707" s="6" t="s">
        <v>889</v>
      </c>
      <c r="D5707" s="5" t="s">
        <v>1039</v>
      </c>
      <c r="E5707" s="9" t="str">
        <f>HYPERLINK("https://twitter.com/Nightingale_SA/status/1034361764513767425","1034361764513767425")</f>
        <v>1034361764513767425</v>
      </c>
      <c r="F5707" s="4"/>
      <c r="G5707" s="4"/>
      <c r="H5707" s="4"/>
      <c r="I5707" s="10" t="str">
        <f>HYPERLINK("http://twitter.com","Twitter Web Client")</f>
        <v>Twitter Web Client</v>
      </c>
      <c r="J5707" s="2">
        <v>182</v>
      </c>
      <c r="K5707" s="2">
        <v>679</v>
      </c>
      <c r="L5707" s="2">
        <v>1</v>
      </c>
      <c r="M5707" s="2"/>
      <c r="N5707" s="8">
        <v>43193.657326388886</v>
      </c>
      <c r="O5707" s="4"/>
      <c r="P5707" s="3" t="s">
        <v>886</v>
      </c>
      <c r="Q5707" s="4"/>
      <c r="R5707" s="4"/>
      <c r="S5707" s="9" t="str">
        <f>HYPERLINK("https://pbs.twimg.com/profile_images/981131756601569280/OkTGUrYl.jpg","View")</f>
        <v>View</v>
      </c>
    </row>
    <row r="5708" spans="1:19" ht="30">
      <c r="A5708" s="8">
        <v>43340.55363425926</v>
      </c>
      <c r="B5708" s="11" t="str">
        <f>HYPERLINK("https://twitter.com/asmaerfanifar","@asmaerfanifar")</f>
        <v>@asmaerfanifar</v>
      </c>
      <c r="C5708" s="6" t="s">
        <v>1038</v>
      </c>
      <c r="D5708" s="5" t="s">
        <v>1037</v>
      </c>
      <c r="E5708" s="9" t="str">
        <f>HYPERLINK("https://twitter.com/asmaerfanifar/status/1034361756213227520","1034361756213227520")</f>
        <v>1034361756213227520</v>
      </c>
      <c r="F5708" s="4"/>
      <c r="G5708" s="10" t="s">
        <v>1036</v>
      </c>
      <c r="H5708" s="4"/>
      <c r="I5708" s="10" t="str">
        <f>HYPERLINK("http://twitter.com/download/android","Twitter for Android")</f>
        <v>Twitter for Android</v>
      </c>
      <c r="J5708" s="2">
        <v>155</v>
      </c>
      <c r="K5708" s="2">
        <v>491</v>
      </c>
      <c r="L5708" s="2">
        <v>0</v>
      </c>
      <c r="M5708" s="2"/>
      <c r="N5708" s="8">
        <v>41087.681261574078</v>
      </c>
      <c r="O5708" s="4" t="s">
        <v>34</v>
      </c>
      <c r="P5708" s="3" t="s">
        <v>1035</v>
      </c>
      <c r="Q5708" s="10" t="s">
        <v>1034</v>
      </c>
      <c r="R5708" s="4"/>
      <c r="S5708" s="9" t="str">
        <f>HYPERLINK("https://pbs.twimg.com/profile_images/1009778871217065984/ZadNfH5C.jpg","View")</f>
        <v>View</v>
      </c>
    </row>
    <row r="5709" spans="1:19" ht="20">
      <c r="A5709" s="8">
        <v>43340.553530092591</v>
      </c>
      <c r="B5709" s="11" t="str">
        <f>HYPERLINK("https://twitter.com/__Fingolfin","@__Fingolfin")</f>
        <v>@__Fingolfin</v>
      </c>
      <c r="C5709" s="6" t="s">
        <v>1033</v>
      </c>
      <c r="D5709" s="5" t="s">
        <v>1032</v>
      </c>
      <c r="E5709" s="9" t="str">
        <f>HYPERLINK("https://twitter.com/__Fingolfin/status/1034361716996550656","1034361716996550656")</f>
        <v>1034361716996550656</v>
      </c>
      <c r="F5709" s="4"/>
      <c r="G5709" s="4"/>
      <c r="H5709" s="4"/>
      <c r="I5709" s="10" t="str">
        <f>HYPERLINK("http://twitter.com/download/android","Twitter for Android")</f>
        <v>Twitter for Android</v>
      </c>
      <c r="J5709" s="2">
        <v>852</v>
      </c>
      <c r="K5709" s="2">
        <v>230</v>
      </c>
      <c r="L5709" s="2">
        <v>12</v>
      </c>
      <c r="M5709" s="2"/>
      <c r="N5709" s="8">
        <v>41628.676076388889</v>
      </c>
      <c r="O5709" s="4" t="s">
        <v>34</v>
      </c>
      <c r="P5709" s="3" t="s">
        <v>1031</v>
      </c>
      <c r="Q5709" s="10" t="s">
        <v>1030</v>
      </c>
      <c r="R5709" s="4"/>
      <c r="S5709" s="9" t="str">
        <f>HYPERLINK("https://pbs.twimg.com/profile_images/886688998307049472/ZpSIUlS4.jpg","View")</f>
        <v>View</v>
      </c>
    </row>
    <row r="5710" spans="1:19" ht="30">
      <c r="A5710" s="8">
        <v>43340.55333333333</v>
      </c>
      <c r="B5710" s="11" t="str">
        <f>HYPERLINK("https://twitter.com/reza_ghs","@reza_ghs")</f>
        <v>@reza_ghs</v>
      </c>
      <c r="C5710" s="6" t="s">
        <v>1029</v>
      </c>
      <c r="D5710" s="5" t="s">
        <v>1028</v>
      </c>
      <c r="E5710" s="9" t="str">
        <f>HYPERLINK("https://twitter.com/reza_ghs/status/1034361646263803904","1034361646263803904")</f>
        <v>1034361646263803904</v>
      </c>
      <c r="F5710" s="4"/>
      <c r="G5710" s="4"/>
      <c r="H5710" s="4"/>
      <c r="I5710" s="10" t="str">
        <f>HYPERLINK("http://twitter.com/download/android","Twitter for Android")</f>
        <v>Twitter for Android</v>
      </c>
      <c r="J5710" s="2">
        <v>3348</v>
      </c>
      <c r="K5710" s="2">
        <v>887</v>
      </c>
      <c r="L5710" s="2">
        <v>36</v>
      </c>
      <c r="M5710" s="2"/>
      <c r="N5710" s="8">
        <v>39170.741273148145</v>
      </c>
      <c r="O5710" s="4"/>
      <c r="P5710" s="3" t="s">
        <v>1027</v>
      </c>
      <c r="Q5710" s="4"/>
      <c r="R5710" s="4"/>
      <c r="S5710" s="9" t="str">
        <f>HYPERLINK("https://pbs.twimg.com/profile_images/1033792694789787648/R4tHktqU.jpg","View")</f>
        <v>View</v>
      </c>
    </row>
    <row r="5711" spans="1:19" ht="30">
      <c r="A5711" s="8">
        <v>43340.553298611107</v>
      </c>
      <c r="B5711" s="11" t="str">
        <f>HYPERLINK("https://twitter.com/bituexport","@bituexport")</f>
        <v>@bituexport</v>
      </c>
      <c r="C5711" s="6" t="s">
        <v>1026</v>
      </c>
      <c r="D5711" s="5" t="s">
        <v>1025</v>
      </c>
      <c r="E5711" s="9" t="str">
        <f>HYPERLINK("https://twitter.com/bituexport/status/1034361634368774145","1034361634368774145")</f>
        <v>1034361634368774145</v>
      </c>
      <c r="F5711" s="4"/>
      <c r="G5711" s="10" t="s">
        <v>1024</v>
      </c>
      <c r="H5711" s="4"/>
      <c r="I5711" s="10" t="str">
        <f>HYPERLINK("http://twitter.com/download/iphone","Twitter for iPhone")</f>
        <v>Twitter for iPhone</v>
      </c>
      <c r="J5711" s="2">
        <v>790</v>
      </c>
      <c r="K5711" s="2">
        <v>725</v>
      </c>
      <c r="L5711" s="2">
        <v>1</v>
      </c>
      <c r="M5711" s="2"/>
      <c r="N5711" s="8">
        <v>40009.714120370372</v>
      </c>
      <c r="O5711" s="4" t="s">
        <v>133</v>
      </c>
      <c r="P5711" s="3" t="s">
        <v>1023</v>
      </c>
      <c r="Q5711" s="4"/>
      <c r="R5711" s="4"/>
      <c r="S5711" s="9" t="str">
        <f>HYPERLINK("https://pbs.twimg.com/profile_images/1023269511095623680/1GmSsfxF.jpg","View")</f>
        <v>View</v>
      </c>
    </row>
    <row r="5712" spans="1:19" ht="40">
      <c r="A5712" s="8">
        <v>43340.553275462968</v>
      </c>
      <c r="B5712" s="11" t="str">
        <f>HYPERLINK("https://twitter.com/shabgardmobtala","@shabgardmobtala")</f>
        <v>@shabgardmobtala</v>
      </c>
      <c r="C5712" s="6" t="s">
        <v>839</v>
      </c>
      <c r="D5712" s="5" t="s">
        <v>1022</v>
      </c>
      <c r="E5712" s="9" t="str">
        <f>HYPERLINK("https://twitter.com/shabgardmobtala/status/1034361625099358208","1034361625099358208")</f>
        <v>1034361625099358208</v>
      </c>
      <c r="F5712" s="4"/>
      <c r="G5712" s="4"/>
      <c r="H5712" s="4"/>
      <c r="I5712" s="10" t="str">
        <f>HYPERLINK("http://twitter.com","Twitter Web Client")</f>
        <v>Twitter Web Client</v>
      </c>
      <c r="J5712" s="2">
        <v>24</v>
      </c>
      <c r="K5712" s="2">
        <v>18</v>
      </c>
      <c r="L5712" s="2">
        <v>0</v>
      </c>
      <c r="M5712" s="2"/>
      <c r="N5712" s="8">
        <v>43144.627175925925</v>
      </c>
      <c r="O5712" s="4"/>
      <c r="P5712" s="3"/>
      <c r="Q5712" s="4"/>
      <c r="R5712" s="4"/>
      <c r="S5712" s="9" t="str">
        <f>HYPERLINK("https://pbs.twimg.com/profile_images/1029733365241573379/wmJtlvR7.jpg","View")</f>
        <v>View</v>
      </c>
    </row>
    <row r="5713" spans="1:19" ht="20">
      <c r="A5713" s="8">
        <v>43340.553078703699</v>
      </c>
      <c r="B5713" s="11" t="str">
        <f>HYPERLINK("https://twitter.com/rasane13","@rasane13")</f>
        <v>@rasane13</v>
      </c>
      <c r="C5713" s="6" t="s">
        <v>977</v>
      </c>
      <c r="D5713" s="5" t="s">
        <v>1021</v>
      </c>
      <c r="E5713" s="9" t="str">
        <f>HYPERLINK("https://twitter.com/rasane13/status/1034361551451566080","1034361551451566080")</f>
        <v>1034361551451566080</v>
      </c>
      <c r="F5713" s="4"/>
      <c r="G5713" s="4"/>
      <c r="H5713" s="4"/>
      <c r="I5713" s="10" t="str">
        <f>HYPERLINK("http://twitter.com/download/android","Twitter for Android")</f>
        <v>Twitter for Android</v>
      </c>
      <c r="J5713" s="2">
        <v>39</v>
      </c>
      <c r="K5713" s="2">
        <v>49</v>
      </c>
      <c r="L5713" s="2">
        <v>0</v>
      </c>
      <c r="M5713" s="2"/>
      <c r="N5713" s="8">
        <v>43326.602337962962</v>
      </c>
      <c r="O5713" s="4" t="s">
        <v>975</v>
      </c>
      <c r="P5713" s="3" t="s">
        <v>974</v>
      </c>
      <c r="Q5713" s="4"/>
      <c r="R5713" s="4"/>
      <c r="S5713" s="9" t="str">
        <f>HYPERLINK("https://pbs.twimg.com/profile_images/1029307345615159297/tLY9mzlu.jpg","View")</f>
        <v>View</v>
      </c>
    </row>
    <row r="5714" spans="1:19" ht="40">
      <c r="A5714" s="8">
        <v>43340.55305555556</v>
      </c>
      <c r="B5714" s="11" t="str">
        <f>HYPERLINK("https://twitter.com/black_cat_e_o","@black_cat_e_o")</f>
        <v>@black_cat_e_o</v>
      </c>
      <c r="C5714" s="6" t="s">
        <v>1020</v>
      </c>
      <c r="D5714" s="5" t="s">
        <v>1019</v>
      </c>
      <c r="E5714" s="9" t="str">
        <f>HYPERLINK("https://twitter.com/black_cat_e_o/status/1034361546351276032","1034361546351276032")</f>
        <v>1034361546351276032</v>
      </c>
      <c r="F5714" s="4"/>
      <c r="G5714" s="4"/>
      <c r="H5714" s="4"/>
      <c r="I5714" s="10" t="str">
        <f>HYPERLINK("http://twitter.com/download/android","Twitter for Android")</f>
        <v>Twitter for Android</v>
      </c>
      <c r="J5714" s="2">
        <v>3782</v>
      </c>
      <c r="K5714" s="2">
        <v>3562</v>
      </c>
      <c r="L5714" s="2">
        <v>9</v>
      </c>
      <c r="M5714" s="2"/>
      <c r="N5714" s="8">
        <v>42985.490810185191</v>
      </c>
      <c r="O5714" s="4" t="s">
        <v>1018</v>
      </c>
      <c r="P5714" s="3" t="s">
        <v>1017</v>
      </c>
      <c r="Q5714" s="10" t="s">
        <v>1016</v>
      </c>
      <c r="R5714" s="4"/>
      <c r="S5714" s="9" t="str">
        <f>HYPERLINK("https://pbs.twimg.com/profile_images/979248483726217216/uCQE7v6V.jpg","View")</f>
        <v>View</v>
      </c>
    </row>
    <row r="5715" spans="1:19" ht="30">
      <c r="A5715" s="8">
        <v>43340.552951388891</v>
      </c>
      <c r="B5715" s="11" t="str">
        <f>HYPERLINK("https://twitter.com/pirkharabat97","@pirkharabat97")</f>
        <v>@pirkharabat97</v>
      </c>
      <c r="C5715" s="6" t="s">
        <v>1015</v>
      </c>
      <c r="D5715" s="5" t="s">
        <v>1014</v>
      </c>
      <c r="E5715" s="9" t="str">
        <f>HYPERLINK("https://twitter.com/pirkharabat97/status/1034361507553992704","1034361507553992704")</f>
        <v>1034361507553992704</v>
      </c>
      <c r="F5715" s="4"/>
      <c r="G5715" s="10" t="s">
        <v>1013</v>
      </c>
      <c r="H5715" s="4"/>
      <c r="I5715" s="10" t="str">
        <f>HYPERLINK("http://twitter.com","Twitter Web Client")</f>
        <v>Twitter Web Client</v>
      </c>
      <c r="J5715" s="2">
        <v>2</v>
      </c>
      <c r="K5715" s="2">
        <v>43</v>
      </c>
      <c r="L5715" s="2">
        <v>0</v>
      </c>
      <c r="M5715" s="2"/>
      <c r="N5715" s="8">
        <v>43337.821284722224</v>
      </c>
      <c r="O5715" s="4" t="s">
        <v>324</v>
      </c>
      <c r="P5715" s="3" t="s">
        <v>1012</v>
      </c>
      <c r="Q5715" s="4"/>
      <c r="R5715" s="4"/>
      <c r="S5715" s="9" t="str">
        <f>HYPERLINK("https://pbs.twimg.com/profile_images/1033374898478112769/xRqVx_TV.jpg","View")</f>
        <v>View</v>
      </c>
    </row>
    <row r="5716" spans="1:19" ht="30">
      <c r="A5716" s="8">
        <v>43340.552881944444</v>
      </c>
      <c r="B5716" s="11" t="str">
        <f>HYPERLINK("https://twitter.com/ponezss","@ponezss")</f>
        <v>@ponezss</v>
      </c>
      <c r="C5716" s="6" t="s">
        <v>1011</v>
      </c>
      <c r="D5716" s="5" t="s">
        <v>1010</v>
      </c>
      <c r="E5716" s="9" t="str">
        <f>HYPERLINK("https://twitter.com/ponezss/status/1034361483491205120","1034361483491205120")</f>
        <v>1034361483491205120</v>
      </c>
      <c r="F5716" s="4"/>
      <c r="G5716" s="4"/>
      <c r="H5716" s="4"/>
      <c r="I5716" s="10" t="str">
        <f>HYPERLINK("http://twitter.com/download/android","Twitter for Android")</f>
        <v>Twitter for Android</v>
      </c>
      <c r="J5716" s="2">
        <v>1358</v>
      </c>
      <c r="K5716" s="2">
        <v>698</v>
      </c>
      <c r="L5716" s="2">
        <v>1</v>
      </c>
      <c r="M5716" s="2"/>
      <c r="N5716" s="8">
        <v>42876.615879629629</v>
      </c>
      <c r="O5716" s="4" t="s">
        <v>17</v>
      </c>
      <c r="P5716" s="3" t="s">
        <v>1009</v>
      </c>
      <c r="Q5716" s="4"/>
      <c r="R5716" s="4"/>
      <c r="S5716" s="9" t="str">
        <f>HYPERLINK("https://pbs.twimg.com/profile_images/998335956628357120/wWcDCWln.jpg","View")</f>
        <v>View</v>
      </c>
    </row>
    <row r="5717" spans="1:19" ht="40">
      <c r="A5717" s="8">
        <v>43340.552858796298</v>
      </c>
      <c r="B5717" s="11" t="str">
        <f>HYPERLINK("https://twitter.com/jangzadeh_","@jangzadeh_")</f>
        <v>@jangzadeh_</v>
      </c>
      <c r="C5717" s="6" t="s">
        <v>1008</v>
      </c>
      <c r="D5717" s="5" t="s">
        <v>1007</v>
      </c>
      <c r="E5717" s="9" t="str">
        <f>HYPERLINK("https://twitter.com/jangzadeh_/status/1034361473034854401","1034361473034854401")</f>
        <v>1034361473034854401</v>
      </c>
      <c r="F5717" s="4"/>
      <c r="G5717" s="4"/>
      <c r="H5717" s="4"/>
      <c r="I5717" s="10" t="str">
        <f>HYPERLINK("http://twitter.com","Twitter Web Client")</f>
        <v>Twitter Web Client</v>
      </c>
      <c r="J5717" s="2">
        <v>332</v>
      </c>
      <c r="K5717" s="2">
        <v>390</v>
      </c>
      <c r="L5717" s="2">
        <v>1</v>
      </c>
      <c r="M5717" s="2"/>
      <c r="N5717" s="8">
        <v>43162.692361111112</v>
      </c>
      <c r="O5717" s="4" t="s">
        <v>1006</v>
      </c>
      <c r="P5717" s="3" t="s">
        <v>1005</v>
      </c>
      <c r="Q5717" s="4"/>
      <c r="R5717" s="4"/>
      <c r="S5717" s="9" t="str">
        <f>HYPERLINK("https://pbs.twimg.com/profile_images/1027120529671507968/pp5l-MJW.jpg","View")</f>
        <v>View</v>
      </c>
    </row>
    <row r="5718" spans="1:19" ht="20">
      <c r="A5718" s="8">
        <v>43340.552847222221</v>
      </c>
      <c r="B5718" s="11" t="str">
        <f>HYPERLINK("https://twitter.com/Mohamad12348527","@Mohamad12348527")</f>
        <v>@Mohamad12348527</v>
      </c>
      <c r="C5718" s="6" t="s">
        <v>1004</v>
      </c>
      <c r="D5718" s="5" t="s">
        <v>1003</v>
      </c>
      <c r="E5718" s="9" t="str">
        <f>HYPERLINK("https://twitter.com/Mohamad12348527/status/1034361470312763393","1034361470312763393")</f>
        <v>1034361470312763393</v>
      </c>
      <c r="F5718" s="4"/>
      <c r="G5718" s="10" t="s">
        <v>1002</v>
      </c>
      <c r="H5718" s="4"/>
      <c r="I5718" s="10" t="str">
        <f>HYPERLINK("http://twitter.com/download/android","Twitter for Android")</f>
        <v>Twitter for Android</v>
      </c>
      <c r="J5718" s="2">
        <v>37</v>
      </c>
      <c r="K5718" s="2">
        <v>261</v>
      </c>
      <c r="L5718" s="2">
        <v>0</v>
      </c>
      <c r="M5718" s="2"/>
      <c r="N5718" s="8">
        <v>43112.535590277781</v>
      </c>
      <c r="O5718" s="4" t="s">
        <v>17</v>
      </c>
      <c r="P5718" s="3" t="s">
        <v>1001</v>
      </c>
      <c r="Q5718" s="4"/>
      <c r="R5718" s="4"/>
      <c r="S5718" s="9" t="str">
        <f>HYPERLINK("https://pbs.twimg.com/profile_images/1031870781448441856/cYi7V27f.jpg","View")</f>
        <v>View</v>
      </c>
    </row>
    <row r="5719" spans="1:19" ht="20">
      <c r="A5719" s="8">
        <v>43340.552581018521</v>
      </c>
      <c r="B5719" s="11" t="str">
        <f>HYPERLINK("https://twitter.com/arvinjavid","@arvinjavid")</f>
        <v>@arvinjavid</v>
      </c>
      <c r="C5719" s="6" t="s">
        <v>1000</v>
      </c>
      <c r="D5719" s="5" t="s">
        <v>999</v>
      </c>
      <c r="E5719" s="9" t="str">
        <f>HYPERLINK("https://twitter.com/arvinjavid/status/1034361372543463425","1034361372543463425")</f>
        <v>1034361372543463425</v>
      </c>
      <c r="F5719" s="4"/>
      <c r="G5719" s="4"/>
      <c r="H5719" s="4"/>
      <c r="I5719" s="10" t="str">
        <f>HYPERLINK("http://twitter.com/download/android","Twitter for Android")</f>
        <v>Twitter for Android</v>
      </c>
      <c r="J5719" s="2">
        <v>45</v>
      </c>
      <c r="K5719" s="2">
        <v>269</v>
      </c>
      <c r="L5719" s="2">
        <v>0</v>
      </c>
      <c r="M5719" s="2"/>
      <c r="N5719" s="8">
        <v>41520.97247685185</v>
      </c>
      <c r="O5719" s="4" t="s">
        <v>682</v>
      </c>
      <c r="P5719" s="3" t="s">
        <v>998</v>
      </c>
      <c r="Q5719" s="4"/>
      <c r="R5719" s="4"/>
      <c r="S5719" s="9" t="str">
        <f>HYPERLINK("https://pbs.twimg.com/profile_images/767111363042869252/wsoyEfzx.jpg","View")</f>
        <v>View</v>
      </c>
    </row>
    <row r="5720" spans="1:19" ht="30">
      <c r="A5720" s="8">
        <v>43340.552395833336</v>
      </c>
      <c r="B5720" s="11" t="str">
        <f>HYPERLINK("https://twitter.com/dokhtarehaftab","@dokhtarehaftab")</f>
        <v>@dokhtarehaftab</v>
      </c>
      <c r="C5720" s="6" t="s">
        <v>997</v>
      </c>
      <c r="D5720" s="5" t="s">
        <v>996</v>
      </c>
      <c r="E5720" s="9" t="str">
        <f>HYPERLINK("https://twitter.com/dokhtarehaftab/status/1034361305279488000","1034361305279488000")</f>
        <v>1034361305279488000</v>
      </c>
      <c r="F5720" s="4" t="s">
        <v>995</v>
      </c>
      <c r="G5720" s="4"/>
      <c r="H5720" s="4"/>
      <c r="I5720" s="10" t="str">
        <f>HYPERLINK("http://twitter.com/download/android","Twitter for Android")</f>
        <v>Twitter for Android</v>
      </c>
      <c r="J5720" s="2">
        <v>1744</v>
      </c>
      <c r="K5720" s="2">
        <v>1171</v>
      </c>
      <c r="L5720" s="2">
        <v>7</v>
      </c>
      <c r="M5720" s="2"/>
      <c r="N5720" s="8">
        <v>43068.075868055559</v>
      </c>
      <c r="O5720" s="4" t="s">
        <v>994</v>
      </c>
      <c r="P5720" s="3" t="s">
        <v>993</v>
      </c>
      <c r="Q5720" s="4"/>
      <c r="R5720" s="4"/>
      <c r="S5720" s="9" t="str">
        <f>HYPERLINK("https://pbs.twimg.com/profile_images/1027565718857019393/sKbtGEmW.jpg","View")</f>
        <v>View</v>
      </c>
    </row>
    <row r="5721" spans="1:19" ht="20">
      <c r="A5721" s="8">
        <v>43340.552395833336</v>
      </c>
      <c r="B5721" s="11" t="str">
        <f>HYPERLINK("https://twitter.com/nimachampion","@nimachampion")</f>
        <v>@nimachampion</v>
      </c>
      <c r="C5721" s="6" t="s">
        <v>992</v>
      </c>
      <c r="D5721" s="5" t="s">
        <v>991</v>
      </c>
      <c r="E5721" s="9" t="str">
        <f>HYPERLINK("https://twitter.com/nimachampion/status/1034361304805507072","1034361304805507072")</f>
        <v>1034361304805507072</v>
      </c>
      <c r="F5721" s="4"/>
      <c r="G5721" s="4"/>
      <c r="H5721" s="4"/>
      <c r="I5721" s="10" t="str">
        <f>HYPERLINK("http://twitter.com/download/android","Twitter for Android")</f>
        <v>Twitter for Android</v>
      </c>
      <c r="J5721" s="2">
        <v>23</v>
      </c>
      <c r="K5721" s="2">
        <v>84</v>
      </c>
      <c r="L5721" s="2">
        <v>0</v>
      </c>
      <c r="M5721" s="2"/>
      <c r="N5721" s="8">
        <v>40658.434236111112</v>
      </c>
      <c r="O5721" s="4" t="s">
        <v>990</v>
      </c>
      <c r="P5721" s="3" t="s">
        <v>989</v>
      </c>
      <c r="Q5721" s="4"/>
      <c r="R5721" s="4"/>
      <c r="S5721" s="9" t="str">
        <f>HYPERLINK("https://pbs.twimg.com/profile_images/1029284349185851395/Ja4JEGpx.jpg","View")</f>
        <v>View</v>
      </c>
    </row>
    <row r="5722" spans="1:19" ht="60">
      <c r="A5722" s="8">
        <v>43340.552384259259</v>
      </c>
      <c r="B5722" s="11" t="str">
        <f>HYPERLINK("https://twitter.com/sh_hasanzad","@sh_hasanzad")</f>
        <v>@sh_hasanzad</v>
      </c>
      <c r="C5722" s="6" t="s">
        <v>988</v>
      </c>
      <c r="D5722" s="5" t="s">
        <v>987</v>
      </c>
      <c r="E5722" s="9" t="str">
        <f>HYPERLINK("https://twitter.com/sh_hasanzad/status/1034361299730395136","1034361299730395136")</f>
        <v>1034361299730395136</v>
      </c>
      <c r="F5722" s="10" t="s">
        <v>986</v>
      </c>
      <c r="G5722" s="10" t="s">
        <v>985</v>
      </c>
      <c r="H5722" s="4"/>
      <c r="I5722" s="10" t="str">
        <f>HYPERLINK("http://twitter.com","Twitter Web Client")</f>
        <v>Twitter Web Client</v>
      </c>
      <c r="J5722" s="2">
        <v>176</v>
      </c>
      <c r="K5722" s="2">
        <v>216</v>
      </c>
      <c r="L5722" s="2">
        <v>3</v>
      </c>
      <c r="M5722" s="2"/>
      <c r="N5722" s="8">
        <v>42958.818078703705</v>
      </c>
      <c r="O5722" s="4"/>
      <c r="P5722" s="3" t="s">
        <v>984</v>
      </c>
      <c r="Q5722" s="10" t="s">
        <v>983</v>
      </c>
      <c r="R5722" s="4"/>
      <c r="S5722" s="9" t="str">
        <f>HYPERLINK("https://pbs.twimg.com/profile_images/924550591069806592/7EBpBTIc.jpg","View")</f>
        <v>View</v>
      </c>
    </row>
    <row r="5723" spans="1:19" ht="20">
      <c r="A5723" s="8">
        <v>43340.552037037036</v>
      </c>
      <c r="B5723" s="11" t="str">
        <f>HYPERLINK("https://twitter.com/SalekOmid","@SalekOmid")</f>
        <v>@SalekOmid</v>
      </c>
      <c r="C5723" s="6" t="s">
        <v>982</v>
      </c>
      <c r="D5723" s="5" t="s">
        <v>981</v>
      </c>
      <c r="E5723" s="9" t="str">
        <f>HYPERLINK("https://twitter.com/SalekOmid/status/1034361175931346945","1034361175931346945")</f>
        <v>1034361175931346945</v>
      </c>
      <c r="F5723" s="4"/>
      <c r="G5723" s="4"/>
      <c r="H5723" s="4"/>
      <c r="I5723" s="10" t="str">
        <f>HYPERLINK("http://twitter.com/download/iphone","Twitter for iPhone")</f>
        <v>Twitter for iPhone</v>
      </c>
      <c r="J5723" s="2">
        <v>85</v>
      </c>
      <c r="K5723" s="2">
        <v>85</v>
      </c>
      <c r="L5723" s="2">
        <v>0</v>
      </c>
      <c r="M5723" s="2"/>
      <c r="N5723" s="8">
        <v>43265.993252314816</v>
      </c>
      <c r="O5723" s="4" t="s">
        <v>980</v>
      </c>
      <c r="P5723" s="3" t="s">
        <v>979</v>
      </c>
      <c r="Q5723" s="10" t="s">
        <v>978</v>
      </c>
      <c r="R5723" s="4"/>
      <c r="S5723" s="9" t="str">
        <f>HYPERLINK("https://pbs.twimg.com/profile_images/1007342649131618311/EOpUdINw.jpg","View")</f>
        <v>View</v>
      </c>
    </row>
    <row r="5724" spans="1:19" ht="30">
      <c r="A5724" s="8">
        <v>43340.551944444444</v>
      </c>
      <c r="B5724" s="11" t="str">
        <f>HYPERLINK("https://twitter.com/rasane13","@rasane13")</f>
        <v>@rasane13</v>
      </c>
      <c r="C5724" s="6" t="s">
        <v>977</v>
      </c>
      <c r="D5724" s="5" t="s">
        <v>976</v>
      </c>
      <c r="E5724" s="9" t="str">
        <f>HYPERLINK("https://twitter.com/rasane13/status/1034361142817316872","1034361142817316872")</f>
        <v>1034361142817316872</v>
      </c>
      <c r="F5724" s="4"/>
      <c r="G5724" s="4"/>
      <c r="H5724" s="4"/>
      <c r="I5724" s="10" t="str">
        <f>HYPERLINK("http://twitter.com/download/android","Twitter for Android")</f>
        <v>Twitter for Android</v>
      </c>
      <c r="J5724" s="2">
        <v>39</v>
      </c>
      <c r="K5724" s="2">
        <v>49</v>
      </c>
      <c r="L5724" s="2">
        <v>0</v>
      </c>
      <c r="M5724" s="2"/>
      <c r="N5724" s="8">
        <v>43326.602337962962</v>
      </c>
      <c r="O5724" s="4" t="s">
        <v>975</v>
      </c>
      <c r="P5724" s="3" t="s">
        <v>974</v>
      </c>
      <c r="Q5724" s="4"/>
      <c r="R5724" s="4"/>
      <c r="S5724" s="9" t="str">
        <f>HYPERLINK("https://pbs.twimg.com/profile_images/1029307345615159297/tLY9mzlu.jpg","View")</f>
        <v>View</v>
      </c>
    </row>
    <row r="5725" spans="1:19" ht="40">
      <c r="A5725" s="8">
        <v>43340.551863425921</v>
      </c>
      <c r="B5725" s="11" t="str">
        <f>HYPERLINK("https://twitter.com/mo_ali_n","@mo_ali_n")</f>
        <v>@mo_ali_n</v>
      </c>
      <c r="C5725" s="6" t="s">
        <v>973</v>
      </c>
      <c r="D5725" s="5" t="s">
        <v>972</v>
      </c>
      <c r="E5725" s="9" t="str">
        <f>HYPERLINK("https://twitter.com/mo_ali_n/status/1034361111330660353","1034361111330660353")</f>
        <v>1034361111330660353</v>
      </c>
      <c r="F5725" s="4"/>
      <c r="G5725" s="4"/>
      <c r="H5725" s="4"/>
      <c r="I5725" s="10" t="str">
        <f>HYPERLINK("http://twitter.com/download/android","Twitter for Android")</f>
        <v>Twitter for Android</v>
      </c>
      <c r="J5725" s="2">
        <v>554</v>
      </c>
      <c r="K5725" s="2">
        <v>73</v>
      </c>
      <c r="L5725" s="2">
        <v>5</v>
      </c>
      <c r="M5725" s="2"/>
      <c r="N5725" s="8">
        <v>42833.661527777775</v>
      </c>
      <c r="O5725" s="4" t="s">
        <v>34</v>
      </c>
      <c r="P5725" s="3" t="s">
        <v>971</v>
      </c>
      <c r="Q5725" s="10" t="s">
        <v>970</v>
      </c>
      <c r="R5725" s="4"/>
      <c r="S5725" s="9" t="str">
        <f>HYPERLINK("https://pbs.twimg.com/profile_images/952930292624437248/tEQoFGKS.jpg","View")</f>
        <v>View</v>
      </c>
    </row>
    <row r="5726" spans="1:19" ht="30">
      <c r="A5726" s="8">
        <v>43340.551851851851</v>
      </c>
      <c r="B5726" s="11" t="str">
        <f>HYPERLINK("https://twitter.com/VictorLoggo","@VictorLoggo")</f>
        <v>@VictorLoggo</v>
      </c>
      <c r="C5726" s="6" t="s">
        <v>969</v>
      </c>
      <c r="D5726" s="5" t="s">
        <v>968</v>
      </c>
      <c r="E5726" s="9" t="str">
        <f>HYPERLINK("https://twitter.com/VictorLoggo/status/1034361108394635264","1034361108394635264")</f>
        <v>1034361108394635264</v>
      </c>
      <c r="F5726" s="4"/>
      <c r="G5726" s="4"/>
      <c r="H5726" s="4"/>
      <c r="I5726" s="10" t="str">
        <f>HYPERLINK("http://twitter.com/download/android","Twitter for Android")</f>
        <v>Twitter for Android</v>
      </c>
      <c r="J5726" s="2">
        <v>205</v>
      </c>
      <c r="K5726" s="2">
        <v>269</v>
      </c>
      <c r="L5726" s="2">
        <v>0</v>
      </c>
      <c r="M5726" s="2"/>
      <c r="N5726" s="8">
        <v>42377.105624999997</v>
      </c>
      <c r="O5726" s="4" t="s">
        <v>967</v>
      </c>
      <c r="P5726" s="3" t="s">
        <v>966</v>
      </c>
      <c r="Q5726" s="4"/>
      <c r="R5726" s="4"/>
      <c r="S5726" s="9" t="str">
        <f>HYPERLINK("https://pbs.twimg.com/profile_images/1015821586522345472/QxrRvtqD.jpg","View")</f>
        <v>View</v>
      </c>
    </row>
    <row r="5727" spans="1:19" ht="30">
      <c r="A5727" s="8">
        <v>43340.551782407405</v>
      </c>
      <c r="B5727" s="11" t="str">
        <f>HYPERLINK("https://twitter.com/Aliescobar00","@Aliescobar00")</f>
        <v>@Aliescobar00</v>
      </c>
      <c r="C5727" s="6" t="s">
        <v>965</v>
      </c>
      <c r="D5727" s="5" t="s">
        <v>964</v>
      </c>
      <c r="E5727" s="9" t="str">
        <f>HYPERLINK("https://twitter.com/Aliescobar00/status/1034361081626537985","1034361081626537985")</f>
        <v>1034361081626537985</v>
      </c>
      <c r="F5727" s="4"/>
      <c r="G5727" s="4"/>
      <c r="H5727" s="4"/>
      <c r="I5727" s="10" t="str">
        <f>HYPERLINK("http://twitter.com/download/android","Twitter for Android")</f>
        <v>Twitter for Android</v>
      </c>
      <c r="J5727" s="2">
        <v>608</v>
      </c>
      <c r="K5727" s="2">
        <v>1012</v>
      </c>
      <c r="L5727" s="2">
        <v>0</v>
      </c>
      <c r="M5727" s="2"/>
      <c r="N5727" s="8">
        <v>42781.48505787037</v>
      </c>
      <c r="O5727" s="4" t="s">
        <v>963</v>
      </c>
      <c r="P5727" s="3" t="s">
        <v>962</v>
      </c>
      <c r="Q5727" s="4"/>
      <c r="R5727" s="4"/>
      <c r="S5727" s="9" t="str">
        <f>HYPERLINK("https://pbs.twimg.com/profile_images/1013111789964480513/PA8MlDc6.jpg","View")</f>
        <v>View</v>
      </c>
    </row>
    <row r="5728" spans="1:19" ht="40">
      <c r="A5728" s="8">
        <v>43340.551770833335</v>
      </c>
      <c r="B5728" s="11" t="str">
        <f>HYPERLINK("https://twitter.com/trenditter","@trenditter")</f>
        <v>@trenditter</v>
      </c>
      <c r="C5728" s="6" t="s">
        <v>961</v>
      </c>
      <c r="D5728" s="5" t="s">
        <v>960</v>
      </c>
      <c r="E5728" s="9" t="str">
        <f>HYPERLINK("https://twitter.com/trenditter/status/1034361077973303296","1034361077973303296")</f>
        <v>1034361077973303296</v>
      </c>
      <c r="F5728" s="4"/>
      <c r="G5728" s="4"/>
      <c r="H5728" s="4"/>
      <c r="I5728" s="10" t="str">
        <f>HYPERLINK("https://vahedinia.me","BestOfTwitterFa")</f>
        <v>BestOfTwitterFa</v>
      </c>
      <c r="J5728" s="2">
        <v>5212</v>
      </c>
      <c r="K5728" s="2">
        <v>29</v>
      </c>
      <c r="L5728" s="2">
        <v>35</v>
      </c>
      <c r="M5728" s="2"/>
      <c r="N5728" s="8">
        <v>42824.77443287037</v>
      </c>
      <c r="O5728" s="4" t="s">
        <v>959</v>
      </c>
      <c r="P5728" s="3" t="s">
        <v>958</v>
      </c>
      <c r="Q5728" s="10" t="s">
        <v>957</v>
      </c>
      <c r="R5728" s="4"/>
      <c r="S5728" s="9" t="str">
        <f>HYPERLINK("https://pbs.twimg.com/profile_images/847507136720637953/mQCv6V9W.jpg","View")</f>
        <v>View</v>
      </c>
    </row>
    <row r="5729" spans="1:19" ht="30">
      <c r="A5729" s="8">
        <v>43340.551724537036</v>
      </c>
      <c r="B5729" s="11" t="str">
        <f>HYPERLINK("https://twitter.com/mormanic","@mormanic")</f>
        <v>@mormanic</v>
      </c>
      <c r="C5729" s="6" t="s">
        <v>956</v>
      </c>
      <c r="D5729" s="5" t="s">
        <v>955</v>
      </c>
      <c r="E5729" s="9" t="str">
        <f>HYPERLINK("https://twitter.com/mormanic/status/1034361062974541824","1034361062974541824")</f>
        <v>1034361062974541824</v>
      </c>
      <c r="F5729" s="4"/>
      <c r="G5729" s="4"/>
      <c r="H5729" s="4"/>
      <c r="I5729" s="10" t="str">
        <f>HYPERLINK("https://mobile.twitter.com","Twitter Lite")</f>
        <v>Twitter Lite</v>
      </c>
      <c r="J5729" s="2">
        <v>523</v>
      </c>
      <c r="K5729" s="2">
        <v>821</v>
      </c>
      <c r="L5729" s="2">
        <v>5</v>
      </c>
      <c r="M5729" s="2"/>
      <c r="N5729" s="8">
        <v>42135.964999999997</v>
      </c>
      <c r="O5729" s="4"/>
      <c r="P5729" s="3" t="s">
        <v>954</v>
      </c>
      <c r="Q5729" s="4"/>
      <c r="R5729" s="4"/>
      <c r="S5729" s="9" t="str">
        <f>HYPERLINK("https://pbs.twimg.com/profile_images/998430991088664577/tXYWsxtn.jpg","View")</f>
        <v>View</v>
      </c>
    </row>
    <row r="5730" spans="1:19" ht="80">
      <c r="A5730" s="8">
        <v>43340.55159722222</v>
      </c>
      <c r="B5730" s="11" t="str">
        <f>HYPERLINK("https://twitter.com/Sedandoon","@Sedandoon")</f>
        <v>@Sedandoon</v>
      </c>
      <c r="C5730" s="6" t="s">
        <v>953</v>
      </c>
      <c r="D5730" s="5" t="s">
        <v>952</v>
      </c>
      <c r="E5730" s="9" t="str">
        <f>HYPERLINK("https://twitter.com/Sedandoon/status/1034361018024165377","1034361018024165377")</f>
        <v>1034361018024165377</v>
      </c>
      <c r="F5730" s="10" t="s">
        <v>612</v>
      </c>
      <c r="G5730" s="4"/>
      <c r="H5730" s="4"/>
      <c r="I5730" s="10" t="str">
        <f>HYPERLINK("http://twitter.com/download/iphone","Twitter for iPhone")</f>
        <v>Twitter for iPhone</v>
      </c>
      <c r="J5730" s="2">
        <v>134</v>
      </c>
      <c r="K5730" s="2">
        <v>130</v>
      </c>
      <c r="L5730" s="2">
        <v>0</v>
      </c>
      <c r="M5730" s="2"/>
      <c r="N5730" s="8">
        <v>43102.972083333334</v>
      </c>
      <c r="O5730" s="4" t="s">
        <v>951</v>
      </c>
      <c r="P5730" s="3" t="s">
        <v>950</v>
      </c>
      <c r="Q5730" s="4"/>
      <c r="R5730" s="4"/>
      <c r="S5730" s="9" t="str">
        <f>HYPERLINK("https://pbs.twimg.com/profile_images/1025283783711514624/p2GpL7XY.jpg","View")</f>
        <v>View</v>
      </c>
    </row>
    <row r="5731" spans="1:19" ht="40">
      <c r="A5731" s="8">
        <v>43340.551365740743</v>
      </c>
      <c r="B5731" s="11" t="str">
        <f>HYPERLINK("https://twitter.com/ahmadmany2","@ahmadmany2")</f>
        <v>@ahmadmany2</v>
      </c>
      <c r="C5731" s="6" t="s">
        <v>949</v>
      </c>
      <c r="D5731" s="5" t="s">
        <v>948</v>
      </c>
      <c r="E5731" s="9" t="str">
        <f>HYPERLINK("https://twitter.com/ahmadmany2/status/1034360932099608577","1034360932099608577")</f>
        <v>1034360932099608577</v>
      </c>
      <c r="F5731" s="4"/>
      <c r="G5731" s="10" t="s">
        <v>947</v>
      </c>
      <c r="H5731" s="4"/>
      <c r="I5731" s="10" t="str">
        <f>HYPERLINK("http://twitter.com","Twitter Web Client")</f>
        <v>Twitter Web Client</v>
      </c>
      <c r="J5731" s="2">
        <v>2958</v>
      </c>
      <c r="K5731" s="2">
        <v>2911</v>
      </c>
      <c r="L5731" s="2">
        <v>7</v>
      </c>
      <c r="M5731" s="2"/>
      <c r="N5731" s="8">
        <v>42751.041261574079</v>
      </c>
      <c r="O5731" s="4"/>
      <c r="P5731" s="3" t="s">
        <v>946</v>
      </c>
      <c r="Q5731" s="4"/>
      <c r="R5731" s="4"/>
      <c r="S5731" s="9" t="str">
        <f>HYPERLINK("https://pbs.twimg.com/profile_images/883974094953234432/ZR_1vFsx.jpg","View")</f>
        <v>View</v>
      </c>
    </row>
    <row r="5732" spans="1:19" ht="30">
      <c r="A5732" s="8">
        <v>43340.551041666666</v>
      </c>
      <c r="B5732" s="11" t="str">
        <f>HYPERLINK("https://twitter.com/mohammadBTK","@mohammadBTK")</f>
        <v>@mohammadBTK</v>
      </c>
      <c r="C5732" s="6" t="s">
        <v>945</v>
      </c>
      <c r="D5732" s="5" t="s">
        <v>944</v>
      </c>
      <c r="E5732" s="9" t="str">
        <f>HYPERLINK("https://twitter.com/mohammadBTK/status/1034360815195967489","1034360815195967489")</f>
        <v>1034360815195967489</v>
      </c>
      <c r="F5732" s="4"/>
      <c r="G5732" s="4"/>
      <c r="H5732" s="4"/>
      <c r="I5732" s="10" t="str">
        <f>HYPERLINK("http://twitter.com/download/android","Twitter for Android")</f>
        <v>Twitter for Android</v>
      </c>
      <c r="J5732" s="2">
        <v>10</v>
      </c>
      <c r="K5732" s="2">
        <v>9</v>
      </c>
      <c r="L5732" s="2">
        <v>2</v>
      </c>
      <c r="M5732" s="2"/>
      <c r="N5732" s="8">
        <v>41559.78266203704</v>
      </c>
      <c r="O5732" s="4"/>
      <c r="P5732" s="3"/>
      <c r="Q5732" s="4"/>
      <c r="R5732" s="4"/>
      <c r="S5732" s="9" t="str">
        <f>HYPERLINK("https://pbs.twimg.com/profile_images/822868796948049920/EaPWRdjB.jpg","View")</f>
        <v>View</v>
      </c>
    </row>
    <row r="5733" spans="1:19" ht="30">
      <c r="A5733" s="8">
        <v>43340.550879629634</v>
      </c>
      <c r="B5733" s="11" t="str">
        <f>HYPERLINK("https://twitter.com/AtomicBelonde","@AtomicBelonde")</f>
        <v>@AtomicBelonde</v>
      </c>
      <c r="C5733" s="6" t="s">
        <v>943</v>
      </c>
      <c r="D5733" s="12" t="s">
        <v>942</v>
      </c>
      <c r="E5733" s="9" t="str">
        <f>HYPERLINK("https://twitter.com/AtomicBelonde/status/1034360754768674817","1034360754768674817")</f>
        <v>1034360754768674817</v>
      </c>
      <c r="F5733" s="4"/>
      <c r="G5733" s="10" t="s">
        <v>941</v>
      </c>
      <c r="H5733" s="4"/>
      <c r="I5733" s="10" t="str">
        <f>HYPERLINK("http://twitter.com/download/iphone","Twitter for iPhone")</f>
        <v>Twitter for iPhone</v>
      </c>
      <c r="J5733" s="2">
        <v>987</v>
      </c>
      <c r="K5733" s="2">
        <v>444</v>
      </c>
      <c r="L5733" s="2">
        <v>5</v>
      </c>
      <c r="M5733" s="2"/>
      <c r="N5733" s="8">
        <v>43282.61215277778</v>
      </c>
      <c r="O5733" s="4" t="s">
        <v>940</v>
      </c>
      <c r="P5733" s="3" t="s">
        <v>939</v>
      </c>
      <c r="Q5733" s="4"/>
      <c r="R5733" s="4"/>
      <c r="S5733" s="9" t="str">
        <f>HYPERLINK("https://pbs.twimg.com/profile_images/1022535772535173120/Mry5G8d3.jpg","View")</f>
        <v>View</v>
      </c>
    </row>
    <row r="5734" spans="1:19" ht="40">
      <c r="A5734" s="8">
        <v>43340.550729166665</v>
      </c>
      <c r="B5734" s="11" t="str">
        <f>HYPERLINK("https://twitter.com/MuhammedSadeghi","@MuhammedSadeghi")</f>
        <v>@MuhammedSadeghi</v>
      </c>
      <c r="C5734" s="6" t="s">
        <v>938</v>
      </c>
      <c r="D5734" s="5" t="s">
        <v>937</v>
      </c>
      <c r="E5734" s="9" t="str">
        <f>HYPERLINK("https://twitter.com/MuhammedSadeghi/status/1034360703547789313","1034360703547789313")</f>
        <v>1034360703547789313</v>
      </c>
      <c r="F5734" s="4"/>
      <c r="G5734" s="4"/>
      <c r="H5734" s="4"/>
      <c r="I5734" s="10" t="str">
        <f>HYPERLINK("http://twitter.com","Twitter Web Client")</f>
        <v>Twitter Web Client</v>
      </c>
      <c r="J5734" s="2">
        <v>210</v>
      </c>
      <c r="K5734" s="2">
        <v>497</v>
      </c>
      <c r="L5734" s="2">
        <v>2</v>
      </c>
      <c r="M5734" s="2"/>
      <c r="N5734" s="8">
        <v>42052.030208333337</v>
      </c>
      <c r="O5734" s="4" t="s">
        <v>34</v>
      </c>
      <c r="P5734" s="3" t="s">
        <v>936</v>
      </c>
      <c r="Q5734" s="4"/>
      <c r="R5734" s="4"/>
      <c r="S5734" s="9" t="str">
        <f>HYPERLINK("https://pbs.twimg.com/profile_images/984502052607868928/Q5Wuxaap.jpg","View")</f>
        <v>View</v>
      </c>
    </row>
    <row r="5735" spans="1:19" ht="40">
      <c r="A5735" s="8">
        <v>43340.55060185185</v>
      </c>
      <c r="B5735" s="11" t="str">
        <f>HYPERLINK("https://twitter.com/rahmatollahbigd","@rahmatollahbigd")</f>
        <v>@rahmatollahbigd</v>
      </c>
      <c r="C5735" s="6" t="s">
        <v>935</v>
      </c>
      <c r="D5735" s="5" t="s">
        <v>934</v>
      </c>
      <c r="E5735" s="9" t="str">
        <f>HYPERLINK("https://twitter.com/rahmatollahbigd/status/1034360655699210240","1034360655699210240")</f>
        <v>1034360655699210240</v>
      </c>
      <c r="F5735" s="4"/>
      <c r="G5735" s="4"/>
      <c r="H5735" s="4"/>
      <c r="I5735" s="10" t="str">
        <f>HYPERLINK("https://mobile.twitter.com","Twitter Lite")</f>
        <v>Twitter Lite</v>
      </c>
      <c r="J5735" s="2">
        <v>73</v>
      </c>
      <c r="K5735" s="2">
        <v>142</v>
      </c>
      <c r="L5735" s="2">
        <v>0</v>
      </c>
      <c r="M5735" s="2"/>
      <c r="N5735" s="8">
        <v>41508.791724537034</v>
      </c>
      <c r="O5735" s="4"/>
      <c r="P5735" s="3"/>
      <c r="Q5735" s="4"/>
      <c r="R5735" s="4"/>
      <c r="S5735" s="9" t="str">
        <f>HYPERLINK("https://pbs.twimg.com/profile_images/966330648976863232/G5ZEd2Pm.jpg","View")</f>
        <v>View</v>
      </c>
    </row>
    <row r="5736" spans="1:19" ht="40">
      <c r="A5736" s="8">
        <v>43340.550393518519</v>
      </c>
      <c r="B5736" s="11" t="str">
        <f>HYPERLINK("https://twitter.com/SeyedHadiArami","@SeyedHadiArami")</f>
        <v>@SeyedHadiArami</v>
      </c>
      <c r="C5736" s="6" t="s">
        <v>933</v>
      </c>
      <c r="D5736" s="5" t="s">
        <v>932</v>
      </c>
      <c r="E5736" s="9" t="str">
        <f>HYPERLINK("https://twitter.com/SeyedHadiArami/status/1034360580545622016","1034360580545622016")</f>
        <v>1034360580545622016</v>
      </c>
      <c r="F5736" s="4"/>
      <c r="G5736" s="4"/>
      <c r="H5736" s="4"/>
      <c r="I5736" s="10" t="str">
        <f>HYPERLINK("http://twitter.com/download/android","Twitter for Android")</f>
        <v>Twitter for Android</v>
      </c>
      <c r="J5736" s="2">
        <v>389</v>
      </c>
      <c r="K5736" s="2">
        <v>313</v>
      </c>
      <c r="L5736" s="2">
        <v>1</v>
      </c>
      <c r="M5736" s="2"/>
      <c r="N5736" s="8">
        <v>42439.029074074075</v>
      </c>
      <c r="O5736" s="4"/>
      <c r="P5736" s="3" t="s">
        <v>931</v>
      </c>
      <c r="Q5736" s="10" t="s">
        <v>930</v>
      </c>
      <c r="R5736" s="4"/>
      <c r="S5736" s="9" t="str">
        <f>HYPERLINK("https://pbs.twimg.com/profile_images/951387457957834753/477MoZod.jpg","View")</f>
        <v>View</v>
      </c>
    </row>
    <row r="5737" spans="1:19" ht="20">
      <c r="A5737" s="8">
        <v>43340.550358796296</v>
      </c>
      <c r="B5737" s="11" t="str">
        <f>HYPERLINK("https://twitter.com/Leon65nm","@Leon65nm")</f>
        <v>@Leon65nm</v>
      </c>
      <c r="C5737" s="6" t="s">
        <v>929</v>
      </c>
      <c r="D5737" s="5" t="s">
        <v>928</v>
      </c>
      <c r="E5737" s="9" t="str">
        <f>HYPERLINK("https://twitter.com/Leon65nm/status/1034360567060934658","1034360567060934658")</f>
        <v>1034360567060934658</v>
      </c>
      <c r="F5737" s="4"/>
      <c r="G5737" s="4"/>
      <c r="H5737" s="4"/>
      <c r="I5737" s="10" t="str">
        <f>HYPERLINK("http://twitter.com/download/android","Twitter for Android")</f>
        <v>Twitter for Android</v>
      </c>
      <c r="J5737" s="2">
        <v>5</v>
      </c>
      <c r="K5737" s="2">
        <v>17</v>
      </c>
      <c r="L5737" s="2">
        <v>0</v>
      </c>
      <c r="M5737" s="2"/>
      <c r="N5737" s="8">
        <v>43226.442523148144</v>
      </c>
      <c r="O5737" s="4"/>
      <c r="P5737" s="3"/>
      <c r="Q5737" s="4"/>
      <c r="R5737" s="4"/>
      <c r="S5737" s="9" t="str">
        <f>HYPERLINK("https://pbs.twimg.com/profile_images/993012338801496065/Q7wP_C1o.jpg","View")</f>
        <v>View</v>
      </c>
    </row>
    <row r="5738" spans="1:19" ht="40">
      <c r="A5738" s="8">
        <v>43340.550347222219</v>
      </c>
      <c r="B5738" s="11" t="str">
        <f>HYPERLINK("https://twitter.com/Hessam_Ramesani","@Hessam_Ramesani")</f>
        <v>@Hessam_Ramesani</v>
      </c>
      <c r="C5738" s="6" t="s">
        <v>927</v>
      </c>
      <c r="D5738" s="5" t="s">
        <v>926</v>
      </c>
      <c r="E5738" s="9" t="str">
        <f>HYPERLINK("https://twitter.com/Hessam_Ramesani/status/1034360565026770949","1034360565026770949")</f>
        <v>1034360565026770949</v>
      </c>
      <c r="F5738" s="4"/>
      <c r="G5738" s="10" t="s">
        <v>925</v>
      </c>
      <c r="H5738" s="4"/>
      <c r="I5738" s="10" t="str">
        <f>HYPERLINK("http://twitter.com","Twitter Web Client")</f>
        <v>Twitter Web Client</v>
      </c>
      <c r="J5738" s="2">
        <v>1915</v>
      </c>
      <c r="K5738" s="2">
        <v>1538</v>
      </c>
      <c r="L5738" s="2">
        <v>5</v>
      </c>
      <c r="M5738" s="2"/>
      <c r="N5738" s="8">
        <v>42612.04210648148</v>
      </c>
      <c r="O5738" s="4"/>
      <c r="P5738" s="3" t="s">
        <v>924</v>
      </c>
      <c r="Q5738" s="4"/>
      <c r="R5738" s="4"/>
      <c r="S5738" s="9" t="str">
        <f>HYPERLINK("https://pbs.twimg.com/profile_images/997392283585593344/GlhpjbCA.jpg","View")</f>
        <v>View</v>
      </c>
    </row>
    <row r="5739" spans="1:19" ht="50">
      <c r="A5739" s="8">
        <v>43340.550335648149</v>
      </c>
      <c r="B5739" s="11" t="str">
        <f>HYPERLINK("https://twitter.com/ibnshahrashoob","@ibnshahrashoob")</f>
        <v>@ibnshahrashoob</v>
      </c>
      <c r="C5739" s="6" t="s">
        <v>385</v>
      </c>
      <c r="D5739" s="5" t="s">
        <v>923</v>
      </c>
      <c r="E5739" s="9" t="str">
        <f>HYPERLINK("https://twitter.com/ibnshahrashoob/status/1034360560371093504","1034360560371093504")</f>
        <v>1034360560371093504</v>
      </c>
      <c r="F5739" s="10" t="s">
        <v>922</v>
      </c>
      <c r="G5739" s="4"/>
      <c r="H5739" s="4"/>
      <c r="I5739" s="10" t="str">
        <f>HYPERLINK("http://twitter.com/download/android","Twitter for Android")</f>
        <v>Twitter for Android</v>
      </c>
      <c r="J5739" s="2">
        <v>389</v>
      </c>
      <c r="K5739" s="2">
        <v>834</v>
      </c>
      <c r="L5739" s="2">
        <v>0</v>
      </c>
      <c r="M5739" s="2"/>
      <c r="N5739" s="8">
        <v>43311.589131944449</v>
      </c>
      <c r="O5739" s="4"/>
      <c r="P5739" s="3" t="s">
        <v>383</v>
      </c>
      <c r="Q5739" s="4"/>
      <c r="R5739" s="4"/>
      <c r="S5739" s="9" t="str">
        <f>HYPERLINK("https://pbs.twimg.com/profile_images/1023868258213130240/umMOKpQB.jpg","View")</f>
        <v>View</v>
      </c>
    </row>
    <row r="5740" spans="1:19" ht="40">
      <c r="A5740" s="8">
        <v>43340.550173611111</v>
      </c>
      <c r="B5740" s="11" t="str">
        <f>HYPERLINK("https://twitter.com/Saeed88813790","@Saeed88813790")</f>
        <v>@Saeed88813790</v>
      </c>
      <c r="C5740" s="6" t="s">
        <v>921</v>
      </c>
      <c r="D5740" s="5" t="s">
        <v>920</v>
      </c>
      <c r="E5740" s="9" t="str">
        <f>HYPERLINK("https://twitter.com/Saeed88813790/status/1034360501080182784","1034360501080182784")</f>
        <v>1034360501080182784</v>
      </c>
      <c r="F5740" s="4"/>
      <c r="G5740" s="4"/>
      <c r="H5740" s="4"/>
      <c r="I5740" s="10" t="str">
        <f>HYPERLINK("http://twitter.com/download/android","Twitter for Android")</f>
        <v>Twitter for Android</v>
      </c>
      <c r="J5740" s="2">
        <v>86</v>
      </c>
      <c r="K5740" s="2">
        <v>322</v>
      </c>
      <c r="L5740" s="2">
        <v>0</v>
      </c>
      <c r="M5740" s="2"/>
      <c r="N5740" s="8">
        <v>43237.846180555556</v>
      </c>
      <c r="O5740" s="4" t="s">
        <v>34</v>
      </c>
      <c r="P5740" s="3"/>
      <c r="Q5740" s="4"/>
      <c r="R5740" s="4"/>
      <c r="S5740" s="9" t="str">
        <f>HYPERLINK("https://pbs.twimg.com/profile_images/1004191633737420800/ZtwGBo_B.jpg","View")</f>
        <v>View</v>
      </c>
    </row>
    <row r="5741" spans="1:19" ht="20">
      <c r="A5741" s="8">
        <v>43340.549675925926</v>
      </c>
      <c r="B5741" s="11" t="str">
        <f>HYPERLINK("https://twitter.com/Fnews_Persian","@Fnews_Persian")</f>
        <v>@Fnews_Persian</v>
      </c>
      <c r="C5741" s="6" t="s">
        <v>919</v>
      </c>
      <c r="D5741" s="5" t="s">
        <v>918</v>
      </c>
      <c r="E5741" s="9" t="str">
        <f>HYPERLINK("https://twitter.com/Fnews_Persian/status/1034360321371262976","1034360321371262976")</f>
        <v>1034360321371262976</v>
      </c>
      <c r="F5741" s="4"/>
      <c r="G5741" s="10" t="s">
        <v>917</v>
      </c>
      <c r="H5741" s="4"/>
      <c r="I5741" s="10" t="str">
        <f>HYPERLINK("http://twitter.com","Twitter Web Client")</f>
        <v>Twitter Web Client</v>
      </c>
      <c r="J5741" s="2">
        <v>58353</v>
      </c>
      <c r="K5741" s="2">
        <v>8</v>
      </c>
      <c r="L5741" s="2">
        <v>8</v>
      </c>
      <c r="M5741" s="2"/>
      <c r="N5741" s="8">
        <v>42445.668726851851</v>
      </c>
      <c r="O5741" s="4" t="s">
        <v>916</v>
      </c>
      <c r="P5741" s="3" t="s">
        <v>915</v>
      </c>
      <c r="Q5741" s="4"/>
      <c r="R5741" s="4"/>
      <c r="S5741" s="9" t="str">
        <f>HYPERLINK("https://pbs.twimg.com/profile_images/962248284151734272/-yEY7hhB.jpg","View")</f>
        <v>View</v>
      </c>
    </row>
    <row r="5742" spans="1:19" ht="30">
      <c r="A5742" s="8">
        <v>43340.549629629633</v>
      </c>
      <c r="B5742" s="11" t="str">
        <f>HYPERLINK("https://twitter.com/saeidk222","@saeidk222")</f>
        <v>@saeidk222</v>
      </c>
      <c r="C5742" s="6" t="s">
        <v>914</v>
      </c>
      <c r="D5742" s="5" t="s">
        <v>913</v>
      </c>
      <c r="E5742" s="9" t="str">
        <f>HYPERLINK("https://twitter.com/saeidk222/status/1034360302987558913","1034360302987558913")</f>
        <v>1034360302987558913</v>
      </c>
      <c r="F5742" s="4"/>
      <c r="G5742" s="4"/>
      <c r="H5742" s="4"/>
      <c r="I5742" s="10" t="str">
        <f>HYPERLINK("http://twitter.com/download/android","Twitter for Android")</f>
        <v>Twitter for Android</v>
      </c>
      <c r="J5742" s="2">
        <v>573</v>
      </c>
      <c r="K5742" s="2">
        <v>561</v>
      </c>
      <c r="L5742" s="2">
        <v>0</v>
      </c>
      <c r="M5742" s="2"/>
      <c r="N5742" s="8">
        <v>42821.603009259255</v>
      </c>
      <c r="O5742" s="4" t="s">
        <v>912</v>
      </c>
      <c r="P5742" s="3" t="s">
        <v>911</v>
      </c>
      <c r="Q5742" s="4"/>
      <c r="R5742" s="4"/>
      <c r="S5742" s="9" t="str">
        <f>HYPERLINK("https://pbs.twimg.com/profile_images/1032620243796074496/DjHk4cpf.jpg","View")</f>
        <v>View</v>
      </c>
    </row>
    <row r="5743" spans="1:19" ht="20">
      <c r="A5743" s="8">
        <v>43340.549386574072</v>
      </c>
      <c r="B5743" s="11" t="str">
        <f>HYPERLINK("https://twitter.com/meysametammar","@meysametammar")</f>
        <v>@meysametammar</v>
      </c>
      <c r="C5743" s="6" t="s">
        <v>842</v>
      </c>
      <c r="D5743" s="5" t="s">
        <v>910</v>
      </c>
      <c r="E5743" s="9" t="str">
        <f>HYPERLINK("https://twitter.com/meysametammar/status/1034360216714924032","1034360216714924032")</f>
        <v>1034360216714924032</v>
      </c>
      <c r="F5743" s="4"/>
      <c r="G5743" s="4"/>
      <c r="H5743" s="4"/>
      <c r="I5743" s="10" t="str">
        <f>HYPERLINK("http://twitter.com","Twitter Web Client")</f>
        <v>Twitter Web Client</v>
      </c>
      <c r="J5743" s="2">
        <v>4355</v>
      </c>
      <c r="K5743" s="2">
        <v>4593</v>
      </c>
      <c r="L5743" s="2">
        <v>13</v>
      </c>
      <c r="M5743" s="2"/>
      <c r="N5743" s="8">
        <v>43152.743263888886</v>
      </c>
      <c r="O5743" s="4" t="s">
        <v>17</v>
      </c>
      <c r="P5743" s="3" t="s">
        <v>840</v>
      </c>
      <c r="Q5743" s="4"/>
      <c r="R5743" s="4"/>
      <c r="S5743" s="9" t="str">
        <f>HYPERLINK("https://pbs.twimg.com/profile_images/1010595828493365256/LlIOiiCI.jpg","View")</f>
        <v>View</v>
      </c>
    </row>
    <row r="5744" spans="1:19" ht="50">
      <c r="A5744" s="8">
        <v>43340.549328703702</v>
      </c>
      <c r="B5744" s="11" t="str">
        <f>HYPERLINK("https://twitter.com/REALALLAH1","@REALALLAH1")</f>
        <v>@REALALLAH1</v>
      </c>
      <c r="C5744" s="6" t="s">
        <v>909</v>
      </c>
      <c r="D5744" s="5" t="s">
        <v>908</v>
      </c>
      <c r="E5744" s="9" t="str">
        <f>HYPERLINK("https://twitter.com/REALALLAH1/status/1034360194376126464","1034360194376126464")</f>
        <v>1034360194376126464</v>
      </c>
      <c r="F5744" s="10" t="s">
        <v>907</v>
      </c>
      <c r="G5744" s="4"/>
      <c r="H5744" s="4"/>
      <c r="I5744" s="10" t="str">
        <f>HYPERLINK("http://twitter.com","Twitter Web Client")</f>
        <v>Twitter Web Client</v>
      </c>
      <c r="J5744" s="2">
        <v>73</v>
      </c>
      <c r="K5744" s="2">
        <v>156</v>
      </c>
      <c r="L5744" s="2">
        <v>0</v>
      </c>
      <c r="M5744" s="2"/>
      <c r="N5744" s="8">
        <v>43303.822754629626</v>
      </c>
      <c r="O5744" s="4" t="s">
        <v>906</v>
      </c>
      <c r="P5744" s="3" t="s">
        <v>905</v>
      </c>
      <c r="Q5744" s="4"/>
      <c r="R5744" s="4"/>
      <c r="S5744" s="9" t="str">
        <f>HYPERLINK("https://pbs.twimg.com/profile_images/1021829205372198912/psCRJb46.jpg","View")</f>
        <v>View</v>
      </c>
    </row>
    <row r="5745" spans="1:19" ht="30">
      <c r="A5745" s="8">
        <v>43340.549108796295</v>
      </c>
      <c r="B5745" s="11" t="str">
        <f>HYPERLINK("https://twitter.com/Huria_M97","@Huria_M97")</f>
        <v>@Huria_M97</v>
      </c>
      <c r="C5745" s="6" t="s">
        <v>904</v>
      </c>
      <c r="D5745" s="5" t="s">
        <v>903</v>
      </c>
      <c r="E5745" s="9" t="str">
        <f>HYPERLINK("https://twitter.com/Huria_M97/status/1034360113711210497","1034360113711210497")</f>
        <v>1034360113711210497</v>
      </c>
      <c r="F5745" s="4"/>
      <c r="G5745" s="4"/>
      <c r="H5745" s="4"/>
      <c r="I5745" s="10" t="str">
        <f>HYPERLINK("http://twitter.com/download/android","Twitter for Android")</f>
        <v>Twitter for Android</v>
      </c>
      <c r="J5745" s="2">
        <v>307</v>
      </c>
      <c r="K5745" s="2">
        <v>493</v>
      </c>
      <c r="L5745" s="2">
        <v>0</v>
      </c>
      <c r="M5745" s="2"/>
      <c r="N5745" s="8">
        <v>43311.124594907407</v>
      </c>
      <c r="O5745" s="4" t="s">
        <v>902</v>
      </c>
      <c r="P5745" s="3" t="s">
        <v>901</v>
      </c>
      <c r="Q5745" s="4"/>
      <c r="R5745" s="4"/>
      <c r="S5745" s="9" t="str">
        <f>HYPERLINK("https://pbs.twimg.com/profile_images/1033266251030818817/4wqq-3zS.jpg","View")</f>
        <v>View</v>
      </c>
    </row>
    <row r="5746" spans="1:19" ht="30">
      <c r="A5746" s="8">
        <v>43340.548819444448</v>
      </c>
      <c r="B5746" s="11" t="str">
        <f>HYPERLINK("https://twitter.com/Zahedi_ir","@Zahedi_ir")</f>
        <v>@Zahedi_ir</v>
      </c>
      <c r="C5746" s="6" t="s">
        <v>900</v>
      </c>
      <c r="D5746" s="5" t="s">
        <v>899</v>
      </c>
      <c r="E5746" s="9" t="str">
        <f>HYPERLINK("https://twitter.com/Zahedi_ir/status/1034360010426511360","1034360010426511360")</f>
        <v>1034360010426511360</v>
      </c>
      <c r="F5746" s="4"/>
      <c r="G5746" s="4"/>
      <c r="H5746" s="4"/>
      <c r="I5746" s="10" t="str">
        <f>HYPERLINK("https://mobile.twitter.com","Twitter Lite")</f>
        <v>Twitter Lite</v>
      </c>
      <c r="J5746" s="2">
        <v>274</v>
      </c>
      <c r="K5746" s="2">
        <v>75</v>
      </c>
      <c r="L5746" s="2">
        <v>10</v>
      </c>
      <c r="M5746" s="2"/>
      <c r="N5746" s="8">
        <v>42833.50571759259</v>
      </c>
      <c r="O5746" s="4" t="s">
        <v>324</v>
      </c>
      <c r="P5746" s="3" t="s">
        <v>898</v>
      </c>
      <c r="Q5746" s="10" t="s">
        <v>897</v>
      </c>
      <c r="R5746" s="4"/>
      <c r="S5746" s="9" t="str">
        <f>HYPERLINK("https://pbs.twimg.com/profile_images/850700359639203840/uHht1ZIQ.jpg","View")</f>
        <v>View</v>
      </c>
    </row>
    <row r="5747" spans="1:19" ht="30">
      <c r="A5747" s="8">
        <v>43340.548773148148</v>
      </c>
      <c r="B5747" s="11" t="str">
        <f>HYPERLINK("https://twitter.com/MHHKH","@MHHKH")</f>
        <v>@MHHKH</v>
      </c>
      <c r="C5747" s="6" t="s">
        <v>896</v>
      </c>
      <c r="D5747" s="5" t="s">
        <v>895</v>
      </c>
      <c r="E5747" s="9" t="str">
        <f>HYPERLINK("https://twitter.com/MHHKH/status/1034359991229194241","1034359991229194241")</f>
        <v>1034359991229194241</v>
      </c>
      <c r="F5747" s="4"/>
      <c r="G5747" s="4"/>
      <c r="H5747" s="4"/>
      <c r="I5747" s="10" t="str">
        <f>HYPERLINK("http://twitter.com","Twitter Web Client")</f>
        <v>Twitter Web Client</v>
      </c>
      <c r="J5747" s="2">
        <v>275</v>
      </c>
      <c r="K5747" s="2">
        <v>354</v>
      </c>
      <c r="L5747" s="2">
        <v>1</v>
      </c>
      <c r="M5747" s="2"/>
      <c r="N5747" s="8">
        <v>41800.542928240742</v>
      </c>
      <c r="O5747" s="4" t="s">
        <v>894</v>
      </c>
      <c r="P5747" s="3" t="s">
        <v>893</v>
      </c>
      <c r="Q5747" s="4"/>
      <c r="R5747" s="4"/>
      <c r="S5747" s="9" t="str">
        <f>HYPERLINK("https://pbs.twimg.com/profile_images/1034306977508274176/bWhMfLjX.jpg","View")</f>
        <v>View</v>
      </c>
    </row>
    <row r="5748" spans="1:19" ht="20">
      <c r="A5748" s="8">
        <v>43340.548761574071</v>
      </c>
      <c r="B5748" s="11" t="str">
        <f>HYPERLINK("https://twitter.com/mvdonatello","@mvdonatello")</f>
        <v>@mvdonatello</v>
      </c>
      <c r="C5748" s="6" t="s">
        <v>892</v>
      </c>
      <c r="D5748" s="5" t="s">
        <v>891</v>
      </c>
      <c r="E5748" s="9" t="str">
        <f>HYPERLINK("https://twitter.com/mvdonatello/status/1034359986930036736","1034359986930036736")</f>
        <v>1034359986930036736</v>
      </c>
      <c r="F5748" s="4"/>
      <c r="G5748" s="4"/>
      <c r="H5748" s="4"/>
      <c r="I5748" s="10" t="str">
        <f>HYPERLINK("http://twitter.com/download/android","Twitter for Android")</f>
        <v>Twitter for Android</v>
      </c>
      <c r="J5748" s="2">
        <v>104</v>
      </c>
      <c r="K5748" s="2">
        <v>69</v>
      </c>
      <c r="L5748" s="2">
        <v>5</v>
      </c>
      <c r="M5748" s="2"/>
      <c r="N5748" s="8">
        <v>40485.790439814817</v>
      </c>
      <c r="O5748" s="4"/>
      <c r="P5748" s="3" t="s">
        <v>890</v>
      </c>
      <c r="Q5748" s="4"/>
      <c r="R5748" s="4"/>
      <c r="S5748" s="9" t="str">
        <f>HYPERLINK("https://pbs.twimg.com/profile_images/1034094350370779137/A6rW4mQS.jpg","View")</f>
        <v>View</v>
      </c>
    </row>
    <row r="5749" spans="1:19" ht="60">
      <c r="A5749" s="8">
        <v>43340.548692129625</v>
      </c>
      <c r="B5749" s="11" t="str">
        <f>HYPERLINK("https://twitter.com/Nightingale_SA","@Nightingale_SA")</f>
        <v>@Nightingale_SA</v>
      </c>
      <c r="C5749" s="6" t="s">
        <v>889</v>
      </c>
      <c r="D5749" s="5" t="s">
        <v>888</v>
      </c>
      <c r="E5749" s="9" t="str">
        <f>HYPERLINK("https://twitter.com/Nightingale_SA/status/1034359962707914752","1034359962707914752")</f>
        <v>1034359962707914752</v>
      </c>
      <c r="F5749" s="10" t="s">
        <v>887</v>
      </c>
      <c r="G5749" s="4"/>
      <c r="H5749" s="4"/>
      <c r="I5749" s="10" t="str">
        <f>HYPERLINK("http://twitter.com","Twitter Web Client")</f>
        <v>Twitter Web Client</v>
      </c>
      <c r="J5749" s="2">
        <v>182</v>
      </c>
      <c r="K5749" s="2">
        <v>679</v>
      </c>
      <c r="L5749" s="2">
        <v>1</v>
      </c>
      <c r="M5749" s="2"/>
      <c r="N5749" s="8">
        <v>43193.657326388886</v>
      </c>
      <c r="O5749" s="4"/>
      <c r="P5749" s="3" t="s">
        <v>886</v>
      </c>
      <c r="Q5749" s="4"/>
      <c r="R5749" s="4"/>
      <c r="S5749" s="9" t="str">
        <f>HYPERLINK("https://pbs.twimg.com/profile_images/981131756601569280/OkTGUrYl.jpg","View")</f>
        <v>View</v>
      </c>
    </row>
    <row r="5750" spans="1:19" ht="40">
      <c r="A5750" s="8">
        <v>43340.548668981486</v>
      </c>
      <c r="B5750" s="11" t="str">
        <f>HYPERLINK("https://twitter.com/ilaibs","@ilaibs")</f>
        <v>@ilaibs</v>
      </c>
      <c r="C5750" s="6" t="s">
        <v>722</v>
      </c>
      <c r="D5750" s="5" t="s">
        <v>885</v>
      </c>
      <c r="E5750" s="9" t="str">
        <f>HYPERLINK("https://twitter.com/ilaibs/status/1034359957045616640","1034359957045616640")</f>
        <v>1034359957045616640</v>
      </c>
      <c r="F5750" s="4"/>
      <c r="G5750" s="4"/>
      <c r="H5750" s="4"/>
      <c r="I5750" s="10" t="str">
        <f>HYPERLINK("http://twitter.com","Twitter Web Client")</f>
        <v>Twitter Web Client</v>
      </c>
      <c r="J5750" s="2">
        <v>60</v>
      </c>
      <c r="K5750" s="2">
        <v>349</v>
      </c>
      <c r="L5750" s="2">
        <v>0</v>
      </c>
      <c r="M5750" s="2"/>
      <c r="N5750" s="8">
        <v>41305.501261574071</v>
      </c>
      <c r="O5750" s="4"/>
      <c r="P5750" s="3" t="s">
        <v>720</v>
      </c>
      <c r="Q5750" s="4"/>
      <c r="R5750" s="4"/>
      <c r="S5750" s="9" t="str">
        <f>HYPERLINK("https://pbs.twimg.com/profile_images/983059017630208000/nvl6EPxb.jpg","View")</f>
        <v>View</v>
      </c>
    </row>
    <row r="5751" spans="1:19" ht="20">
      <c r="A5751" s="8">
        <v>43340.54859953704</v>
      </c>
      <c r="B5751" s="11" t="str">
        <f>HYPERLINK("https://twitter.com/RezaAsk4","@RezaAsk4")</f>
        <v>@RezaAsk4</v>
      </c>
      <c r="C5751" s="6" t="s">
        <v>884</v>
      </c>
      <c r="D5751" s="5" t="s">
        <v>883</v>
      </c>
      <c r="E5751" s="9" t="str">
        <f>HYPERLINK("https://twitter.com/RezaAsk4/status/1034359930965422081","1034359930965422081")</f>
        <v>1034359930965422081</v>
      </c>
      <c r="F5751" s="4"/>
      <c r="G5751" s="4"/>
      <c r="H5751" s="4"/>
      <c r="I5751" s="10" t="str">
        <f>HYPERLINK("http://twitter.com/download/android","Twitter for Android")</f>
        <v>Twitter for Android</v>
      </c>
      <c r="J5751" s="2">
        <v>90</v>
      </c>
      <c r="K5751" s="2">
        <v>60</v>
      </c>
      <c r="L5751" s="2">
        <v>0</v>
      </c>
      <c r="M5751" s="2"/>
      <c r="N5751" s="8">
        <v>43195.977407407408</v>
      </c>
      <c r="O5751" s="4" t="s">
        <v>882</v>
      </c>
      <c r="P5751" s="3" t="s">
        <v>881</v>
      </c>
      <c r="Q5751" s="10" t="s">
        <v>880</v>
      </c>
      <c r="R5751" s="4"/>
      <c r="S5751" s="9" t="str">
        <f>HYPERLINK("https://pbs.twimg.com/profile_images/1032580146111361024/iyHVI76I.jpg","View")</f>
        <v>View</v>
      </c>
    </row>
    <row r="5752" spans="1:19" ht="40">
      <c r="A5752" s="8">
        <v>43340.548587962963</v>
      </c>
      <c r="B5752" s="11" t="str">
        <f>HYPERLINK("https://twitter.com/Tasnimnews_Fa","@Tasnimnews_Fa")</f>
        <v>@Tasnimnews_Fa</v>
      </c>
      <c r="C5752" s="6" t="s">
        <v>603</v>
      </c>
      <c r="D5752" s="5" t="s">
        <v>879</v>
      </c>
      <c r="E5752" s="9" t="str">
        <f>HYPERLINK("https://twitter.com/Tasnimnews_Fa/status/1034359925017927680","1034359925017927680")</f>
        <v>1034359925017927680</v>
      </c>
      <c r="F5752" s="10" t="s">
        <v>878</v>
      </c>
      <c r="G5752" s="10" t="s">
        <v>877</v>
      </c>
      <c r="H5752" s="4"/>
      <c r="I5752" s="10" t="str">
        <f>HYPERLINK("http://twitter.com","Twitter Web Client")</f>
        <v>Twitter Web Client</v>
      </c>
      <c r="J5752" s="2">
        <v>109344</v>
      </c>
      <c r="K5752" s="2">
        <v>20</v>
      </c>
      <c r="L5752" s="2">
        <v>377</v>
      </c>
      <c r="M5752" s="2" t="s">
        <v>80</v>
      </c>
      <c r="N5752" s="8">
        <v>41868.671585648146</v>
      </c>
      <c r="O5752" s="4" t="s">
        <v>133</v>
      </c>
      <c r="P5752" s="3" t="s">
        <v>599</v>
      </c>
      <c r="Q5752" s="10" t="s">
        <v>598</v>
      </c>
      <c r="R5752" s="4"/>
      <c r="S5752" s="9" t="str">
        <f>HYPERLINK("https://pbs.twimg.com/profile_images/942003149430239232/hvLw_1_E.jpg","View")</f>
        <v>View</v>
      </c>
    </row>
    <row r="5753" spans="1:19" ht="40">
      <c r="A5753" s="8">
        <v>43340.548391203702</v>
      </c>
      <c r="B5753" s="11" t="str">
        <f>HYPERLINK("https://twitter.com/RadioFarda_","@RadioFarda_")</f>
        <v>@RadioFarda_</v>
      </c>
      <c r="C5753" s="6" t="s">
        <v>876</v>
      </c>
      <c r="D5753" s="5" t="s">
        <v>875</v>
      </c>
      <c r="E5753" s="9" t="str">
        <f>HYPERLINK("https://twitter.com/RadioFarda_/status/1034359853618278400","1034359853618278400")</f>
        <v>1034359853618278400</v>
      </c>
      <c r="F5753" s="4"/>
      <c r="G5753" s="10" t="s">
        <v>874</v>
      </c>
      <c r="H5753" s="4"/>
      <c r="I5753" s="10" t="str">
        <f>HYPERLINK("http://twitter.com","Twitter Web Client")</f>
        <v>Twitter Web Client</v>
      </c>
      <c r="J5753" s="2">
        <v>490042</v>
      </c>
      <c r="K5753" s="2">
        <v>5</v>
      </c>
      <c r="L5753" s="2">
        <v>852</v>
      </c>
      <c r="M5753" s="2" t="s">
        <v>80</v>
      </c>
      <c r="N5753" s="8">
        <v>39907.1644212963</v>
      </c>
      <c r="O5753" s="4" t="s">
        <v>873</v>
      </c>
      <c r="P5753" s="3" t="s">
        <v>872</v>
      </c>
      <c r="Q5753" s="10" t="s">
        <v>871</v>
      </c>
      <c r="R5753" s="4"/>
      <c r="S5753" s="9" t="str">
        <f>HYPERLINK("https://pbs.twimg.com/profile_images/446670386831192065/HyVCePFa.png","View")</f>
        <v>View</v>
      </c>
    </row>
    <row r="5754" spans="1:19" ht="12.5">
      <c r="A5754" s="8">
        <v>43340.548252314809</v>
      </c>
      <c r="B5754" s="11" t="str">
        <f>HYPERLINK("https://twitter.com/TelewebionCom","@TelewebionCom")</f>
        <v>@TelewebionCom</v>
      </c>
      <c r="C5754" s="6" t="s">
        <v>870</v>
      </c>
      <c r="D5754" s="5" t="s">
        <v>869</v>
      </c>
      <c r="E5754" s="9" t="str">
        <f>HYPERLINK("https://twitter.com/TelewebionCom/status/1034359805362810880","1034359805362810880")</f>
        <v>1034359805362810880</v>
      </c>
      <c r="F5754" s="10" t="s">
        <v>868</v>
      </c>
      <c r="G5754" s="4"/>
      <c r="H5754" s="4"/>
      <c r="I5754" s="10" t="str">
        <f>HYPERLINK("http://twitter.com/download/iphone","Twitter for iPhone")</f>
        <v>Twitter for iPhone</v>
      </c>
      <c r="J5754" s="2">
        <v>60</v>
      </c>
      <c r="K5754" s="2">
        <v>0</v>
      </c>
      <c r="L5754" s="2">
        <v>0</v>
      </c>
      <c r="M5754" s="2"/>
      <c r="N5754" s="8">
        <v>43037.598402777774</v>
      </c>
      <c r="O5754" s="4"/>
      <c r="P5754" s="3" t="s">
        <v>867</v>
      </c>
      <c r="Q5754" s="10" t="s">
        <v>866</v>
      </c>
      <c r="R5754" s="4"/>
      <c r="S5754" s="9" t="str">
        <f>HYPERLINK("https://pbs.twimg.com/profile_images/930765205746913280/LTSUnzSt.jpg","View")</f>
        <v>View</v>
      </c>
    </row>
    <row r="5755" spans="1:19" ht="40">
      <c r="A5755" s="8">
        <v>43340.54788194444</v>
      </c>
      <c r="B5755" s="11" t="str">
        <f>HYPERLINK("https://twitter.com/paragraph1364","@paragraph1364")</f>
        <v>@paragraph1364</v>
      </c>
      <c r="C5755" s="6" t="s">
        <v>865</v>
      </c>
      <c r="D5755" s="5" t="s">
        <v>864</v>
      </c>
      <c r="E5755" s="9" t="str">
        <f>HYPERLINK("https://twitter.com/paragraph1364/status/1034359670494961664","1034359670494961664")</f>
        <v>1034359670494961664</v>
      </c>
      <c r="F5755" s="10" t="s">
        <v>863</v>
      </c>
      <c r="G5755" s="4"/>
      <c r="H5755" s="4"/>
      <c r="I5755" s="10" t="str">
        <f>HYPERLINK("https://ifttt.com","IFTTT")</f>
        <v>IFTTT</v>
      </c>
      <c r="J5755" s="2">
        <v>117</v>
      </c>
      <c r="K5755" s="2">
        <v>493</v>
      </c>
      <c r="L5755" s="2">
        <v>0</v>
      </c>
      <c r="M5755" s="2"/>
      <c r="N5755" s="8">
        <v>42852.009131944447</v>
      </c>
      <c r="O5755" s="4"/>
      <c r="P5755" s="3"/>
      <c r="Q5755" s="4"/>
      <c r="R5755" s="4"/>
      <c r="S5755" s="9" t="str">
        <f>HYPERLINK("https://pbs.twimg.com/profile_images/1016991790635728896/sLi7JGEx.jpg","View")</f>
        <v>View</v>
      </c>
    </row>
    <row r="5756" spans="1:19" ht="20">
      <c r="A5756" s="8">
        <v>43340.547766203701</v>
      </c>
      <c r="B5756" s="11" t="str">
        <f>HYPERLINK("https://twitter.com/EbI_mH63","@EbI_mH63")</f>
        <v>@EbI_mH63</v>
      </c>
      <c r="C5756" s="6" t="s">
        <v>862</v>
      </c>
      <c r="D5756" s="5" t="s">
        <v>861</v>
      </c>
      <c r="E5756" s="9" t="str">
        <f>HYPERLINK("https://twitter.com/EbI_mH63/status/1034359628568645634","1034359628568645634")</f>
        <v>1034359628568645634</v>
      </c>
      <c r="F5756" s="4"/>
      <c r="G5756" s="4"/>
      <c r="H5756" s="4"/>
      <c r="I5756" s="10" t="str">
        <f>HYPERLINK("http://twitter.com/download/android","Twitter for Android")</f>
        <v>Twitter for Android</v>
      </c>
      <c r="J5756" s="2">
        <v>4250</v>
      </c>
      <c r="K5756" s="2">
        <v>2185</v>
      </c>
      <c r="L5756" s="2">
        <v>24</v>
      </c>
      <c r="M5756" s="2"/>
      <c r="N5756" s="8">
        <v>41109.807604166665</v>
      </c>
      <c r="O5756" s="4" t="s">
        <v>860</v>
      </c>
      <c r="P5756" s="3" t="s">
        <v>859</v>
      </c>
      <c r="Q5756" s="10" t="s">
        <v>858</v>
      </c>
      <c r="R5756" s="4"/>
      <c r="S5756" s="9" t="str">
        <f>HYPERLINK("https://pbs.twimg.com/profile_images/1033595433715724288/DpqoFv8R.jpg","View")</f>
        <v>View</v>
      </c>
    </row>
    <row r="5757" spans="1:19" ht="20">
      <c r="A5757" s="8">
        <v>43340.547743055555</v>
      </c>
      <c r="B5757" s="11" t="str">
        <f>HYPERLINK("https://twitter.com/faall_in","@faall_in")</f>
        <v>@faall_in</v>
      </c>
      <c r="C5757" s="6" t="s">
        <v>857</v>
      </c>
      <c r="D5757" s="5" t="s">
        <v>856</v>
      </c>
      <c r="E5757" s="9" t="str">
        <f>HYPERLINK("https://twitter.com/faall_in/status/1034359620360384512","1034359620360384512")</f>
        <v>1034359620360384512</v>
      </c>
      <c r="F5757" s="4"/>
      <c r="G5757" s="4"/>
      <c r="H5757" s="4"/>
      <c r="I5757" s="10" t="str">
        <f>HYPERLINK("http://twitter.com/download/android","Twitter for Android")</f>
        <v>Twitter for Android</v>
      </c>
      <c r="J5757" s="2">
        <v>61</v>
      </c>
      <c r="K5757" s="2">
        <v>65</v>
      </c>
      <c r="L5757" s="2">
        <v>0</v>
      </c>
      <c r="M5757" s="2"/>
      <c r="N5757" s="8">
        <v>43183.031759259262</v>
      </c>
      <c r="O5757" s="4" t="s">
        <v>855</v>
      </c>
      <c r="P5757" s="3" t="s">
        <v>854</v>
      </c>
      <c r="Q5757" s="4"/>
      <c r="R5757" s="4"/>
      <c r="S5757" s="9" t="str">
        <f>HYPERLINK("https://pbs.twimg.com/profile_images/1029580664864231426/yFCkvWE_.jpg","View")</f>
        <v>View</v>
      </c>
    </row>
    <row r="5758" spans="1:19" ht="30">
      <c r="A5758" s="8">
        <v>43340.54751157407</v>
      </c>
      <c r="B5758" s="11" t="str">
        <f>HYPERLINK("https://twitter.com/Sibraaam","@Sibraaam")</f>
        <v>@Sibraaam</v>
      </c>
      <c r="C5758" s="6" t="s">
        <v>853</v>
      </c>
      <c r="D5758" s="5" t="s">
        <v>852</v>
      </c>
      <c r="E5758" s="9" t="str">
        <f>HYPERLINK("https://twitter.com/Sibraaam/status/1034359537090879489","1034359537090879489")</f>
        <v>1034359537090879489</v>
      </c>
      <c r="F5758" s="4"/>
      <c r="G5758" s="4"/>
      <c r="H5758" s="4"/>
      <c r="I5758" s="10" t="str">
        <f>HYPERLINK("http://twitter.com","Twitter Web Client")</f>
        <v>Twitter Web Client</v>
      </c>
      <c r="J5758" s="2">
        <v>2</v>
      </c>
      <c r="K5758" s="2">
        <v>0</v>
      </c>
      <c r="L5758" s="2">
        <v>0</v>
      </c>
      <c r="M5758" s="2"/>
      <c r="N5758" s="8">
        <v>42727.798541666663</v>
      </c>
      <c r="O5758" s="4"/>
      <c r="P5758" s="3" t="s">
        <v>851</v>
      </c>
      <c r="Q5758" s="4"/>
      <c r="R5758" s="4"/>
      <c r="S5758" s="9" t="str">
        <f>HYPERLINK("https://pbs.twimg.com/profile_images/812323250768400385/6uDkavzI.jpg","View")</f>
        <v>View</v>
      </c>
    </row>
    <row r="5759" spans="1:19" ht="30">
      <c r="A5759" s="8">
        <v>43340.5472337963</v>
      </c>
      <c r="B5759" s="11" t="str">
        <f>HYPERLINK("https://twitter.com/Abasanti666","@Abasanti666")</f>
        <v>@Abasanti666</v>
      </c>
      <c r="C5759" s="6" t="s">
        <v>850</v>
      </c>
      <c r="D5759" s="5" t="s">
        <v>849</v>
      </c>
      <c r="E5759" s="9" t="str">
        <f>HYPERLINK("https://twitter.com/Abasanti666/status/1034359436477915136","1034359436477915136")</f>
        <v>1034359436477915136</v>
      </c>
      <c r="F5759" s="10" t="s">
        <v>848</v>
      </c>
      <c r="G5759" s="4"/>
      <c r="H5759" s="4"/>
      <c r="I5759" s="10" t="str">
        <f>HYPERLINK("http://twitter.com/download/android","Twitter for Android")</f>
        <v>Twitter for Android</v>
      </c>
      <c r="J5759" s="2">
        <v>4355</v>
      </c>
      <c r="K5759" s="2">
        <v>2836</v>
      </c>
      <c r="L5759" s="2">
        <v>5</v>
      </c>
      <c r="M5759" s="2"/>
      <c r="N5759" s="8">
        <v>43073.81486111111</v>
      </c>
      <c r="O5759" s="4" t="s">
        <v>847</v>
      </c>
      <c r="P5759" s="3" t="s">
        <v>846</v>
      </c>
      <c r="Q5759" s="4"/>
      <c r="R5759" s="4"/>
      <c r="S5759" s="9" t="str">
        <f>HYPERLINK("https://pbs.twimg.com/profile_images/975512505404608512/33Il-Nmo.jpg","View")</f>
        <v>View</v>
      </c>
    </row>
    <row r="5760" spans="1:19" ht="30">
      <c r="A5760" s="8">
        <v>43340.547118055554</v>
      </c>
      <c r="B5760" s="11" t="str">
        <f>HYPERLINK("https://twitter.com/Shosseini11","@Shosseini11")</f>
        <v>@Shosseini11</v>
      </c>
      <c r="C5760" s="6" t="s">
        <v>845</v>
      </c>
      <c r="D5760" s="5" t="s">
        <v>844</v>
      </c>
      <c r="E5760" s="9" t="str">
        <f>HYPERLINK("https://twitter.com/Shosseini11/status/1034359392228057088","1034359392228057088")</f>
        <v>1034359392228057088</v>
      </c>
      <c r="F5760" s="4"/>
      <c r="G5760" s="4"/>
      <c r="H5760" s="4"/>
      <c r="I5760" s="10" t="str">
        <f>HYPERLINK("http://twitter.com/download/android","Twitter for Android")</f>
        <v>Twitter for Android</v>
      </c>
      <c r="J5760" s="2">
        <v>83</v>
      </c>
      <c r="K5760" s="2">
        <v>135</v>
      </c>
      <c r="L5760" s="2">
        <v>0</v>
      </c>
      <c r="M5760" s="2"/>
      <c r="N5760" s="8">
        <v>43329.779340277775</v>
      </c>
      <c r="O5760" s="4"/>
      <c r="P5760" s="3" t="s">
        <v>843</v>
      </c>
      <c r="Q5760" s="4"/>
      <c r="R5760" s="4"/>
      <c r="S5760" s="9" t="str">
        <f>HYPERLINK("https://pbs.twimg.com/profile_images/1030705641088798720/gy7cE26X.jpg","View")</f>
        <v>View</v>
      </c>
    </row>
    <row r="5761" spans="1:19" ht="40">
      <c r="A5761" s="8">
        <v>43340.547083333338</v>
      </c>
      <c r="B5761" s="11" t="str">
        <f>HYPERLINK("https://twitter.com/meysametammar","@meysametammar")</f>
        <v>@meysametammar</v>
      </c>
      <c r="C5761" s="6" t="s">
        <v>842</v>
      </c>
      <c r="D5761" s="5" t="s">
        <v>841</v>
      </c>
      <c r="E5761" s="9" t="str">
        <f>HYPERLINK("https://twitter.com/meysametammar/status/1034359379510919168","1034359379510919168")</f>
        <v>1034359379510919168</v>
      </c>
      <c r="F5761" s="4"/>
      <c r="G5761" s="4"/>
      <c r="H5761" s="4"/>
      <c r="I5761" s="10" t="str">
        <f>HYPERLINK("http://twitter.com","Twitter Web Client")</f>
        <v>Twitter Web Client</v>
      </c>
      <c r="J5761" s="2">
        <v>4355</v>
      </c>
      <c r="K5761" s="2">
        <v>4593</v>
      </c>
      <c r="L5761" s="2">
        <v>13</v>
      </c>
      <c r="M5761" s="2"/>
      <c r="N5761" s="8">
        <v>43152.743263888886</v>
      </c>
      <c r="O5761" s="4" t="s">
        <v>17</v>
      </c>
      <c r="P5761" s="3" t="s">
        <v>840</v>
      </c>
      <c r="Q5761" s="4"/>
      <c r="R5761" s="4"/>
      <c r="S5761" s="9" t="str">
        <f>HYPERLINK("https://pbs.twimg.com/profile_images/1010595828493365256/LlIOiiCI.jpg","View")</f>
        <v>View</v>
      </c>
    </row>
    <row r="5762" spans="1:19" ht="40">
      <c r="A5762" s="8">
        <v>43340.546967592592</v>
      </c>
      <c r="B5762" s="11" t="str">
        <f>HYPERLINK("https://twitter.com/shabgardmobtala","@shabgardmobtala")</f>
        <v>@shabgardmobtala</v>
      </c>
      <c r="C5762" s="6" t="s">
        <v>839</v>
      </c>
      <c r="D5762" s="5" t="s">
        <v>838</v>
      </c>
      <c r="E5762" s="9" t="str">
        <f>HYPERLINK("https://twitter.com/shabgardmobtala/status/1034359340134801409","1034359340134801409")</f>
        <v>1034359340134801409</v>
      </c>
      <c r="F5762" s="4"/>
      <c r="G5762" s="4"/>
      <c r="H5762" s="4"/>
      <c r="I5762" s="10" t="str">
        <f>HYPERLINK("http://twitter.com","Twitter Web Client")</f>
        <v>Twitter Web Client</v>
      </c>
      <c r="J5762" s="2">
        <v>24</v>
      </c>
      <c r="K5762" s="2">
        <v>18</v>
      </c>
      <c r="L5762" s="2">
        <v>0</v>
      </c>
      <c r="M5762" s="2"/>
      <c r="N5762" s="8">
        <v>43144.627175925925</v>
      </c>
      <c r="O5762" s="4"/>
      <c r="P5762" s="3"/>
      <c r="Q5762" s="4"/>
      <c r="R5762" s="4"/>
      <c r="S5762" s="9" t="str">
        <f>HYPERLINK("https://pbs.twimg.com/profile_images/1029733365241573379/wmJtlvR7.jpg","View")</f>
        <v>View</v>
      </c>
    </row>
    <row r="5763" spans="1:19" ht="20">
      <c r="A5763" s="8">
        <v>43340.546956018516</v>
      </c>
      <c r="B5763" s="11" t="str">
        <f>HYPERLINK("https://twitter.com/badboy6_9","@badboy6_9")</f>
        <v>@badboy6_9</v>
      </c>
      <c r="C5763" s="6" t="s">
        <v>837</v>
      </c>
      <c r="D5763" s="5" t="s">
        <v>836</v>
      </c>
      <c r="E5763" s="9" t="str">
        <f>HYPERLINK("https://twitter.com/badboy6_9/status/1034359335458099200","1034359335458099200")</f>
        <v>1034359335458099200</v>
      </c>
      <c r="F5763" s="4"/>
      <c r="G5763" s="4"/>
      <c r="H5763" s="4"/>
      <c r="I5763" s="10" t="str">
        <f>HYPERLINK("http://twitter.com/download/android","Twitter for Android")</f>
        <v>Twitter for Android</v>
      </c>
      <c r="J5763" s="2">
        <v>109</v>
      </c>
      <c r="K5763" s="2">
        <v>35</v>
      </c>
      <c r="L5763" s="2">
        <v>4</v>
      </c>
      <c r="M5763" s="2"/>
      <c r="N5763" s="8">
        <v>42469.582754629635</v>
      </c>
      <c r="O5763" s="4" t="s">
        <v>835</v>
      </c>
      <c r="P5763" s="3" t="s">
        <v>834</v>
      </c>
      <c r="Q5763" s="10" t="s">
        <v>833</v>
      </c>
      <c r="R5763" s="4"/>
      <c r="S5763" s="9" t="str">
        <f>HYPERLINK("https://pbs.twimg.com/profile_images/964487227815415808/gP3N44k7.jpg","View")</f>
        <v>View</v>
      </c>
    </row>
    <row r="5764" spans="1:19" ht="20">
      <c r="A5764" s="8">
        <v>43340.546851851846</v>
      </c>
      <c r="B5764" s="11" t="str">
        <f>HYPERLINK("https://twitter.com/hrouhani_ir","@hrouhani_ir")</f>
        <v>@hrouhani_ir</v>
      </c>
      <c r="C5764" s="6" t="s">
        <v>832</v>
      </c>
      <c r="D5764" s="5" t="s">
        <v>831</v>
      </c>
      <c r="E5764" s="9" t="str">
        <f>HYPERLINK("https://twitter.com/hrouhani_ir/status/1034359294911819776","1034359294911819776")</f>
        <v>1034359294911819776</v>
      </c>
      <c r="F5764" s="4"/>
      <c r="G5764" s="4"/>
      <c r="H5764" s="4"/>
      <c r="I5764" s="10" t="str">
        <f>HYPERLINK("http://twitter.com/download/android","Twitter for Android")</f>
        <v>Twitter for Android</v>
      </c>
      <c r="J5764" s="2">
        <v>46</v>
      </c>
      <c r="K5764" s="2">
        <v>18</v>
      </c>
      <c r="L5764" s="2">
        <v>0</v>
      </c>
      <c r="M5764" s="2"/>
      <c r="N5764" s="8">
        <v>43314.604131944448</v>
      </c>
      <c r="O5764" s="4" t="s">
        <v>830</v>
      </c>
      <c r="P5764" s="3" t="s">
        <v>829</v>
      </c>
      <c r="Q5764" s="4"/>
      <c r="R5764" s="4"/>
      <c r="S5764" s="9" t="str">
        <f>HYPERLINK("https://pbs.twimg.com/profile_images/1034327202966462464/OpmNODgt.jpg","View")</f>
        <v>View</v>
      </c>
    </row>
    <row r="5765" spans="1:19" ht="20">
      <c r="A5765" s="8">
        <v>43340.546840277777</v>
      </c>
      <c r="B5765" s="11" t="str">
        <f>HYPERLINK("https://twitter.com/Ftehrani6","@Ftehrani6")</f>
        <v>@Ftehrani6</v>
      </c>
      <c r="C5765" s="6" t="s">
        <v>828</v>
      </c>
      <c r="D5765" s="5" t="s">
        <v>827</v>
      </c>
      <c r="E5765" s="9" t="str">
        <f>HYPERLINK("https://twitter.com/Ftehrani6/status/1034359293364064256","1034359293364064256")</f>
        <v>1034359293364064256</v>
      </c>
      <c r="F5765" s="4"/>
      <c r="G5765" s="4"/>
      <c r="H5765" s="4"/>
      <c r="I5765" s="10" t="str">
        <f>HYPERLINK("http://twitter.com/download/android","Twitter for Android")</f>
        <v>Twitter for Android</v>
      </c>
      <c r="J5765" s="2">
        <v>86</v>
      </c>
      <c r="K5765" s="2">
        <v>78</v>
      </c>
      <c r="L5765" s="2">
        <v>1</v>
      </c>
      <c r="M5765" s="2"/>
      <c r="N5765" s="8">
        <v>43319.067187499997</v>
      </c>
      <c r="O5765" s="4" t="s">
        <v>34</v>
      </c>
      <c r="P5765" s="3"/>
      <c r="Q5765" s="4"/>
      <c r="R5765" s="4"/>
      <c r="S5765" s="9" t="str">
        <f>HYPERLINK("https://pbs.twimg.com/profile_images/1027265645841444865/wAw7PFqI.jpg","View")</f>
        <v>View</v>
      </c>
    </row>
    <row r="5766" spans="1:19" ht="12.5">
      <c r="A5766" s="8">
        <v>43340.546828703707</v>
      </c>
      <c r="B5766" s="11" t="str">
        <f>HYPERLINK("https://twitter.com/Farzaneh46400","@Farzaneh46400")</f>
        <v>@Farzaneh46400</v>
      </c>
      <c r="C5766" s="6" t="s">
        <v>826</v>
      </c>
      <c r="D5766" s="5" t="s">
        <v>825</v>
      </c>
      <c r="E5766" s="9" t="str">
        <f>HYPERLINK("https://twitter.com/Farzaneh46400/status/1034359288599339009","1034359288599339009")</f>
        <v>1034359288599339009</v>
      </c>
      <c r="F5766" s="4"/>
      <c r="G5766" s="10" t="s">
        <v>824</v>
      </c>
      <c r="H5766" s="4"/>
      <c r="I5766" s="10" t="str">
        <f>HYPERLINK("http://twitter.com/download/iphone","Twitter for iPhone")</f>
        <v>Twitter for iPhone</v>
      </c>
      <c r="J5766" s="2">
        <v>1392</v>
      </c>
      <c r="K5766" s="2">
        <v>566</v>
      </c>
      <c r="L5766" s="2">
        <v>2</v>
      </c>
      <c r="M5766" s="2"/>
      <c r="N5766" s="8">
        <v>43220.032870370371</v>
      </c>
      <c r="O5766" s="4" t="s">
        <v>823</v>
      </c>
      <c r="P5766" s="3" t="s">
        <v>822</v>
      </c>
      <c r="Q5766" s="4"/>
      <c r="R5766" s="4"/>
      <c r="S5766" s="9" t="str">
        <f>HYPERLINK("https://pbs.twimg.com/profile_images/1016360393277657090/CmI0PgAi.jpg","View")</f>
        <v>View</v>
      </c>
    </row>
    <row r="5767" spans="1:19" ht="40">
      <c r="A5767" s="8">
        <v>43340.546782407408</v>
      </c>
      <c r="B5767" s="11" t="str">
        <f>HYPERLINK("https://twitter.com/Masoudd2018","@Masoudd2018")</f>
        <v>@Masoudd2018</v>
      </c>
      <c r="C5767" s="6" t="s">
        <v>821</v>
      </c>
      <c r="D5767" s="5" t="s">
        <v>820</v>
      </c>
      <c r="E5767" s="9" t="str">
        <f>HYPERLINK("https://twitter.com/Masoudd2018/status/1034359271553736704","1034359271553736704")</f>
        <v>1034359271553736704</v>
      </c>
      <c r="F5767" s="4"/>
      <c r="G5767" s="4"/>
      <c r="H5767" s="4"/>
      <c r="I5767" s="10" t="str">
        <f>HYPERLINK("http://twitter.com/download/android","Twitter for Android")</f>
        <v>Twitter for Android</v>
      </c>
      <c r="J5767" s="2">
        <v>1597</v>
      </c>
      <c r="K5767" s="2">
        <v>1883</v>
      </c>
      <c r="L5767" s="2">
        <v>2</v>
      </c>
      <c r="M5767" s="2"/>
      <c r="N5767" s="8">
        <v>43103.011157407411</v>
      </c>
      <c r="O5767" s="4" t="s">
        <v>17</v>
      </c>
      <c r="P5767" s="3" t="s">
        <v>819</v>
      </c>
      <c r="Q5767" s="4"/>
      <c r="R5767" s="4"/>
      <c r="S5767" s="9" t="str">
        <f>HYPERLINK("https://pbs.twimg.com/profile_images/1005408605884084227/AEcGKpuk.jpg","View")</f>
        <v>View</v>
      </c>
    </row>
    <row r="5768" spans="1:19" ht="40">
      <c r="A5768" s="8">
        <v>43340.546597222223</v>
      </c>
      <c r="B5768" s="11" t="str">
        <f>HYPERLINK("https://twitter.com/jBicharanlou","@jBicharanlou")</f>
        <v>@jBicharanlou</v>
      </c>
      <c r="C5768" s="6" t="s">
        <v>818</v>
      </c>
      <c r="D5768" s="5" t="s">
        <v>817</v>
      </c>
      <c r="E5768" s="9" t="str">
        <f>HYPERLINK("https://twitter.com/jBicharanlou/status/1034359205082419200","1034359205082419200")</f>
        <v>1034359205082419200</v>
      </c>
      <c r="F5768" s="4"/>
      <c r="G5768" s="10" t="s">
        <v>816</v>
      </c>
      <c r="H5768" s="4"/>
      <c r="I5768" s="10" t="str">
        <f>HYPERLINK("http://twitter.com/download/android","Twitter for Android")</f>
        <v>Twitter for Android</v>
      </c>
      <c r="J5768" s="2">
        <v>3</v>
      </c>
      <c r="K5768" s="2">
        <v>10</v>
      </c>
      <c r="L5768" s="2">
        <v>0</v>
      </c>
      <c r="M5768" s="2"/>
      <c r="N5768" s="8">
        <v>43276.427511574075</v>
      </c>
      <c r="O5768" s="4"/>
      <c r="P5768" s="3"/>
      <c r="Q5768" s="4"/>
      <c r="R5768" s="4"/>
      <c r="S5768" s="9" t="str">
        <f>HYPERLINK("https://pbs.twimg.com/profile_images/1011124949703159808/BxiHEc4n.jpg","View")</f>
        <v>View</v>
      </c>
    </row>
    <row r="5769" spans="1:19" ht="20">
      <c r="A5769" s="8">
        <v>43340.546574074076</v>
      </c>
      <c r="B5769" s="11" t="str">
        <f>HYPERLINK("https://twitter.com/aseman_banoo","@aseman_banoo")</f>
        <v>@aseman_banoo</v>
      </c>
      <c r="C5769" s="6" t="s">
        <v>815</v>
      </c>
      <c r="D5769" s="5" t="s">
        <v>814</v>
      </c>
      <c r="E5769" s="9" t="str">
        <f>HYPERLINK("https://twitter.com/aseman_banoo/status/1034359196370829312","1034359196370829312")</f>
        <v>1034359196370829312</v>
      </c>
      <c r="F5769" s="4"/>
      <c r="G5769" s="4"/>
      <c r="H5769" s="4"/>
      <c r="I5769" s="10" t="str">
        <f>HYPERLINK("http://twitter.com/download/iphone","Twitter for iPhone")</f>
        <v>Twitter for iPhone</v>
      </c>
      <c r="J5769" s="2">
        <v>708</v>
      </c>
      <c r="K5769" s="2">
        <v>274</v>
      </c>
      <c r="L5769" s="2">
        <v>4</v>
      </c>
      <c r="M5769" s="2"/>
      <c r="N5769" s="8">
        <v>42938.386886574073</v>
      </c>
      <c r="O5769" s="4" t="s">
        <v>34</v>
      </c>
      <c r="P5769" s="3" t="s">
        <v>813</v>
      </c>
      <c r="Q5769" s="10" t="s">
        <v>812</v>
      </c>
      <c r="R5769" s="4"/>
      <c r="S5769" s="9" t="str">
        <f>HYPERLINK("https://pbs.twimg.com/profile_images/1032962027562696704/N0gTvXQg.jpg","View")</f>
        <v>View</v>
      </c>
    </row>
    <row r="5770" spans="1:19" ht="40">
      <c r="A5770" s="8">
        <v>43340.546574074076</v>
      </c>
      <c r="B5770" s="11" t="str">
        <f>HYPERLINK("https://twitter.com/testtwits","@testtwits")</f>
        <v>@testtwits</v>
      </c>
      <c r="C5770" s="6" t="s">
        <v>811</v>
      </c>
      <c r="D5770" s="5" t="s">
        <v>810</v>
      </c>
      <c r="E5770" s="9" t="str">
        <f>HYPERLINK("https://twitter.com/testtwits/status/1034359196144349184","1034359196144349184")</f>
        <v>1034359196144349184</v>
      </c>
      <c r="F5770" s="4"/>
      <c r="G5770" s="10" t="s">
        <v>809</v>
      </c>
      <c r="H5770" s="4"/>
      <c r="I5770" s="10" t="str">
        <f>HYPERLINK("http://twitter.com","Twitter Web Client")</f>
        <v>Twitter Web Client</v>
      </c>
      <c r="J5770" s="2">
        <v>0</v>
      </c>
      <c r="K5770" s="2">
        <v>19</v>
      </c>
      <c r="L5770" s="2">
        <v>0</v>
      </c>
      <c r="M5770" s="2"/>
      <c r="N5770" s="8">
        <v>40164.895324074074</v>
      </c>
      <c r="O5770" s="4"/>
      <c r="P5770" s="3"/>
      <c r="Q5770" s="4"/>
      <c r="R5770" s="4"/>
      <c r="S5770" s="2" t="s">
        <v>155</v>
      </c>
    </row>
    <row r="5771" spans="1:19" ht="40">
      <c r="A5771" s="8">
        <v>43340.5465162037</v>
      </c>
      <c r="B5771" s="11" t="str">
        <f>HYPERLINK("https://twitter.com/freedommesenger","@freedommesenger")</f>
        <v>@freedommesenger</v>
      </c>
      <c r="C5771" s="6" t="s">
        <v>808</v>
      </c>
      <c r="D5771" s="5" t="s">
        <v>807</v>
      </c>
      <c r="E5771" s="9" t="str">
        <f>HYPERLINK("https://twitter.com/freedommesenger/status/1034359174430380032","1034359174430380032")</f>
        <v>1034359174430380032</v>
      </c>
      <c r="F5771" s="4"/>
      <c r="G5771" s="10" t="s">
        <v>806</v>
      </c>
      <c r="H5771" s="4"/>
      <c r="I5771" s="10" t="str">
        <f>HYPERLINK("http://twitter.com/download/iphone","Twitter for iPhone")</f>
        <v>Twitter for iPhone</v>
      </c>
      <c r="J5771" s="2">
        <v>7821</v>
      </c>
      <c r="K5771" s="2">
        <v>31</v>
      </c>
      <c r="L5771" s="2">
        <v>262</v>
      </c>
      <c r="M5771" s="2"/>
      <c r="N5771" s="8">
        <v>40052.203796296293</v>
      </c>
      <c r="O5771" s="4" t="s">
        <v>805</v>
      </c>
      <c r="P5771" s="3" t="s">
        <v>804</v>
      </c>
      <c r="Q5771" s="10" t="s">
        <v>803</v>
      </c>
      <c r="R5771" s="4"/>
      <c r="S5771" s="9" t="str">
        <f>HYPERLINK("https://pbs.twimg.com/profile_images/756008327/youtube_icon_01.jpg","View")</f>
        <v>View</v>
      </c>
    </row>
    <row r="5772" spans="1:19" ht="20">
      <c r="A5772" s="8">
        <v>43340.546435185184</v>
      </c>
      <c r="B5772" s="11" t="str">
        <f>HYPERLINK("https://twitter.com/Silverboy","@Silverboy")</f>
        <v>@Silverboy</v>
      </c>
      <c r="C5772" s="6" t="s">
        <v>802</v>
      </c>
      <c r="D5772" s="5" t="s">
        <v>801</v>
      </c>
      <c r="E5772" s="9" t="str">
        <f>HYPERLINK("https://twitter.com/Silverboy/status/1034359145963708416","1034359145963708416")</f>
        <v>1034359145963708416</v>
      </c>
      <c r="F5772" s="4"/>
      <c r="G5772" s="4"/>
      <c r="H5772" s="4"/>
      <c r="I5772" s="10" t="str">
        <f>HYPERLINK("http://twitter.com/download/android","Twitter for Android")</f>
        <v>Twitter for Android</v>
      </c>
      <c r="J5772" s="2">
        <v>20</v>
      </c>
      <c r="K5772" s="2">
        <v>33</v>
      </c>
      <c r="L5772" s="2">
        <v>0</v>
      </c>
      <c r="M5772" s="2"/>
      <c r="N5772" s="8">
        <v>39749.516006944446</v>
      </c>
      <c r="O5772" s="4"/>
      <c r="P5772" s="3" t="s">
        <v>800</v>
      </c>
      <c r="Q5772" s="4"/>
      <c r="R5772" s="4"/>
      <c r="S5772" s="9" t="str">
        <f>HYPERLINK("https://pbs.twimg.com/profile_images/587716386417278976/LylbXwNr.jpg","View")</f>
        <v>View</v>
      </c>
    </row>
    <row r="5773" spans="1:19" ht="20">
      <c r="A5773" s="8">
        <v>43340.546307870369</v>
      </c>
      <c r="B5773" s="11" t="str">
        <f>HYPERLINK("https://twitter.com/Rezaei59071262","@Rezaei59071262")</f>
        <v>@Rezaei59071262</v>
      </c>
      <c r="C5773" s="6" t="s">
        <v>799</v>
      </c>
      <c r="D5773" s="5" t="s">
        <v>798</v>
      </c>
      <c r="E5773" s="9" t="str">
        <f>HYPERLINK("https://twitter.com/Rezaei59071262/status/1034359100052779008","1034359100052779008")</f>
        <v>1034359100052779008</v>
      </c>
      <c r="F5773" s="4"/>
      <c r="G5773" s="4"/>
      <c r="H5773" s="4"/>
      <c r="I5773" s="10" t="str">
        <f>HYPERLINK("http://twitter.com/download/android","Twitter for Android")</f>
        <v>Twitter for Android</v>
      </c>
      <c r="J5773" s="2">
        <v>2627</v>
      </c>
      <c r="K5773" s="2">
        <v>279</v>
      </c>
      <c r="L5773" s="2">
        <v>10</v>
      </c>
      <c r="M5773" s="2"/>
      <c r="N5773" s="8">
        <v>42978.889317129629</v>
      </c>
      <c r="O5773" s="4" t="s">
        <v>17</v>
      </c>
      <c r="P5773" s="3" t="s">
        <v>797</v>
      </c>
      <c r="Q5773" s="4"/>
      <c r="R5773" s="4"/>
      <c r="S5773" s="9" t="str">
        <f>HYPERLINK("https://pbs.twimg.com/profile_images/1025830345831342085/6Gh-zNa-.jpg","View")</f>
        <v>View</v>
      </c>
    </row>
    <row r="5774" spans="1:19" ht="20">
      <c r="A5774" s="8">
        <v>43340.546203703707</v>
      </c>
      <c r="B5774" s="11" t="str">
        <f>HYPERLINK("https://twitter.com/hemmati_naser","@hemmati_naser")</f>
        <v>@hemmati_naser</v>
      </c>
      <c r="C5774" s="6" t="s">
        <v>796</v>
      </c>
      <c r="D5774" s="5" t="s">
        <v>795</v>
      </c>
      <c r="E5774" s="9" t="str">
        <f>HYPERLINK("https://twitter.com/hemmati_naser/status/1034359061964312577","1034359061964312577")</f>
        <v>1034359061964312577</v>
      </c>
      <c r="F5774" s="4"/>
      <c r="G5774" s="4"/>
      <c r="H5774" s="4"/>
      <c r="I5774" s="10" t="str">
        <f>HYPERLINK("https://mobile.twitter.com","Twitter Lite")</f>
        <v>Twitter Lite</v>
      </c>
      <c r="J5774" s="2">
        <v>978</v>
      </c>
      <c r="K5774" s="2">
        <v>741</v>
      </c>
      <c r="L5774" s="2">
        <v>2</v>
      </c>
      <c r="M5774" s="2"/>
      <c r="N5774" s="8">
        <v>42265.174189814818</v>
      </c>
      <c r="O5774" s="4" t="s">
        <v>794</v>
      </c>
      <c r="P5774" s="3" t="s">
        <v>793</v>
      </c>
      <c r="Q5774" s="10" t="s">
        <v>792</v>
      </c>
      <c r="R5774" s="4"/>
      <c r="S5774" s="9" t="str">
        <f>HYPERLINK("https://pbs.twimg.com/profile_images/1027186992902295553/DmQnJm5v.jpg","View")</f>
        <v>View</v>
      </c>
    </row>
    <row r="5775" spans="1:19" ht="30">
      <c r="A5775" s="8">
        <v>43340.545983796299</v>
      </c>
      <c r="B5775" s="11" t="str">
        <f>HYPERLINK("https://twitter.com/masoudjamaki","@masoudjamaki")</f>
        <v>@masoudjamaki</v>
      </c>
      <c r="C5775" s="6" t="s">
        <v>791</v>
      </c>
      <c r="D5775" s="5" t="s">
        <v>790</v>
      </c>
      <c r="E5775" s="9" t="str">
        <f>HYPERLINK("https://twitter.com/masoudjamaki/status/1034358983656714240","1034358983656714240")</f>
        <v>1034358983656714240</v>
      </c>
      <c r="F5775" s="4"/>
      <c r="G5775" s="10" t="s">
        <v>789</v>
      </c>
      <c r="H5775" s="4"/>
      <c r="I5775" s="10" t="str">
        <f>HYPERLINK("http://twitter.com","Twitter Web Client")</f>
        <v>Twitter Web Client</v>
      </c>
      <c r="J5775" s="2">
        <v>3461</v>
      </c>
      <c r="K5775" s="2">
        <v>3388</v>
      </c>
      <c r="L5775" s="2">
        <v>10</v>
      </c>
      <c r="M5775" s="2"/>
      <c r="N5775" s="8">
        <v>42848.638680555552</v>
      </c>
      <c r="O5775" s="4" t="s">
        <v>788</v>
      </c>
      <c r="P5775" s="3" t="s">
        <v>787</v>
      </c>
      <c r="Q5775" s="4"/>
      <c r="R5775" s="4"/>
      <c r="S5775" s="9" t="str">
        <f>HYPERLINK("https://pbs.twimg.com/profile_images/1025008667496726529/BtzAGgs6.jpg","View")</f>
        <v>View</v>
      </c>
    </row>
    <row r="5776" spans="1:19" ht="30">
      <c r="A5776" s="8">
        <v>43340.545960648145</v>
      </c>
      <c r="B5776" s="11" t="str">
        <f>HYPERLINK("https://twitter.com/NouriSamyar","@NouriSamyar")</f>
        <v>@NouriSamyar</v>
      </c>
      <c r="C5776" s="6" t="s">
        <v>786</v>
      </c>
      <c r="D5776" s="5" t="s">
        <v>785</v>
      </c>
      <c r="E5776" s="9" t="str">
        <f>HYPERLINK("https://twitter.com/NouriSamyar/status/1034358975557521409","1034358975557521409")</f>
        <v>1034358975557521409</v>
      </c>
      <c r="F5776" s="4"/>
      <c r="G5776" s="10" t="s">
        <v>784</v>
      </c>
      <c r="H5776" s="4"/>
      <c r="I5776" s="10" t="str">
        <f>HYPERLINK("http://twitter.com/#!/download/ipad","Twitter for iPad")</f>
        <v>Twitter for iPad</v>
      </c>
      <c r="J5776" s="2">
        <v>220</v>
      </c>
      <c r="K5776" s="2">
        <v>223</v>
      </c>
      <c r="L5776" s="2">
        <v>0</v>
      </c>
      <c r="M5776" s="2"/>
      <c r="N5776" s="8">
        <v>43198.774224537032</v>
      </c>
      <c r="O5776" s="4" t="s">
        <v>682</v>
      </c>
      <c r="P5776" s="3" t="s">
        <v>783</v>
      </c>
      <c r="Q5776" s="4"/>
      <c r="R5776" s="4"/>
      <c r="S5776" s="9" t="str">
        <f>HYPERLINK("https://pbs.twimg.com/profile_images/1030365544724226049/akvUCrt8.jpg","View")</f>
        <v>View</v>
      </c>
    </row>
    <row r="5777" spans="1:19" ht="40">
      <c r="A5777" s="8">
        <v>43340.545833333337</v>
      </c>
      <c r="B5777" s="11" t="str">
        <f>HYPERLINK("https://twitter.com/MohsenM18927370","@MohsenM18927370")</f>
        <v>@MohsenM18927370</v>
      </c>
      <c r="C5777" s="6" t="s">
        <v>782</v>
      </c>
      <c r="D5777" s="5" t="s">
        <v>781</v>
      </c>
      <c r="E5777" s="9" t="str">
        <f>HYPERLINK("https://twitter.com/MohsenM18927370/status/1034358927624941568","1034358927624941568")</f>
        <v>1034358927624941568</v>
      </c>
      <c r="F5777" s="4"/>
      <c r="G5777" s="4"/>
      <c r="H5777" s="4"/>
      <c r="I5777" s="10" t="str">
        <f>HYPERLINK("http://twitter.com/download/android","Twitter for Android")</f>
        <v>Twitter for Android</v>
      </c>
      <c r="J5777" s="2">
        <v>2175</v>
      </c>
      <c r="K5777" s="2">
        <v>3284</v>
      </c>
      <c r="L5777" s="2">
        <v>1</v>
      </c>
      <c r="M5777" s="2"/>
      <c r="N5777" s="8">
        <v>43235.390196759261</v>
      </c>
      <c r="O5777" s="4" t="s">
        <v>133</v>
      </c>
      <c r="P5777" s="3" t="s">
        <v>780</v>
      </c>
      <c r="Q5777" s="10" t="s">
        <v>779</v>
      </c>
      <c r="R5777" s="4"/>
      <c r="S5777" s="9" t="str">
        <f>HYPERLINK("https://pbs.twimg.com/profile_images/996264944495624192/KDFD3KaG.jpg","View")</f>
        <v>View</v>
      </c>
    </row>
    <row r="5778" spans="1:19" ht="20">
      <c r="A5778" s="8">
        <v>43340.545763888891</v>
      </c>
      <c r="B5778" s="11" t="str">
        <f>HYPERLINK("https://twitter.com/Linaa_lonaa","@Linaa_lonaa")</f>
        <v>@Linaa_lonaa</v>
      </c>
      <c r="C5778" s="6" t="s">
        <v>778</v>
      </c>
      <c r="D5778" s="5" t="s">
        <v>777</v>
      </c>
      <c r="E5778" s="9" t="str">
        <f>HYPERLINK("https://twitter.com/Linaa_lonaa/status/1034358903457366017","1034358903457366017")</f>
        <v>1034358903457366017</v>
      </c>
      <c r="F5778" s="4"/>
      <c r="G5778" s="4"/>
      <c r="H5778" s="4"/>
      <c r="I5778" s="10" t="str">
        <f>HYPERLINK("http://twitter.com/download/android","Twitter for Android")</f>
        <v>Twitter for Android</v>
      </c>
      <c r="J5778" s="2">
        <v>692</v>
      </c>
      <c r="K5778" s="2">
        <v>538</v>
      </c>
      <c r="L5778" s="2">
        <v>3</v>
      </c>
      <c r="M5778" s="2"/>
      <c r="N5778" s="8">
        <v>43207.834224537037</v>
      </c>
      <c r="O5778" s="4" t="s">
        <v>17</v>
      </c>
      <c r="P5778" s="3" t="s">
        <v>776</v>
      </c>
      <c r="Q5778" s="4"/>
      <c r="R5778" s="4"/>
      <c r="S5778" s="9" t="str">
        <f>HYPERLINK("https://pbs.twimg.com/profile_images/1008774695972458498/uEfgnmX4.jpg","View")</f>
        <v>View</v>
      </c>
    </row>
    <row r="5779" spans="1:19" ht="20">
      <c r="A5779" s="8">
        <v>43340.545706018514</v>
      </c>
      <c r="B5779" s="11" t="str">
        <f>HYPERLINK("https://twitter.com/rizbinriznevesh","@rizbinriznevesh")</f>
        <v>@rizbinriznevesh</v>
      </c>
      <c r="C5779" s="6" t="s">
        <v>775</v>
      </c>
      <c r="D5779" s="5" t="s">
        <v>774</v>
      </c>
      <c r="E5779" s="9" t="str">
        <f>HYPERLINK("https://twitter.com/rizbinriznevesh/status/1034358881986723840","1034358881986723840")</f>
        <v>1034358881986723840</v>
      </c>
      <c r="F5779" s="4"/>
      <c r="G5779" s="4"/>
      <c r="H5779" s="4"/>
      <c r="I5779" s="10" t="str">
        <f>HYPERLINK("http://twitter.com/download/android","Twitter for Android")</f>
        <v>Twitter for Android</v>
      </c>
      <c r="J5779" s="2">
        <v>412</v>
      </c>
      <c r="K5779" s="2">
        <v>604</v>
      </c>
      <c r="L5779" s="2">
        <v>3</v>
      </c>
      <c r="M5779" s="2"/>
      <c r="N5779" s="8">
        <v>43101.6558912037</v>
      </c>
      <c r="O5779" s="4" t="s">
        <v>773</v>
      </c>
      <c r="P5779" s="3" t="s">
        <v>772</v>
      </c>
      <c r="Q5779" s="10" t="s">
        <v>771</v>
      </c>
      <c r="R5779" s="4"/>
      <c r="S5779" s="9" t="str">
        <f>HYPERLINK("https://pbs.twimg.com/profile_images/947803817034252289/Iiyk91oh.jpg","View")</f>
        <v>View</v>
      </c>
    </row>
    <row r="5780" spans="1:19" ht="40">
      <c r="A5780" s="8">
        <v>43340.545671296291</v>
      </c>
      <c r="B5780" s="11" t="str">
        <f>HYPERLINK("https://twitter.com/elahian_zohre","@elahian_zohre")</f>
        <v>@elahian_zohre</v>
      </c>
      <c r="C5780" s="6" t="s">
        <v>770</v>
      </c>
      <c r="D5780" s="5" t="s">
        <v>769</v>
      </c>
      <c r="E5780" s="9" t="str">
        <f>HYPERLINK("https://twitter.com/elahian_zohre/status/1034358867847774209","1034358867847774209")</f>
        <v>1034358867847774209</v>
      </c>
      <c r="F5780" s="4"/>
      <c r="G5780" s="4"/>
      <c r="H5780" s="4"/>
      <c r="I5780" s="10" t="str">
        <f>HYPERLINK("http://twitter.com/download/android","Twitter for Android")</f>
        <v>Twitter for Android</v>
      </c>
      <c r="J5780" s="2">
        <v>96</v>
      </c>
      <c r="K5780" s="2">
        <v>27</v>
      </c>
      <c r="L5780" s="2">
        <v>0</v>
      </c>
      <c r="M5780" s="2"/>
      <c r="N5780" s="8">
        <v>43165.964525462958</v>
      </c>
      <c r="O5780" s="4"/>
      <c r="P5780" s="3" t="s">
        <v>768</v>
      </c>
      <c r="Q5780" s="10" t="s">
        <v>767</v>
      </c>
      <c r="R5780" s="4"/>
      <c r="S5780" s="9" t="str">
        <f>HYPERLINK("https://pbs.twimg.com/profile_images/972806103930085376/CkP8O1xV.jpg","View")</f>
        <v>View</v>
      </c>
    </row>
    <row r="5781" spans="1:19" ht="20">
      <c r="A5781" s="8">
        <v>43340.545497685191</v>
      </c>
      <c r="B5781" s="11" t="str">
        <f>HYPERLINK("https://twitter.com/gomnam_02","@gomnam_02")</f>
        <v>@gomnam_02</v>
      </c>
      <c r="C5781" s="6" t="s">
        <v>766</v>
      </c>
      <c r="D5781" s="5" t="s">
        <v>765</v>
      </c>
      <c r="E5781" s="9" t="str">
        <f>HYPERLINK("https://twitter.com/gomnam_02/status/1034358804262019072","1034358804262019072")</f>
        <v>1034358804262019072</v>
      </c>
      <c r="F5781" s="10" t="s">
        <v>764</v>
      </c>
      <c r="G5781" s="4"/>
      <c r="H5781" s="4"/>
      <c r="I5781" s="10" t="str">
        <f>HYPERLINK("http://twitter.com/download/android","Twitter for Android")</f>
        <v>Twitter for Android</v>
      </c>
      <c r="J5781" s="2">
        <v>4103</v>
      </c>
      <c r="K5781" s="2">
        <v>2938</v>
      </c>
      <c r="L5781" s="2">
        <v>5</v>
      </c>
      <c r="M5781" s="2"/>
      <c r="N5781" s="8">
        <v>42923.574328703704</v>
      </c>
      <c r="O5781" s="4" t="s">
        <v>763</v>
      </c>
      <c r="P5781" s="3" t="s">
        <v>762</v>
      </c>
      <c r="Q5781" s="4"/>
      <c r="R5781" s="4"/>
      <c r="S5781" s="9" t="str">
        <f>HYPERLINK("https://pbs.twimg.com/profile_images/989492124415651841/1yDbWPIA.jpg","View")</f>
        <v>View</v>
      </c>
    </row>
    <row r="5782" spans="1:19" ht="20">
      <c r="A5782" s="8">
        <v>43340.545381944445</v>
      </c>
      <c r="B5782" s="11" t="str">
        <f>HYPERLINK("https://twitter.com/shabnambrume","@shabnambrume")</f>
        <v>@shabnambrume</v>
      </c>
      <c r="C5782" s="6" t="s">
        <v>761</v>
      </c>
      <c r="D5782" s="5" t="s">
        <v>760</v>
      </c>
      <c r="E5782" s="9" t="str">
        <f>HYPERLINK("https://twitter.com/shabnambrume/status/1034358763904323584","1034358763904323584")</f>
        <v>1034358763904323584</v>
      </c>
      <c r="F5782" s="4"/>
      <c r="G5782" s="4"/>
      <c r="H5782" s="4"/>
      <c r="I5782" s="10" t="str">
        <f>HYPERLINK("http://twitter.com/download/iphone","Twitter for iPhone")</f>
        <v>Twitter for iPhone</v>
      </c>
      <c r="J5782" s="2">
        <v>111</v>
      </c>
      <c r="K5782" s="2">
        <v>165</v>
      </c>
      <c r="L5782" s="2">
        <v>0</v>
      </c>
      <c r="M5782" s="2"/>
      <c r="N5782" s="8">
        <v>41168.58221064815</v>
      </c>
      <c r="O5782" s="4" t="s">
        <v>759</v>
      </c>
      <c r="P5782" s="3" t="s">
        <v>758</v>
      </c>
      <c r="Q5782" s="4"/>
      <c r="R5782" s="4"/>
      <c r="S5782" s="9" t="str">
        <f>HYPERLINK("https://pbs.twimg.com/profile_images/1010716146289393665/ed0sCiZ1.jpg","View")</f>
        <v>View</v>
      </c>
    </row>
    <row r="5783" spans="1:19" ht="30">
      <c r="A5783" s="8">
        <v>43340.545358796298</v>
      </c>
      <c r="B5783" s="11" t="str">
        <f>HYPERLINK("https://twitter.com/ReZo0Li_","@ReZo0Li_")</f>
        <v>@ReZo0Li_</v>
      </c>
      <c r="C5783" s="6" t="s">
        <v>757</v>
      </c>
      <c r="D5783" s="5" t="s">
        <v>756</v>
      </c>
      <c r="E5783" s="9" t="str">
        <f>HYPERLINK("https://twitter.com/ReZo0Li_/status/1034358757873070081","1034358757873070081")</f>
        <v>1034358757873070081</v>
      </c>
      <c r="F5783" s="4"/>
      <c r="G5783" s="4"/>
      <c r="H5783" s="4"/>
      <c r="I5783" s="10" t="str">
        <f>HYPERLINK("http://twitter.com/download/iphone","Twitter for iPhone")</f>
        <v>Twitter for iPhone</v>
      </c>
      <c r="J5783" s="2">
        <v>90</v>
      </c>
      <c r="K5783" s="2">
        <v>122</v>
      </c>
      <c r="L5783" s="2">
        <v>0</v>
      </c>
      <c r="M5783" s="2"/>
      <c r="N5783" s="8">
        <v>43252.073657407411</v>
      </c>
      <c r="O5783" s="4" t="s">
        <v>755</v>
      </c>
      <c r="P5783" s="3" t="s">
        <v>754</v>
      </c>
      <c r="Q5783" s="4"/>
      <c r="R5783" s="4"/>
      <c r="S5783" s="9" t="str">
        <f>HYPERLINK("https://pbs.twimg.com/profile_images/1002299545936650242/x2oHYf1F.jpg","View")</f>
        <v>View</v>
      </c>
    </row>
    <row r="5784" spans="1:19" ht="30">
      <c r="A5784" s="8">
        <v>43340.545219907406</v>
      </c>
      <c r="B5784" s="11" t="str">
        <f>HYPERLINK("https://twitter.com/gholamnejadm","@gholamnejadm")</f>
        <v>@gholamnejadm</v>
      </c>
      <c r="C5784" s="6" t="s">
        <v>753</v>
      </c>
      <c r="D5784" s="5" t="s">
        <v>752</v>
      </c>
      <c r="E5784" s="9" t="str">
        <f>HYPERLINK("https://twitter.com/gholamnejadm/status/1034358705574305792","1034358705574305792")</f>
        <v>1034358705574305792</v>
      </c>
      <c r="F5784" s="4"/>
      <c r="G5784" s="4"/>
      <c r="H5784" s="4"/>
      <c r="I5784" s="10" t="str">
        <f>HYPERLINK("http://twitter.com/download/android","Twitter for Android")</f>
        <v>Twitter for Android</v>
      </c>
      <c r="J5784" s="2">
        <v>40</v>
      </c>
      <c r="K5784" s="2">
        <v>27</v>
      </c>
      <c r="L5784" s="2">
        <v>0</v>
      </c>
      <c r="M5784" s="2"/>
      <c r="N5784" s="8">
        <v>42046.522256944445</v>
      </c>
      <c r="O5784" s="4" t="s">
        <v>324</v>
      </c>
      <c r="P5784" s="3" t="s">
        <v>751</v>
      </c>
      <c r="Q5784" s="4"/>
      <c r="R5784" s="4"/>
      <c r="S5784" s="9" t="str">
        <f>HYPERLINK("https://pbs.twimg.com/profile_images/949377104172539904/yZUBNNQO.jpg","View")</f>
        <v>View</v>
      </c>
    </row>
    <row r="5785" spans="1:19" ht="30">
      <c r="A5785" s="8">
        <v>43340.545162037037</v>
      </c>
      <c r="B5785" s="11" t="str">
        <f>HYPERLINK("https://twitter.com/khajenezhadian","@khajenezhadian")</f>
        <v>@khajenezhadian</v>
      </c>
      <c r="C5785" s="6" t="s">
        <v>750</v>
      </c>
      <c r="D5785" s="5" t="s">
        <v>749</v>
      </c>
      <c r="E5785" s="9" t="str">
        <f>HYPERLINK("https://twitter.com/khajenezhadian/status/1034358686335033344","1034358686335033344")</f>
        <v>1034358686335033344</v>
      </c>
      <c r="F5785" s="4"/>
      <c r="G5785" s="4"/>
      <c r="H5785" s="4"/>
      <c r="I5785" s="10" t="str">
        <f>HYPERLINK("http://twitter.com","Twitter Web Client")</f>
        <v>Twitter Web Client</v>
      </c>
      <c r="J5785" s="2">
        <v>2053</v>
      </c>
      <c r="K5785" s="2">
        <v>4053</v>
      </c>
      <c r="L5785" s="2">
        <v>7</v>
      </c>
      <c r="M5785" s="2"/>
      <c r="N5785" s="8">
        <v>42904.69263888889</v>
      </c>
      <c r="O5785" s="4" t="s">
        <v>748</v>
      </c>
      <c r="P5785" s="3" t="s">
        <v>747</v>
      </c>
      <c r="Q5785" s="10" t="s">
        <v>746</v>
      </c>
      <c r="R5785" s="4"/>
      <c r="S5785" s="9" t="str">
        <f>HYPERLINK("https://pbs.twimg.com/profile_images/1009340038272901120/z4tTTdkR.jpg","View")</f>
        <v>View</v>
      </c>
    </row>
    <row r="5786" spans="1:19" ht="30">
      <c r="A5786" s="8">
        <v>43340.544999999998</v>
      </c>
      <c r="B5786" s="11" t="str">
        <f>HYPERLINK("https://twitter.com/MrNobod59173199","@MrNobod59173199")</f>
        <v>@MrNobod59173199</v>
      </c>
      <c r="C5786" s="6" t="s">
        <v>745</v>
      </c>
      <c r="D5786" s="5" t="s">
        <v>744</v>
      </c>
      <c r="E5786" s="9" t="str">
        <f>HYPERLINK("https://twitter.com/MrNobod59173199/status/1034358624087240704","1034358624087240704")</f>
        <v>1034358624087240704</v>
      </c>
      <c r="F5786" s="4"/>
      <c r="G5786" s="4"/>
      <c r="H5786" s="4"/>
      <c r="I5786" s="10" t="str">
        <f>HYPERLINK("http://twitter.com/download/iphone","Twitter for iPhone")</f>
        <v>Twitter for iPhone</v>
      </c>
      <c r="J5786" s="2">
        <v>74</v>
      </c>
      <c r="K5786" s="2">
        <v>287</v>
      </c>
      <c r="L5786" s="2">
        <v>0</v>
      </c>
      <c r="M5786" s="2"/>
      <c r="N5786" s="8">
        <v>43103.06858796296</v>
      </c>
      <c r="O5786" s="4" t="s">
        <v>743</v>
      </c>
      <c r="P5786" s="3" t="s">
        <v>742</v>
      </c>
      <c r="Q5786" s="4"/>
      <c r="R5786" s="4"/>
      <c r="S5786" s="9" t="str">
        <f>HYPERLINK("https://pbs.twimg.com/profile_images/1034296370532737024/_eSdzFh8.jpg","View")</f>
        <v>View</v>
      </c>
    </row>
    <row r="5787" spans="1:19" ht="40">
      <c r="A5787" s="8">
        <v>43340.544988425929</v>
      </c>
      <c r="B5787" s="11" t="str">
        <f>HYPERLINK("https://twitter.com/ROH_Dehghani","@ROH_Dehghani")</f>
        <v>@ROH_Dehghani</v>
      </c>
      <c r="C5787" s="6" t="s">
        <v>741</v>
      </c>
      <c r="D5787" s="5" t="s">
        <v>740</v>
      </c>
      <c r="E5787" s="9" t="str">
        <f>HYPERLINK("https://twitter.com/ROH_Dehghani/status/1034358620677263360","1034358620677263360")</f>
        <v>1034358620677263360</v>
      </c>
      <c r="F5787" s="4"/>
      <c r="G5787" s="4"/>
      <c r="H5787" s="4"/>
      <c r="I5787" s="10" t="str">
        <f>HYPERLINK("http://twitter.com","Twitter Web Client")</f>
        <v>Twitter Web Client</v>
      </c>
      <c r="J5787" s="2">
        <v>92</v>
      </c>
      <c r="K5787" s="2">
        <v>174</v>
      </c>
      <c r="L5787" s="2">
        <v>0</v>
      </c>
      <c r="M5787" s="2"/>
      <c r="N5787" s="8">
        <v>39955.488958333335</v>
      </c>
      <c r="O5787" s="4" t="s">
        <v>17</v>
      </c>
      <c r="P5787" s="3" t="s">
        <v>739</v>
      </c>
      <c r="Q5787" s="10" t="s">
        <v>738</v>
      </c>
      <c r="R5787" s="4"/>
      <c r="S5787" s="9" t="str">
        <f>HYPERLINK("https://pbs.twimg.com/profile_images/617216164129828864/lu-HYrVJ.jpg","View")</f>
        <v>View</v>
      </c>
    </row>
    <row r="5788" spans="1:19" ht="30">
      <c r="A5788" s="8">
        <v>43340.544930555552</v>
      </c>
      <c r="B5788" s="11" t="str">
        <f>HYPERLINK("https://twitter.com/ParsaShin","@ParsaShin")</f>
        <v>@ParsaShin</v>
      </c>
      <c r="C5788" s="6" t="s">
        <v>737</v>
      </c>
      <c r="D5788" s="5" t="s">
        <v>736</v>
      </c>
      <c r="E5788" s="9" t="str">
        <f>HYPERLINK("https://twitter.com/ParsaShin/status/1034358600590925824","1034358600590925824")</f>
        <v>1034358600590925824</v>
      </c>
      <c r="F5788" s="4"/>
      <c r="G5788" s="10" t="s">
        <v>735</v>
      </c>
      <c r="H5788" s="4"/>
      <c r="I5788" s="10" t="str">
        <f>HYPERLINK("http://twitter.com/download/android","Twitter for Android")</f>
        <v>Twitter for Android</v>
      </c>
      <c r="J5788" s="2">
        <v>8</v>
      </c>
      <c r="K5788" s="2">
        <v>56</v>
      </c>
      <c r="L5788" s="2">
        <v>0</v>
      </c>
      <c r="M5788" s="2"/>
      <c r="N5788" s="8">
        <v>43327.500300925924</v>
      </c>
      <c r="O5788" s="4"/>
      <c r="P5788" s="3"/>
      <c r="Q5788" s="4"/>
      <c r="R5788" s="4"/>
      <c r="S5788" s="9" t="str">
        <f>HYPERLINK("https://pbs.twimg.com/profile_images/1029638646654099457/GDAxgWsd.jpg","View")</f>
        <v>View</v>
      </c>
    </row>
    <row r="5789" spans="1:19" ht="40">
      <c r="A5789" s="8">
        <v>43340.54487268519</v>
      </c>
      <c r="B5789" s="11" t="str">
        <f>HYPERLINK("https://twitter.com/AliYarmohammad2","@AliYarmohammad2")</f>
        <v>@AliYarmohammad2</v>
      </c>
      <c r="C5789" s="6" t="s">
        <v>734</v>
      </c>
      <c r="D5789" s="5" t="s">
        <v>733</v>
      </c>
      <c r="E5789" s="9" t="str">
        <f>HYPERLINK("https://twitter.com/AliYarmohammad2/status/1034358578197553152","1034358578197553152")</f>
        <v>1034358578197553152</v>
      </c>
      <c r="F5789" s="4"/>
      <c r="G5789" s="4"/>
      <c r="H5789" s="4"/>
      <c r="I5789" s="10" t="str">
        <f>HYPERLINK("http://twitter.com/download/android","Twitter for Android")</f>
        <v>Twitter for Android</v>
      </c>
      <c r="J5789" s="2">
        <v>597</v>
      </c>
      <c r="K5789" s="2">
        <v>749</v>
      </c>
      <c r="L5789" s="2">
        <v>1</v>
      </c>
      <c r="M5789" s="2"/>
      <c r="N5789" s="8">
        <v>42946.549085648148</v>
      </c>
      <c r="O5789" s="4" t="s">
        <v>732</v>
      </c>
      <c r="P5789" s="3" t="s">
        <v>731</v>
      </c>
      <c r="Q5789" s="10" t="s">
        <v>730</v>
      </c>
      <c r="R5789" s="4"/>
      <c r="S5789" s="9" t="str">
        <f>HYPERLINK("https://pbs.twimg.com/profile_images/891587949854425089/MHYwSh85.jpg","View")</f>
        <v>View</v>
      </c>
    </row>
    <row r="5790" spans="1:19" ht="30">
      <c r="A5790" s="8">
        <v>43340.544699074075</v>
      </c>
      <c r="B5790" s="11" t="str">
        <f>HYPERLINK("https://twitter.com/f2_baran","@f2_baran")</f>
        <v>@f2_baran</v>
      </c>
      <c r="C5790" s="6" t="s">
        <v>729</v>
      </c>
      <c r="D5790" s="5" t="s">
        <v>728</v>
      </c>
      <c r="E5790" s="9" t="str">
        <f>HYPERLINK("https://twitter.com/f2_baran/status/1034358516537020417","1034358516537020417")</f>
        <v>1034358516537020417</v>
      </c>
      <c r="F5790" s="4"/>
      <c r="G5790" s="4"/>
      <c r="H5790" s="4"/>
      <c r="I5790" s="10" t="str">
        <f>HYPERLINK("http://twitter.com/download/android","Twitter for Android")</f>
        <v>Twitter for Android</v>
      </c>
      <c r="J5790" s="2">
        <v>25</v>
      </c>
      <c r="K5790" s="2">
        <v>63</v>
      </c>
      <c r="L5790" s="2">
        <v>0</v>
      </c>
      <c r="M5790" s="2"/>
      <c r="N5790" s="8">
        <v>41775.552314814813</v>
      </c>
      <c r="O5790" s="4"/>
      <c r="P5790" s="3" t="s">
        <v>727</v>
      </c>
      <c r="Q5790" s="4"/>
      <c r="R5790" s="4"/>
      <c r="S5790" s="9" t="str">
        <f>HYPERLINK("https://pbs.twimg.com/profile_images/1005163766139576320/wX7xgX-v.jpg","View")</f>
        <v>View</v>
      </c>
    </row>
    <row r="5791" spans="1:19" ht="20">
      <c r="A5791" s="8">
        <v>43340.544305555552</v>
      </c>
      <c r="B5791" s="11" t="str">
        <f>HYPERLINK("https://twitter.com/r__hoseinzadeh","@r__hoseinzadeh")</f>
        <v>@r__hoseinzadeh</v>
      </c>
      <c r="C5791" s="6" t="s">
        <v>726</v>
      </c>
      <c r="D5791" s="5" t="s">
        <v>725</v>
      </c>
      <c r="E5791" s="9" t="str">
        <f>HYPERLINK("https://twitter.com/r__hoseinzadeh/status/1034358373473382400","1034358373473382400")</f>
        <v>1034358373473382400</v>
      </c>
      <c r="F5791" s="4"/>
      <c r="G5791" s="4"/>
      <c r="H5791" s="4"/>
      <c r="I5791" s="10" t="str">
        <f>HYPERLINK("http://twitter.com","Twitter Web Client")</f>
        <v>Twitter Web Client</v>
      </c>
      <c r="J5791" s="2">
        <v>1445</v>
      </c>
      <c r="K5791" s="2">
        <v>820</v>
      </c>
      <c r="L5791" s="2">
        <v>6</v>
      </c>
      <c r="M5791" s="2"/>
      <c r="N5791" s="8">
        <v>42225.853159722217</v>
      </c>
      <c r="O5791" s="4"/>
      <c r="P5791" s="3" t="s">
        <v>724</v>
      </c>
      <c r="Q5791" s="10" t="s">
        <v>723</v>
      </c>
      <c r="R5791" s="4"/>
      <c r="S5791" s="9" t="str">
        <f>HYPERLINK("https://pbs.twimg.com/profile_images/993019828372934656/2CWL2GEc.jpg","View")</f>
        <v>View</v>
      </c>
    </row>
    <row r="5792" spans="1:19" ht="40">
      <c r="A5792" s="8">
        <v>43340.544259259259</v>
      </c>
      <c r="B5792" s="11" t="str">
        <f>HYPERLINK("https://twitter.com/ilaibs","@ilaibs")</f>
        <v>@ilaibs</v>
      </c>
      <c r="C5792" s="6" t="s">
        <v>722</v>
      </c>
      <c r="D5792" s="5" t="s">
        <v>721</v>
      </c>
      <c r="E5792" s="9" t="str">
        <f>HYPERLINK("https://twitter.com/ilaibs/status/1034358358436921345","1034358358436921345")</f>
        <v>1034358358436921345</v>
      </c>
      <c r="F5792" s="4"/>
      <c r="G5792" s="4"/>
      <c r="H5792" s="4"/>
      <c r="I5792" s="10" t="str">
        <f>HYPERLINK("http://twitter.com","Twitter Web Client")</f>
        <v>Twitter Web Client</v>
      </c>
      <c r="J5792" s="2">
        <v>60</v>
      </c>
      <c r="K5792" s="2">
        <v>349</v>
      </c>
      <c r="L5792" s="2">
        <v>0</v>
      </c>
      <c r="M5792" s="2"/>
      <c r="N5792" s="8">
        <v>41305.501261574071</v>
      </c>
      <c r="O5792" s="4"/>
      <c r="P5792" s="3" t="s">
        <v>720</v>
      </c>
      <c r="Q5792" s="4"/>
      <c r="R5792" s="4"/>
      <c r="S5792" s="9" t="str">
        <f>HYPERLINK("https://pbs.twimg.com/profile_images/983059017630208000/nvl6EPxb.jpg","View")</f>
        <v>View</v>
      </c>
    </row>
    <row r="5793" spans="1:19" ht="20">
      <c r="A5793" s="8">
        <v>43340.544131944444</v>
      </c>
      <c r="B5793" s="11" t="str">
        <f>HYPERLINK("https://twitter.com/aamir_rafiei","@aamir_rafiei")</f>
        <v>@aamir_rafiei</v>
      </c>
      <c r="C5793" s="6" t="s">
        <v>719</v>
      </c>
      <c r="D5793" s="5" t="s">
        <v>718</v>
      </c>
      <c r="E5793" s="9" t="str">
        <f>HYPERLINK("https://twitter.com/aamir_rafiei/status/1034358312404430848","1034358312404430848")</f>
        <v>1034358312404430848</v>
      </c>
      <c r="F5793" s="4"/>
      <c r="G5793" s="4"/>
      <c r="H5793" s="4"/>
      <c r="I5793" s="10" t="str">
        <f>HYPERLINK("http://twitter.com/download/android","Twitter for Android")</f>
        <v>Twitter for Android</v>
      </c>
      <c r="J5793" s="2">
        <v>747</v>
      </c>
      <c r="K5793" s="2">
        <v>251</v>
      </c>
      <c r="L5793" s="2">
        <v>1</v>
      </c>
      <c r="M5793" s="2"/>
      <c r="N5793" s="8">
        <v>43097.10565972222</v>
      </c>
      <c r="O5793" s="4" t="s">
        <v>682</v>
      </c>
      <c r="P5793" s="3" t="s">
        <v>717</v>
      </c>
      <c r="Q5793" s="10" t="s">
        <v>716</v>
      </c>
      <c r="R5793" s="4"/>
      <c r="S5793" s="9" t="str">
        <f>HYPERLINK("https://pbs.twimg.com/profile_images/1010947640757047299/CqDAt0kF.jpg","View")</f>
        <v>View</v>
      </c>
    </row>
    <row r="5794" spans="1:19" ht="20">
      <c r="A5794" s="8">
        <v>43340.544108796297</v>
      </c>
      <c r="B5794" s="11" t="str">
        <f>HYPERLINK("https://twitter.com/nedaabanoo","@nedaabanoo")</f>
        <v>@nedaabanoo</v>
      </c>
      <c r="C5794" s="6" t="s">
        <v>715</v>
      </c>
      <c r="D5794" s="5" t="s">
        <v>714</v>
      </c>
      <c r="E5794" s="9" t="str">
        <f>HYPERLINK("https://twitter.com/nedaabanoo/status/1034358300941447168","1034358300941447168")</f>
        <v>1034358300941447168</v>
      </c>
      <c r="F5794" s="4"/>
      <c r="G5794" s="4"/>
      <c r="H5794" s="4"/>
      <c r="I5794" s="10" t="str">
        <f>HYPERLINK("http://twitter.com/download/android","Twitter for Android")</f>
        <v>Twitter for Android</v>
      </c>
      <c r="J5794" s="2">
        <v>308</v>
      </c>
      <c r="K5794" s="2">
        <v>697</v>
      </c>
      <c r="L5794" s="2">
        <v>0</v>
      </c>
      <c r="M5794" s="2"/>
      <c r="N5794" s="8">
        <v>43251.952997685185</v>
      </c>
      <c r="O5794" s="4" t="s">
        <v>713</v>
      </c>
      <c r="P5794" s="3" t="s">
        <v>712</v>
      </c>
      <c r="Q5794" s="4"/>
      <c r="R5794" s="4"/>
      <c r="S5794" s="9" t="str">
        <f>HYPERLINK("https://pbs.twimg.com/profile_images/1017423416108908544/t1xV61hn.jpg","View")</f>
        <v>View</v>
      </c>
    </row>
    <row r="5795" spans="1:19" ht="20">
      <c r="A5795" s="8">
        <v>43340.544085648144</v>
      </c>
      <c r="B5795" s="11" t="str">
        <f>HYPERLINK("https://twitter.com/rezasaeed123","@rezasaeed123")</f>
        <v>@rezasaeed123</v>
      </c>
      <c r="C5795" s="6" t="s">
        <v>711</v>
      </c>
      <c r="D5795" s="5" t="s">
        <v>710</v>
      </c>
      <c r="E5795" s="9" t="str">
        <f>HYPERLINK("https://twitter.com/rezasaeed123/status/1034358294666768385","1034358294666768385")</f>
        <v>1034358294666768385</v>
      </c>
      <c r="F5795" s="4"/>
      <c r="G5795" s="4"/>
      <c r="H5795" s="4"/>
      <c r="I5795" s="10" t="str">
        <f>HYPERLINK("http://twitter.com/download/android","Twitter for Android")</f>
        <v>Twitter for Android</v>
      </c>
      <c r="J5795" s="2">
        <v>175</v>
      </c>
      <c r="K5795" s="2">
        <v>311</v>
      </c>
      <c r="L5795" s="2">
        <v>0</v>
      </c>
      <c r="M5795" s="2"/>
      <c r="N5795" s="8">
        <v>41123.480474537035</v>
      </c>
      <c r="O5795" s="4" t="s">
        <v>709</v>
      </c>
      <c r="P5795" s="3" t="s">
        <v>708</v>
      </c>
      <c r="Q5795" s="4"/>
      <c r="R5795" s="4"/>
      <c r="S5795" s="9" t="str">
        <f>HYPERLINK("https://pbs.twimg.com/profile_images/987589526301310976/MJCSh5yU.jpg","View")</f>
        <v>View</v>
      </c>
    </row>
    <row r="5796" spans="1:19" ht="12.5">
      <c r="A5796" s="8">
        <v>43340.544050925921</v>
      </c>
      <c r="B5796" s="11" t="str">
        <f>HYPERLINK("https://twitter.com/mhn6712","@mhn6712")</f>
        <v>@mhn6712</v>
      </c>
      <c r="C5796" s="6" t="s">
        <v>707</v>
      </c>
      <c r="D5796" s="5" t="s">
        <v>706</v>
      </c>
      <c r="E5796" s="9" t="str">
        <f>HYPERLINK("https://twitter.com/mhn6712/status/1034358280246706176","1034358280246706176")</f>
        <v>1034358280246706176</v>
      </c>
      <c r="F5796" s="4"/>
      <c r="G5796" s="10" t="s">
        <v>705</v>
      </c>
      <c r="H5796" s="4"/>
      <c r="I5796" s="10" t="str">
        <f>HYPERLINK("http://twitter.com","Twitter Web Client")</f>
        <v>Twitter Web Client</v>
      </c>
      <c r="J5796" s="2">
        <v>599</v>
      </c>
      <c r="K5796" s="2">
        <v>272</v>
      </c>
      <c r="L5796" s="2">
        <v>7</v>
      </c>
      <c r="M5796" s="2"/>
      <c r="N5796" s="8">
        <v>41838.807662037041</v>
      </c>
      <c r="O5796" s="4" t="s">
        <v>34</v>
      </c>
      <c r="P5796" s="3" t="s">
        <v>704</v>
      </c>
      <c r="Q5796" s="4"/>
      <c r="R5796" s="4"/>
      <c r="S5796" s="9" t="str">
        <f>HYPERLINK("https://pbs.twimg.com/profile_images/915118799728324608/NELhRWCR.jpg","View")</f>
        <v>View</v>
      </c>
    </row>
    <row r="5797" spans="1:19" ht="30">
      <c r="A5797" s="8">
        <v>43340.544016203705</v>
      </c>
      <c r="B5797" s="11" t="str">
        <f>HYPERLINK("https://twitter.com/AkhbarFori","@AkhbarFori")</f>
        <v>@AkhbarFori</v>
      </c>
      <c r="C5797" s="6" t="s">
        <v>703</v>
      </c>
      <c r="D5797" s="5" t="s">
        <v>702</v>
      </c>
      <c r="E5797" s="9" t="str">
        <f>HYPERLINK("https://twitter.com/AkhbarFori/status/1034358269668716545","1034358269668716545")</f>
        <v>1034358269668716545</v>
      </c>
      <c r="F5797" s="10" t="s">
        <v>701</v>
      </c>
      <c r="G5797" s="4"/>
      <c r="H5797" s="4"/>
      <c r="I5797" s="10" t="str">
        <f>HYPERLINK("http://twitter.com/download/android","Twitter for Android")</f>
        <v>Twitter for Android</v>
      </c>
      <c r="J5797" s="2">
        <v>2274</v>
      </c>
      <c r="K5797" s="2">
        <v>56</v>
      </c>
      <c r="L5797" s="2">
        <v>10</v>
      </c>
      <c r="M5797" s="2"/>
      <c r="N5797" s="8">
        <v>42681.433865740742</v>
      </c>
      <c r="O5797" s="4" t="s">
        <v>34</v>
      </c>
      <c r="P5797" s="3" t="s">
        <v>700</v>
      </c>
      <c r="Q5797" s="10" t="s">
        <v>699</v>
      </c>
      <c r="R5797" s="4"/>
      <c r="S5797" s="9" t="str">
        <f>HYPERLINK("https://pbs.twimg.com/profile_images/966310274599964674/M_bW7CfD.jpg","View")</f>
        <v>View</v>
      </c>
    </row>
    <row r="5798" spans="1:19" ht="50">
      <c r="A5798" s="8">
        <v>43340.543981481482</v>
      </c>
      <c r="B5798" s="11" t="str">
        <f>HYPERLINK("https://twitter.com/hamedhasani69","@hamedhasani69")</f>
        <v>@hamedhasani69</v>
      </c>
      <c r="C5798" s="6" t="s">
        <v>698</v>
      </c>
      <c r="D5798" s="5" t="s">
        <v>697</v>
      </c>
      <c r="E5798" s="9" t="str">
        <f>HYPERLINK("https://twitter.com/hamedhasani69/status/1034358256246968320","1034358256246968320")</f>
        <v>1034358256246968320</v>
      </c>
      <c r="F5798" s="4"/>
      <c r="G5798" s="4"/>
      <c r="H5798" s="4"/>
      <c r="I5798" s="10" t="str">
        <f>HYPERLINK("http://twitter.com/download/android","Twitter for Android")</f>
        <v>Twitter for Android</v>
      </c>
      <c r="J5798" s="2">
        <v>1780</v>
      </c>
      <c r="K5798" s="2">
        <v>495</v>
      </c>
      <c r="L5798" s="2">
        <v>11</v>
      </c>
      <c r="M5798" s="2"/>
      <c r="N5798" s="8">
        <v>43002.507025462968</v>
      </c>
      <c r="O5798" s="4" t="s">
        <v>696</v>
      </c>
      <c r="P5798" s="3" t="s">
        <v>695</v>
      </c>
      <c r="Q5798" s="4"/>
      <c r="R5798" s="4"/>
      <c r="S5798" s="9" t="str">
        <f>HYPERLINK("https://pbs.twimg.com/profile_images/1000495764823576576/UEluxD-7.jpg","View")</f>
        <v>View</v>
      </c>
    </row>
    <row r="5799" spans="1:19" ht="30">
      <c r="A5799" s="8">
        <v>43340.513032407413</v>
      </c>
      <c r="B5799" s="11" t="str">
        <f>HYPERLINK("https://twitter.com/gine_gham","@gine_gham")</f>
        <v>@gine_gham</v>
      </c>
      <c r="C5799" s="6" t="s">
        <v>694</v>
      </c>
      <c r="D5799" s="5" t="s">
        <v>693</v>
      </c>
      <c r="E5799" s="9" t="str">
        <f>HYPERLINK("https://twitter.com/gine_gham/status/1034347042062168064","1034347042062168064")</f>
        <v>1034347042062168064</v>
      </c>
      <c r="F5799" s="4"/>
      <c r="G5799" s="4"/>
      <c r="H5799" s="4"/>
      <c r="I5799" s="10" t="str">
        <f>HYPERLINK("http://twitter.com/download/android","Twitter for Android")</f>
        <v>Twitter for Android</v>
      </c>
      <c r="J5799" s="2">
        <v>4594</v>
      </c>
      <c r="K5799" s="2">
        <v>370</v>
      </c>
      <c r="L5799" s="2">
        <v>32</v>
      </c>
      <c r="M5799" s="2"/>
      <c r="N5799" s="8">
        <v>42428.062974537039</v>
      </c>
      <c r="O5799" s="4" t="s">
        <v>692</v>
      </c>
      <c r="P5799" s="3" t="s">
        <v>691</v>
      </c>
      <c r="Q5799" s="4"/>
      <c r="R5799" s="4"/>
      <c r="S5799" s="9" t="str">
        <f>HYPERLINK("https://pbs.twimg.com/profile_images/1021124552326373381/Zv47SThC.jpg","View")</f>
        <v>View</v>
      </c>
    </row>
    <row r="5800" spans="1:19" ht="30">
      <c r="A5800" s="8">
        <v>43340.513032407413</v>
      </c>
      <c r="B5800" s="11" t="str">
        <f>HYPERLINK("https://twitter.com/jabbarzadehv","@jabbarzadehv")</f>
        <v>@jabbarzadehv</v>
      </c>
      <c r="C5800" s="6" t="s">
        <v>690</v>
      </c>
      <c r="D5800" s="5" t="s">
        <v>689</v>
      </c>
      <c r="E5800" s="9" t="str">
        <f>HYPERLINK("https://twitter.com/jabbarzadehv/status/1034347039512059910","1034347039512059910")</f>
        <v>1034347039512059910</v>
      </c>
      <c r="F5800" s="4"/>
      <c r="G5800" s="4"/>
      <c r="H5800" s="4"/>
      <c r="I5800" s="10" t="str">
        <f>HYPERLINK("http://twitter.com/download/android","Twitter for Android")</f>
        <v>Twitter for Android</v>
      </c>
      <c r="J5800" s="2">
        <v>107</v>
      </c>
      <c r="K5800" s="2">
        <v>124</v>
      </c>
      <c r="L5800" s="2">
        <v>1</v>
      </c>
      <c r="M5800" s="2"/>
      <c r="N5800" s="8">
        <v>42199.795393518521</v>
      </c>
      <c r="O5800" s="4"/>
      <c r="P5800" s="3"/>
      <c r="Q5800" s="4"/>
      <c r="R5800" s="4"/>
      <c r="S5800" s="9" t="str">
        <f>HYPERLINK("https://pbs.twimg.com/profile_images/1034330607940198400/NWRxq7FX.jpg","View")</f>
        <v>View</v>
      </c>
    </row>
    <row r="5801" spans="1:19" ht="30">
      <c r="A5801" s="8">
        <v>43340.513009259259</v>
      </c>
      <c r="B5801" s="11" t="str">
        <f>HYPERLINK("https://twitter.com/Behnam1400","@Behnam1400")</f>
        <v>@Behnam1400</v>
      </c>
      <c r="C5801" s="6" t="s">
        <v>688</v>
      </c>
      <c r="D5801" s="5" t="s">
        <v>687</v>
      </c>
      <c r="E5801" s="9" t="str">
        <f>HYPERLINK("https://twitter.com/Behnam1400/status/1034347031937118208","1034347031937118208")</f>
        <v>1034347031937118208</v>
      </c>
      <c r="F5801" s="4"/>
      <c r="G5801" s="10" t="s">
        <v>686</v>
      </c>
      <c r="H5801" s="4"/>
      <c r="I5801" s="10" t="str">
        <f>HYPERLINK("http://twitter.com/download/android","Twitter for Android")</f>
        <v>Twitter for Android</v>
      </c>
      <c r="J5801" s="2">
        <v>164</v>
      </c>
      <c r="K5801" s="2">
        <v>252</v>
      </c>
      <c r="L5801" s="2">
        <v>0</v>
      </c>
      <c r="M5801" s="2"/>
      <c r="N5801" s="8">
        <v>43113.850787037038</v>
      </c>
      <c r="O5801" s="4" t="s">
        <v>324</v>
      </c>
      <c r="P5801" s="3" t="s">
        <v>685</v>
      </c>
      <c r="Q5801" s="4"/>
      <c r="R5801" s="4"/>
      <c r="S5801" s="9" t="str">
        <f>HYPERLINK("https://pbs.twimg.com/profile_images/1007368660070133760/UMpCSZ-9.jpg","View")</f>
        <v>View</v>
      </c>
    </row>
    <row r="5802" spans="1:19" ht="12.5">
      <c r="A5802" s="8">
        <v>43340.512997685189</v>
      </c>
      <c r="B5802" s="11" t="str">
        <f>HYPERLINK("https://twitter.com/nimarezaei94","@nimarezaei94")</f>
        <v>@nimarezaei94</v>
      </c>
      <c r="C5802" s="6" t="s">
        <v>684</v>
      </c>
      <c r="D5802" s="5" t="s">
        <v>683</v>
      </c>
      <c r="E5802" s="9" t="str">
        <f>HYPERLINK("https://twitter.com/nimarezaei94/status/1034347030464876544","1034347030464876544")</f>
        <v>1034347030464876544</v>
      </c>
      <c r="F5802" s="4"/>
      <c r="G5802" s="4"/>
      <c r="H5802" s="4"/>
      <c r="I5802" s="10" t="str">
        <f>HYPERLINK("http://twitter.com/download/iphone","Twitter for iPhone")</f>
        <v>Twitter for iPhone</v>
      </c>
      <c r="J5802" s="2">
        <v>537</v>
      </c>
      <c r="K5802" s="2">
        <v>525</v>
      </c>
      <c r="L5802" s="2">
        <v>1</v>
      </c>
      <c r="M5802" s="2"/>
      <c r="N5802" s="8">
        <v>41447.60665509259</v>
      </c>
      <c r="O5802" s="4" t="s">
        <v>682</v>
      </c>
      <c r="P5802" s="3" t="s">
        <v>681</v>
      </c>
      <c r="Q5802" s="4"/>
      <c r="R5802" s="4"/>
      <c r="S5802" s="9" t="str">
        <f>HYPERLINK("https://pbs.twimg.com/profile_images/905451759769931778/MXFEZzQz.jpg","View")</f>
        <v>View</v>
      </c>
    </row>
    <row r="5803" spans="1:19" ht="40">
      <c r="A5803" s="8">
        <v>43340.512939814813</v>
      </c>
      <c r="B5803" s="11" t="str">
        <f>HYPERLINK("https://twitter.com/Sima31524136","@Sima31524136")</f>
        <v>@Sima31524136</v>
      </c>
      <c r="C5803" s="6" t="s">
        <v>680</v>
      </c>
      <c r="D5803" s="5" t="s">
        <v>679</v>
      </c>
      <c r="E5803" s="9" t="str">
        <f>HYPERLINK("https://twitter.com/Sima31524136/status/1034347009552130050","1034347009552130050")</f>
        <v>1034347009552130050</v>
      </c>
      <c r="F5803" s="4"/>
      <c r="G5803" s="4"/>
      <c r="H5803" s="4"/>
      <c r="I5803" s="10" t="str">
        <f>HYPERLINK("http://twitter.com/download/android","Twitter for Android")</f>
        <v>Twitter for Android</v>
      </c>
      <c r="J5803" s="2">
        <v>11</v>
      </c>
      <c r="K5803" s="2">
        <v>33</v>
      </c>
      <c r="L5803" s="2">
        <v>0</v>
      </c>
      <c r="M5803" s="2"/>
      <c r="N5803" s="8">
        <v>43279.419629629629</v>
      </c>
      <c r="O5803" s="4"/>
      <c r="P5803" s="3" t="s">
        <v>678</v>
      </c>
      <c r="Q5803" s="4"/>
      <c r="R5803" s="4"/>
      <c r="S5803" s="9" t="str">
        <f>HYPERLINK("https://pbs.twimg.com/profile_images/1033764963377192960/TPPeopk8.jpg","View")</f>
        <v>View</v>
      </c>
    </row>
    <row r="5804" spans="1:19" ht="20">
      <c r="A5804" s="8">
        <v>43340.51284722222</v>
      </c>
      <c r="B5804" s="11" t="str">
        <f>HYPERLINK("https://twitter.com/sniper_128","@sniper_128")</f>
        <v>@sniper_128</v>
      </c>
      <c r="C5804" s="6" t="s">
        <v>677</v>
      </c>
      <c r="D5804" s="5" t="s">
        <v>676</v>
      </c>
      <c r="E5804" s="9" t="str">
        <f>HYPERLINK("https://twitter.com/sniper_128/status/1034346972482887681","1034346972482887681")</f>
        <v>1034346972482887681</v>
      </c>
      <c r="F5804" s="4"/>
      <c r="G5804" s="4"/>
      <c r="H5804" s="4"/>
      <c r="I5804" s="10" t="str">
        <f>HYPERLINK("http://twitter.com/download/android","Twitter for Android")</f>
        <v>Twitter for Android</v>
      </c>
      <c r="J5804" s="2">
        <v>4712</v>
      </c>
      <c r="K5804" s="2">
        <v>3151</v>
      </c>
      <c r="L5804" s="2">
        <v>8</v>
      </c>
      <c r="M5804" s="2"/>
      <c r="N5804" s="8">
        <v>43147.77553240741</v>
      </c>
      <c r="O5804" s="4"/>
      <c r="P5804" s="3" t="s">
        <v>675</v>
      </c>
      <c r="Q5804" s="4"/>
      <c r="R5804" s="4"/>
      <c r="S5804" s="9" t="str">
        <f>HYPERLINK("https://pbs.twimg.com/profile_images/983026444388524033/Bc7z5_yJ.jpg","View")</f>
        <v>View</v>
      </c>
    </row>
    <row r="5805" spans="1:19" ht="40">
      <c r="A5805" s="8">
        <v>43340.512766203705</v>
      </c>
      <c r="B5805" s="11" t="str">
        <f>HYPERLINK("https://twitter.com/mohsenrhmani","@mohsenrhmani")</f>
        <v>@mohsenrhmani</v>
      </c>
      <c r="C5805" s="6" t="s">
        <v>674</v>
      </c>
      <c r="D5805" s="5" t="s">
        <v>673</v>
      </c>
      <c r="E5805" s="9" t="str">
        <f>HYPERLINK("https://twitter.com/mohsenrhmani/status/1034346945236660225","1034346945236660225")</f>
        <v>1034346945236660225</v>
      </c>
      <c r="F5805" s="4"/>
      <c r="G5805" s="4"/>
      <c r="H5805" s="4"/>
      <c r="I5805" s="10" t="str">
        <f>HYPERLINK("http://twitter.com/download/android","Twitter for Android")</f>
        <v>Twitter for Android</v>
      </c>
      <c r="J5805" s="2">
        <v>111</v>
      </c>
      <c r="K5805" s="2">
        <v>198</v>
      </c>
      <c r="L5805" s="2">
        <v>0</v>
      </c>
      <c r="M5805" s="2"/>
      <c r="N5805" s="8">
        <v>42556.110601851848</v>
      </c>
      <c r="O5805" s="4" t="s">
        <v>34</v>
      </c>
      <c r="P5805" s="3" t="s">
        <v>672</v>
      </c>
      <c r="Q5805" s="4"/>
      <c r="R5805" s="4"/>
      <c r="S5805" s="9" t="str">
        <f>HYPERLINK("https://pbs.twimg.com/profile_images/1020785613988147201/YPq3hnzM.jpg","View")</f>
        <v>View</v>
      </c>
    </row>
    <row r="5806" spans="1:19" ht="20">
      <c r="A5806" s="8">
        <v>43340.512673611112</v>
      </c>
      <c r="B5806" s="11" t="str">
        <f>HYPERLINK("https://twitter.com/elham_3130","@elham_3130")</f>
        <v>@elham_3130</v>
      </c>
      <c r="C5806" s="6" t="s">
        <v>671</v>
      </c>
      <c r="D5806" s="5" t="s">
        <v>670</v>
      </c>
      <c r="E5806" s="9" t="str">
        <f>HYPERLINK("https://twitter.com/elham_3130/status/1034346909350150144","1034346909350150144")</f>
        <v>1034346909350150144</v>
      </c>
      <c r="F5806" s="4"/>
      <c r="G5806" s="4"/>
      <c r="H5806" s="4"/>
      <c r="I5806" s="10" t="str">
        <f>HYPERLINK("http://twitter.com/download/android","Twitter for Android")</f>
        <v>Twitter for Android</v>
      </c>
      <c r="J5806" s="2">
        <v>90</v>
      </c>
      <c r="K5806" s="2">
        <v>90</v>
      </c>
      <c r="L5806" s="2">
        <v>1</v>
      </c>
      <c r="M5806" s="2"/>
      <c r="N5806" s="8">
        <v>43317.039849537032</v>
      </c>
      <c r="O5806" s="4" t="s">
        <v>17</v>
      </c>
      <c r="P5806" s="3" t="s">
        <v>669</v>
      </c>
      <c r="Q5806" s="4"/>
      <c r="R5806" s="4"/>
      <c r="S5806" s="9" t="str">
        <f>HYPERLINK("https://pbs.twimg.com/profile_images/1026061231411617792/hZ7lT5X6.jpg","View")</f>
        <v>View</v>
      </c>
    </row>
    <row r="5807" spans="1:19" ht="12.5">
      <c r="A5807" s="8">
        <v>43340.512604166666</v>
      </c>
      <c r="B5807" s="11" t="str">
        <f>HYPERLINK("https://twitter.com/amirafshar881","@amirafshar881")</f>
        <v>@amirafshar881</v>
      </c>
      <c r="C5807" s="6" t="s">
        <v>668</v>
      </c>
      <c r="D5807" s="5" t="s">
        <v>667</v>
      </c>
      <c r="E5807" s="9" t="str">
        <f>HYPERLINK("https://twitter.com/amirafshar881/status/1034346886327685120","1034346886327685120")</f>
        <v>1034346886327685120</v>
      </c>
      <c r="F5807" s="4"/>
      <c r="G5807" s="10" t="s">
        <v>666</v>
      </c>
      <c r="H5807" s="4"/>
      <c r="I5807" s="10" t="str">
        <f>HYPERLINK("http://twitter.com","Twitter Web Client")</f>
        <v>Twitter Web Client</v>
      </c>
      <c r="J5807" s="2">
        <v>705</v>
      </c>
      <c r="K5807" s="2">
        <v>533</v>
      </c>
      <c r="L5807" s="2">
        <v>0</v>
      </c>
      <c r="M5807" s="2"/>
      <c r="N5807" s="8">
        <v>42854.448217592595</v>
      </c>
      <c r="O5807" s="4" t="s">
        <v>665</v>
      </c>
      <c r="P5807" s="3" t="s">
        <v>664</v>
      </c>
      <c r="Q5807" s="10" t="s">
        <v>663</v>
      </c>
      <c r="R5807" s="4"/>
      <c r="S5807" s="9" t="str">
        <f>HYPERLINK("https://pbs.twimg.com/profile_images/1033719580382949376/akcO6Asz.jpg","View")</f>
        <v>View</v>
      </c>
    </row>
    <row r="5808" spans="1:19" ht="30">
      <c r="A5808" s="8">
        <v>43340.512546296297</v>
      </c>
      <c r="B5808" s="11" t="str">
        <f>HYPERLINK("https://twitter.com/majaz_abad","@majaz_abad")</f>
        <v>@majaz_abad</v>
      </c>
      <c r="C5808" s="6" t="s">
        <v>662</v>
      </c>
      <c r="D5808" s="5" t="s">
        <v>661</v>
      </c>
      <c r="E5808" s="9" t="str">
        <f>HYPERLINK("https://twitter.com/majaz_abad/status/1034346864219435013","1034346864219435013")</f>
        <v>1034346864219435013</v>
      </c>
      <c r="F5808" s="4"/>
      <c r="G5808" s="4"/>
      <c r="H5808" s="4"/>
      <c r="I5808" s="10" t="str">
        <f>HYPERLINK("http://twitter.com/download/android","Twitter for Android")</f>
        <v>Twitter for Android</v>
      </c>
      <c r="J5808" s="2">
        <v>25</v>
      </c>
      <c r="K5808" s="2">
        <v>64</v>
      </c>
      <c r="L5808" s="2">
        <v>0</v>
      </c>
      <c r="M5808" s="2"/>
      <c r="N5808" s="8">
        <v>43273.502951388888</v>
      </c>
      <c r="O5808" s="4"/>
      <c r="P5808" s="3"/>
      <c r="Q5808" s="4"/>
      <c r="R5808" s="4"/>
      <c r="S5808" s="9" t="str">
        <f>HYPERLINK("https://pbs.twimg.com/profile_images/1010106826858344448/b5b44zG_.jpg","View")</f>
        <v>View</v>
      </c>
    </row>
    <row r="5809" spans="1:19" ht="30">
      <c r="A5809" s="8">
        <v>43340.512523148151</v>
      </c>
      <c r="B5809" s="11" t="str">
        <f>HYPERLINK("https://twitter.com/ostadekamel","@ostadekamel")</f>
        <v>@ostadekamel</v>
      </c>
      <c r="C5809" s="6" t="s">
        <v>660</v>
      </c>
      <c r="D5809" s="5" t="s">
        <v>659</v>
      </c>
      <c r="E5809" s="9" t="str">
        <f>HYPERLINK("https://twitter.com/ostadekamel/status/1034346854857797632","1034346854857797632")</f>
        <v>1034346854857797632</v>
      </c>
      <c r="F5809" s="4"/>
      <c r="G5809" s="4"/>
      <c r="H5809" s="4"/>
      <c r="I5809" s="10" t="str">
        <f>HYPERLINK("http://twitter.com/download/iphone","Twitter for iPhone")</f>
        <v>Twitter for iPhone</v>
      </c>
      <c r="J5809" s="2">
        <v>86</v>
      </c>
      <c r="K5809" s="2">
        <v>205</v>
      </c>
      <c r="L5809" s="2">
        <v>0</v>
      </c>
      <c r="M5809" s="2"/>
      <c r="N5809" s="8">
        <v>43331.80091435185</v>
      </c>
      <c r="O5809" s="4" t="s">
        <v>658</v>
      </c>
      <c r="P5809" s="3" t="s">
        <v>657</v>
      </c>
      <c r="Q5809" s="10" t="s">
        <v>656</v>
      </c>
      <c r="R5809" s="4"/>
      <c r="S5809" s="9" t="str">
        <f>HYPERLINK("https://pbs.twimg.com/profile_images/1031195442707660800/e73IM7_r.jpg","View")</f>
        <v>View</v>
      </c>
    </row>
    <row r="5810" spans="1:19" ht="40">
      <c r="A5810" s="8">
        <v>43340.512488425928</v>
      </c>
      <c r="B5810" s="11" t="str">
        <f>HYPERLINK("https://twitter.com/seyed_mahdi","@seyed_mahdi")</f>
        <v>@seyed_mahdi</v>
      </c>
      <c r="C5810" s="6" t="s">
        <v>597</v>
      </c>
      <c r="D5810" s="5" t="s">
        <v>655</v>
      </c>
      <c r="E5810" s="9" t="str">
        <f>HYPERLINK("https://twitter.com/seyed_mahdi/status/1034346845617750016","1034346845617750016")</f>
        <v>1034346845617750016</v>
      </c>
      <c r="F5810" s="4"/>
      <c r="G5810" s="4"/>
      <c r="H5810" s="4"/>
      <c r="I5810" s="10" t="str">
        <f>HYPERLINK("http://twitter.com/download/android","Twitter for Android")</f>
        <v>Twitter for Android</v>
      </c>
      <c r="J5810" s="2">
        <v>59</v>
      </c>
      <c r="K5810" s="2">
        <v>335</v>
      </c>
      <c r="L5810" s="2">
        <v>0</v>
      </c>
      <c r="M5810" s="2"/>
      <c r="N5810" s="8">
        <v>40976.03769675926</v>
      </c>
      <c r="O5810" s="4"/>
      <c r="P5810" s="3" t="s">
        <v>595</v>
      </c>
      <c r="Q5810" s="4"/>
      <c r="R5810" s="4"/>
      <c r="S5810" s="9" t="str">
        <f>HYPERLINK("https://pbs.twimg.com/profile_images/1028199476014530561/Nob_oSes.jpg","View")</f>
        <v>View</v>
      </c>
    </row>
    <row r="5811" spans="1:19" ht="12.5">
      <c r="A5811" s="8">
        <v>43340.512453703705</v>
      </c>
      <c r="B5811" s="11" t="str">
        <f>HYPERLINK("https://twitter.com/knoxwille62","@knoxwille62")</f>
        <v>@knoxwille62</v>
      </c>
      <c r="C5811" s="6" t="s">
        <v>654</v>
      </c>
      <c r="D5811" s="5" t="s">
        <v>653</v>
      </c>
      <c r="E5811" s="9" t="str">
        <f>HYPERLINK("https://twitter.com/knoxwille62/status/1034346830363090945","1034346830363090945")</f>
        <v>1034346830363090945</v>
      </c>
      <c r="F5811" s="4"/>
      <c r="G5811" s="4"/>
      <c r="H5811" s="4"/>
      <c r="I5811" s="10" t="str">
        <f>HYPERLINK("http://twitter.com","Twitter Web Client")</f>
        <v>Twitter Web Client</v>
      </c>
      <c r="J5811" s="2">
        <v>69</v>
      </c>
      <c r="K5811" s="2">
        <v>169</v>
      </c>
      <c r="L5811" s="2">
        <v>1</v>
      </c>
      <c r="M5811" s="2"/>
      <c r="N5811" s="8">
        <v>41111.578090277777</v>
      </c>
      <c r="O5811" s="4" t="s">
        <v>652</v>
      </c>
      <c r="P5811" s="3" t="s">
        <v>651</v>
      </c>
      <c r="Q5811" s="4"/>
      <c r="R5811" s="4"/>
      <c r="S5811" s="9" t="str">
        <f>HYPERLINK("https://pbs.twimg.com/profile_images/996483125009055745/uDBI7LvO.jpg","View")</f>
        <v>View</v>
      </c>
    </row>
    <row r="5812" spans="1:19" ht="40">
      <c r="A5812" s="8">
        <v>43340.512372685189</v>
      </c>
      <c r="B5812" s="11" t="str">
        <f>HYPERLINK("https://twitter.com/MoHoSAb","@MoHoSAb")</f>
        <v>@MoHoSAb</v>
      </c>
      <c r="C5812" s="6" t="s">
        <v>650</v>
      </c>
      <c r="D5812" s="5" t="s">
        <v>649</v>
      </c>
      <c r="E5812" s="9" t="str">
        <f>HYPERLINK("https://twitter.com/MoHoSAb/status/1034346803804753920","1034346803804753920")</f>
        <v>1034346803804753920</v>
      </c>
      <c r="F5812" s="4"/>
      <c r="G5812" s="4"/>
      <c r="H5812" s="4"/>
      <c r="I5812" s="10" t="str">
        <f>HYPERLINK("https://mobile.twitter.com","Twitter Lite")</f>
        <v>Twitter Lite</v>
      </c>
      <c r="J5812" s="2">
        <v>3159</v>
      </c>
      <c r="K5812" s="2">
        <v>1702</v>
      </c>
      <c r="L5812" s="2">
        <v>15</v>
      </c>
      <c r="M5812" s="2"/>
      <c r="N5812" s="8">
        <v>41818.739942129629</v>
      </c>
      <c r="O5812" s="4" t="s">
        <v>648</v>
      </c>
      <c r="P5812" s="3" t="s">
        <v>647</v>
      </c>
      <c r="Q5812" s="4"/>
      <c r="R5812" s="4"/>
      <c r="S5812" s="9" t="str">
        <f>HYPERLINK("https://pbs.twimg.com/profile_images/1020106918025719808/CpKYfxX1.jpg","View")</f>
        <v>View</v>
      </c>
    </row>
    <row r="5813" spans="1:19" ht="60">
      <c r="A5813" s="8">
        <v>43340.512256944443</v>
      </c>
      <c r="B5813" s="11" t="str">
        <f>HYPERLINK("https://twitter.com/akhondy_yaser","@akhondy_yaser")</f>
        <v>@akhondy_yaser</v>
      </c>
      <c r="C5813" s="6" t="s">
        <v>646</v>
      </c>
      <c r="D5813" s="5" t="s">
        <v>645</v>
      </c>
      <c r="E5813" s="9" t="str">
        <f>HYPERLINK("https://twitter.com/akhondy_yaser/status/1034346760745959425","1034346760745959425")</f>
        <v>1034346760745959425</v>
      </c>
      <c r="F5813" s="10" t="s">
        <v>644</v>
      </c>
      <c r="G5813" s="4"/>
      <c r="H5813" s="4"/>
      <c r="I5813" s="10" t="str">
        <f>HYPERLINK("http://twitter.com/download/android","Twitter for Android")</f>
        <v>Twitter for Android</v>
      </c>
      <c r="J5813" s="2">
        <v>711</v>
      </c>
      <c r="K5813" s="2">
        <v>611</v>
      </c>
      <c r="L5813" s="2">
        <v>4</v>
      </c>
      <c r="M5813" s="2"/>
      <c r="N5813" s="8">
        <v>43104.882222222222</v>
      </c>
      <c r="O5813" s="4" t="s">
        <v>640</v>
      </c>
      <c r="P5813" s="3" t="s">
        <v>643</v>
      </c>
      <c r="Q5813" s="4"/>
      <c r="R5813" s="4"/>
      <c r="S5813" s="9" t="str">
        <f>HYPERLINK("https://pbs.twimg.com/profile_images/1006272867468763136/onggLF8d.jpg","View")</f>
        <v>View</v>
      </c>
    </row>
    <row r="5814" spans="1:19" ht="30">
      <c r="A5814" s="8">
        <v>43340.512002314819</v>
      </c>
      <c r="B5814" s="11" t="str">
        <f>HYPERLINK("https://twitter.com/shazdekouchulu","@shazdekouchulu")</f>
        <v>@shazdekouchulu</v>
      </c>
      <c r="C5814" s="6" t="s">
        <v>642</v>
      </c>
      <c r="D5814" s="5" t="s">
        <v>641</v>
      </c>
      <c r="E5814" s="9" t="str">
        <f>HYPERLINK("https://twitter.com/shazdekouchulu/status/1034346668135723008","1034346668135723008")</f>
        <v>1034346668135723008</v>
      </c>
      <c r="F5814" s="4"/>
      <c r="G5814" s="4"/>
      <c r="H5814" s="4"/>
      <c r="I5814" s="10" t="str">
        <f>HYPERLINK("http://twitter.com/download/android","Twitter for Android")</f>
        <v>Twitter for Android</v>
      </c>
      <c r="J5814" s="2">
        <v>6640</v>
      </c>
      <c r="K5814" s="2">
        <v>1331</v>
      </c>
      <c r="L5814" s="2">
        <v>26</v>
      </c>
      <c r="M5814" s="2"/>
      <c r="N5814" s="8">
        <v>43041.222407407404</v>
      </c>
      <c r="O5814" s="4" t="s">
        <v>640</v>
      </c>
      <c r="P5814" s="3" t="s">
        <v>639</v>
      </c>
      <c r="Q5814" s="4"/>
      <c r="R5814" s="4"/>
      <c r="S5814" s="9" t="str">
        <f>HYPERLINK("https://pbs.twimg.com/profile_images/1013790417131671552/2FbjF2SJ.jpg","View")</f>
        <v>View</v>
      </c>
    </row>
    <row r="5815" spans="1:19" ht="12.5">
      <c r="A5815" s="8">
        <v>43340.511932870373</v>
      </c>
      <c r="B5815" s="11" t="str">
        <f>HYPERLINK("https://twitter.com/hesamodinkosari","@hesamodinkosari")</f>
        <v>@hesamodinkosari</v>
      </c>
      <c r="C5815" s="6" t="s">
        <v>638</v>
      </c>
      <c r="D5815" s="5" t="s">
        <v>637</v>
      </c>
      <c r="E5815" s="9" t="str">
        <f>HYPERLINK("https://twitter.com/hesamodinkosari/status/1034346641250287616","1034346641250287616")</f>
        <v>1034346641250287616</v>
      </c>
      <c r="F5815" s="4"/>
      <c r="G5815" s="4"/>
      <c r="H5815" s="4"/>
      <c r="I5815" s="10" t="str">
        <f>HYPERLINK("http://twitter.com/download/android","Twitter for Android")</f>
        <v>Twitter for Android</v>
      </c>
      <c r="J5815" s="2">
        <v>2313</v>
      </c>
      <c r="K5815" s="2">
        <v>1872</v>
      </c>
      <c r="L5815" s="2">
        <v>6</v>
      </c>
      <c r="M5815" s="2"/>
      <c r="N5815" s="8">
        <v>43145.439907407403</v>
      </c>
      <c r="O5815" s="4" t="s">
        <v>34</v>
      </c>
      <c r="P5815" s="3" t="s">
        <v>636</v>
      </c>
      <c r="Q5815" s="4"/>
      <c r="R5815" s="4"/>
      <c r="S5815" s="9" t="str">
        <f>HYPERLINK("https://pbs.twimg.com/profile_images/1023827130621325312/3o0WqZoW.jpg","View")</f>
        <v>View</v>
      </c>
    </row>
    <row r="5816" spans="1:19" ht="20">
      <c r="A5816" s="8">
        <v>43340.511886574073</v>
      </c>
      <c r="B5816" s="11" t="str">
        <f>HYPERLINK("https://twitter.com/AlexMah18166870","@AlexMah18166870")</f>
        <v>@AlexMah18166870</v>
      </c>
      <c r="C5816" s="6" t="s">
        <v>635</v>
      </c>
      <c r="D5816" s="5" t="s">
        <v>634</v>
      </c>
      <c r="E5816" s="9" t="str">
        <f>HYPERLINK("https://twitter.com/AlexMah18166870/status/1034346624225558529","1034346624225558529")</f>
        <v>1034346624225558529</v>
      </c>
      <c r="F5816" s="4"/>
      <c r="G5816" s="4"/>
      <c r="H5816" s="4"/>
      <c r="I5816" s="10" t="str">
        <f>HYPERLINK("http://twitter.com/download/android","Twitter for Android")</f>
        <v>Twitter for Android</v>
      </c>
      <c r="J5816" s="2">
        <v>12</v>
      </c>
      <c r="K5816" s="2">
        <v>17</v>
      </c>
      <c r="L5816" s="2">
        <v>0</v>
      </c>
      <c r="M5816" s="2"/>
      <c r="N5816" s="8">
        <v>43305.910578703704</v>
      </c>
      <c r="O5816" s="4" t="s">
        <v>17</v>
      </c>
      <c r="P5816" s="3" t="s">
        <v>633</v>
      </c>
      <c r="Q5816" s="4"/>
      <c r="R5816" s="4"/>
      <c r="S5816" s="9" t="str">
        <f>HYPERLINK("https://pbs.twimg.com/profile_images/1021821596674256896/gMoCKDsg.jpg","View")</f>
        <v>View</v>
      </c>
    </row>
    <row r="5817" spans="1:19" ht="20">
      <c r="A5817" s="8">
        <v>43340.511828703704</v>
      </c>
      <c r="B5817" s="11" t="str">
        <f>HYPERLINK("https://twitter.com/sardar_soorena1","@sardar_soorena1")</f>
        <v>@sardar_soorena1</v>
      </c>
      <c r="C5817" s="6" t="s">
        <v>632</v>
      </c>
      <c r="D5817" s="5" t="s">
        <v>631</v>
      </c>
      <c r="E5817" s="9" t="str">
        <f>HYPERLINK("https://twitter.com/sardar_soorena1/status/1034346605036662784","1034346605036662784")</f>
        <v>1034346605036662784</v>
      </c>
      <c r="F5817" s="4"/>
      <c r="G5817" s="4"/>
      <c r="H5817" s="4"/>
      <c r="I5817" s="10" t="str">
        <f>HYPERLINK("http://twitter.com/download/android","Twitter for Android")</f>
        <v>Twitter for Android</v>
      </c>
      <c r="J5817" s="2">
        <v>10</v>
      </c>
      <c r="K5817" s="2">
        <v>13</v>
      </c>
      <c r="L5817" s="2">
        <v>0</v>
      </c>
      <c r="M5817" s="2"/>
      <c r="N5817" s="8">
        <v>43103.419166666667</v>
      </c>
      <c r="O5817" s="4" t="s">
        <v>17</v>
      </c>
      <c r="P5817" s="3"/>
      <c r="Q5817" s="4"/>
      <c r="R5817" s="4"/>
      <c r="S5817" s="9" t="str">
        <f>HYPERLINK("https://pbs.twimg.com/profile_images/948447721681293312/lbCLl3hu.jpg","View")</f>
        <v>View</v>
      </c>
    </row>
    <row r="5818" spans="1:19" ht="20">
      <c r="A5818" s="8">
        <v>43340.511701388888</v>
      </c>
      <c r="B5818" s="11" t="str">
        <f>HYPERLINK("https://twitter.com/AliJahangiri70","@AliJahangiri70")</f>
        <v>@AliJahangiri70</v>
      </c>
      <c r="C5818" s="6" t="s">
        <v>630</v>
      </c>
      <c r="D5818" s="5" t="s">
        <v>629</v>
      </c>
      <c r="E5818" s="9" t="str">
        <f>HYPERLINK("https://twitter.com/AliJahangiri70/status/1034346558484045824","1034346558484045824")</f>
        <v>1034346558484045824</v>
      </c>
      <c r="F5818" s="4"/>
      <c r="G5818" s="4"/>
      <c r="H5818" s="4"/>
      <c r="I5818" s="10" t="str">
        <f>HYPERLINK("http://twitter.com/download/iphone","Twitter for iPhone")</f>
        <v>Twitter for iPhone</v>
      </c>
      <c r="J5818" s="2">
        <v>1348</v>
      </c>
      <c r="K5818" s="2">
        <v>1275</v>
      </c>
      <c r="L5818" s="2">
        <v>2</v>
      </c>
      <c r="M5818" s="2"/>
      <c r="N5818" s="8">
        <v>42821.733726851853</v>
      </c>
      <c r="O5818" s="4" t="s">
        <v>34</v>
      </c>
      <c r="P5818" s="3" t="s">
        <v>628</v>
      </c>
      <c r="Q5818" s="4"/>
      <c r="R5818" s="4"/>
      <c r="S5818" s="9" t="str">
        <f>HYPERLINK("https://pbs.twimg.com/profile_images/1033665460988993537/awelzVVH.jpg","View")</f>
        <v>View</v>
      </c>
    </row>
    <row r="5819" spans="1:19" ht="20">
      <c r="A5819" s="8">
        <v>43340.511354166665</v>
      </c>
      <c r="B5819" s="11" t="str">
        <f>HYPERLINK("https://twitter.com/emam_zahra75","@emam_zahra75")</f>
        <v>@emam_zahra75</v>
      </c>
      <c r="C5819" s="6" t="s">
        <v>627</v>
      </c>
      <c r="D5819" s="5" t="s">
        <v>626</v>
      </c>
      <c r="E5819" s="9" t="str">
        <f>HYPERLINK("https://twitter.com/emam_zahra75/status/1034346433271480321","1034346433271480321")</f>
        <v>1034346433271480321</v>
      </c>
      <c r="F5819" s="4"/>
      <c r="G5819" s="4"/>
      <c r="H5819" s="4"/>
      <c r="I5819" s="10" t="str">
        <f>HYPERLINK("http://twitter.com/download/android","Twitter for Android")</f>
        <v>Twitter for Android</v>
      </c>
      <c r="J5819" s="2">
        <v>1785</v>
      </c>
      <c r="K5819" s="2">
        <v>1830</v>
      </c>
      <c r="L5819" s="2">
        <v>3</v>
      </c>
      <c r="M5819" s="2"/>
      <c r="N5819" s="8">
        <v>43154.552060185189</v>
      </c>
      <c r="O5819" s="4" t="s">
        <v>625</v>
      </c>
      <c r="P5819" s="3" t="s">
        <v>624</v>
      </c>
      <c r="Q5819" s="4"/>
      <c r="R5819" s="4"/>
      <c r="S5819" s="9" t="str">
        <f>HYPERLINK("https://pbs.twimg.com/profile_images/1018197916807319552/BJccSi3i.jpg","View")</f>
        <v>View</v>
      </c>
    </row>
    <row r="5820" spans="1:19" ht="20">
      <c r="A5820" s="8">
        <v>43340.511307870373</v>
      </c>
      <c r="B5820" s="11" t="str">
        <f>HYPERLINK("https://twitter.com/Hoda6228","@Hoda6228")</f>
        <v>@Hoda6228</v>
      </c>
      <c r="C5820" s="6" t="s">
        <v>623</v>
      </c>
      <c r="D5820" s="5" t="s">
        <v>622</v>
      </c>
      <c r="E5820" s="9" t="str">
        <f>HYPERLINK("https://twitter.com/Hoda6228/status/1034346417236652033","1034346417236652033")</f>
        <v>1034346417236652033</v>
      </c>
      <c r="F5820" s="4"/>
      <c r="G5820" s="4"/>
      <c r="H5820" s="4"/>
      <c r="I5820" s="10" t="str">
        <f>HYPERLINK("http://twitter.com/download/android","Twitter for Android")</f>
        <v>Twitter for Android</v>
      </c>
      <c r="J5820" s="2">
        <v>54</v>
      </c>
      <c r="K5820" s="2">
        <v>8</v>
      </c>
      <c r="L5820" s="2">
        <v>0</v>
      </c>
      <c r="M5820" s="2"/>
      <c r="N5820" s="8">
        <v>42994.515659722223</v>
      </c>
      <c r="O5820" s="4" t="s">
        <v>34</v>
      </c>
      <c r="P5820" s="3" t="s">
        <v>621</v>
      </c>
      <c r="Q5820" s="4"/>
      <c r="R5820" s="4"/>
      <c r="S5820" s="9" t="str">
        <f>HYPERLINK("https://pbs.twimg.com/profile_images/1006901579734134785/0MZbl0MX.jpg","View")</f>
        <v>View</v>
      </c>
    </row>
    <row r="5821" spans="1:19" ht="30">
      <c r="A5821" s="8">
        <v>43340.511145833334</v>
      </c>
      <c r="B5821" s="11" t="str">
        <f>HYPERLINK("https://twitter.com/mansooroola","@mansooroola")</f>
        <v>@mansooroola</v>
      </c>
      <c r="C5821" s="6" t="s">
        <v>620</v>
      </c>
      <c r="D5821" s="5" t="s">
        <v>619</v>
      </c>
      <c r="E5821" s="9" t="str">
        <f>HYPERLINK("https://twitter.com/mansooroola/status/1034346358256361472","1034346358256361472")</f>
        <v>1034346358256361472</v>
      </c>
      <c r="F5821" s="4"/>
      <c r="G5821" s="4"/>
      <c r="H5821" s="4"/>
      <c r="I5821" s="10" t="str">
        <f>HYPERLINK("http://twitter.com/download/android","Twitter for Android")</f>
        <v>Twitter for Android</v>
      </c>
      <c r="J5821" s="2">
        <v>2107</v>
      </c>
      <c r="K5821" s="2">
        <v>1975</v>
      </c>
      <c r="L5821" s="2">
        <v>21</v>
      </c>
      <c r="M5821" s="2"/>
      <c r="N5821" s="8">
        <v>42213.823923611111</v>
      </c>
      <c r="O5821" s="4"/>
      <c r="P5821" s="3" t="s">
        <v>618</v>
      </c>
      <c r="Q5821" s="4"/>
      <c r="R5821" s="4"/>
      <c r="S5821" s="9" t="str">
        <f>HYPERLINK("https://pbs.twimg.com/profile_images/856157384066072577/GmKN4v8j.jpg","View")</f>
        <v>View</v>
      </c>
    </row>
    <row r="5822" spans="1:19" ht="50">
      <c r="A5822" s="8">
        <v>43340.510729166665</v>
      </c>
      <c r="B5822" s="11" t="str">
        <f>HYPERLINK("https://twitter.com/GordaneMontazer","@GordaneMontazer")</f>
        <v>@GordaneMontazer</v>
      </c>
      <c r="C5822" s="6" t="s">
        <v>617</v>
      </c>
      <c r="D5822" s="5" t="s">
        <v>616</v>
      </c>
      <c r="E5822" s="9" t="str">
        <f>HYPERLINK("https://twitter.com/GordaneMontazer/status/1034346207424991233","1034346207424991233")</f>
        <v>1034346207424991233</v>
      </c>
      <c r="F5822" s="4"/>
      <c r="G5822" s="10" t="s">
        <v>615</v>
      </c>
      <c r="H5822" s="4"/>
      <c r="I5822" s="10" t="str">
        <f>HYPERLINK("http://twitter.com/download/android","Twitter for Android")</f>
        <v>Twitter for Android</v>
      </c>
      <c r="J5822" s="2">
        <v>4372</v>
      </c>
      <c r="K5822" s="2">
        <v>4954</v>
      </c>
      <c r="L5822" s="2">
        <v>7</v>
      </c>
      <c r="M5822" s="2"/>
      <c r="N5822" s="8">
        <v>43118.886365740742</v>
      </c>
      <c r="O5822" s="4" t="s">
        <v>17</v>
      </c>
      <c r="P5822" s="3" t="s">
        <v>614</v>
      </c>
      <c r="Q5822" s="4"/>
      <c r="R5822" s="4"/>
      <c r="S5822" s="9" t="str">
        <f>HYPERLINK("https://pbs.twimg.com/profile_images/991902098819309568/m4j1sJ-p.jpg","View")</f>
        <v>View</v>
      </c>
    </row>
    <row r="5823" spans="1:19" ht="60">
      <c r="A5823" s="8">
        <v>43340.510659722218</v>
      </c>
      <c r="B5823" s="11" t="str">
        <f>HYPERLINK("https://twitter.com/SedayAzadi","@SedayAzadi")</f>
        <v>@SedayAzadi</v>
      </c>
      <c r="C5823" s="6" t="s">
        <v>472</v>
      </c>
      <c r="D5823" s="5" t="s">
        <v>613</v>
      </c>
      <c r="E5823" s="9" t="str">
        <f>HYPERLINK("https://twitter.com/SedayAzadi/status/1034346180048838656","1034346180048838656")</f>
        <v>1034346180048838656</v>
      </c>
      <c r="F5823" s="10" t="s">
        <v>612</v>
      </c>
      <c r="G5823" s="4"/>
      <c r="H5823" s="4"/>
      <c r="I5823" s="10" t="str">
        <f>HYPERLINK("http://twitter.com/download/android","Twitter for Android")</f>
        <v>Twitter for Android</v>
      </c>
      <c r="J5823" s="2">
        <v>615</v>
      </c>
      <c r="K5823" s="2">
        <v>1057</v>
      </c>
      <c r="L5823" s="2">
        <v>1</v>
      </c>
      <c r="M5823" s="2"/>
      <c r="N5823" s="8">
        <v>43230.989849537036</v>
      </c>
      <c r="O5823" s="4"/>
      <c r="P5823" s="3" t="s">
        <v>470</v>
      </c>
      <c r="Q5823" s="4"/>
      <c r="R5823" s="4"/>
      <c r="S5823" s="9" t="str">
        <f>HYPERLINK("https://pbs.twimg.com/profile_images/994668885298368513/GbwMHYa9.jpg","View")</f>
        <v>View</v>
      </c>
    </row>
    <row r="5824" spans="1:19" ht="12.5">
      <c r="A5824" s="8">
        <v>43340.510601851856</v>
      </c>
      <c r="B5824" s="11" t="str">
        <f>HYPERLINK("https://twitter.com/yVA4ATUfdofr2xS","@yVA4ATUfdofr2xS")</f>
        <v>@yVA4ATUfdofr2xS</v>
      </c>
      <c r="C5824" s="6" t="s">
        <v>27</v>
      </c>
      <c r="D5824" s="5" t="s">
        <v>611</v>
      </c>
      <c r="E5824" s="9" t="str">
        <f>HYPERLINK("https://twitter.com/yVA4ATUfdofr2xS/status/1034346160016642048","1034346160016642048")</f>
        <v>1034346160016642048</v>
      </c>
      <c r="F5824" s="4"/>
      <c r="G5824" s="10" t="s">
        <v>610</v>
      </c>
      <c r="H5824" s="4"/>
      <c r="I5824" s="10" t="str">
        <f>HYPERLINK("http://twitter.com","Twitter Web Client")</f>
        <v>Twitter Web Client</v>
      </c>
      <c r="J5824" s="2">
        <v>121</v>
      </c>
      <c r="K5824" s="2">
        <v>4</v>
      </c>
      <c r="L5824" s="2">
        <v>0</v>
      </c>
      <c r="M5824" s="2"/>
      <c r="N5824" s="8">
        <v>43323.438252314816</v>
      </c>
      <c r="O5824" s="4" t="s">
        <v>25</v>
      </c>
      <c r="P5824" s="3" t="s">
        <v>24</v>
      </c>
      <c r="Q5824" s="4"/>
      <c r="R5824" s="4"/>
      <c r="S5824" s="9" t="str">
        <f>HYPERLINK("https://pbs.twimg.com/profile_images/1028178183206498305/b7usXKsw.jpg","View")</f>
        <v>View</v>
      </c>
    </row>
    <row r="5825" spans="1:19" ht="30">
      <c r="A5825" s="8">
        <v>43340.510555555556</v>
      </c>
      <c r="B5825" s="11" t="str">
        <f>HYPERLINK("https://twitter.com/golagha1","@golagha1")</f>
        <v>@golagha1</v>
      </c>
      <c r="C5825" s="6" t="s">
        <v>609</v>
      </c>
      <c r="D5825" s="5" t="s">
        <v>608</v>
      </c>
      <c r="E5825" s="9" t="str">
        <f>HYPERLINK("https://twitter.com/golagha1/status/1034346141658357764","1034346141658357764")</f>
        <v>1034346141658357764</v>
      </c>
      <c r="F5825" s="4"/>
      <c r="G5825" s="4"/>
      <c r="H5825" s="4"/>
      <c r="I5825" s="10" t="str">
        <f>HYPERLINK("http://twitter.com","Twitter Web Client")</f>
        <v>Twitter Web Client</v>
      </c>
      <c r="J5825" s="2">
        <v>19</v>
      </c>
      <c r="K5825" s="2">
        <v>12</v>
      </c>
      <c r="L5825" s="2">
        <v>0</v>
      </c>
      <c r="M5825" s="2"/>
      <c r="N5825" s="8">
        <v>43318.977662037039</v>
      </c>
      <c r="O5825" s="4"/>
      <c r="P5825" s="3" t="s">
        <v>607</v>
      </c>
      <c r="Q5825" s="4"/>
      <c r="R5825" s="4"/>
      <c r="S5825" s="9" t="str">
        <f>HYPERLINK("https://pbs.twimg.com/profile_images/1026546433539768320/N82nEqX8.jpg","View")</f>
        <v>View</v>
      </c>
    </row>
    <row r="5826" spans="1:19" ht="20">
      <c r="A5826" s="8">
        <v>43340.510497685187</v>
      </c>
      <c r="B5826" s="11" t="str">
        <f>HYPERLINK("https://twitter.com/ShiraziMehdi","@ShiraziMehdi")</f>
        <v>@ShiraziMehdi</v>
      </c>
      <c r="C5826" s="6" t="s">
        <v>606</v>
      </c>
      <c r="D5826" s="5" t="s">
        <v>605</v>
      </c>
      <c r="E5826" s="9" t="str">
        <f>HYPERLINK("https://twitter.com/ShiraziMehdi/status/1034346120795906048","1034346120795906048")</f>
        <v>1034346120795906048</v>
      </c>
      <c r="F5826" s="4"/>
      <c r="G5826" s="4"/>
      <c r="H5826" s="4"/>
      <c r="I5826" s="10" t="str">
        <f>HYPERLINK("http://twitter.com/download/iphone","Twitter for iPhone")</f>
        <v>Twitter for iPhone</v>
      </c>
      <c r="J5826" s="2">
        <v>194</v>
      </c>
      <c r="K5826" s="2">
        <v>326</v>
      </c>
      <c r="L5826" s="2">
        <v>2</v>
      </c>
      <c r="M5826" s="2"/>
      <c r="N5826" s="8">
        <v>41215.456284722226</v>
      </c>
      <c r="O5826" s="4"/>
      <c r="P5826" s="3" t="s">
        <v>604</v>
      </c>
      <c r="Q5826" s="4"/>
      <c r="R5826" s="4"/>
      <c r="S5826" s="9" t="str">
        <f>HYPERLINK("https://pbs.twimg.com/profile_images/862498166784045056/Iuo9rVDf.jpg","View")</f>
        <v>View</v>
      </c>
    </row>
    <row r="5827" spans="1:19" ht="40">
      <c r="A5827" s="8">
        <v>43340.51048611111</v>
      </c>
      <c r="B5827" s="11" t="str">
        <f>HYPERLINK("https://twitter.com/Tasnimnews_Fa","@Tasnimnews_Fa")</f>
        <v>@Tasnimnews_Fa</v>
      </c>
      <c r="C5827" s="6" t="s">
        <v>603</v>
      </c>
      <c r="D5827" s="5" t="s">
        <v>602</v>
      </c>
      <c r="E5827" s="9" t="str">
        <f>HYPERLINK("https://twitter.com/Tasnimnews_Fa/status/1034346117583069184","1034346117583069184")</f>
        <v>1034346117583069184</v>
      </c>
      <c r="F5827" s="10" t="s">
        <v>601</v>
      </c>
      <c r="G5827" s="10" t="s">
        <v>600</v>
      </c>
      <c r="H5827" s="4"/>
      <c r="I5827" s="10" t="str">
        <f>HYPERLINK("http://twitter.com","Twitter Web Client")</f>
        <v>Twitter Web Client</v>
      </c>
      <c r="J5827" s="2">
        <v>109340</v>
      </c>
      <c r="K5827" s="2">
        <v>20</v>
      </c>
      <c r="L5827" s="2">
        <v>379</v>
      </c>
      <c r="M5827" s="2" t="s">
        <v>80</v>
      </c>
      <c r="N5827" s="8">
        <v>41868.671585648146</v>
      </c>
      <c r="O5827" s="4" t="s">
        <v>133</v>
      </c>
      <c r="P5827" s="3" t="s">
        <v>599</v>
      </c>
      <c r="Q5827" s="10" t="s">
        <v>598</v>
      </c>
      <c r="R5827" s="4"/>
      <c r="S5827" s="9" t="str">
        <f>HYPERLINK("https://pbs.twimg.com/profile_images/942003149430239232/hvLw_1_E.jpg","View")</f>
        <v>View</v>
      </c>
    </row>
    <row r="5828" spans="1:19" ht="40">
      <c r="A5828" s="8">
        <v>43340.510370370372</v>
      </c>
      <c r="B5828" s="11" t="str">
        <f>HYPERLINK("https://twitter.com/seyed_mahdi","@seyed_mahdi")</f>
        <v>@seyed_mahdi</v>
      </c>
      <c r="C5828" s="6" t="s">
        <v>597</v>
      </c>
      <c r="D5828" s="5" t="s">
        <v>596</v>
      </c>
      <c r="E5828" s="9" t="str">
        <f>HYPERLINK("https://twitter.com/seyed_mahdi/status/1034346074704625664","1034346074704625664")</f>
        <v>1034346074704625664</v>
      </c>
      <c r="F5828" s="4"/>
      <c r="G5828" s="4"/>
      <c r="H5828" s="4"/>
      <c r="I5828" s="10" t="str">
        <f>HYPERLINK("http://twitter.com/download/android","Twitter for Android")</f>
        <v>Twitter for Android</v>
      </c>
      <c r="J5828" s="2">
        <v>59</v>
      </c>
      <c r="K5828" s="2">
        <v>335</v>
      </c>
      <c r="L5828" s="2">
        <v>0</v>
      </c>
      <c r="M5828" s="2"/>
      <c r="N5828" s="8">
        <v>40976.03769675926</v>
      </c>
      <c r="O5828" s="4"/>
      <c r="P5828" s="3" t="s">
        <v>595</v>
      </c>
      <c r="Q5828" s="4"/>
      <c r="R5828" s="4"/>
      <c r="S5828" s="9" t="str">
        <f>HYPERLINK("https://pbs.twimg.com/profile_images/1028199476014530561/Nob_oSes.jpg","View")</f>
        <v>View</v>
      </c>
    </row>
    <row r="5829" spans="1:19" ht="30">
      <c r="A5829" s="8">
        <v>43340.510358796295</v>
      </c>
      <c r="B5829" s="11" t="str">
        <f>HYPERLINK("https://twitter.com/1988Executions","@1988Executions")</f>
        <v>@1988Executions</v>
      </c>
      <c r="C5829" s="6" t="s">
        <v>594</v>
      </c>
      <c r="D5829" s="5" t="s">
        <v>593</v>
      </c>
      <c r="E5829" s="9" t="str">
        <f>HYPERLINK("https://twitter.com/1988Executions/status/1034346073706450944","1034346073706450944")</f>
        <v>1034346073706450944</v>
      </c>
      <c r="F5829" s="4"/>
      <c r="G5829" s="4"/>
      <c r="H5829" s="4"/>
      <c r="I5829" s="10" t="str">
        <f>HYPERLINK("http://twitter.com/download/android","Twitter for Android")</f>
        <v>Twitter for Android</v>
      </c>
      <c r="J5829" s="2">
        <v>749</v>
      </c>
      <c r="K5829" s="2">
        <v>731</v>
      </c>
      <c r="L5829" s="2">
        <v>1</v>
      </c>
      <c r="M5829" s="2"/>
      <c r="N5829" s="8">
        <v>41576.035428240742</v>
      </c>
      <c r="O5829" s="4"/>
      <c r="P5829" s="3" t="s">
        <v>592</v>
      </c>
      <c r="Q5829" s="10" t="s">
        <v>591</v>
      </c>
      <c r="R5829" s="4"/>
      <c r="S5829" s="9" t="str">
        <f>HYPERLINK("https://pbs.twimg.com/profile_images/968887049922195456/NA768b4S.jpg","View")</f>
        <v>View</v>
      </c>
    </row>
    <row r="5830" spans="1:19" ht="20">
      <c r="A5830" s="8">
        <v>43340.510335648149</v>
      </c>
      <c r="B5830" s="11" t="str">
        <f>HYPERLINK("https://twitter.com/IranianLoneWolf","@IranianLoneWolf")</f>
        <v>@IranianLoneWolf</v>
      </c>
      <c r="C5830" s="6" t="s">
        <v>492</v>
      </c>
      <c r="D5830" s="5" t="s">
        <v>590</v>
      </c>
      <c r="E5830" s="9" t="str">
        <f>HYPERLINK("https://twitter.com/IranianLoneWolf/status/1034346065431015424","1034346065431015424")</f>
        <v>1034346065431015424</v>
      </c>
      <c r="F5830" s="10" t="s">
        <v>589</v>
      </c>
      <c r="G5830" s="10" t="s">
        <v>588</v>
      </c>
      <c r="H5830" s="4"/>
      <c r="I5830" s="10" t="str">
        <f>HYPERLINK("http://twitter.com","Twitter Web Client")</f>
        <v>Twitter Web Client</v>
      </c>
      <c r="J5830" s="2">
        <v>991</v>
      </c>
      <c r="K5830" s="2">
        <v>2751</v>
      </c>
      <c r="L5830" s="2">
        <v>2</v>
      </c>
      <c r="M5830" s="2"/>
      <c r="N5830" s="8">
        <v>42078.440706018519</v>
      </c>
      <c r="O5830" s="4" t="s">
        <v>490</v>
      </c>
      <c r="P5830" s="3" t="s">
        <v>489</v>
      </c>
      <c r="Q5830" s="4"/>
      <c r="R5830" s="4"/>
      <c r="S5830" s="9" t="str">
        <f>HYPERLINK("https://pbs.twimg.com/profile_images/1011513817023569920/6SmcXZ_E.jpg","View")</f>
        <v>View</v>
      </c>
    </row>
    <row r="5831" spans="1:19" ht="20">
      <c r="A5831" s="8">
        <v>43340.510231481487</v>
      </c>
      <c r="B5831" s="11" t="str">
        <f>HYPERLINK("https://twitter.com/havaszarb","@havaszarb")</f>
        <v>@havaszarb</v>
      </c>
      <c r="C5831" s="6" t="s">
        <v>587</v>
      </c>
      <c r="D5831" s="5" t="s">
        <v>586</v>
      </c>
      <c r="E5831" s="9" t="str">
        <f>HYPERLINK("https://twitter.com/havaszarb/status/1034346028097581057","1034346028097581057")</f>
        <v>1034346028097581057</v>
      </c>
      <c r="F5831" s="4"/>
      <c r="G5831" s="4"/>
      <c r="H5831" s="4"/>
      <c r="I5831" s="10" t="str">
        <f>HYPERLINK("http://twitter.com/download/android","Twitter for Android")</f>
        <v>Twitter for Android</v>
      </c>
      <c r="J5831" s="2">
        <v>25</v>
      </c>
      <c r="K5831" s="2">
        <v>76</v>
      </c>
      <c r="L5831" s="2">
        <v>0</v>
      </c>
      <c r="M5831" s="2"/>
      <c r="N5831" s="8">
        <v>43331.089965277773</v>
      </c>
      <c r="O5831" s="4" t="s">
        <v>25</v>
      </c>
      <c r="P5831" s="3" t="s">
        <v>585</v>
      </c>
      <c r="Q5831" s="4"/>
      <c r="R5831" s="4"/>
      <c r="S5831" s="9" t="str">
        <f>HYPERLINK("https://pbs.twimg.com/profile_images/1032574647617945602/WBPdH42z.jpg","View")</f>
        <v>View</v>
      </c>
    </row>
    <row r="5832" spans="1:19" ht="20">
      <c r="A5832" s="8">
        <v>43340.510127314818</v>
      </c>
      <c r="B5832" s="11" t="str">
        <f>HYPERLINK("https://twitter.com/s_ali6818","@s_ali6818")</f>
        <v>@s_ali6818</v>
      </c>
      <c r="C5832" s="6" t="s">
        <v>584</v>
      </c>
      <c r="D5832" s="5" t="s">
        <v>583</v>
      </c>
      <c r="E5832" s="9" t="str">
        <f>HYPERLINK("https://twitter.com/s_ali6818/status/1034345987622490112","1034345987622490112")</f>
        <v>1034345987622490112</v>
      </c>
      <c r="F5832" s="4"/>
      <c r="G5832" s="4"/>
      <c r="H5832" s="4"/>
      <c r="I5832" s="10" t="str">
        <f>HYPERLINK("http://twitter.com/download/android","Twitter for Android")</f>
        <v>Twitter for Android</v>
      </c>
      <c r="J5832" s="2">
        <v>621</v>
      </c>
      <c r="K5832" s="2">
        <v>746</v>
      </c>
      <c r="L5832" s="2">
        <v>5</v>
      </c>
      <c r="M5832" s="2"/>
      <c r="N5832" s="8">
        <v>42984.673784722225</v>
      </c>
      <c r="O5832" s="4" t="s">
        <v>582</v>
      </c>
      <c r="P5832" s="3" t="s">
        <v>581</v>
      </c>
      <c r="Q5832" s="4"/>
      <c r="R5832" s="4"/>
      <c r="S5832" s="9" t="str">
        <f>HYPERLINK("https://pbs.twimg.com/profile_images/991141049891422208/2BR4OcV0.jpg","View")</f>
        <v>View</v>
      </c>
    </row>
    <row r="5833" spans="1:19" ht="30">
      <c r="A5833" s="8">
        <v>43340.50981481481</v>
      </c>
      <c r="B5833" s="11" t="str">
        <f>HYPERLINK("https://twitter.com/ibenair","@ibenair")</f>
        <v>@ibenair</v>
      </c>
      <c r="C5833" s="11" t="s">
        <v>570</v>
      </c>
      <c r="D5833" s="5" t="s">
        <v>580</v>
      </c>
      <c r="E5833" s="9" t="str">
        <f>HYPERLINK("https://twitter.com/ibenair/status/1034345876880146434","1034345876880146434")</f>
        <v>1034345876880146434</v>
      </c>
      <c r="F5833" s="4"/>
      <c r="G5833" s="4"/>
      <c r="H5833" s="4"/>
      <c r="I5833" s="10" t="str">
        <f>HYPERLINK("http://twitter.com/download/iphone","Twitter for iPhone")</f>
        <v>Twitter for iPhone</v>
      </c>
      <c r="J5833" s="2">
        <v>47</v>
      </c>
      <c r="K5833" s="2">
        <v>7</v>
      </c>
      <c r="L5833" s="2">
        <v>1</v>
      </c>
      <c r="M5833" s="2"/>
      <c r="N5833" s="8">
        <v>43206.519918981481</v>
      </c>
      <c r="O5833" s="4" t="s">
        <v>17</v>
      </c>
      <c r="P5833" s="3" t="s">
        <v>567</v>
      </c>
      <c r="Q5833" s="10" t="s">
        <v>566</v>
      </c>
      <c r="R5833" s="4"/>
      <c r="S5833" s="9" t="str">
        <f>HYPERLINK("https://pbs.twimg.com/profile_images/985793204661506048/Esq8e1Qs.jpg","View")</f>
        <v>View</v>
      </c>
    </row>
    <row r="5834" spans="1:19" ht="40">
      <c r="A5834" s="8">
        <v>43340.509733796294</v>
      </c>
      <c r="B5834" s="11" t="str">
        <f>HYPERLINK("https://twitter.com/1400_majd","@1400_majd")</f>
        <v>@1400_majd</v>
      </c>
      <c r="C5834" s="6" t="s">
        <v>579</v>
      </c>
      <c r="D5834" s="5" t="s">
        <v>578</v>
      </c>
      <c r="E5834" s="9" t="str">
        <f>HYPERLINK("https://twitter.com/1400_majd/status/1034345845863469057","1034345845863469057")</f>
        <v>1034345845863469057</v>
      </c>
      <c r="F5834" s="4"/>
      <c r="G5834" s="4"/>
      <c r="H5834" s="4"/>
      <c r="I5834" s="10" t="str">
        <f>HYPERLINK("https://mobile.twitter.com","Twitter Lite")</f>
        <v>Twitter Lite</v>
      </c>
      <c r="J5834" s="2">
        <v>5009</v>
      </c>
      <c r="K5834" s="2">
        <v>4201</v>
      </c>
      <c r="L5834" s="2">
        <v>11</v>
      </c>
      <c r="M5834" s="2"/>
      <c r="N5834" s="8">
        <v>43116.626736111109</v>
      </c>
      <c r="O5834" s="4" t="s">
        <v>577</v>
      </c>
      <c r="P5834" s="3" t="s">
        <v>576</v>
      </c>
      <c r="Q5834" s="4"/>
      <c r="R5834" s="4"/>
      <c r="S5834" s="9" t="str">
        <f>HYPERLINK("https://pbs.twimg.com/profile_images/1024019067416526853/8pPmq1R7.jpg","View")</f>
        <v>View</v>
      </c>
    </row>
    <row r="5835" spans="1:19" ht="20">
      <c r="A5835" s="8">
        <v>43340.509606481486</v>
      </c>
      <c r="B5835" s="11" t="str">
        <f>HYPERLINK("https://twitter.com/sajaaaaaaad","@sajaaaaaaad")</f>
        <v>@sajaaaaaaad</v>
      </c>
      <c r="C5835" s="6" t="s">
        <v>575</v>
      </c>
      <c r="D5835" s="5" t="s">
        <v>574</v>
      </c>
      <c r="E5835" s="9" t="str">
        <f>HYPERLINK("https://twitter.com/sajaaaaaaad/status/1034345798190944258","1034345798190944258")</f>
        <v>1034345798190944258</v>
      </c>
      <c r="F5835" s="4"/>
      <c r="G5835" s="4"/>
      <c r="H5835" s="4"/>
      <c r="I5835" s="10" t="str">
        <f>HYPERLINK("http://twitter.com/download/iphone","Twitter for iPhone")</f>
        <v>Twitter for iPhone</v>
      </c>
      <c r="J5835" s="2">
        <v>376</v>
      </c>
      <c r="K5835" s="2">
        <v>520</v>
      </c>
      <c r="L5835" s="2">
        <v>2</v>
      </c>
      <c r="M5835" s="2"/>
      <c r="N5835" s="8">
        <v>41923.765694444446</v>
      </c>
      <c r="O5835" s="4"/>
      <c r="P5835" s="3" t="s">
        <v>573</v>
      </c>
      <c r="Q5835" s="4"/>
      <c r="R5835" s="4"/>
      <c r="S5835" s="9" t="str">
        <f>HYPERLINK("https://pbs.twimg.com/profile_images/1003620556422438912/yYLIoP7U.jpg","View")</f>
        <v>View</v>
      </c>
    </row>
    <row r="5836" spans="1:19" ht="30">
      <c r="A5836" s="8">
        <v>43340.509571759263</v>
      </c>
      <c r="B5836" s="11" t="str">
        <f>HYPERLINK("https://twitter.com/Majid71657424","@Majid71657424")</f>
        <v>@Majid71657424</v>
      </c>
      <c r="C5836" s="6" t="s">
        <v>572</v>
      </c>
      <c r="D5836" s="5" t="s">
        <v>571</v>
      </c>
      <c r="E5836" s="9" t="str">
        <f>HYPERLINK("https://twitter.com/Majid71657424/status/1034345785494777857","1034345785494777857")</f>
        <v>1034345785494777857</v>
      </c>
      <c r="F5836" s="4"/>
      <c r="G5836" s="4"/>
      <c r="H5836" s="4"/>
      <c r="I5836" s="10" t="str">
        <f>HYPERLINK("http://twitter.com/download/android","Twitter for Android")</f>
        <v>Twitter for Android</v>
      </c>
      <c r="J5836" s="2">
        <v>6</v>
      </c>
      <c r="K5836" s="2">
        <v>108</v>
      </c>
      <c r="L5836" s="2">
        <v>0</v>
      </c>
      <c r="M5836" s="2"/>
      <c r="N5836" s="8">
        <v>43331.948599537034</v>
      </c>
      <c r="O5836" s="4"/>
      <c r="P5836" s="3"/>
      <c r="Q5836" s="4"/>
      <c r="R5836" s="4"/>
      <c r="S5836" s="9" t="str">
        <f>HYPERLINK("https://pbs.twimg.com/profile_images/1034016635215118337/fJXErimk.jpg","View")</f>
        <v>View</v>
      </c>
    </row>
    <row r="5837" spans="1:19" ht="12.5">
      <c r="A5837" s="8">
        <v>43340.509467592594</v>
      </c>
      <c r="B5837" s="11" t="str">
        <f>HYPERLINK("https://twitter.com/ibenair","@ibenair")</f>
        <v>@ibenair</v>
      </c>
      <c r="C5837" s="11" t="s">
        <v>570</v>
      </c>
      <c r="D5837" s="5" t="s">
        <v>569</v>
      </c>
      <c r="E5837" s="9" t="str">
        <f>HYPERLINK("https://twitter.com/ibenair/status/1034345750048649216","1034345750048649216")</f>
        <v>1034345750048649216</v>
      </c>
      <c r="F5837" s="10" t="s">
        <v>568</v>
      </c>
      <c r="G5837" s="4"/>
      <c r="H5837" s="4"/>
      <c r="I5837" s="10" t="str">
        <f>HYPERLINK("http://twitter.com/download/iphone","Twitter for iPhone")</f>
        <v>Twitter for iPhone</v>
      </c>
      <c r="J5837" s="2">
        <v>47</v>
      </c>
      <c r="K5837" s="2">
        <v>7</v>
      </c>
      <c r="L5837" s="2">
        <v>1</v>
      </c>
      <c r="M5837" s="2"/>
      <c r="N5837" s="8">
        <v>43206.519918981481</v>
      </c>
      <c r="O5837" s="4" t="s">
        <v>17</v>
      </c>
      <c r="P5837" s="3" t="s">
        <v>567</v>
      </c>
      <c r="Q5837" s="10" t="s">
        <v>566</v>
      </c>
      <c r="R5837" s="4"/>
      <c r="S5837" s="9" t="str">
        <f>HYPERLINK("https://pbs.twimg.com/profile_images/985793204661506048/Esq8e1Qs.jpg","View")</f>
        <v>View</v>
      </c>
    </row>
    <row r="5838" spans="1:19" ht="40">
      <c r="A5838" s="8">
        <v>43340.509432870371</v>
      </c>
      <c r="B5838" s="11" t="str">
        <f>HYPERLINK("https://twitter.com/Ahmadsharif1971","@Ahmadsharif1971")</f>
        <v>@Ahmadsharif1971</v>
      </c>
      <c r="C5838" s="6" t="s">
        <v>565</v>
      </c>
      <c r="D5838" s="5" t="s">
        <v>564</v>
      </c>
      <c r="E5838" s="9" t="str">
        <f>HYPERLINK("https://twitter.com/Ahmadsharif1971/status/1034345738296283136","1034345738296283136")</f>
        <v>1034345738296283136</v>
      </c>
      <c r="F5838" s="4"/>
      <c r="G5838" s="4"/>
      <c r="H5838" s="4"/>
      <c r="I5838" s="10" t="str">
        <f>HYPERLINK("http://twitter.com/download/iphone","Twitter for iPhone")</f>
        <v>Twitter for iPhone</v>
      </c>
      <c r="J5838" s="2">
        <v>290</v>
      </c>
      <c r="K5838" s="2">
        <v>520</v>
      </c>
      <c r="L5838" s="2">
        <v>0</v>
      </c>
      <c r="M5838" s="2"/>
      <c r="N5838" s="8">
        <v>43005.820254629631</v>
      </c>
      <c r="O5838" s="4" t="s">
        <v>104</v>
      </c>
      <c r="P5838" s="3" t="s">
        <v>563</v>
      </c>
      <c r="Q5838" s="4"/>
      <c r="R5838" s="4"/>
      <c r="S5838" s="9" t="str">
        <f>HYPERLINK("https://pbs.twimg.com/profile_images/1014868243532734466/oJhCLWKH.jpg","View")</f>
        <v>View</v>
      </c>
    </row>
    <row r="5839" spans="1:19" ht="30">
      <c r="A5839" s="8">
        <v>43340.509363425925</v>
      </c>
      <c r="B5839" s="11" t="str">
        <f>HYPERLINK("https://twitter.com/Hasanshahi22","@Hasanshahi22")</f>
        <v>@Hasanshahi22</v>
      </c>
      <c r="C5839" s="6" t="s">
        <v>562</v>
      </c>
      <c r="D5839" s="5" t="s">
        <v>561</v>
      </c>
      <c r="E5839" s="9" t="str">
        <f>HYPERLINK("https://twitter.com/Hasanshahi22/status/1034345709682741248","1034345709682741248")</f>
        <v>1034345709682741248</v>
      </c>
      <c r="F5839" s="4"/>
      <c r="G5839" s="4"/>
      <c r="H5839" s="4"/>
      <c r="I5839" s="10" t="str">
        <f>HYPERLINK("http://twitter.com/download/android","Twitter for Android")</f>
        <v>Twitter for Android</v>
      </c>
      <c r="J5839" s="2">
        <v>6050</v>
      </c>
      <c r="K5839" s="2">
        <v>2605</v>
      </c>
      <c r="L5839" s="2">
        <v>26</v>
      </c>
      <c r="M5839" s="2"/>
      <c r="N5839" s="8">
        <v>42710.606030092589</v>
      </c>
      <c r="O5839" s="4" t="s">
        <v>17</v>
      </c>
      <c r="P5839" s="3" t="s">
        <v>560</v>
      </c>
      <c r="Q5839" s="4"/>
      <c r="R5839" s="4"/>
      <c r="S5839" s="9" t="str">
        <f>HYPERLINK("https://pbs.twimg.com/profile_images/1026934869148893184/owZUWyYv.jpg","View")</f>
        <v>View</v>
      </c>
    </row>
    <row r="5840" spans="1:19" ht="30">
      <c r="A5840" s="8">
        <v>43340.509039351848</v>
      </c>
      <c r="B5840" s="11" t="str">
        <f>HYPERLINK("https://twitter.com/pirouzi_20","@pirouzi_20")</f>
        <v>@pirouzi_20</v>
      </c>
      <c r="C5840" s="6" t="s">
        <v>559</v>
      </c>
      <c r="D5840" s="5" t="s">
        <v>558</v>
      </c>
      <c r="E5840" s="9" t="str">
        <f>HYPERLINK("https://twitter.com/pirouzi_20/status/1034345595027247104","1034345595027247104")</f>
        <v>1034345595027247104</v>
      </c>
      <c r="F5840" s="4"/>
      <c r="G5840" s="10" t="s">
        <v>557</v>
      </c>
      <c r="H5840" s="4"/>
      <c r="I5840" s="10" t="str">
        <f>HYPERLINK("http://twitter.com","Twitter Web Client")</f>
        <v>Twitter Web Client</v>
      </c>
      <c r="J5840" s="2">
        <v>1160</v>
      </c>
      <c r="K5840" s="2">
        <v>768</v>
      </c>
      <c r="L5840" s="2">
        <v>3</v>
      </c>
      <c r="M5840" s="2"/>
      <c r="N5840" s="8">
        <v>42812.074178240742</v>
      </c>
      <c r="O5840" s="4" t="s">
        <v>556</v>
      </c>
      <c r="P5840" s="3" t="s">
        <v>555</v>
      </c>
      <c r="Q5840" s="10" t="s">
        <v>554</v>
      </c>
      <c r="R5840" s="4"/>
      <c r="S5840" s="9" t="str">
        <f>HYPERLINK("https://pbs.twimg.com/profile_images/995905732913475584/y2Zsl4qa.jpg","View")</f>
        <v>View</v>
      </c>
    </row>
    <row r="5841" spans="1:19" ht="30">
      <c r="A5841" s="8">
        <v>43340.509016203709</v>
      </c>
      <c r="B5841" s="11" t="str">
        <f>HYPERLINK("https://twitter.com/sepidedam313","@sepidedam313")</f>
        <v>@sepidedam313</v>
      </c>
      <c r="C5841" s="6" t="s">
        <v>553</v>
      </c>
      <c r="D5841" s="5" t="s">
        <v>552</v>
      </c>
      <c r="E5841" s="9" t="str">
        <f>HYPERLINK("https://twitter.com/sepidedam313/status/1034345587574013952","1034345587574013952")</f>
        <v>1034345587574013952</v>
      </c>
      <c r="F5841" s="4"/>
      <c r="G5841" s="4"/>
      <c r="H5841" s="4"/>
      <c r="I5841" s="10" t="str">
        <f>HYPERLINK("http://twitter.com/download/android","Twitter for Android")</f>
        <v>Twitter for Android</v>
      </c>
      <c r="J5841" s="2">
        <v>42</v>
      </c>
      <c r="K5841" s="2">
        <v>53</v>
      </c>
      <c r="L5841" s="2">
        <v>1</v>
      </c>
      <c r="M5841" s="2"/>
      <c r="N5841" s="8">
        <v>43316.855891203704</v>
      </c>
      <c r="O5841" s="4"/>
      <c r="P5841" s="3" t="s">
        <v>551</v>
      </c>
      <c r="Q5841" s="4"/>
      <c r="R5841" s="4"/>
      <c r="S5841" s="9" t="str">
        <f>HYPERLINK("https://pbs.twimg.com/profile_images/1033403165310414848/LWb8EJ4v.jpg","View")</f>
        <v>View</v>
      </c>
    </row>
    <row r="5842" spans="1:19" ht="40">
      <c r="A5842" s="8">
        <v>43340.508842592593</v>
      </c>
      <c r="B5842" s="11" t="str">
        <f>HYPERLINK("https://twitter.com/almas995510besh","@almas995510besh")</f>
        <v>@almas995510besh</v>
      </c>
      <c r="C5842" s="6" t="s">
        <v>550</v>
      </c>
      <c r="D5842" s="5" t="s">
        <v>549</v>
      </c>
      <c r="E5842" s="9" t="str">
        <f>HYPERLINK("https://twitter.com/almas995510besh/status/1034345521748627456","1034345521748627456")</f>
        <v>1034345521748627456</v>
      </c>
      <c r="F5842" s="4"/>
      <c r="G5842" s="10" t="s">
        <v>548</v>
      </c>
      <c r="H5842" s="4"/>
      <c r="I5842" s="10" t="str">
        <f>HYPERLINK("http://twitter.com","Twitter Web Client")</f>
        <v>Twitter Web Client</v>
      </c>
      <c r="J5842" s="2">
        <v>3062</v>
      </c>
      <c r="K5842" s="2">
        <v>2627</v>
      </c>
      <c r="L5842" s="2">
        <v>4</v>
      </c>
      <c r="M5842" s="2"/>
      <c r="N5842" s="8">
        <v>42915.730983796297</v>
      </c>
      <c r="O5842" s="4"/>
      <c r="P5842" s="3" t="s">
        <v>547</v>
      </c>
      <c r="Q5842" s="4"/>
      <c r="R5842" s="4"/>
      <c r="S5842" s="9" t="str">
        <f>HYPERLINK("https://pbs.twimg.com/profile_images/1019118174913093632/3WWM-ZeK.jpg","View")</f>
        <v>View</v>
      </c>
    </row>
    <row r="5843" spans="1:19" ht="30">
      <c r="A5843" s="8">
        <v>43340.508645833332</v>
      </c>
      <c r="B5843" s="11" t="str">
        <f>HYPERLINK("https://twitter.com/Masoudshahan13","@Masoudshahan13")</f>
        <v>@Masoudshahan13</v>
      </c>
      <c r="C5843" s="6" t="s">
        <v>546</v>
      </c>
      <c r="D5843" s="5" t="s">
        <v>545</v>
      </c>
      <c r="E5843" s="9" t="str">
        <f>HYPERLINK("https://twitter.com/Masoudshahan13/status/1034345451800211456","1034345451800211456")</f>
        <v>1034345451800211456</v>
      </c>
      <c r="F5843" s="4"/>
      <c r="G5843" s="4"/>
      <c r="H5843" s="4"/>
      <c r="I5843" s="10" t="str">
        <f>HYPERLINK("http://twitter.com/download/android","Twitter for Android")</f>
        <v>Twitter for Android</v>
      </c>
      <c r="J5843" s="2">
        <v>192</v>
      </c>
      <c r="K5843" s="2">
        <v>62</v>
      </c>
      <c r="L5843" s="2">
        <v>1</v>
      </c>
      <c r="M5843" s="2"/>
      <c r="N5843" s="8">
        <v>42984.099363425921</v>
      </c>
      <c r="O5843" s="4"/>
      <c r="P5843" s="3" t="s">
        <v>544</v>
      </c>
      <c r="Q5843" s="4"/>
      <c r="R5843" s="4"/>
      <c r="S5843" s="9" t="str">
        <f>HYPERLINK("https://pbs.twimg.com/profile_images/1030279592001642496/k89PSRwy.jpg","View")</f>
        <v>View</v>
      </c>
    </row>
    <row r="5844" spans="1:19" ht="40">
      <c r="A5844" s="8">
        <v>43340.508622685185</v>
      </c>
      <c r="B5844" s="11" t="str">
        <f>HYPERLINK("https://twitter.com/nazarifarhodi","@nazarifarhodi")</f>
        <v>@nazarifarhodi</v>
      </c>
      <c r="C5844" s="6" t="s">
        <v>543</v>
      </c>
      <c r="D5844" s="5" t="s">
        <v>542</v>
      </c>
      <c r="E5844" s="9" t="str">
        <f>HYPERLINK("https://twitter.com/nazarifarhodi/status/1034345444548259845","1034345444548259845")</f>
        <v>1034345444548259845</v>
      </c>
      <c r="F5844" s="4"/>
      <c r="G5844" s="4"/>
      <c r="H5844" s="4"/>
      <c r="I5844" s="10" t="str">
        <f>HYPERLINK("http://twitter.com","Twitter Web Client")</f>
        <v>Twitter Web Client</v>
      </c>
      <c r="J5844" s="2">
        <v>920</v>
      </c>
      <c r="K5844" s="2">
        <v>2578</v>
      </c>
      <c r="L5844" s="2">
        <v>0</v>
      </c>
      <c r="M5844" s="2"/>
      <c r="N5844" s="8">
        <v>43296.548518518517</v>
      </c>
      <c r="O5844" s="4"/>
      <c r="P5844" s="3" t="s">
        <v>541</v>
      </c>
      <c r="Q5844" s="4"/>
      <c r="R5844" s="4"/>
      <c r="S5844" s="9" t="str">
        <f>HYPERLINK("https://pbs.twimg.com/profile_images/1033971914161750016/0zu_ZJRU.jpg","View")</f>
        <v>View</v>
      </c>
    </row>
    <row r="5845" spans="1:19" ht="40">
      <c r="A5845" s="8">
        <v>43340.508553240739</v>
      </c>
      <c r="B5845" s="11" t="str">
        <f>HYPERLINK("https://twitter.com/tatimche","@tatimche")</f>
        <v>@tatimche</v>
      </c>
      <c r="C5845" s="6" t="s">
        <v>540</v>
      </c>
      <c r="D5845" s="5" t="s">
        <v>539</v>
      </c>
      <c r="E5845" s="9" t="str">
        <f>HYPERLINK("https://twitter.com/tatimche/status/1034345417675341824","1034345417675341824")</f>
        <v>1034345417675341824</v>
      </c>
      <c r="F5845" s="4"/>
      <c r="G5845" s="4"/>
      <c r="H5845" s="4"/>
      <c r="I5845" s="10" t="str">
        <f>HYPERLINK("http://twitter.com/download/android","Twitter for Android")</f>
        <v>Twitter for Android</v>
      </c>
      <c r="J5845" s="2">
        <v>2067</v>
      </c>
      <c r="K5845" s="2">
        <v>1498</v>
      </c>
      <c r="L5845" s="2">
        <v>5</v>
      </c>
      <c r="M5845" s="2"/>
      <c r="N5845" s="8">
        <v>42568.51427083333</v>
      </c>
      <c r="O5845" s="4" t="s">
        <v>17</v>
      </c>
      <c r="P5845" s="3" t="s">
        <v>538</v>
      </c>
      <c r="Q5845" s="4"/>
      <c r="R5845" s="4"/>
      <c r="S5845" s="9" t="str">
        <f>HYPERLINK("https://pbs.twimg.com/profile_images/1031287961508356097/f_XEK0u6.jpg","View")</f>
        <v>View</v>
      </c>
    </row>
    <row r="5846" spans="1:19" ht="30">
      <c r="A5846" s="8">
        <v>43340.50854166667</v>
      </c>
      <c r="B5846" s="11" t="str">
        <f>HYPERLINK("https://twitter.com/teimourimohsen","@teimourimohsen")</f>
        <v>@teimourimohsen</v>
      </c>
      <c r="C5846" s="6" t="s">
        <v>537</v>
      </c>
      <c r="D5846" s="5" t="s">
        <v>536</v>
      </c>
      <c r="E5846" s="9" t="str">
        <f>HYPERLINK("https://twitter.com/teimourimohsen/status/1034345415171354624","1034345415171354624")</f>
        <v>1034345415171354624</v>
      </c>
      <c r="F5846" s="4"/>
      <c r="G5846" s="4"/>
      <c r="H5846" s="4"/>
      <c r="I5846" s="10" t="str">
        <f>HYPERLINK("http://twitter.com","Twitter Web Client")</f>
        <v>Twitter Web Client</v>
      </c>
      <c r="J5846" s="2">
        <v>71</v>
      </c>
      <c r="K5846" s="2">
        <v>141</v>
      </c>
      <c r="L5846" s="2">
        <v>0</v>
      </c>
      <c r="M5846" s="2"/>
      <c r="N5846" s="8">
        <v>40870.485555555555</v>
      </c>
      <c r="O5846" s="4" t="s">
        <v>133</v>
      </c>
      <c r="P5846" s="3" t="s">
        <v>535</v>
      </c>
      <c r="Q5846" s="4"/>
      <c r="R5846" s="4"/>
      <c r="S5846" s="9" t="str">
        <f>HYPERLINK("https://pbs.twimg.com/profile_images/1031124970573840384/YenL6NJ5.jpg","View")</f>
        <v>View</v>
      </c>
    </row>
    <row r="5847" spans="1:19" ht="40">
      <c r="A5847" s="8">
        <v>43340.50854166667</v>
      </c>
      <c r="B5847" s="11" t="str">
        <f>HYPERLINK("https://twitter.com/SdNaimi","@SdNaimi")</f>
        <v>@SdNaimi</v>
      </c>
      <c r="C5847" s="6" t="s">
        <v>534</v>
      </c>
      <c r="D5847" s="5" t="s">
        <v>533</v>
      </c>
      <c r="E5847" s="9" t="str">
        <f>HYPERLINK("https://twitter.com/SdNaimi/status/1034345414487695361","1034345414487695361")</f>
        <v>1034345414487695361</v>
      </c>
      <c r="F5847" s="4"/>
      <c r="G5847" s="4"/>
      <c r="H5847" s="4"/>
      <c r="I5847" s="10" t="str">
        <f>HYPERLINK("http://twitter.com/download/android","Twitter for Android")</f>
        <v>Twitter for Android</v>
      </c>
      <c r="J5847" s="2">
        <v>1591</v>
      </c>
      <c r="K5847" s="2">
        <v>500</v>
      </c>
      <c r="L5847" s="2">
        <v>7</v>
      </c>
      <c r="M5847" s="2"/>
      <c r="N5847" s="8">
        <v>42608.866782407407</v>
      </c>
      <c r="O5847" s="4" t="s">
        <v>133</v>
      </c>
      <c r="P5847" s="3" t="s">
        <v>532</v>
      </c>
      <c r="Q5847" s="10" t="s">
        <v>531</v>
      </c>
      <c r="R5847" s="4"/>
      <c r="S5847" s="9" t="str">
        <f>HYPERLINK("https://pbs.twimg.com/profile_images/989453847880982528/HHfAJ37A.jpg","View")</f>
        <v>View</v>
      </c>
    </row>
    <row r="5848" spans="1:19" ht="30">
      <c r="A5848" s="8">
        <v>43340.508483796293</v>
      </c>
      <c r="B5848" s="11" t="str">
        <f>HYPERLINK("https://twitter.com/hedie_aghapour","@hedie_aghapour")</f>
        <v>@hedie_aghapour</v>
      </c>
      <c r="C5848" s="6" t="s">
        <v>530</v>
      </c>
      <c r="D5848" s="5" t="s">
        <v>529</v>
      </c>
      <c r="E5848" s="9" t="str">
        <f>HYPERLINK("https://twitter.com/hedie_aghapour/status/1034345391964270592","1034345391964270592")</f>
        <v>1034345391964270592</v>
      </c>
      <c r="F5848" s="4"/>
      <c r="G5848" s="4"/>
      <c r="H5848" s="4"/>
      <c r="I5848" s="10" t="str">
        <f>HYPERLINK("http://twitter.com/download/android","Twitter for Android")</f>
        <v>Twitter for Android</v>
      </c>
      <c r="J5848" s="2">
        <v>1950</v>
      </c>
      <c r="K5848" s="2">
        <v>3996</v>
      </c>
      <c r="L5848" s="2">
        <v>4</v>
      </c>
      <c r="M5848" s="2"/>
      <c r="N5848" s="8">
        <v>42177.4371875</v>
      </c>
      <c r="O5848" s="4" t="s">
        <v>34</v>
      </c>
      <c r="P5848" s="3" t="s">
        <v>528</v>
      </c>
      <c r="Q5848" s="10" t="s">
        <v>527</v>
      </c>
      <c r="R5848" s="4"/>
      <c r="S5848" s="9" t="str">
        <f>HYPERLINK("https://pbs.twimg.com/profile_images/954831427022897152/mkVxtrM9.jpg","View")</f>
        <v>View</v>
      </c>
    </row>
    <row r="5849" spans="1:19" ht="20">
      <c r="A5849" s="8">
        <v>43340.50844907407</v>
      </c>
      <c r="B5849" s="11" t="str">
        <f>HYPERLINK("https://twitter.com/taabasi","@taabasi")</f>
        <v>@taabasi</v>
      </c>
      <c r="C5849" s="6" t="s">
        <v>526</v>
      </c>
      <c r="D5849" s="5" t="s">
        <v>525</v>
      </c>
      <c r="E5849" s="9" t="str">
        <f>HYPERLINK("https://twitter.com/taabasi/status/1034345379024781313","1034345379024781313")</f>
        <v>1034345379024781313</v>
      </c>
      <c r="F5849" s="4"/>
      <c r="G5849" s="4"/>
      <c r="H5849" s="4"/>
      <c r="I5849" s="10" t="str">
        <f>HYPERLINK("http://twitter.com/download/android","Twitter for Android")</f>
        <v>Twitter for Android</v>
      </c>
      <c r="J5849" s="2">
        <v>439</v>
      </c>
      <c r="K5849" s="2">
        <v>480</v>
      </c>
      <c r="L5849" s="2">
        <v>5</v>
      </c>
      <c r="M5849" s="2"/>
      <c r="N5849" s="8">
        <v>41219.049409722225</v>
      </c>
      <c r="O5849" s="4" t="s">
        <v>524</v>
      </c>
      <c r="P5849" s="3" t="s">
        <v>523</v>
      </c>
      <c r="Q5849" s="4"/>
      <c r="R5849" s="4"/>
      <c r="S5849" s="9" t="str">
        <f>HYPERLINK("https://pbs.twimg.com/profile_images/956833312626049024/1oxTFs6O.jpg","View")</f>
        <v>View</v>
      </c>
    </row>
    <row r="5850" spans="1:19" ht="30">
      <c r="A5850" s="8">
        <v>43340.508379629631</v>
      </c>
      <c r="B5850" s="11" t="str">
        <f>HYPERLINK("https://twitter.com/enekasebonab","@enekasebonab")</f>
        <v>@enekasebonab</v>
      </c>
      <c r="C5850" s="6" t="s">
        <v>420</v>
      </c>
      <c r="D5850" s="5" t="s">
        <v>522</v>
      </c>
      <c r="E5850" s="9" t="str">
        <f>HYPERLINK("https://twitter.com/enekasebonab/status/1034345353187876864","1034345353187876864")</f>
        <v>1034345353187876864</v>
      </c>
      <c r="F5850" s="4"/>
      <c r="G5850" s="10" t="s">
        <v>521</v>
      </c>
      <c r="H5850" s="4"/>
      <c r="I5850" s="10" t="str">
        <f>HYPERLINK("http://twitter.com/download/android","Twitter for Android")</f>
        <v>Twitter for Android</v>
      </c>
      <c r="J5850" s="2">
        <v>687</v>
      </c>
      <c r="K5850" s="2">
        <v>1003</v>
      </c>
      <c r="L5850" s="2">
        <v>3</v>
      </c>
      <c r="M5850" s="2"/>
      <c r="N5850" s="8">
        <v>43050.541481481487</v>
      </c>
      <c r="O5850" s="4" t="s">
        <v>417</v>
      </c>
      <c r="P5850" s="3" t="s">
        <v>416</v>
      </c>
      <c r="Q5850" s="10" t="s">
        <v>415</v>
      </c>
      <c r="R5850" s="4"/>
      <c r="S5850" s="9" t="str">
        <f>HYPERLINK("https://pbs.twimg.com/profile_images/1012006835388342272/e6ap75BT.jpg","View")</f>
        <v>View</v>
      </c>
    </row>
    <row r="5851" spans="1:19" ht="30">
      <c r="A5851" s="8">
        <v>43340.508206018523</v>
      </c>
      <c r="B5851" s="11" t="str">
        <f>HYPERLINK("https://twitter.com/SedayAzadi","@SedayAzadi")</f>
        <v>@SedayAzadi</v>
      </c>
      <c r="C5851" s="6" t="s">
        <v>472</v>
      </c>
      <c r="D5851" s="5" t="s">
        <v>520</v>
      </c>
      <c r="E5851" s="9" t="str">
        <f>HYPERLINK("https://twitter.com/SedayAzadi/status/1034345293410717696","1034345293410717696")</f>
        <v>1034345293410717696</v>
      </c>
      <c r="F5851" s="4"/>
      <c r="G5851" s="4"/>
      <c r="H5851" s="4"/>
      <c r="I5851" s="10" t="str">
        <f>HYPERLINK("http://twitter.com/download/android","Twitter for Android")</f>
        <v>Twitter for Android</v>
      </c>
      <c r="J5851" s="2">
        <v>615</v>
      </c>
      <c r="K5851" s="2">
        <v>1057</v>
      </c>
      <c r="L5851" s="2">
        <v>1</v>
      </c>
      <c r="M5851" s="2"/>
      <c r="N5851" s="8">
        <v>43230.989849537036</v>
      </c>
      <c r="O5851" s="4"/>
      <c r="P5851" s="3" t="s">
        <v>470</v>
      </c>
      <c r="Q5851" s="4"/>
      <c r="R5851" s="4"/>
      <c r="S5851" s="9" t="str">
        <f>HYPERLINK("https://pbs.twimg.com/profile_images/994668885298368513/GbwMHYa9.jpg","View")</f>
        <v>View</v>
      </c>
    </row>
    <row r="5852" spans="1:19" ht="20">
      <c r="A5852" s="8">
        <v>43340.508032407408</v>
      </c>
      <c r="B5852" s="11" t="str">
        <f>HYPERLINK("https://twitter.com/Entekhab_News","@Entekhab_News")</f>
        <v>@Entekhab_News</v>
      </c>
      <c r="C5852" s="6" t="s">
        <v>519</v>
      </c>
      <c r="D5852" s="5" t="s">
        <v>518</v>
      </c>
      <c r="E5852" s="9" t="str">
        <f>HYPERLINK("https://twitter.com/Entekhab_News/status/1034345227698483200","1034345227698483200")</f>
        <v>1034345227698483200</v>
      </c>
      <c r="F5852" s="4"/>
      <c r="G5852" s="4"/>
      <c r="H5852" s="4"/>
      <c r="I5852" s="10" t="str">
        <f>HYPERLINK("http://twitter.com/download/android","Twitter for Android")</f>
        <v>Twitter for Android</v>
      </c>
      <c r="J5852" s="2">
        <v>16179</v>
      </c>
      <c r="K5852" s="2">
        <v>0</v>
      </c>
      <c r="L5852" s="2">
        <v>150</v>
      </c>
      <c r="M5852" s="2"/>
      <c r="N5852" s="8">
        <v>41846.90483796296</v>
      </c>
      <c r="O5852" s="4" t="s">
        <v>244</v>
      </c>
      <c r="P5852" s="3" t="s">
        <v>517</v>
      </c>
      <c r="Q5852" s="10" t="s">
        <v>516</v>
      </c>
      <c r="R5852" s="4"/>
      <c r="S5852" s="9" t="str">
        <f>HYPERLINK("https://pbs.twimg.com/profile_images/840302676332146689/objFI1sw.jpg","View")</f>
        <v>View</v>
      </c>
    </row>
    <row r="5853" spans="1:19" ht="30">
      <c r="A5853" s="8">
        <v>43340.5078125</v>
      </c>
      <c r="B5853" s="11" t="str">
        <f>HYPERLINK("https://twitter.com/sarbazrahbar313","@sarbazrahbar313")</f>
        <v>@sarbazrahbar313</v>
      </c>
      <c r="C5853" s="6" t="s">
        <v>312</v>
      </c>
      <c r="D5853" s="5" t="s">
        <v>515</v>
      </c>
      <c r="E5853" s="9" t="str">
        <f>HYPERLINK("https://twitter.com/sarbazrahbar313/status/1034345150598791168","1034345150598791168")</f>
        <v>1034345150598791168</v>
      </c>
      <c r="F5853" s="4"/>
      <c r="G5853" s="4"/>
      <c r="H5853" s="4"/>
      <c r="I5853" s="10" t="str">
        <f>HYPERLINK("http://twitter.com/download/android","Twitter for Android")</f>
        <v>Twitter for Android</v>
      </c>
      <c r="J5853" s="2">
        <v>3568</v>
      </c>
      <c r="K5853" s="2">
        <v>329</v>
      </c>
      <c r="L5853" s="2">
        <v>15</v>
      </c>
      <c r="M5853" s="2"/>
      <c r="N5853" s="8">
        <v>42827.622164351851</v>
      </c>
      <c r="O5853" s="4" t="s">
        <v>310</v>
      </c>
      <c r="P5853" s="3" t="s">
        <v>309</v>
      </c>
      <c r="Q5853" s="10" t="s">
        <v>308</v>
      </c>
      <c r="R5853" s="4"/>
      <c r="S5853" s="9" t="str">
        <f>HYPERLINK("https://pbs.twimg.com/profile_images/998167996018319360/DKJodYPK.jpg","View")</f>
        <v>View</v>
      </c>
    </row>
    <row r="5854" spans="1:19" ht="30">
      <c r="A5854" s="8">
        <v>43340.507731481484</v>
      </c>
      <c r="B5854" s="11" t="str">
        <f>HYPERLINK("https://twitter.com/Mj_ebrahimi65","@Mj_ebrahimi65")</f>
        <v>@Mj_ebrahimi65</v>
      </c>
      <c r="C5854" s="6" t="s">
        <v>514</v>
      </c>
      <c r="D5854" s="5" t="s">
        <v>513</v>
      </c>
      <c r="E5854" s="9" t="str">
        <f>HYPERLINK("https://twitter.com/Mj_ebrahimi65/status/1034345118751510528","1034345118751510528")</f>
        <v>1034345118751510528</v>
      </c>
      <c r="F5854" s="4"/>
      <c r="G5854" s="4"/>
      <c r="H5854" s="4"/>
      <c r="I5854" s="10" t="str">
        <f>HYPERLINK("http://twitter.com/download/android","Twitter for Android")</f>
        <v>Twitter for Android</v>
      </c>
      <c r="J5854" s="2">
        <v>90</v>
      </c>
      <c r="K5854" s="2">
        <v>211</v>
      </c>
      <c r="L5854" s="2">
        <v>0</v>
      </c>
      <c r="M5854" s="2"/>
      <c r="N5854" s="8">
        <v>42893.80195601852</v>
      </c>
      <c r="O5854" s="4" t="s">
        <v>34</v>
      </c>
      <c r="P5854" s="3" t="s">
        <v>512</v>
      </c>
      <c r="Q5854" s="4"/>
      <c r="R5854" s="4"/>
      <c r="S5854" s="9" t="str">
        <f>HYPERLINK("https://pbs.twimg.com/profile_images/999715873706381312/w4RxcYxu.jpg","View")</f>
        <v>View</v>
      </c>
    </row>
    <row r="5855" spans="1:19" ht="30">
      <c r="A5855" s="8">
        <v>43340.507662037038</v>
      </c>
      <c r="B5855" s="11" t="str">
        <f>HYPERLINK("https://twitter.com/dadashkayko1369","@dadashkayko1369")</f>
        <v>@dadashkayko1369</v>
      </c>
      <c r="C5855" s="6" t="s">
        <v>511</v>
      </c>
      <c r="D5855" s="5" t="s">
        <v>510</v>
      </c>
      <c r="E5855" s="9" t="str">
        <f>HYPERLINK("https://twitter.com/dadashkayko1369/status/1034345094936178688","1034345094936178688")</f>
        <v>1034345094936178688</v>
      </c>
      <c r="F5855" s="4"/>
      <c r="G5855" s="10" t="s">
        <v>509</v>
      </c>
      <c r="H5855" s="4"/>
      <c r="I5855" s="10" t="str">
        <f>HYPERLINK("http://twitter.com/download/android","Twitter for Android")</f>
        <v>Twitter for Android</v>
      </c>
      <c r="J5855" s="2">
        <v>265</v>
      </c>
      <c r="K5855" s="2">
        <v>370</v>
      </c>
      <c r="L5855" s="2">
        <v>2</v>
      </c>
      <c r="M5855" s="2"/>
      <c r="N5855" s="8">
        <v>43276.363877314812</v>
      </c>
      <c r="O5855" s="4" t="s">
        <v>17</v>
      </c>
      <c r="P5855" s="3" t="s">
        <v>508</v>
      </c>
      <c r="Q5855" s="4"/>
      <c r="R5855" s="4"/>
      <c r="S5855" s="9" t="str">
        <f>HYPERLINK("https://pbs.twimg.com/profile_images/1033754506398494720/pU1MozV4.jpg","View")</f>
        <v>View</v>
      </c>
    </row>
    <row r="5856" spans="1:19" ht="30">
      <c r="A5856" s="8">
        <v>43340.507638888885</v>
      </c>
      <c r="B5856" s="11" t="str">
        <f>HYPERLINK("https://twitter.com/insurgent2018","@insurgent2018")</f>
        <v>@insurgent2018</v>
      </c>
      <c r="C5856" s="6" t="s">
        <v>507</v>
      </c>
      <c r="D5856" s="5" t="s">
        <v>506</v>
      </c>
      <c r="E5856" s="9" t="str">
        <f>HYPERLINK("https://twitter.com/insurgent2018/status/1034345088468561920","1034345088468561920")</f>
        <v>1034345088468561920</v>
      </c>
      <c r="F5856" s="4"/>
      <c r="G5856" s="4"/>
      <c r="H5856" s="4"/>
      <c r="I5856" s="10" t="str">
        <f>HYPERLINK("http://twitter.com","Twitter Web Client")</f>
        <v>Twitter Web Client</v>
      </c>
      <c r="J5856" s="2">
        <v>148</v>
      </c>
      <c r="K5856" s="2">
        <v>407</v>
      </c>
      <c r="L5856" s="2">
        <v>0</v>
      </c>
      <c r="M5856" s="2"/>
      <c r="N5856" s="8">
        <v>42844.74018518519</v>
      </c>
      <c r="O5856" s="4" t="s">
        <v>505</v>
      </c>
      <c r="P5856" s="3" t="s">
        <v>504</v>
      </c>
      <c r="Q5856" s="4"/>
      <c r="R5856" s="4"/>
      <c r="S5856" s="9" t="str">
        <f>HYPERLINK("https://pbs.twimg.com/profile_images/1026558882318036997/ndA0wi4v.jpg","View")</f>
        <v>View</v>
      </c>
    </row>
    <row r="5857" spans="1:19" ht="20">
      <c r="A5857" s="8">
        <v>43340.507627314815</v>
      </c>
      <c r="B5857" s="11" t="str">
        <f>HYPERLINK("https://twitter.com/razavi_zahraaa","@razavi_zahraaa")</f>
        <v>@razavi_zahraaa</v>
      </c>
      <c r="C5857" s="6" t="s">
        <v>503</v>
      </c>
      <c r="D5857" s="5" t="s">
        <v>502</v>
      </c>
      <c r="E5857" s="9" t="str">
        <f>HYPERLINK("https://twitter.com/razavi_zahraaa/status/1034345084358144000","1034345084358144000")</f>
        <v>1034345084358144000</v>
      </c>
      <c r="F5857" s="4"/>
      <c r="G5857" s="4"/>
      <c r="H5857" s="4"/>
      <c r="I5857" s="10" t="str">
        <f>HYPERLINK("http://twitter.com/download/android","Twitter for Android")</f>
        <v>Twitter for Android</v>
      </c>
      <c r="J5857" s="2">
        <v>731</v>
      </c>
      <c r="K5857" s="2">
        <v>628</v>
      </c>
      <c r="L5857" s="2">
        <v>1</v>
      </c>
      <c r="M5857" s="2"/>
      <c r="N5857" s="8">
        <v>42942.797372685185</v>
      </c>
      <c r="O5857" s="4"/>
      <c r="P5857" s="3"/>
      <c r="Q5857" s="4"/>
      <c r="R5857" s="4"/>
      <c r="S5857" s="9" t="str">
        <f>HYPERLINK("https://pbs.twimg.com/profile_images/890223023760052225/yIVYjQYX.jpg","View")</f>
        <v>View</v>
      </c>
    </row>
    <row r="5858" spans="1:19" ht="40">
      <c r="A5858" s="8">
        <v>43340.507557870369</v>
      </c>
      <c r="B5858" s="11" t="str">
        <f>HYPERLINK("https://twitter.com/Mehrad_kkh","@Mehrad_kkh")</f>
        <v>@Mehrad_kkh</v>
      </c>
      <c r="C5858" s="6" t="s">
        <v>501</v>
      </c>
      <c r="D5858" s="5" t="s">
        <v>500</v>
      </c>
      <c r="E5858" s="9" t="str">
        <f>HYPERLINK("https://twitter.com/Mehrad_kkh/status/1034345055774011392","1034345055774011392")</f>
        <v>1034345055774011392</v>
      </c>
      <c r="F5858" s="4"/>
      <c r="G5858" s="4"/>
      <c r="H5858" s="4"/>
      <c r="I5858" s="10" t="str">
        <f>HYPERLINK("http://twitter.com/download/android","Twitter for Android")</f>
        <v>Twitter for Android</v>
      </c>
      <c r="J5858" s="2">
        <v>5284</v>
      </c>
      <c r="K5858" s="2">
        <v>4698</v>
      </c>
      <c r="L5858" s="2">
        <v>4</v>
      </c>
      <c r="M5858" s="2"/>
      <c r="N5858" s="8">
        <v>42567.562199074076</v>
      </c>
      <c r="O5858" s="4" t="s">
        <v>34</v>
      </c>
      <c r="P5858" s="3" t="s">
        <v>499</v>
      </c>
      <c r="Q5858" s="4"/>
      <c r="R5858" s="4"/>
      <c r="S5858" s="9" t="str">
        <f>HYPERLINK("https://pbs.twimg.com/profile_images/942431478620852225/5GhvKY0T.jpg","View")</f>
        <v>View</v>
      </c>
    </row>
    <row r="5859" spans="1:19" ht="30">
      <c r="A5859" s="8">
        <v>43340.507534722223</v>
      </c>
      <c r="B5859" s="11" t="str">
        <f>HYPERLINK("https://twitter.com/Aqileh_313","@Aqileh_313")</f>
        <v>@Aqileh_313</v>
      </c>
      <c r="C5859" s="6" t="s">
        <v>498</v>
      </c>
      <c r="D5859" s="5" t="s">
        <v>497</v>
      </c>
      <c r="E5859" s="9" t="str">
        <f>HYPERLINK("https://twitter.com/Aqileh_313/status/1034345050480750592","1034345050480750592")</f>
        <v>1034345050480750592</v>
      </c>
      <c r="F5859" s="4"/>
      <c r="G5859" s="4"/>
      <c r="H5859" s="4"/>
      <c r="I5859" s="10" t="str">
        <f>HYPERLINK("http://twitter.com/download/android","Twitter for Android")</f>
        <v>Twitter for Android</v>
      </c>
      <c r="J5859" s="2">
        <v>1002</v>
      </c>
      <c r="K5859" s="2">
        <v>1296</v>
      </c>
      <c r="L5859" s="2">
        <v>2</v>
      </c>
      <c r="M5859" s="2"/>
      <c r="N5859" s="8">
        <v>43229.33929398148</v>
      </c>
      <c r="O5859" s="4" t="s">
        <v>17</v>
      </c>
      <c r="P5859" s="3" t="s">
        <v>496</v>
      </c>
      <c r="Q5859" s="4"/>
      <c r="R5859" s="4"/>
      <c r="S5859" s="9" t="str">
        <f>HYPERLINK("https://pbs.twimg.com/profile_images/1030919443751284737/RDKeWBwn.jpg","View")</f>
        <v>View</v>
      </c>
    </row>
    <row r="5860" spans="1:19" ht="20">
      <c r="A5860" s="8">
        <v>43340.5075</v>
      </c>
      <c r="B5860" s="11" t="str">
        <f>HYPERLINK("https://twitter.com/NarsisAp88","@NarsisAp88")</f>
        <v>@NarsisAp88</v>
      </c>
      <c r="C5860" s="6" t="s">
        <v>495</v>
      </c>
      <c r="D5860" s="5" t="s">
        <v>494</v>
      </c>
      <c r="E5860" s="9" t="str">
        <f>HYPERLINK("https://twitter.com/NarsisAp88/status/1034345034362118145","1034345034362118145")</f>
        <v>1034345034362118145</v>
      </c>
      <c r="F5860" s="4"/>
      <c r="G5860" s="4"/>
      <c r="H5860" s="4"/>
      <c r="I5860" s="10" t="str">
        <f>HYPERLINK("http://twitter.com/download/android","Twitter for Android")</f>
        <v>Twitter for Android</v>
      </c>
      <c r="J5860" s="2">
        <v>887</v>
      </c>
      <c r="K5860" s="2">
        <v>289</v>
      </c>
      <c r="L5860" s="2">
        <v>3</v>
      </c>
      <c r="M5860" s="2"/>
      <c r="N5860" s="8">
        <v>42915.699652777781</v>
      </c>
      <c r="O5860" s="4" t="s">
        <v>133</v>
      </c>
      <c r="P5860" s="3" t="s">
        <v>493</v>
      </c>
      <c r="Q5860" s="4"/>
      <c r="R5860" s="4"/>
      <c r="S5860" s="9" t="str">
        <f>HYPERLINK("https://pbs.twimg.com/profile_images/1017541226827079680/_ImH5V29.jpg","View")</f>
        <v>View</v>
      </c>
    </row>
    <row r="5861" spans="1:19" ht="30">
      <c r="A5861" s="8">
        <v>43340.507361111115</v>
      </c>
      <c r="B5861" s="11" t="str">
        <f>HYPERLINK("https://twitter.com/IranianLoneWolf","@IranianLoneWolf")</f>
        <v>@IranianLoneWolf</v>
      </c>
      <c r="C5861" s="6" t="s">
        <v>492</v>
      </c>
      <c r="D5861" s="5" t="s">
        <v>491</v>
      </c>
      <c r="E5861" s="9" t="str">
        <f>HYPERLINK("https://twitter.com/IranianLoneWolf/status/1034344987989868545","1034344987989868545")</f>
        <v>1034344987989868545</v>
      </c>
      <c r="F5861" s="4"/>
      <c r="G5861" s="4"/>
      <c r="H5861" s="4"/>
      <c r="I5861" s="10" t="str">
        <f>HYPERLINK("http://twitter.com","Twitter Web Client")</f>
        <v>Twitter Web Client</v>
      </c>
      <c r="J5861" s="2">
        <v>991</v>
      </c>
      <c r="K5861" s="2">
        <v>2751</v>
      </c>
      <c r="L5861" s="2">
        <v>2</v>
      </c>
      <c r="M5861" s="2"/>
      <c r="N5861" s="8">
        <v>42078.440706018519</v>
      </c>
      <c r="O5861" s="4" t="s">
        <v>490</v>
      </c>
      <c r="P5861" s="3" t="s">
        <v>489</v>
      </c>
      <c r="Q5861" s="4"/>
      <c r="R5861" s="4"/>
      <c r="S5861" s="9" t="str">
        <f>HYPERLINK("https://pbs.twimg.com/profile_images/1011513817023569920/6SmcXZ_E.jpg","View")</f>
        <v>View</v>
      </c>
    </row>
    <row r="5862" spans="1:19" ht="20">
      <c r="A5862" s="8">
        <v>43340.507268518515</v>
      </c>
      <c r="B5862" s="11" t="str">
        <f>HYPERLINK("https://twitter.com/vahiiiiiiiiid","@vahiiiiiiiiid")</f>
        <v>@vahiiiiiiiiid</v>
      </c>
      <c r="C5862" s="6" t="s">
        <v>488</v>
      </c>
      <c r="D5862" s="5" t="s">
        <v>487</v>
      </c>
      <c r="E5862" s="9" t="str">
        <f>HYPERLINK("https://twitter.com/vahiiiiiiiiid/status/1034344951356825600","1034344951356825600")</f>
        <v>1034344951356825600</v>
      </c>
      <c r="F5862" s="4"/>
      <c r="G5862" s="4"/>
      <c r="H5862" s="4"/>
      <c r="I5862" s="10" t="str">
        <f>HYPERLINK("http://twitter.com/download/iphone","Twitter for iPhone")</f>
        <v>Twitter for iPhone</v>
      </c>
      <c r="J5862" s="2">
        <v>203</v>
      </c>
      <c r="K5862" s="2">
        <v>399</v>
      </c>
      <c r="L5862" s="2">
        <v>0</v>
      </c>
      <c r="M5862" s="2"/>
      <c r="N5862" s="8">
        <v>43104.862615740742</v>
      </c>
      <c r="O5862" s="4" t="s">
        <v>486</v>
      </c>
      <c r="P5862" s="3" t="s">
        <v>485</v>
      </c>
      <c r="Q5862" s="4"/>
      <c r="R5862" s="4"/>
      <c r="S5862" s="9" t="str">
        <f>HYPERLINK("https://pbs.twimg.com/profile_images/982648432627257346/NRiO0HKk.jpg","View")</f>
        <v>View</v>
      </c>
    </row>
    <row r="5863" spans="1:19" ht="40">
      <c r="A5863" s="8">
        <v>43340.50717592593</v>
      </c>
      <c r="B5863" s="11" t="str">
        <f>HYPERLINK("https://twitter.com/m_bayatzanjani","@m_bayatzanjani")</f>
        <v>@m_bayatzanjani</v>
      </c>
      <c r="C5863" s="6" t="s">
        <v>484</v>
      </c>
      <c r="D5863" s="5" t="s">
        <v>483</v>
      </c>
      <c r="E5863" s="9" t="str">
        <f>HYPERLINK("https://twitter.com/m_bayatzanjani/status/1034344920167931904","1034344920167931904")</f>
        <v>1034344920167931904</v>
      </c>
      <c r="F5863" s="4"/>
      <c r="G5863" s="4"/>
      <c r="H5863" s="4"/>
      <c r="I5863" s="10" t="str">
        <f>HYPERLINK("http://twitter.com/download/iphone","Twitter for iPhone")</f>
        <v>Twitter for iPhone</v>
      </c>
      <c r="J5863" s="2">
        <v>8860</v>
      </c>
      <c r="K5863" s="2">
        <v>218</v>
      </c>
      <c r="L5863" s="2">
        <v>52</v>
      </c>
      <c r="M5863" s="2"/>
      <c r="N5863" s="8">
        <v>41492.081261574072</v>
      </c>
      <c r="O5863" s="4" t="s">
        <v>482</v>
      </c>
      <c r="P5863" s="3" t="s">
        <v>481</v>
      </c>
      <c r="Q5863" s="10" t="s">
        <v>480</v>
      </c>
      <c r="R5863" s="4"/>
      <c r="S5863" s="9" t="str">
        <f>HYPERLINK("https://pbs.twimg.com/profile_images/1016707041891627009/GAghAK2Y.jpg","View")</f>
        <v>View</v>
      </c>
    </row>
    <row r="5864" spans="1:19" ht="20">
      <c r="A5864" s="8">
        <v>43340.50717592593</v>
      </c>
      <c r="B5864" s="11" t="str">
        <f>HYPERLINK("https://twitter.com/mossaf732","@mossaf732")</f>
        <v>@mossaf732</v>
      </c>
      <c r="C5864" s="6" t="s">
        <v>479</v>
      </c>
      <c r="D5864" s="5" t="s">
        <v>478</v>
      </c>
      <c r="E5864" s="9" t="str">
        <f>HYPERLINK("https://twitter.com/mossaf732/status/1034344917349355520","1034344917349355520")</f>
        <v>1034344917349355520</v>
      </c>
      <c r="F5864" s="4"/>
      <c r="G5864" s="4"/>
      <c r="H5864" s="4"/>
      <c r="I5864" s="10" t="str">
        <f>HYPERLINK("http://twitter.com","Twitter Web Client")</f>
        <v>Twitter Web Client</v>
      </c>
      <c r="J5864" s="2">
        <v>2829</v>
      </c>
      <c r="K5864" s="2">
        <v>2032</v>
      </c>
      <c r="L5864" s="2">
        <v>7</v>
      </c>
      <c r="M5864" s="2"/>
      <c r="N5864" s="8">
        <v>42837.494085648148</v>
      </c>
      <c r="O5864" s="4"/>
      <c r="P5864" s="3" t="s">
        <v>477</v>
      </c>
      <c r="Q5864" s="4"/>
      <c r="R5864" s="4"/>
      <c r="S5864" s="9" t="str">
        <f>HYPERLINK("https://pbs.twimg.com/profile_images/956813144797495296/-FVW-CF4.jpg","View")</f>
        <v>View</v>
      </c>
    </row>
    <row r="5865" spans="1:19" ht="30">
      <c r="A5865" s="8">
        <v>43340.50712962963</v>
      </c>
      <c r="B5865" s="11" t="str">
        <f>HYPERLINK("https://twitter.com/Mostafa_Goli","@Mostafa_Goli")</f>
        <v>@Mostafa_Goli</v>
      </c>
      <c r="C5865" s="6" t="s">
        <v>98</v>
      </c>
      <c r="D5865" s="5" t="s">
        <v>476</v>
      </c>
      <c r="E5865" s="9" t="str">
        <f>HYPERLINK("https://twitter.com/Mostafa_Goli/status/1034344900899139585","1034344900899139585")</f>
        <v>1034344900899139585</v>
      </c>
      <c r="F5865" s="4"/>
      <c r="G5865" s="4"/>
      <c r="H5865" s="4"/>
      <c r="I5865" s="10" t="str">
        <f>HYPERLINK("http://twitter.com/download/android","Twitter for Android")</f>
        <v>Twitter for Android</v>
      </c>
      <c r="J5865" s="2">
        <v>2069</v>
      </c>
      <c r="K5865" s="2">
        <v>915</v>
      </c>
      <c r="L5865" s="2">
        <v>6</v>
      </c>
      <c r="M5865" s="2"/>
      <c r="N5865" s="8">
        <v>41881.921805555554</v>
      </c>
      <c r="O5865" s="4"/>
      <c r="P5865" s="3">
        <v>1996</v>
      </c>
      <c r="Q5865" s="4"/>
      <c r="R5865" s="4"/>
      <c r="S5865" s="9" t="str">
        <f>HYPERLINK("https://pbs.twimg.com/profile_images/1018776351887773697/igEtmh-y.jpg","View")</f>
        <v>View</v>
      </c>
    </row>
    <row r="5866" spans="1:19" ht="20">
      <c r="A5866" s="8">
        <v>43340.507071759261</v>
      </c>
      <c r="B5866" s="11" t="str">
        <f>HYPERLINK("https://twitter.com/aghaye_hich","@aghaye_hich")</f>
        <v>@aghaye_hich</v>
      </c>
      <c r="C5866" s="6" t="s">
        <v>475</v>
      </c>
      <c r="D5866" s="5" t="s">
        <v>474</v>
      </c>
      <c r="E5866" s="9" t="str">
        <f>HYPERLINK("https://twitter.com/aghaye_hich/status/1034344879827107841","1034344879827107841")</f>
        <v>1034344879827107841</v>
      </c>
      <c r="F5866" s="4"/>
      <c r="G5866" s="4"/>
      <c r="H5866" s="4"/>
      <c r="I5866" s="10" t="str">
        <f>HYPERLINK("http://twitter.com","Twitter Web Client")</f>
        <v>Twitter Web Client</v>
      </c>
      <c r="J5866" s="2">
        <v>1211</v>
      </c>
      <c r="K5866" s="2">
        <v>2898</v>
      </c>
      <c r="L5866" s="2">
        <v>0</v>
      </c>
      <c r="M5866" s="2"/>
      <c r="N5866" s="8">
        <v>42960.599120370374</v>
      </c>
      <c r="O5866" s="4" t="s">
        <v>25</v>
      </c>
      <c r="P5866" s="3" t="s">
        <v>473</v>
      </c>
      <c r="Q5866" s="4"/>
      <c r="R5866" s="4"/>
      <c r="S5866" s="9" t="str">
        <f>HYPERLINK("https://pbs.twimg.com/profile_images/949243298912391168/gSA4ElYF.jpg","View")</f>
        <v>View</v>
      </c>
    </row>
    <row r="5867" spans="1:19" ht="30">
      <c r="A5867" s="8">
        <v>43340.507002314815</v>
      </c>
      <c r="B5867" s="11" t="str">
        <f>HYPERLINK("https://twitter.com/SedayAzadi","@SedayAzadi")</f>
        <v>@SedayAzadi</v>
      </c>
      <c r="C5867" s="6" t="s">
        <v>472</v>
      </c>
      <c r="D5867" s="5" t="s">
        <v>471</v>
      </c>
      <c r="E5867" s="9" t="str">
        <f>HYPERLINK("https://twitter.com/SedayAzadi/status/1034344855961579520","1034344855961579520")</f>
        <v>1034344855961579520</v>
      </c>
      <c r="F5867" s="4"/>
      <c r="G5867" s="4"/>
      <c r="H5867" s="4"/>
      <c r="I5867" s="10" t="str">
        <f>HYPERLINK("http://twitter.com/download/android","Twitter for Android")</f>
        <v>Twitter for Android</v>
      </c>
      <c r="J5867" s="2">
        <v>615</v>
      </c>
      <c r="K5867" s="2">
        <v>1057</v>
      </c>
      <c r="L5867" s="2">
        <v>1</v>
      </c>
      <c r="M5867" s="2"/>
      <c r="N5867" s="8">
        <v>43230.989849537036</v>
      </c>
      <c r="O5867" s="4"/>
      <c r="P5867" s="3" t="s">
        <v>470</v>
      </c>
      <c r="Q5867" s="4"/>
      <c r="R5867" s="4"/>
      <c r="S5867" s="9" t="str">
        <f>HYPERLINK("https://pbs.twimg.com/profile_images/994668885298368513/GbwMHYa9.jpg","View")</f>
        <v>View</v>
      </c>
    </row>
    <row r="5868" spans="1:19" ht="30">
      <c r="A5868" s="8">
        <v>43340.506979166668</v>
      </c>
      <c r="B5868" s="11" t="str">
        <f>HYPERLINK("https://twitter.com/violet_886","@violet_886")</f>
        <v>@violet_886</v>
      </c>
      <c r="C5868" s="6" t="s">
        <v>469</v>
      </c>
      <c r="D5868" s="5" t="s">
        <v>468</v>
      </c>
      <c r="E5868" s="9" t="str">
        <f>HYPERLINK("https://twitter.com/violet_886/status/1034344848470491136","1034344848470491136")</f>
        <v>1034344848470491136</v>
      </c>
      <c r="F5868" s="4"/>
      <c r="G5868" s="10" t="s">
        <v>467</v>
      </c>
      <c r="H5868" s="4"/>
      <c r="I5868" s="10" t="str">
        <f>HYPERLINK("http://twitter.com/download/iphone","Twitter for iPhone")</f>
        <v>Twitter for iPhone</v>
      </c>
      <c r="J5868" s="2">
        <v>29</v>
      </c>
      <c r="K5868" s="2">
        <v>148</v>
      </c>
      <c r="L5868" s="2">
        <v>0</v>
      </c>
      <c r="M5868" s="2"/>
      <c r="N5868" s="8">
        <v>43131.885023148148</v>
      </c>
      <c r="O5868" s="4"/>
      <c r="P5868" s="3" t="s">
        <v>466</v>
      </c>
      <c r="Q5868" s="4"/>
      <c r="R5868" s="4"/>
      <c r="S5868" s="9" t="str">
        <f>HYPERLINK("https://pbs.twimg.com/profile_images/1021312867126083584/OxlAU2bv.jpg","View")</f>
        <v>View</v>
      </c>
    </row>
    <row r="5869" spans="1:19" ht="40">
      <c r="A5869" s="8">
        <v>43340.506967592592</v>
      </c>
      <c r="B5869" s="11" t="str">
        <f>HYPERLINK("https://twitter.com/smhadimousavi","@smhadimousavi")</f>
        <v>@smhadimousavi</v>
      </c>
      <c r="C5869" s="6" t="s">
        <v>465</v>
      </c>
      <c r="D5869" s="5" t="s">
        <v>464</v>
      </c>
      <c r="E5869" s="9" t="str">
        <f>HYPERLINK("https://twitter.com/smhadimousavi/status/1034344842141290496","1034344842141290496")</f>
        <v>1034344842141290496</v>
      </c>
      <c r="F5869" s="4"/>
      <c r="G5869" s="4"/>
      <c r="H5869" s="4"/>
      <c r="I5869" s="10" t="str">
        <f>HYPERLINK("http://twitter.com","Twitter Web Client")</f>
        <v>Twitter Web Client</v>
      </c>
      <c r="J5869" s="2">
        <v>10699</v>
      </c>
      <c r="K5869" s="2">
        <v>2820</v>
      </c>
      <c r="L5869" s="2">
        <v>64</v>
      </c>
      <c r="M5869" s="2"/>
      <c r="N5869" s="8">
        <v>42729.651006944448</v>
      </c>
      <c r="O5869" s="4" t="s">
        <v>34</v>
      </c>
      <c r="P5869" s="3" t="s">
        <v>463</v>
      </c>
      <c r="Q5869" s="4"/>
      <c r="R5869" s="4"/>
      <c r="S5869" s="9" t="str">
        <f>HYPERLINK("https://pbs.twimg.com/profile_images/1029708470688333824/RfeGSTXA.jpg","View")</f>
        <v>View</v>
      </c>
    </row>
    <row r="5870" spans="1:19" ht="30">
      <c r="A5870" s="8">
        <v>43340.506944444445</v>
      </c>
      <c r="B5870" s="11" t="str">
        <f>HYPERLINK("https://twitter.com/pouriazeraati","@pouriazeraati")</f>
        <v>@pouriazeraati</v>
      </c>
      <c r="C5870" s="6" t="s">
        <v>462</v>
      </c>
      <c r="D5870" s="5" t="s">
        <v>461</v>
      </c>
      <c r="E5870" s="9" t="str">
        <f>HYPERLINK("https://twitter.com/pouriazeraati/status/1034344835497566208","1034344835497566208")</f>
        <v>1034344835497566208</v>
      </c>
      <c r="F5870" s="4"/>
      <c r="G5870" s="4"/>
      <c r="H5870" s="4"/>
      <c r="I5870" s="10" t="str">
        <f>HYPERLINK("http://twitter.com/download/iphone","Twitter for iPhone")</f>
        <v>Twitter for iPhone</v>
      </c>
      <c r="J5870" s="2">
        <v>40779</v>
      </c>
      <c r="K5870" s="2">
        <v>96</v>
      </c>
      <c r="L5870" s="2">
        <v>111</v>
      </c>
      <c r="M5870" s="2" t="s">
        <v>80</v>
      </c>
      <c r="N5870" s="8">
        <v>41400.92423611111</v>
      </c>
      <c r="O5870" s="4" t="s">
        <v>460</v>
      </c>
      <c r="P5870" s="3" t="s">
        <v>459</v>
      </c>
      <c r="Q5870" s="10" t="s">
        <v>458</v>
      </c>
      <c r="R5870" s="4"/>
      <c r="S5870" s="9" t="str">
        <f>HYPERLINK("https://pbs.twimg.com/profile_images/960258469214523394/ngAPQ1IU.jpg","View")</f>
        <v>View</v>
      </c>
    </row>
    <row r="5871" spans="1:19" ht="30">
      <c r="A5871" s="8">
        <v>43340.506921296299</v>
      </c>
      <c r="B5871" s="11" t="str">
        <f>HYPERLINK("https://twitter.com/fariba_sadat70","@fariba_sadat70")</f>
        <v>@fariba_sadat70</v>
      </c>
      <c r="C5871" s="6" t="s">
        <v>457</v>
      </c>
      <c r="D5871" s="5" t="s">
        <v>456</v>
      </c>
      <c r="E5871" s="9" t="str">
        <f>HYPERLINK("https://twitter.com/fariba_sadat70/status/1034344828342087681","1034344828342087681")</f>
        <v>1034344828342087681</v>
      </c>
      <c r="F5871" s="10" t="s">
        <v>455</v>
      </c>
      <c r="G5871" s="4"/>
      <c r="H5871" s="4"/>
      <c r="I5871" s="10" t="str">
        <f>HYPERLINK("http://twitter.com","Twitter Web Client")</f>
        <v>Twitter Web Client</v>
      </c>
      <c r="J5871" s="2">
        <v>6701</v>
      </c>
      <c r="K5871" s="2">
        <v>7204</v>
      </c>
      <c r="L5871" s="2">
        <v>4</v>
      </c>
      <c r="M5871" s="2"/>
      <c r="N5871" s="8">
        <v>43137.619826388887</v>
      </c>
      <c r="O5871" s="4" t="s">
        <v>454</v>
      </c>
      <c r="P5871" s="3" t="s">
        <v>453</v>
      </c>
      <c r="Q5871" s="4"/>
      <c r="R5871" s="4"/>
      <c r="S5871" s="9" t="str">
        <f>HYPERLINK("https://pbs.twimg.com/profile_images/1007935665688993792/vYxQEisW.jpg","View")</f>
        <v>View</v>
      </c>
    </row>
    <row r="5872" spans="1:19" ht="40">
      <c r="A5872" s="8">
        <v>43340.506909722222</v>
      </c>
      <c r="B5872" s="11" t="str">
        <f>HYPERLINK("https://twitter.com/sdavodabadi","@sdavodabadi")</f>
        <v>@sdavodabadi</v>
      </c>
      <c r="C5872" s="6" t="s">
        <v>452</v>
      </c>
      <c r="D5872" s="5" t="s">
        <v>451</v>
      </c>
      <c r="E5872" s="9" t="str">
        <f>HYPERLINK("https://twitter.com/sdavodabadi/status/1034344823342415872","1034344823342415872")</f>
        <v>1034344823342415872</v>
      </c>
      <c r="F5872" s="4"/>
      <c r="G5872" s="4"/>
      <c r="H5872" s="4"/>
      <c r="I5872" s="10" t="str">
        <f>HYPERLINK("http://twitter.com/download/android","Twitter for Android")</f>
        <v>Twitter for Android</v>
      </c>
      <c r="J5872" s="2">
        <v>802</v>
      </c>
      <c r="K5872" s="2">
        <v>607</v>
      </c>
      <c r="L5872" s="2">
        <v>0</v>
      </c>
      <c r="M5872" s="2"/>
      <c r="N5872" s="8">
        <v>42354.534305555557</v>
      </c>
      <c r="O5872" s="4" t="s">
        <v>133</v>
      </c>
      <c r="P5872" s="3" t="s">
        <v>450</v>
      </c>
      <c r="Q5872" s="10" t="s">
        <v>449</v>
      </c>
      <c r="R5872" s="4"/>
      <c r="S5872" s="9" t="str">
        <f>HYPERLINK("https://pbs.twimg.com/profile_images/983484175863992322/3weMPzwq.jpg","View")</f>
        <v>View</v>
      </c>
    </row>
    <row r="5873" spans="1:19" ht="40">
      <c r="A5873" s="8">
        <v>43340.50681712963</v>
      </c>
      <c r="B5873" s="11" t="str">
        <f>HYPERLINK("https://twitter.com/R_Taghipour","@R_Taghipour")</f>
        <v>@R_Taghipour</v>
      </c>
      <c r="C5873" s="6" t="s">
        <v>448</v>
      </c>
      <c r="D5873" s="5" t="s">
        <v>447</v>
      </c>
      <c r="E5873" s="9" t="str">
        <f>HYPERLINK("https://twitter.com/R_Taghipour/status/1034344788412321792","1034344788412321792")</f>
        <v>1034344788412321792</v>
      </c>
      <c r="F5873" s="4"/>
      <c r="G5873" s="10" t="s">
        <v>446</v>
      </c>
      <c r="H5873" s="4"/>
      <c r="I5873" s="10" t="str">
        <f>HYPERLINK("http://twitter.com","Twitter Web Client")</f>
        <v>Twitter Web Client</v>
      </c>
      <c r="J5873" s="2">
        <v>4055</v>
      </c>
      <c r="K5873" s="2">
        <v>2331</v>
      </c>
      <c r="L5873" s="2">
        <v>10</v>
      </c>
      <c r="M5873" s="2"/>
      <c r="N5873" s="8">
        <v>42234.542638888888</v>
      </c>
      <c r="O5873" s="4" t="s">
        <v>445</v>
      </c>
      <c r="P5873" s="3" t="s">
        <v>444</v>
      </c>
      <c r="Q5873" s="10" t="s">
        <v>443</v>
      </c>
      <c r="R5873" s="4"/>
      <c r="S5873" s="9" t="str">
        <f>HYPERLINK("https://pbs.twimg.com/profile_images/982938324754149378/hnCmxg2t.jpg","View")</f>
        <v>View</v>
      </c>
    </row>
    <row r="5874" spans="1:19" ht="40">
      <c r="A5874" s="8">
        <v>43340.506770833337</v>
      </c>
      <c r="B5874" s="11" t="str">
        <f>HYPERLINK("https://twitter.com/AnneShirley2022","@AnneShirley2022")</f>
        <v>@AnneShirley2022</v>
      </c>
      <c r="C5874" s="6" t="s">
        <v>442</v>
      </c>
      <c r="D5874" s="5" t="s">
        <v>441</v>
      </c>
      <c r="E5874" s="9" t="str">
        <f>HYPERLINK("https://twitter.com/AnneShirley2022/status/1034344771618263041","1034344771618263041")</f>
        <v>1034344771618263041</v>
      </c>
      <c r="F5874" s="4"/>
      <c r="G5874" s="4"/>
      <c r="H5874" s="4"/>
      <c r="I5874" s="10" t="str">
        <f>HYPERLINK("http://twitter.com/download/android","Twitter for Android")</f>
        <v>Twitter for Android</v>
      </c>
      <c r="J5874" s="2">
        <v>2364</v>
      </c>
      <c r="K5874" s="2">
        <v>2429</v>
      </c>
      <c r="L5874" s="2">
        <v>0</v>
      </c>
      <c r="M5874" s="2"/>
      <c r="N5874" s="8">
        <v>43249.901562500003</v>
      </c>
      <c r="O5874" s="4" t="s">
        <v>440</v>
      </c>
      <c r="P5874" s="3" t="s">
        <v>439</v>
      </c>
      <c r="Q5874" s="4"/>
      <c r="R5874" s="4"/>
      <c r="S5874" s="9" t="str">
        <f>HYPERLINK("https://pbs.twimg.com/profile_images/1032546577901121536/76UZo2q5.jpg","View")</f>
        <v>View</v>
      </c>
    </row>
    <row r="5875" spans="1:19" ht="30">
      <c r="A5875" s="8">
        <v>43340.506770833337</v>
      </c>
      <c r="B5875" s="11" t="str">
        <f>HYPERLINK("https://twitter.com/sajadcooper","@sajadcooper")</f>
        <v>@sajadcooper</v>
      </c>
      <c r="C5875" s="6" t="s">
        <v>438</v>
      </c>
      <c r="D5875" s="5" t="s">
        <v>437</v>
      </c>
      <c r="E5875" s="9" t="str">
        <f>HYPERLINK("https://twitter.com/sajadcooper/status/1034344771584753664","1034344771584753664")</f>
        <v>1034344771584753664</v>
      </c>
      <c r="F5875" s="4"/>
      <c r="G5875" s="4"/>
      <c r="H5875" s="4"/>
      <c r="I5875" s="10" t="str">
        <f>HYPERLINK("http://twitter.com/download/android","Twitter for Android")</f>
        <v>Twitter for Android</v>
      </c>
      <c r="J5875" s="2">
        <v>3886</v>
      </c>
      <c r="K5875" s="2">
        <v>1818</v>
      </c>
      <c r="L5875" s="2">
        <v>38</v>
      </c>
      <c r="M5875" s="2"/>
      <c r="N5875" s="8">
        <v>41948.875011574077</v>
      </c>
      <c r="O5875" s="4" t="s">
        <v>436</v>
      </c>
      <c r="P5875" s="3" t="s">
        <v>435</v>
      </c>
      <c r="Q5875" s="10" t="s">
        <v>434</v>
      </c>
      <c r="R5875" s="4"/>
      <c r="S5875" s="9" t="str">
        <f>HYPERLINK("https://pbs.twimg.com/profile_images/1017881469035995136/PzxxDbjp.jpg","View")</f>
        <v>View</v>
      </c>
    </row>
    <row r="5876" spans="1:19" ht="30">
      <c r="A5876" s="8">
        <v>43340.506712962961</v>
      </c>
      <c r="B5876" s="11" t="str">
        <f>HYPERLINK("https://twitter.com/mioondar","@mioondar")</f>
        <v>@mioondar</v>
      </c>
      <c r="C5876" s="6" t="s">
        <v>433</v>
      </c>
      <c r="D5876" s="5" t="s">
        <v>432</v>
      </c>
      <c r="E5876" s="9" t="str">
        <f>HYPERLINK("https://twitter.com/mioondar/status/1034344752261595137","1034344752261595137")</f>
        <v>1034344752261595137</v>
      </c>
      <c r="F5876" s="4"/>
      <c r="G5876" s="4"/>
      <c r="H5876" s="4"/>
      <c r="I5876" s="10" t="str">
        <f>HYPERLINK("http://twitter.com/download/android","Twitter for Android")</f>
        <v>Twitter for Android</v>
      </c>
      <c r="J5876" s="2">
        <v>1059</v>
      </c>
      <c r="K5876" s="2">
        <v>496</v>
      </c>
      <c r="L5876" s="2">
        <v>3</v>
      </c>
      <c r="M5876" s="2"/>
      <c r="N5876" s="8">
        <v>43223.698761574073</v>
      </c>
      <c r="O5876" s="4" t="s">
        <v>431</v>
      </c>
      <c r="P5876" s="3" t="s">
        <v>430</v>
      </c>
      <c r="Q5876" s="4"/>
      <c r="R5876" s="4"/>
      <c r="S5876" s="9" t="str">
        <f>HYPERLINK("https://pbs.twimg.com/profile_images/992484109606903808/PcfoXs8q.jpg","View")</f>
        <v>View</v>
      </c>
    </row>
    <row r="5877" spans="1:19" ht="20">
      <c r="A5877" s="8">
        <v>43340.506678240738</v>
      </c>
      <c r="B5877" s="11" t="str">
        <f>HYPERLINK("https://twitter.com/kahenazam","@kahenazam")</f>
        <v>@kahenazam</v>
      </c>
      <c r="C5877" s="6" t="s">
        <v>429</v>
      </c>
      <c r="D5877" s="5" t="s">
        <v>428</v>
      </c>
      <c r="E5877" s="9" t="str">
        <f>HYPERLINK("https://twitter.com/kahenazam/status/1034344740022575105","1034344740022575105")</f>
        <v>1034344740022575105</v>
      </c>
      <c r="F5877" s="4"/>
      <c r="G5877" s="10" t="s">
        <v>427</v>
      </c>
      <c r="H5877" s="4"/>
      <c r="I5877" s="10" t="str">
        <f>HYPERLINK("http://twitter.com/download/android","Twitter for Android")</f>
        <v>Twitter for Android</v>
      </c>
      <c r="J5877" s="2">
        <v>925</v>
      </c>
      <c r="K5877" s="2">
        <v>925</v>
      </c>
      <c r="L5877" s="2">
        <v>0</v>
      </c>
      <c r="M5877" s="2"/>
      <c r="N5877" s="8">
        <v>43269.098993055552</v>
      </c>
      <c r="O5877" s="4" t="s">
        <v>426</v>
      </c>
      <c r="P5877" s="3" t="s">
        <v>425</v>
      </c>
      <c r="Q5877" s="4"/>
      <c r="R5877" s="4"/>
      <c r="S5877" s="9" t="str">
        <f>HYPERLINK("https://pbs.twimg.com/profile_images/1011209672462827523/KSpmjdN6.jpg","View")</f>
        <v>View</v>
      </c>
    </row>
    <row r="5878" spans="1:19" ht="40">
      <c r="A5878" s="8">
        <v>43340.506539351853</v>
      </c>
      <c r="B5878" s="11" t="str">
        <f>HYPERLINK("https://twitter.com/HezarAshraf1000","@HezarAshraf1000")</f>
        <v>@HezarAshraf1000</v>
      </c>
      <c r="C5878" s="6" t="s">
        <v>424</v>
      </c>
      <c r="D5878" s="5" t="s">
        <v>423</v>
      </c>
      <c r="E5878" s="9" t="str">
        <f>HYPERLINK("https://twitter.com/HezarAshraf1000/status/1034344689426739200","1034344689426739200")</f>
        <v>1034344689426739200</v>
      </c>
      <c r="F5878" s="10" t="s">
        <v>422</v>
      </c>
      <c r="G5878" s="10" t="s">
        <v>421</v>
      </c>
      <c r="H5878" s="4"/>
      <c r="I5878" s="10" t="str">
        <f>HYPERLINK("http://twitter.com","Twitter Web Client")</f>
        <v>Twitter Web Client</v>
      </c>
      <c r="J5878" s="2">
        <v>1017</v>
      </c>
      <c r="K5878" s="2">
        <v>1712</v>
      </c>
      <c r="L5878" s="2">
        <v>7</v>
      </c>
      <c r="M5878" s="2"/>
      <c r="N5878" s="8">
        <v>42097.837476851855</v>
      </c>
      <c r="O5878" s="4"/>
      <c r="P5878" s="3"/>
      <c r="Q5878" s="4"/>
      <c r="R5878" s="4"/>
      <c r="S5878" s="9" t="str">
        <f>HYPERLINK("https://pbs.twimg.com/profile_images/1007265999756939264/A02fzCuh.jpg","View")</f>
        <v>View</v>
      </c>
    </row>
    <row r="5879" spans="1:19" ht="20">
      <c r="A5879" s="8">
        <v>43340.506342592591</v>
      </c>
      <c r="B5879" s="11" t="str">
        <f>HYPERLINK("https://twitter.com/enekasebonab","@enekasebonab")</f>
        <v>@enekasebonab</v>
      </c>
      <c r="C5879" s="6" t="s">
        <v>420</v>
      </c>
      <c r="D5879" s="5" t="s">
        <v>419</v>
      </c>
      <c r="E5879" s="9" t="str">
        <f>HYPERLINK("https://twitter.com/enekasebonab/status/1034344618211635200","1034344618211635200")</f>
        <v>1034344618211635200</v>
      </c>
      <c r="F5879" s="4"/>
      <c r="G5879" s="10" t="s">
        <v>418</v>
      </c>
      <c r="H5879" s="4"/>
      <c r="I5879" s="10" t="str">
        <f>HYPERLINK("http://twitter.com/download/android","Twitter for Android")</f>
        <v>Twitter for Android</v>
      </c>
      <c r="J5879" s="2">
        <v>687</v>
      </c>
      <c r="K5879" s="2">
        <v>1003</v>
      </c>
      <c r="L5879" s="2">
        <v>3</v>
      </c>
      <c r="M5879" s="2"/>
      <c r="N5879" s="8">
        <v>43050.541481481487</v>
      </c>
      <c r="O5879" s="4" t="s">
        <v>417</v>
      </c>
      <c r="P5879" s="3" t="s">
        <v>416</v>
      </c>
      <c r="Q5879" s="10" t="s">
        <v>415</v>
      </c>
      <c r="R5879" s="4"/>
      <c r="S5879" s="9" t="str">
        <f>HYPERLINK("https://pbs.twimg.com/profile_images/1012006835388342272/e6ap75BT.jpg","View")</f>
        <v>View</v>
      </c>
    </row>
    <row r="5880" spans="1:19" ht="30">
      <c r="A5880" s="8">
        <v>43340.506215277783</v>
      </c>
      <c r="B5880" s="11" t="str">
        <f>HYPERLINK("https://twitter.com/mr_alavii","@mr_alavii")</f>
        <v>@mr_alavii</v>
      </c>
      <c r="C5880" s="6" t="s">
        <v>414</v>
      </c>
      <c r="D5880" s="5" t="s">
        <v>413</v>
      </c>
      <c r="E5880" s="9" t="str">
        <f>HYPERLINK("https://twitter.com/mr_alavii/status/1034344572434956289","1034344572434956289")</f>
        <v>1034344572434956289</v>
      </c>
      <c r="F5880" s="4"/>
      <c r="G5880" s="4"/>
      <c r="H5880" s="4"/>
      <c r="I5880" s="10" t="str">
        <f>HYPERLINK("http://twitter.com/download/iphone","Twitter for iPhone")</f>
        <v>Twitter for iPhone</v>
      </c>
      <c r="J5880" s="2">
        <v>874</v>
      </c>
      <c r="K5880" s="2">
        <v>2617</v>
      </c>
      <c r="L5880" s="2">
        <v>2</v>
      </c>
      <c r="M5880" s="2"/>
      <c r="N5880" s="8">
        <v>43130.172592592593</v>
      </c>
      <c r="O5880" s="4" t="s">
        <v>34</v>
      </c>
      <c r="P5880" s="3" t="s">
        <v>412</v>
      </c>
      <c r="Q5880" s="4"/>
      <c r="R5880" s="4"/>
      <c r="S5880" s="9" t="str">
        <f>HYPERLINK("https://pbs.twimg.com/profile_images/958138536917684224/gbSUehUD.jpg","View")</f>
        <v>View</v>
      </c>
    </row>
    <row r="5881" spans="1:19" ht="40">
      <c r="A5881" s="8">
        <v>43340.506122685183</v>
      </c>
      <c r="B5881" s="11" t="str">
        <f>HYPERLINK("https://twitter.com/Firoozi","@Firoozi")</f>
        <v>@Firoozi</v>
      </c>
      <c r="C5881" s="6" t="s">
        <v>411</v>
      </c>
      <c r="D5881" s="5" t="s">
        <v>410</v>
      </c>
      <c r="E5881" s="9" t="str">
        <f>HYPERLINK("https://twitter.com/Firoozi/status/1034344538163343360","1034344538163343360")</f>
        <v>1034344538163343360</v>
      </c>
      <c r="F5881" s="4"/>
      <c r="G5881" s="4"/>
      <c r="H5881" s="4"/>
      <c r="I5881" s="10" t="str">
        <f>HYPERLINK("http://twitter.com/download/android","Twitter for Android")</f>
        <v>Twitter for Android</v>
      </c>
      <c r="J5881" s="2">
        <v>601</v>
      </c>
      <c r="K5881" s="2">
        <v>210</v>
      </c>
      <c r="L5881" s="2">
        <v>7</v>
      </c>
      <c r="M5881" s="2"/>
      <c r="N5881" s="8">
        <v>39924.392442129625</v>
      </c>
      <c r="O5881" s="4"/>
      <c r="P5881" s="3" t="s">
        <v>409</v>
      </c>
      <c r="Q5881" s="10" t="s">
        <v>408</v>
      </c>
      <c r="R5881" s="4"/>
      <c r="S5881" s="9" t="str">
        <f>HYPERLINK("https://pbs.twimg.com/profile_images/1002512623152320513/45evXyVN.jpg","View")</f>
        <v>View</v>
      </c>
    </row>
    <row r="5882" spans="1:19" ht="30">
      <c r="A5882" s="8">
        <v>43340.506053240737</v>
      </c>
      <c r="B5882" s="11" t="str">
        <f>HYPERLINK("https://twitter.com/masoud744","@masoud744")</f>
        <v>@masoud744</v>
      </c>
      <c r="C5882" s="6" t="s">
        <v>407</v>
      </c>
      <c r="D5882" s="5" t="s">
        <v>406</v>
      </c>
      <c r="E5882" s="9" t="str">
        <f>HYPERLINK("https://twitter.com/masoud744/status/1034344510099259392","1034344510099259392")</f>
        <v>1034344510099259392</v>
      </c>
      <c r="F5882" s="4"/>
      <c r="G5882" s="4"/>
      <c r="H5882" s="4"/>
      <c r="I5882" s="10" t="str">
        <f>HYPERLINK("http://twitter.com","Twitter Web Client")</f>
        <v>Twitter Web Client</v>
      </c>
      <c r="J5882" s="2">
        <v>266</v>
      </c>
      <c r="K5882" s="2">
        <v>131</v>
      </c>
      <c r="L5882" s="2">
        <v>2</v>
      </c>
      <c r="M5882" s="2"/>
      <c r="N5882" s="8">
        <v>43031.377037037033</v>
      </c>
      <c r="O5882" s="4"/>
      <c r="P5882" s="3" t="s">
        <v>405</v>
      </c>
      <c r="Q5882" s="4"/>
      <c r="R5882" s="4"/>
      <c r="S5882" s="9" t="str">
        <f>HYPERLINK("https://pbs.twimg.com/profile_images/943406824195219456/6GVYtJtM.jpg","View")</f>
        <v>View</v>
      </c>
    </row>
    <row r="5883" spans="1:19" ht="30">
      <c r="A5883" s="8">
        <v>43340.505995370375</v>
      </c>
      <c r="B5883" s="11" t="str">
        <f>HYPERLINK("https://twitter.com/Snbig_","@Snbig_")</f>
        <v>@Snbig_</v>
      </c>
      <c r="C5883" s="6" t="s">
        <v>404</v>
      </c>
      <c r="D5883" s="5" t="s">
        <v>403</v>
      </c>
      <c r="E5883" s="9" t="str">
        <f>HYPERLINK("https://twitter.com/Snbig_/status/1034344491875028992","1034344491875028992")</f>
        <v>1034344491875028992</v>
      </c>
      <c r="F5883" s="4"/>
      <c r="G5883" s="4"/>
      <c r="H5883" s="4"/>
      <c r="I5883" s="10" t="str">
        <f>HYPERLINK("http://twitter.com","Twitter Web Client")</f>
        <v>Twitter Web Client</v>
      </c>
      <c r="J5883" s="2">
        <v>464</v>
      </c>
      <c r="K5883" s="2">
        <v>649</v>
      </c>
      <c r="L5883" s="2">
        <v>0</v>
      </c>
      <c r="M5883" s="2"/>
      <c r="N5883" s="8">
        <v>41841.560416666667</v>
      </c>
      <c r="O5883" s="4" t="s">
        <v>34</v>
      </c>
      <c r="P5883" s="3" t="s">
        <v>402</v>
      </c>
      <c r="Q5883" s="4"/>
      <c r="R5883" s="4"/>
      <c r="S5883" s="9" t="str">
        <f>HYPERLINK("https://pbs.twimg.com/profile_images/1009850790054416384/wxmTANKk.jpg","View")</f>
        <v>View</v>
      </c>
    </row>
    <row r="5884" spans="1:19" ht="30">
      <c r="A5884" s="8">
        <v>43340.505868055552</v>
      </c>
      <c r="B5884" s="11" t="str">
        <f>HYPERLINK("https://twitter.com/SaharGRI","@SaharGRI")</f>
        <v>@SaharGRI</v>
      </c>
      <c r="C5884" s="6" t="s">
        <v>382</v>
      </c>
      <c r="D5884" s="5" t="s">
        <v>401</v>
      </c>
      <c r="E5884" s="9" t="str">
        <f>HYPERLINK("https://twitter.com/SaharGRI/status/1034344445184036864","1034344445184036864")</f>
        <v>1034344445184036864</v>
      </c>
      <c r="F5884" s="4"/>
      <c r="G5884" s="4"/>
      <c r="H5884" s="4"/>
      <c r="I5884" s="10" t="str">
        <f>HYPERLINK("http://twitter.com/download/android","Twitter for Android")</f>
        <v>Twitter for Android</v>
      </c>
      <c r="J5884" s="2">
        <v>1272</v>
      </c>
      <c r="K5884" s="2">
        <v>997</v>
      </c>
      <c r="L5884" s="2">
        <v>3</v>
      </c>
      <c r="M5884" s="2"/>
      <c r="N5884" s="8">
        <v>43276.87164351852</v>
      </c>
      <c r="O5884" s="4" t="s">
        <v>380</v>
      </c>
      <c r="P5884" s="3" t="s">
        <v>379</v>
      </c>
      <c r="Q5884" s="4"/>
      <c r="R5884" s="4"/>
      <c r="S5884" s="9" t="str">
        <f>HYPERLINK("https://pbs.twimg.com/profile_images/1015258182388723712/L63KbuOO.jpg","View")</f>
        <v>View</v>
      </c>
    </row>
    <row r="5885" spans="1:19" ht="20">
      <c r="A5885" s="8">
        <v>43340.505856481483</v>
      </c>
      <c r="B5885" s="11" t="str">
        <f>HYPERLINK("https://twitter.com/mohailoba","@mohailoba")</f>
        <v>@mohailoba</v>
      </c>
      <c r="C5885" s="6" t="s">
        <v>400</v>
      </c>
      <c r="D5885" s="5" t="s">
        <v>399</v>
      </c>
      <c r="E5885" s="9" t="str">
        <f>HYPERLINK("https://twitter.com/mohailoba/status/1034344439320326144","1034344439320326144")</f>
        <v>1034344439320326144</v>
      </c>
      <c r="F5885" s="4"/>
      <c r="G5885" s="10" t="s">
        <v>398</v>
      </c>
      <c r="H5885" s="4"/>
      <c r="I5885" s="10" t="str">
        <f>HYPERLINK("http://twitter.com/download/android","Twitter for Android")</f>
        <v>Twitter for Android</v>
      </c>
      <c r="J5885" s="2">
        <v>1883</v>
      </c>
      <c r="K5885" s="2">
        <v>1615</v>
      </c>
      <c r="L5885" s="2">
        <v>2</v>
      </c>
      <c r="M5885" s="2"/>
      <c r="N5885" s="8">
        <v>42957.017800925925</v>
      </c>
      <c r="O5885" s="4" t="s">
        <v>34</v>
      </c>
      <c r="P5885" s="3" t="s">
        <v>397</v>
      </c>
      <c r="Q5885" s="4"/>
      <c r="R5885" s="4"/>
      <c r="S5885" s="9" t="str">
        <f>HYPERLINK("https://pbs.twimg.com/profile_images/1026807734367412225/RE5wd3qP.jpg","View")</f>
        <v>View</v>
      </c>
    </row>
    <row r="5886" spans="1:19" ht="30">
      <c r="A5886" s="8">
        <v>43340.505844907406</v>
      </c>
      <c r="B5886" s="11" t="str">
        <f>HYPERLINK("https://twitter.com/GomnamAmadim","@GomnamAmadim")</f>
        <v>@GomnamAmadim</v>
      </c>
      <c r="C5886" s="6" t="s">
        <v>210</v>
      </c>
      <c r="D5886" s="5" t="s">
        <v>396</v>
      </c>
      <c r="E5886" s="9" t="str">
        <f>HYPERLINK("https://twitter.com/GomnamAmadim/status/1034344436833107968","1034344436833107968")</f>
        <v>1034344436833107968</v>
      </c>
      <c r="F5886" s="4"/>
      <c r="G5886" s="4"/>
      <c r="H5886" s="4"/>
      <c r="I5886" s="10" t="str">
        <f>HYPERLINK("http://twitter.com/download/android","Twitter for Android")</f>
        <v>Twitter for Android</v>
      </c>
      <c r="J5886" s="2">
        <v>1167</v>
      </c>
      <c r="K5886" s="2">
        <v>914</v>
      </c>
      <c r="L5886" s="2">
        <v>3</v>
      </c>
      <c r="M5886" s="2"/>
      <c r="N5886" s="8">
        <v>43143.865787037037</v>
      </c>
      <c r="O5886" s="4" t="s">
        <v>208</v>
      </c>
      <c r="P5886" s="3" t="s">
        <v>207</v>
      </c>
      <c r="Q5886" s="4"/>
      <c r="R5886" s="4"/>
      <c r="S5886" s="9" t="str">
        <f>HYPERLINK("https://pbs.twimg.com/profile_images/1002234261431255049/AZXPDV7r.jpg","View")</f>
        <v>View</v>
      </c>
    </row>
    <row r="5887" spans="1:19" ht="40">
      <c r="A5887" s="8">
        <v>43340.505798611106</v>
      </c>
      <c r="B5887" s="11" t="str">
        <f>HYPERLINK("https://twitter.com/mahdavi120","@mahdavi120")</f>
        <v>@mahdavi120</v>
      </c>
      <c r="C5887" s="6" t="s">
        <v>395</v>
      </c>
      <c r="D5887" s="5" t="s">
        <v>394</v>
      </c>
      <c r="E5887" s="9" t="str">
        <f>HYPERLINK("https://twitter.com/mahdavi120/status/1034344419233738753","1034344419233738753")</f>
        <v>1034344419233738753</v>
      </c>
      <c r="F5887" s="4"/>
      <c r="G5887" s="4"/>
      <c r="H5887" s="4"/>
      <c r="I5887" s="10" t="str">
        <f>HYPERLINK("http://twitter.com","Twitter Web Client")</f>
        <v>Twitter Web Client</v>
      </c>
      <c r="J5887" s="2">
        <v>718</v>
      </c>
      <c r="K5887" s="2">
        <v>1268</v>
      </c>
      <c r="L5887" s="2">
        <v>1</v>
      </c>
      <c r="M5887" s="2"/>
      <c r="N5887" s="8">
        <v>43145.541041666671</v>
      </c>
      <c r="O5887" s="4"/>
      <c r="P5887" s="3"/>
      <c r="Q5887" s="4"/>
      <c r="R5887" s="4"/>
      <c r="S5887" s="9" t="str">
        <f>HYPERLINK("https://pbs.twimg.com/profile_images/963716614775390208/11jqNrdg.jpg","View")</f>
        <v>View</v>
      </c>
    </row>
    <row r="5888" spans="1:19" ht="20">
      <c r="A5888" s="8">
        <v>43340.505729166667</v>
      </c>
      <c r="B5888" s="11" t="str">
        <f>HYPERLINK("https://twitter.com/OveisiK","@OveisiK")</f>
        <v>@OveisiK</v>
      </c>
      <c r="C5888" s="6" t="s">
        <v>393</v>
      </c>
      <c r="D5888" s="5" t="s">
        <v>392</v>
      </c>
      <c r="E5888" s="9" t="str">
        <f>HYPERLINK("https://twitter.com/OveisiK/status/1034344392637784064","1034344392637784064")</f>
        <v>1034344392637784064</v>
      </c>
      <c r="F5888" s="4"/>
      <c r="G5888" s="4"/>
      <c r="H5888" s="4"/>
      <c r="I5888" s="10" t="str">
        <f>HYPERLINK("http://twitter.com/download/iphone","Twitter for iPhone")</f>
        <v>Twitter for iPhone</v>
      </c>
      <c r="J5888" s="2">
        <v>1224</v>
      </c>
      <c r="K5888" s="2">
        <v>1960</v>
      </c>
      <c r="L5888" s="2">
        <v>2</v>
      </c>
      <c r="M5888" s="2"/>
      <c r="N5888" s="8">
        <v>42979.35637731482</v>
      </c>
      <c r="O5888" s="4" t="s">
        <v>324</v>
      </c>
      <c r="P5888" s="3" t="s">
        <v>391</v>
      </c>
      <c r="Q5888" s="4"/>
      <c r="R5888" s="4"/>
      <c r="S5888" s="9" t="str">
        <f>HYPERLINK("https://pbs.twimg.com/profile_images/1032656293272666114/oUIGkQNk.jpg","View")</f>
        <v>View</v>
      </c>
    </row>
    <row r="5889" spans="1:19" ht="40">
      <c r="A5889" s="8">
        <v>43340.505706018521</v>
      </c>
      <c r="B5889" s="11" t="str">
        <f>HYPERLINK("https://twitter.com/d_papillonn","@d_papillonn")</f>
        <v>@d_papillonn</v>
      </c>
      <c r="C5889" s="6" t="s">
        <v>390</v>
      </c>
      <c r="D5889" s="5" t="s">
        <v>389</v>
      </c>
      <c r="E5889" s="9" t="str">
        <f>HYPERLINK("https://twitter.com/d_papillonn/status/1034344387445227521","1034344387445227521")</f>
        <v>1034344387445227521</v>
      </c>
      <c r="F5889" s="4"/>
      <c r="G5889" s="4"/>
      <c r="H5889" s="4"/>
      <c r="I5889" s="10" t="str">
        <f>HYPERLINK("http://twitter.com/download/android","Twitter for Android")</f>
        <v>Twitter for Android</v>
      </c>
      <c r="J5889" s="2">
        <v>600</v>
      </c>
      <c r="K5889" s="2">
        <v>474</v>
      </c>
      <c r="L5889" s="2">
        <v>6</v>
      </c>
      <c r="M5889" s="2"/>
      <c r="N5889" s="8">
        <v>40626.263680555552</v>
      </c>
      <c r="O5889" s="4" t="s">
        <v>388</v>
      </c>
      <c r="P5889" s="3" t="s">
        <v>387</v>
      </c>
      <c r="Q5889" s="10" t="s">
        <v>386</v>
      </c>
      <c r="R5889" s="4"/>
      <c r="S5889" s="9" t="str">
        <f>HYPERLINK("https://pbs.twimg.com/profile_images/1027869671020744705/1ratNSjB.jpg","View")</f>
        <v>View</v>
      </c>
    </row>
    <row r="5890" spans="1:19" ht="40">
      <c r="A5890" s="8">
        <v>43340.505636574075</v>
      </c>
      <c r="B5890" s="11" t="str">
        <f>HYPERLINK("https://twitter.com/ibnshahrashoob","@ibnshahrashoob")</f>
        <v>@ibnshahrashoob</v>
      </c>
      <c r="C5890" s="6" t="s">
        <v>385</v>
      </c>
      <c r="D5890" s="5" t="s">
        <v>384</v>
      </c>
      <c r="E5890" s="9" t="str">
        <f>HYPERLINK("https://twitter.com/ibnshahrashoob/status/1034344363009159169","1034344363009159169")</f>
        <v>1034344363009159169</v>
      </c>
      <c r="F5890" s="4"/>
      <c r="G5890" s="4"/>
      <c r="H5890" s="4"/>
      <c r="I5890" s="10" t="str">
        <f>HYPERLINK("http://twitter.com/download/android","Twitter for Android")</f>
        <v>Twitter for Android</v>
      </c>
      <c r="J5890" s="2">
        <v>384</v>
      </c>
      <c r="K5890" s="2">
        <v>827</v>
      </c>
      <c r="L5890" s="2">
        <v>0</v>
      </c>
      <c r="M5890" s="2"/>
      <c r="N5890" s="8">
        <v>43311.589131944449</v>
      </c>
      <c r="O5890" s="4"/>
      <c r="P5890" s="3" t="s">
        <v>383</v>
      </c>
      <c r="Q5890" s="4"/>
      <c r="R5890" s="4"/>
      <c r="S5890" s="9" t="str">
        <f>HYPERLINK("https://pbs.twimg.com/profile_images/1023868258213130240/umMOKpQB.jpg","View")</f>
        <v>View</v>
      </c>
    </row>
    <row r="5891" spans="1:19" ht="30">
      <c r="A5891" s="8">
        <v>43340.505625000005</v>
      </c>
      <c r="B5891" s="11" t="str">
        <f>HYPERLINK("https://twitter.com/SaharGRI","@SaharGRI")</f>
        <v>@SaharGRI</v>
      </c>
      <c r="C5891" s="6" t="s">
        <v>382</v>
      </c>
      <c r="D5891" s="5" t="s">
        <v>381</v>
      </c>
      <c r="E5891" s="9" t="str">
        <f>HYPERLINK("https://twitter.com/SaharGRI/status/1034344355820175360","1034344355820175360")</f>
        <v>1034344355820175360</v>
      </c>
      <c r="F5891" s="4"/>
      <c r="G5891" s="4"/>
      <c r="H5891" s="4"/>
      <c r="I5891" s="10" t="str">
        <f>HYPERLINK("http://twitter.com/download/android","Twitter for Android")</f>
        <v>Twitter for Android</v>
      </c>
      <c r="J5891" s="2">
        <v>1272</v>
      </c>
      <c r="K5891" s="2">
        <v>997</v>
      </c>
      <c r="L5891" s="2">
        <v>3</v>
      </c>
      <c r="M5891" s="2"/>
      <c r="N5891" s="8">
        <v>43276.87164351852</v>
      </c>
      <c r="O5891" s="4" t="s">
        <v>380</v>
      </c>
      <c r="P5891" s="3" t="s">
        <v>379</v>
      </c>
      <c r="Q5891" s="4"/>
      <c r="R5891" s="4"/>
      <c r="S5891" s="9" t="str">
        <f>HYPERLINK("https://pbs.twimg.com/profile_images/1015258182388723712/L63KbuOO.jpg","View")</f>
        <v>View</v>
      </c>
    </row>
    <row r="5892" spans="1:19" ht="20">
      <c r="A5892" s="8">
        <v>43340.505543981482</v>
      </c>
      <c r="B5892" s="11" t="str">
        <f>HYPERLINK("https://twitter.com/RezaMiandareh","@RezaMiandareh")</f>
        <v>@RezaMiandareh</v>
      </c>
      <c r="C5892" s="6" t="s">
        <v>378</v>
      </c>
      <c r="D5892" s="5" t="s">
        <v>377</v>
      </c>
      <c r="E5892" s="9" t="str">
        <f>HYPERLINK("https://twitter.com/RezaMiandareh/status/1034344327646994432","1034344327646994432")</f>
        <v>1034344327646994432</v>
      </c>
      <c r="F5892" s="4"/>
      <c r="G5892" s="10" t="s">
        <v>376</v>
      </c>
      <c r="H5892" s="4"/>
      <c r="I5892" s="10" t="str">
        <f>HYPERLINK("http://twitter.com","Twitter Web Client")</f>
        <v>Twitter Web Client</v>
      </c>
      <c r="J5892" s="2">
        <v>21</v>
      </c>
      <c r="K5892" s="2">
        <v>61</v>
      </c>
      <c r="L5892" s="2">
        <v>0</v>
      </c>
      <c r="M5892" s="2"/>
      <c r="N5892" s="8">
        <v>41560.502812500003</v>
      </c>
      <c r="O5892" s="4" t="s">
        <v>375</v>
      </c>
      <c r="P5892" s="3" t="s">
        <v>374</v>
      </c>
      <c r="Q5892" s="4"/>
      <c r="R5892" s="4"/>
      <c r="S5892" s="9" t="str">
        <f>HYPERLINK("https://pbs.twimg.com/profile_images/1033623735083982848/IRhpl8RC.jpg","View")</f>
        <v>View</v>
      </c>
    </row>
    <row r="5893" spans="1:19" ht="40">
      <c r="A5893" s="8">
        <v>43340.505486111113</v>
      </c>
      <c r="B5893" s="11" t="str">
        <f>HYPERLINK("https://twitter.com/edalat313","@edalat313")</f>
        <v>@edalat313</v>
      </c>
      <c r="C5893" s="6" t="s">
        <v>373</v>
      </c>
      <c r="D5893" s="5" t="s">
        <v>372</v>
      </c>
      <c r="E5893" s="9" t="str">
        <f>HYPERLINK("https://twitter.com/edalat313/status/1034344307392700416","1034344307392700416")</f>
        <v>1034344307392700416</v>
      </c>
      <c r="F5893" s="4"/>
      <c r="G5893" s="10" t="s">
        <v>371</v>
      </c>
      <c r="H5893" s="4"/>
      <c r="I5893" s="10" t="str">
        <f>HYPERLINK("http://twitter.com/download/android","Twitter for Android")</f>
        <v>Twitter for Android</v>
      </c>
      <c r="J5893" s="2">
        <v>675</v>
      </c>
      <c r="K5893" s="2">
        <v>539</v>
      </c>
      <c r="L5893" s="2">
        <v>4</v>
      </c>
      <c r="M5893" s="2"/>
      <c r="N5893" s="8">
        <v>42902.21837962963</v>
      </c>
      <c r="O5893" s="4" t="s">
        <v>370</v>
      </c>
      <c r="P5893" s="3" t="s">
        <v>369</v>
      </c>
      <c r="Q5893" s="4"/>
      <c r="R5893" s="4"/>
      <c r="S5893" s="9" t="str">
        <f>HYPERLINK("https://pbs.twimg.com/profile_images/876595734983966720/7MSnG3D_.jpg","View")</f>
        <v>View</v>
      </c>
    </row>
    <row r="5894" spans="1:19" ht="40">
      <c r="A5894" s="8">
        <v>43340.505486111113</v>
      </c>
      <c r="B5894" s="11" t="str">
        <f>HYPERLINK("https://twitter.com/manOfMistakes","@manOfMistakes")</f>
        <v>@manOfMistakes</v>
      </c>
      <c r="C5894" s="6" t="s">
        <v>368</v>
      </c>
      <c r="D5894" s="5" t="s">
        <v>367</v>
      </c>
      <c r="E5894" s="9" t="str">
        <f>HYPERLINK("https://twitter.com/manOfMistakes/status/1034344306763415552","1034344306763415552")</f>
        <v>1034344306763415552</v>
      </c>
      <c r="F5894" s="4"/>
      <c r="G5894" s="4"/>
      <c r="H5894" s="4"/>
      <c r="I5894" s="10" t="str">
        <f>HYPERLINK("http://twitter.com/download/iphone","Twitter for iPhone")</f>
        <v>Twitter for iPhone</v>
      </c>
      <c r="J5894" s="2">
        <v>130</v>
      </c>
      <c r="K5894" s="2">
        <v>246</v>
      </c>
      <c r="L5894" s="2">
        <v>0</v>
      </c>
      <c r="M5894" s="2"/>
      <c r="N5894" s="8">
        <v>43304.329965277779</v>
      </c>
      <c r="O5894" s="4" t="s">
        <v>34</v>
      </c>
      <c r="P5894" s="3" t="s">
        <v>366</v>
      </c>
      <c r="Q5894" s="4"/>
      <c r="R5894" s="4"/>
      <c r="S5894" s="9" t="str">
        <f>HYPERLINK("https://pbs.twimg.com/profile_images/1028755362831204352/MbdRKhM9.jpg","View")</f>
        <v>View</v>
      </c>
    </row>
    <row r="5895" spans="1:19" ht="20">
      <c r="A5895" s="8">
        <v>43340.505428240736</v>
      </c>
      <c r="B5895" s="11" t="str">
        <f>HYPERLINK("https://twitter.com/lavasani97","@lavasani97")</f>
        <v>@lavasani97</v>
      </c>
      <c r="C5895" s="6" t="s">
        <v>365</v>
      </c>
      <c r="D5895" s="5" t="s">
        <v>364</v>
      </c>
      <c r="E5895" s="9" t="str">
        <f>HYPERLINK("https://twitter.com/lavasani97/status/1034344286836293633","1034344286836293633")</f>
        <v>1034344286836293633</v>
      </c>
      <c r="F5895" s="4"/>
      <c r="G5895" s="4"/>
      <c r="H5895" s="4"/>
      <c r="I5895" s="10" t="str">
        <f>HYPERLINK("http://twitter.com/download/android","Twitter for Android")</f>
        <v>Twitter for Android</v>
      </c>
      <c r="J5895" s="2">
        <v>71</v>
      </c>
      <c r="K5895" s="2">
        <v>113</v>
      </c>
      <c r="L5895" s="2">
        <v>0</v>
      </c>
      <c r="M5895" s="2"/>
      <c r="N5895" s="8">
        <v>42495.867696759262</v>
      </c>
      <c r="O5895" s="4" t="s">
        <v>34</v>
      </c>
      <c r="P5895" s="3" t="s">
        <v>363</v>
      </c>
      <c r="Q5895" s="10" t="s">
        <v>362</v>
      </c>
      <c r="R5895" s="4"/>
      <c r="S5895" s="9" t="str">
        <f>HYPERLINK("https://pbs.twimg.com/profile_images/1016368118229291013/TyFm12I4.jpg","View")</f>
        <v>View</v>
      </c>
    </row>
    <row r="5896" spans="1:19" ht="40">
      <c r="A5896" s="8">
        <v>43340.505370370374</v>
      </c>
      <c r="B5896" s="11" t="str">
        <f>HYPERLINK("https://twitter.com/hussein_Moradi","@hussein_Moradi")</f>
        <v>@hussein_Moradi</v>
      </c>
      <c r="C5896" s="6" t="s">
        <v>361</v>
      </c>
      <c r="D5896" s="5" t="s">
        <v>360</v>
      </c>
      <c r="E5896" s="9" t="str">
        <f>HYPERLINK("https://twitter.com/hussein_Moradi/status/1034344266078683136","1034344266078683136")</f>
        <v>1034344266078683136</v>
      </c>
      <c r="F5896" s="4"/>
      <c r="G5896" s="4"/>
      <c r="H5896" s="4"/>
      <c r="I5896" s="10" t="str">
        <f>HYPERLINK("http://twitter.com","Twitter Web Client")</f>
        <v>Twitter Web Client</v>
      </c>
      <c r="J5896" s="2">
        <v>451</v>
      </c>
      <c r="K5896" s="2">
        <v>414</v>
      </c>
      <c r="L5896" s="2">
        <v>0</v>
      </c>
      <c r="M5896" s="2"/>
      <c r="N5896" s="8">
        <v>43131.863796296297</v>
      </c>
      <c r="O5896" s="4" t="s">
        <v>34</v>
      </c>
      <c r="P5896" s="3" t="s">
        <v>359</v>
      </c>
      <c r="Q5896" s="4"/>
      <c r="R5896" s="4"/>
      <c r="S5896" s="9" t="str">
        <f>HYPERLINK("https://pbs.twimg.com/profile_images/1032227000902184961/6sakncVx.jpg","View")</f>
        <v>View</v>
      </c>
    </row>
    <row r="5897" spans="1:19" ht="30">
      <c r="A5897" s="8">
        <v>43340.505358796298</v>
      </c>
      <c r="B5897" s="11" t="str">
        <f>HYPERLINK("https://twitter.com/Remisa77","@Remisa77")</f>
        <v>@Remisa77</v>
      </c>
      <c r="C5897" s="6" t="s">
        <v>358</v>
      </c>
      <c r="D5897" s="5" t="s">
        <v>357</v>
      </c>
      <c r="E5897" s="9" t="str">
        <f>HYPERLINK("https://twitter.com/Remisa77/status/1034344258273202176","1034344258273202176")</f>
        <v>1034344258273202176</v>
      </c>
      <c r="F5897" s="4"/>
      <c r="G5897" s="4"/>
      <c r="H5897" s="4"/>
      <c r="I5897" s="10" t="str">
        <f>HYPERLINK("http://twitter.com/download/android","Twitter for Android")</f>
        <v>Twitter for Android</v>
      </c>
      <c r="J5897" s="2">
        <v>6321</v>
      </c>
      <c r="K5897" s="2">
        <v>1330</v>
      </c>
      <c r="L5897" s="2">
        <v>6</v>
      </c>
      <c r="M5897" s="2"/>
      <c r="N5897" s="8">
        <v>43177.380312499998</v>
      </c>
      <c r="O5897" s="4" t="s">
        <v>356</v>
      </c>
      <c r="P5897" s="3" t="s">
        <v>355</v>
      </c>
      <c r="Q5897" s="4"/>
      <c r="R5897" s="4"/>
      <c r="S5897" s="9" t="str">
        <f>HYPERLINK("https://pbs.twimg.com/profile_images/1001467360631541761/fK9ivpPQ.jpg","View")</f>
        <v>View</v>
      </c>
    </row>
    <row r="5898" spans="1:19" ht="30">
      <c r="A5898" s="8">
        <v>43340.505347222221</v>
      </c>
      <c r="B5898" s="11" t="str">
        <f>HYPERLINK("https://twitter.com/seyyed_h","@seyyed_h")</f>
        <v>@seyyed_h</v>
      </c>
      <c r="C5898" s="6" t="s">
        <v>354</v>
      </c>
      <c r="D5898" s="5" t="s">
        <v>353</v>
      </c>
      <c r="E5898" s="9" t="str">
        <f>HYPERLINK("https://twitter.com/seyyed_h/status/1034344255635030016","1034344255635030016")</f>
        <v>1034344255635030016</v>
      </c>
      <c r="F5898" s="4"/>
      <c r="G5898" s="4"/>
      <c r="H5898" s="4"/>
      <c r="I5898" s="10" t="str">
        <f>HYPERLINK("https://mobile.twitter.com","Twitter Lite")</f>
        <v>Twitter Lite</v>
      </c>
      <c r="J5898" s="2">
        <v>27</v>
      </c>
      <c r="K5898" s="2">
        <v>36</v>
      </c>
      <c r="L5898" s="2">
        <v>0</v>
      </c>
      <c r="M5898" s="2"/>
      <c r="N5898" s="8">
        <v>43321.931666666671</v>
      </c>
      <c r="O5898" s="4"/>
      <c r="P5898" s="3" t="s">
        <v>352</v>
      </c>
      <c r="Q5898" s="4"/>
      <c r="R5898" s="4"/>
      <c r="S5898" s="9" t="str">
        <f>HYPERLINK("https://pbs.twimg.com/profile_images/1033638616331964417/6OTpgt1v.jpg","View")</f>
        <v>View</v>
      </c>
    </row>
    <row r="5899" spans="1:19" ht="30">
      <c r="A5899" s="8">
        <v>43340.471504629633</v>
      </c>
      <c r="B5899" s="11" t="str">
        <f>HYPERLINK("https://twitter.com/Te_isu","@Te_isu")</f>
        <v>@Te_isu</v>
      </c>
      <c r="C5899" s="6" t="s">
        <v>351</v>
      </c>
      <c r="D5899" s="5" t="s">
        <v>350</v>
      </c>
      <c r="E5899" s="9" t="str">
        <f>HYPERLINK("https://twitter.com/Te_isu/status/1034331992559636480","1034331992559636480")</f>
        <v>1034331992559636480</v>
      </c>
      <c r="F5899" s="4"/>
      <c r="G5899" s="4"/>
      <c r="H5899" s="4"/>
      <c r="I5899" s="10" t="str">
        <f>HYPERLINK("http://twitter.com","Twitter Web Client")</f>
        <v>Twitter Web Client</v>
      </c>
      <c r="J5899" s="2">
        <v>1747</v>
      </c>
      <c r="K5899" s="2">
        <v>1472</v>
      </c>
      <c r="L5899" s="2">
        <v>2</v>
      </c>
      <c r="M5899" s="2"/>
      <c r="N5899" s="8">
        <v>43061.537141203706</v>
      </c>
      <c r="O5899" s="4" t="s">
        <v>34</v>
      </c>
      <c r="P5899" s="3" t="s">
        <v>349</v>
      </c>
      <c r="Q5899" s="4"/>
      <c r="R5899" s="4"/>
      <c r="S5899" s="9" t="str">
        <f>HYPERLINK("https://pbs.twimg.com/profile_images/983297908803080192/m7IkhW9P.jpg","View")</f>
        <v>View</v>
      </c>
    </row>
    <row r="5900" spans="1:19" ht="30">
      <c r="A5900" s="8">
        <v>43340.471446759257</v>
      </c>
      <c r="B5900" s="11" t="str">
        <f>HYPERLINK("https://twitter.com/fhosna2103","@fhosna2103")</f>
        <v>@fhosna2103</v>
      </c>
      <c r="C5900" s="6" t="s">
        <v>348</v>
      </c>
      <c r="D5900" s="5" t="s">
        <v>347</v>
      </c>
      <c r="E5900" s="9" t="str">
        <f>HYPERLINK("https://twitter.com/fhosna2103/status/1034331972913512448","1034331972913512448")</f>
        <v>1034331972913512448</v>
      </c>
      <c r="F5900" s="4" t="s">
        <v>346</v>
      </c>
      <c r="G5900" s="4"/>
      <c r="H5900" s="4"/>
      <c r="I5900" s="10" t="str">
        <f>HYPERLINK("http://twitter.com","Twitter Web Client")</f>
        <v>Twitter Web Client</v>
      </c>
      <c r="J5900" s="2">
        <v>358</v>
      </c>
      <c r="K5900" s="2">
        <v>668</v>
      </c>
      <c r="L5900" s="2">
        <v>1</v>
      </c>
      <c r="M5900" s="2"/>
      <c r="N5900" s="8">
        <v>43316.42967592593</v>
      </c>
      <c r="O5900" s="4" t="s">
        <v>34</v>
      </c>
      <c r="P5900" s="3" t="s">
        <v>345</v>
      </c>
      <c r="Q5900" s="4"/>
      <c r="R5900" s="4"/>
      <c r="S5900" s="9" t="str">
        <f>HYPERLINK("https://pbs.twimg.com/profile_images/1025621140536999937/mMLBngU9.jpg","View")</f>
        <v>View</v>
      </c>
    </row>
    <row r="5901" spans="1:19" ht="12.5">
      <c r="A5901" s="8">
        <v>43340.47142361111</v>
      </c>
      <c r="B5901" s="11" t="str">
        <f>HYPERLINK("https://twitter.com/Masood_nb","@Masood_nb")</f>
        <v>@Masood_nb</v>
      </c>
      <c r="C5901" s="6" t="s">
        <v>344</v>
      </c>
      <c r="D5901" s="5" t="s">
        <v>343</v>
      </c>
      <c r="E5901" s="9" t="str">
        <f>HYPERLINK("https://twitter.com/Masood_nb/status/1034331962348064768","1034331962348064768")</f>
        <v>1034331962348064768</v>
      </c>
      <c r="F5901" s="4"/>
      <c r="G5901" s="4"/>
      <c r="H5901" s="4"/>
      <c r="I5901" s="10" t="str">
        <f>HYPERLINK("http://twitter.com","Twitter Web Client")</f>
        <v>Twitter Web Client</v>
      </c>
      <c r="J5901" s="2">
        <v>168</v>
      </c>
      <c r="K5901" s="2">
        <v>242</v>
      </c>
      <c r="L5901" s="2">
        <v>0</v>
      </c>
      <c r="M5901" s="2"/>
      <c r="N5901" s="8">
        <v>41773.891574074078</v>
      </c>
      <c r="O5901" s="4"/>
      <c r="P5901" s="3" t="s">
        <v>342</v>
      </c>
      <c r="Q5901" s="4"/>
      <c r="R5901" s="4"/>
      <c r="S5901" s="9" t="str">
        <f>HYPERLINK("https://pbs.twimg.com/profile_images/994249784805548032/MeRv3Bww.jpg","View")</f>
        <v>View</v>
      </c>
    </row>
    <row r="5902" spans="1:19" ht="30">
      <c r="A5902" s="8">
        <v>43340.471412037034</v>
      </c>
      <c r="B5902" s="11" t="str">
        <f>HYPERLINK("https://twitter.com/seyyedhamid71","@seyyedhamid71")</f>
        <v>@seyyedhamid71</v>
      </c>
      <c r="C5902" s="6" t="s">
        <v>341</v>
      </c>
      <c r="D5902" s="5" t="s">
        <v>340</v>
      </c>
      <c r="E5902" s="9" t="str">
        <f>HYPERLINK("https://twitter.com/seyyedhamid71/status/1034331957260214272","1034331957260214272")</f>
        <v>1034331957260214272</v>
      </c>
      <c r="F5902" s="4"/>
      <c r="G5902" s="4"/>
      <c r="H5902" s="4"/>
      <c r="I5902" s="10" t="str">
        <f>HYPERLINK("http://twitter.com","Twitter Web Client")</f>
        <v>Twitter Web Client</v>
      </c>
      <c r="J5902" s="2">
        <v>3724</v>
      </c>
      <c r="K5902" s="2">
        <v>1107</v>
      </c>
      <c r="L5902" s="2">
        <v>8</v>
      </c>
      <c r="M5902" s="2"/>
      <c r="N5902" s="8">
        <v>42820.588761574079</v>
      </c>
      <c r="O5902" s="4" t="s">
        <v>190</v>
      </c>
      <c r="P5902" s="3" t="s">
        <v>339</v>
      </c>
      <c r="Q5902" s="4"/>
      <c r="R5902" s="4"/>
      <c r="S5902" s="9" t="str">
        <f>HYPERLINK("https://pbs.twimg.com/profile_images/1015649028317597696/0qJfoP8K.jpg","View")</f>
        <v>View</v>
      </c>
    </row>
    <row r="5903" spans="1:19" ht="40">
      <c r="A5903" s="8">
        <v>43340.471365740741</v>
      </c>
      <c r="B5903" s="11" t="str">
        <f>HYPERLINK("https://twitter.com/GholamiMilad92","@GholamiMilad92")</f>
        <v>@GholamiMilad92</v>
      </c>
      <c r="C5903" s="6" t="s">
        <v>338</v>
      </c>
      <c r="D5903" s="5" t="s">
        <v>337</v>
      </c>
      <c r="E5903" s="9" t="str">
        <f>HYPERLINK("https://twitter.com/GholamiMilad92/status/1034331942416789504","1034331942416789504")</f>
        <v>1034331942416789504</v>
      </c>
      <c r="F5903" s="4"/>
      <c r="G5903" s="4"/>
      <c r="H5903" s="4"/>
      <c r="I5903" s="10" t="str">
        <f>HYPERLINK("http://twitter.com/download/iphone","Twitter for iPhone")</f>
        <v>Twitter for iPhone</v>
      </c>
      <c r="J5903" s="2">
        <v>38</v>
      </c>
      <c r="K5903" s="2">
        <v>104</v>
      </c>
      <c r="L5903" s="2">
        <v>0</v>
      </c>
      <c r="M5903" s="2"/>
      <c r="N5903" s="8">
        <v>41583.475983796292</v>
      </c>
      <c r="O5903" s="4"/>
      <c r="P5903" s="3" t="s">
        <v>336</v>
      </c>
      <c r="Q5903" s="4"/>
      <c r="R5903" s="4"/>
      <c r="S5903" s="9" t="str">
        <f>HYPERLINK("https://pbs.twimg.com/profile_images/1026823251421536256/cRsajJcZ.jpg","View")</f>
        <v>View</v>
      </c>
    </row>
    <row r="5904" spans="1:19" ht="40">
      <c r="A5904" s="8">
        <v>43340.471238425926</v>
      </c>
      <c r="B5904" s="11" t="str">
        <f>HYPERLINK("https://twitter.com/amirjm98","@amirjm98")</f>
        <v>@amirjm98</v>
      </c>
      <c r="C5904" s="6" t="s">
        <v>335</v>
      </c>
      <c r="D5904" s="5" t="s">
        <v>334</v>
      </c>
      <c r="E5904" s="9" t="str">
        <f>HYPERLINK("https://twitter.com/amirjm98/status/1034331897575428097","1034331897575428097")</f>
        <v>1034331897575428097</v>
      </c>
      <c r="F5904" s="4"/>
      <c r="G5904" s="4"/>
      <c r="H5904" s="4"/>
      <c r="I5904" s="10" t="str">
        <f>HYPERLINK("http://twitter.com/download/android","Twitter for Android")</f>
        <v>Twitter for Android</v>
      </c>
      <c r="J5904" s="2">
        <v>7</v>
      </c>
      <c r="K5904" s="2">
        <v>22</v>
      </c>
      <c r="L5904" s="2">
        <v>0</v>
      </c>
      <c r="M5904" s="2"/>
      <c r="N5904" s="8">
        <v>42824.849120370374</v>
      </c>
      <c r="O5904" s="4"/>
      <c r="P5904" s="3" t="s">
        <v>333</v>
      </c>
      <c r="Q5904" s="4"/>
      <c r="R5904" s="4"/>
      <c r="S5904" s="9" t="str">
        <f>HYPERLINK("https://pbs.twimg.com/profile_images/1029379176317505536/lnunLV9x.jpg","View")</f>
        <v>View</v>
      </c>
    </row>
    <row r="5905" spans="1:19" ht="40">
      <c r="A5905" s="8">
        <v>43340.471226851849</v>
      </c>
      <c r="B5905" s="11" t="str">
        <f>HYPERLINK("https://twitter.com/amirsayah1","@amirsayah1")</f>
        <v>@amirsayah1</v>
      </c>
      <c r="C5905" s="6" t="s">
        <v>332</v>
      </c>
      <c r="D5905" s="5" t="s">
        <v>331</v>
      </c>
      <c r="E5905" s="9" t="str">
        <f>HYPERLINK("https://twitter.com/amirsayah1/status/1034331892215164928","1034331892215164928")</f>
        <v>1034331892215164928</v>
      </c>
      <c r="F5905" s="4"/>
      <c r="G5905" s="4"/>
      <c r="H5905" s="4"/>
      <c r="I5905" s="10" t="str">
        <f>HYPERLINK("http://twitter.com/download/android","Twitter for Android")</f>
        <v>Twitter for Android</v>
      </c>
      <c r="J5905" s="2">
        <v>1815</v>
      </c>
      <c r="K5905" s="2">
        <v>126</v>
      </c>
      <c r="L5905" s="2">
        <v>13</v>
      </c>
      <c r="M5905" s="2"/>
      <c r="N5905" s="8">
        <v>43297.851585648154</v>
      </c>
      <c r="O5905" s="4"/>
      <c r="P5905" s="3" t="s">
        <v>330</v>
      </c>
      <c r="Q5905" s="4"/>
      <c r="R5905" s="4"/>
      <c r="S5905" s="9" t="str">
        <f>HYPERLINK("https://pbs.twimg.com/profile_images/1031588127075434496/8SFrshob.jpg","View")</f>
        <v>View</v>
      </c>
    </row>
    <row r="5906" spans="1:19" ht="30">
      <c r="A5906" s="8">
        <v>43340.470937499995</v>
      </c>
      <c r="B5906" s="11" t="str">
        <f>HYPERLINK("https://twitter.com/delpiche1","@delpiche1")</f>
        <v>@delpiche1</v>
      </c>
      <c r="C5906" s="6" t="s">
        <v>329</v>
      </c>
      <c r="D5906" s="5" t="s">
        <v>328</v>
      </c>
      <c r="E5906" s="9" t="str">
        <f>HYPERLINK("https://twitter.com/delpiche1/status/1034331785054900224","1034331785054900224")</f>
        <v>1034331785054900224</v>
      </c>
      <c r="F5906" s="4"/>
      <c r="G5906" s="4"/>
      <c r="H5906" s="4"/>
      <c r="I5906" s="10" t="str">
        <f>HYPERLINK("http://twitter.com","Twitter Web Client")</f>
        <v>Twitter Web Client</v>
      </c>
      <c r="J5906" s="2">
        <v>23</v>
      </c>
      <c r="K5906" s="2">
        <v>53</v>
      </c>
      <c r="L5906" s="2">
        <v>0</v>
      </c>
      <c r="M5906" s="2"/>
      <c r="N5906" s="8">
        <v>43330.067557870367</v>
      </c>
      <c r="O5906" s="4"/>
      <c r="P5906" s="3" t="s">
        <v>327</v>
      </c>
      <c r="Q5906" s="4"/>
      <c r="R5906" s="4"/>
      <c r="S5906" s="9" t="str">
        <f>HYPERLINK("https://pbs.twimg.com/profile_images/1031466906459361282/W6hEgCKJ.jpg","View")</f>
        <v>View</v>
      </c>
    </row>
    <row r="5907" spans="1:19" ht="20">
      <c r="A5907" s="8">
        <v>43340.470902777779</v>
      </c>
      <c r="B5907" s="11" t="str">
        <f>HYPERLINK("https://twitter.com/mabbasi90","@mabbasi90")</f>
        <v>@mabbasi90</v>
      </c>
      <c r="C5907" s="6" t="s">
        <v>326</v>
      </c>
      <c r="D5907" s="5" t="s">
        <v>325</v>
      </c>
      <c r="E5907" s="9" t="str">
        <f>HYPERLINK("https://twitter.com/mabbasi90/status/1034331774107742208","1034331774107742208")</f>
        <v>1034331774107742208</v>
      </c>
      <c r="F5907" s="4"/>
      <c r="G5907" s="4"/>
      <c r="H5907" s="4"/>
      <c r="I5907" s="10" t="str">
        <f>HYPERLINK("http://twitter.com/download/android","Twitter for Android")</f>
        <v>Twitter for Android</v>
      </c>
      <c r="J5907" s="2">
        <v>171</v>
      </c>
      <c r="K5907" s="2">
        <v>377</v>
      </c>
      <c r="L5907" s="2">
        <v>2</v>
      </c>
      <c r="M5907" s="2"/>
      <c r="N5907" s="8">
        <v>41249.811307870368</v>
      </c>
      <c r="O5907" s="4" t="s">
        <v>324</v>
      </c>
      <c r="P5907" s="3" t="s">
        <v>323</v>
      </c>
      <c r="Q5907" s="4"/>
      <c r="R5907" s="4"/>
      <c r="S5907" s="9" t="str">
        <f>HYPERLINK("https://pbs.twimg.com/profile_images/849359402645803008/ha35huqj.jpg","View")</f>
        <v>View</v>
      </c>
    </row>
    <row r="5908" spans="1:19" ht="20">
      <c r="A5908" s="8">
        <v>43340.47075231481</v>
      </c>
      <c r="B5908" s="11" t="str">
        <f>HYPERLINK("https://twitter.com/parisabano2","@parisabano2")</f>
        <v>@parisabano2</v>
      </c>
      <c r="C5908" s="6" t="s">
        <v>322</v>
      </c>
      <c r="D5908" s="5" t="s">
        <v>321</v>
      </c>
      <c r="E5908" s="9" t="str">
        <f>HYPERLINK("https://twitter.com/parisabano2/status/1034331718092763136","1034331718092763136")</f>
        <v>1034331718092763136</v>
      </c>
      <c r="F5908" s="4"/>
      <c r="G5908" s="4"/>
      <c r="H5908" s="4"/>
      <c r="I5908" s="10" t="str">
        <f>HYPERLINK("http://twitter.com/download/android","Twitter for Android")</f>
        <v>Twitter for Android</v>
      </c>
      <c r="J5908" s="2">
        <v>249</v>
      </c>
      <c r="K5908" s="2">
        <v>400</v>
      </c>
      <c r="L5908" s="2">
        <v>0</v>
      </c>
      <c r="M5908" s="2"/>
      <c r="N5908" s="8">
        <v>42936.757881944446</v>
      </c>
      <c r="O5908" s="4" t="s">
        <v>320</v>
      </c>
      <c r="P5908" s="3" t="s">
        <v>319</v>
      </c>
      <c r="Q5908" s="4"/>
      <c r="R5908" s="4"/>
      <c r="S5908" s="9" t="str">
        <f>HYPERLINK("https://pbs.twimg.com/profile_images/1034193470993387520/oAYOgisg.jpg","View")</f>
        <v>View</v>
      </c>
    </row>
    <row r="5909" spans="1:19" ht="30">
      <c r="A5909" s="8">
        <v>43340.470659722225</v>
      </c>
      <c r="B5909" s="11" t="str">
        <f>HYPERLINK("https://twitter.com/EddieIRS","@EddieIRS")</f>
        <v>@EddieIRS</v>
      </c>
      <c r="C5909" s="6" t="s">
        <v>318</v>
      </c>
      <c r="D5909" s="5" t="s">
        <v>317</v>
      </c>
      <c r="E5909" s="9" t="str">
        <f>HYPERLINK("https://twitter.com/EddieIRS/status/1034331684471275521","1034331684471275521")</f>
        <v>1034331684471275521</v>
      </c>
      <c r="F5909" s="4"/>
      <c r="G5909" s="4"/>
      <c r="H5909" s="4"/>
      <c r="I5909" s="10" t="str">
        <f>HYPERLINK("http://twitter.com/download/android","Twitter for Android")</f>
        <v>Twitter for Android</v>
      </c>
      <c r="J5909" s="2">
        <v>49</v>
      </c>
      <c r="K5909" s="2">
        <v>75</v>
      </c>
      <c r="L5909" s="2">
        <v>0</v>
      </c>
      <c r="M5909" s="2"/>
      <c r="N5909" s="8">
        <v>43260.92087962963</v>
      </c>
      <c r="O5909" s="4"/>
      <c r="P5909" s="3"/>
      <c r="Q5909" s="4"/>
      <c r="R5909" s="4"/>
      <c r="S5909" s="2" t="s">
        <v>155</v>
      </c>
    </row>
    <row r="5910" spans="1:19" ht="20">
      <c r="A5910" s="8">
        <v>43340.470601851848</v>
      </c>
      <c r="B5910" s="11" t="str">
        <f>HYPERLINK("https://twitter.com/boleideie","@boleideie")</f>
        <v>@boleideie</v>
      </c>
      <c r="C5910" s="6" t="s">
        <v>316</v>
      </c>
      <c r="D5910" s="5" t="s">
        <v>315</v>
      </c>
      <c r="E5910" s="9" t="str">
        <f>HYPERLINK("https://twitter.com/boleideie/status/1034331664737071104","1034331664737071104")</f>
        <v>1034331664737071104</v>
      </c>
      <c r="F5910" s="4"/>
      <c r="G5910" s="4"/>
      <c r="H5910" s="4"/>
      <c r="I5910" s="10" t="str">
        <f>HYPERLINK("http://twitter.com/download/iphone","Twitter for iPhone")</f>
        <v>Twitter for iPhone</v>
      </c>
      <c r="J5910" s="2">
        <v>225</v>
      </c>
      <c r="K5910" s="2">
        <v>223</v>
      </c>
      <c r="L5910" s="2">
        <v>1</v>
      </c>
      <c r="M5910" s="2"/>
      <c r="N5910" s="8">
        <v>43297.670937499999</v>
      </c>
      <c r="O5910" s="4" t="s">
        <v>314</v>
      </c>
      <c r="P5910" s="3" t="s">
        <v>313</v>
      </c>
      <c r="Q5910" s="4"/>
      <c r="R5910" s="4"/>
      <c r="S5910" s="9" t="str">
        <f>HYPERLINK("https://pbs.twimg.com/profile_images/1018823613737299968/xXPr7Yic.jpg","View")</f>
        <v>View</v>
      </c>
    </row>
    <row r="5911" spans="1:19" ht="20">
      <c r="A5911" s="8">
        <v>43340.47047453704</v>
      </c>
      <c r="B5911" s="11" t="str">
        <f>HYPERLINK("https://twitter.com/sarbazrahbar313","@sarbazrahbar313")</f>
        <v>@sarbazrahbar313</v>
      </c>
      <c r="C5911" s="6" t="s">
        <v>312</v>
      </c>
      <c r="D5911" s="5" t="s">
        <v>311</v>
      </c>
      <c r="E5911" s="9" t="str">
        <f>HYPERLINK("https://twitter.com/sarbazrahbar313/status/1034331620432596994","1034331620432596994")</f>
        <v>1034331620432596994</v>
      </c>
      <c r="F5911" s="4"/>
      <c r="G5911" s="4"/>
      <c r="H5911" s="4"/>
      <c r="I5911" s="10" t="str">
        <f>HYPERLINK("http://twitter.com/download/android","Twitter for Android")</f>
        <v>Twitter for Android</v>
      </c>
      <c r="J5911" s="2">
        <v>3568</v>
      </c>
      <c r="K5911" s="2">
        <v>329</v>
      </c>
      <c r="L5911" s="2">
        <v>15</v>
      </c>
      <c r="M5911" s="2"/>
      <c r="N5911" s="8">
        <v>42827.622164351851</v>
      </c>
      <c r="O5911" s="4" t="s">
        <v>310</v>
      </c>
      <c r="P5911" s="3" t="s">
        <v>309</v>
      </c>
      <c r="Q5911" s="10" t="s">
        <v>308</v>
      </c>
      <c r="R5911" s="4"/>
      <c r="S5911" s="9" t="str">
        <f>HYPERLINK("https://pbs.twimg.com/profile_images/998167996018319360/DKJodYPK.jpg","View")</f>
        <v>View</v>
      </c>
    </row>
    <row r="5912" spans="1:19" ht="40">
      <c r="A5912" s="8">
        <v>43340.47038194444</v>
      </c>
      <c r="B5912" s="11" t="str">
        <f>HYPERLINK("https://twitter.com/M_Soltanian","@M_Soltanian")</f>
        <v>@M_Soltanian</v>
      </c>
      <c r="C5912" s="6" t="s">
        <v>307</v>
      </c>
      <c r="D5912" s="5" t="s">
        <v>306</v>
      </c>
      <c r="E5912" s="9" t="str">
        <f>HYPERLINK("https://twitter.com/M_Soltanian/status/1034331583396888576","1034331583396888576")</f>
        <v>1034331583396888576</v>
      </c>
      <c r="F5912" s="4"/>
      <c r="G5912" s="4"/>
      <c r="H5912" s="4"/>
      <c r="I5912" s="10" t="str">
        <f>HYPERLINK("http://twitter.com/download/iphone","Twitter for iPhone")</f>
        <v>Twitter for iPhone</v>
      </c>
      <c r="J5912" s="2">
        <v>80</v>
      </c>
      <c r="K5912" s="2">
        <v>36</v>
      </c>
      <c r="L5912" s="2">
        <v>1</v>
      </c>
      <c r="M5912" s="2"/>
      <c r="N5912" s="8">
        <v>40800.012372685189</v>
      </c>
      <c r="O5912" s="4" t="s">
        <v>305</v>
      </c>
      <c r="P5912" s="3" t="s">
        <v>304</v>
      </c>
      <c r="Q5912" s="4"/>
      <c r="R5912" s="4"/>
      <c r="S5912" s="9" t="str">
        <f>HYPERLINK("https://pbs.twimg.com/profile_images/1020378073479483393/0vop71In.jpg","View")</f>
        <v>View</v>
      </c>
    </row>
    <row r="5913" spans="1:19" ht="30">
      <c r="A5913" s="8">
        <v>43340.470254629632</v>
      </c>
      <c r="B5913" s="11" t="str">
        <f>HYPERLINK("https://twitter.com/faribarahmani1","@faribarahmani1")</f>
        <v>@faribarahmani1</v>
      </c>
      <c r="C5913" s="6" t="s">
        <v>303</v>
      </c>
      <c r="D5913" s="5" t="s">
        <v>302</v>
      </c>
      <c r="E5913" s="9" t="str">
        <f>HYPERLINK("https://twitter.com/faribarahmani1/status/1034331540296294400","1034331540296294400")</f>
        <v>1034331540296294400</v>
      </c>
      <c r="F5913" s="4"/>
      <c r="G5913" s="4"/>
      <c r="H5913" s="4"/>
      <c r="I5913" s="10" t="str">
        <f>HYPERLINK("http://twitter.com/download/iphone","Twitter for iPhone")</f>
        <v>Twitter for iPhone</v>
      </c>
      <c r="J5913" s="2">
        <v>202</v>
      </c>
      <c r="K5913" s="2">
        <v>161</v>
      </c>
      <c r="L5913" s="2">
        <v>0</v>
      </c>
      <c r="M5913" s="2"/>
      <c r="N5913" s="8">
        <v>40769.438587962963</v>
      </c>
      <c r="O5913" s="4"/>
      <c r="P5913" s="3"/>
      <c r="Q5913" s="4"/>
      <c r="R5913" s="4"/>
      <c r="S5913" s="9" t="str">
        <f>HYPERLINK("https://pbs.twimg.com/profile_images/1029686899751968768/ZiOGo4Qz.jpg","View")</f>
        <v>View</v>
      </c>
    </row>
    <row r="5914" spans="1:19" ht="30">
      <c r="A5914" s="8">
        <v>43340.470254629632</v>
      </c>
      <c r="B5914" s="11" t="str">
        <f>HYPERLINK("https://twitter.com/rezaml78","@rezaml78")</f>
        <v>@rezaml78</v>
      </c>
      <c r="C5914" s="6" t="s">
        <v>301</v>
      </c>
      <c r="D5914" s="5" t="s">
        <v>300</v>
      </c>
      <c r="E5914" s="9" t="str">
        <f>HYPERLINK("https://twitter.com/rezaml78/status/1034331540216602624","1034331540216602624")</f>
        <v>1034331540216602624</v>
      </c>
      <c r="F5914" s="4"/>
      <c r="G5914" s="4"/>
      <c r="H5914" s="4"/>
      <c r="I5914" s="10" t="str">
        <f>HYPERLINK("http://twitter.com/download/android","Twitter for Android")</f>
        <v>Twitter for Android</v>
      </c>
      <c r="J5914" s="2">
        <v>279</v>
      </c>
      <c r="K5914" s="2">
        <v>386</v>
      </c>
      <c r="L5914" s="2">
        <v>0</v>
      </c>
      <c r="M5914" s="2"/>
      <c r="N5914" s="8">
        <v>43268.835914351846</v>
      </c>
      <c r="O5914" s="4" t="s">
        <v>299</v>
      </c>
      <c r="P5914" s="3"/>
      <c r="Q5914" s="4"/>
      <c r="R5914" s="4"/>
      <c r="S5914" s="9" t="str">
        <f>HYPERLINK("https://pbs.twimg.com/profile_images/1024354775951966210/n_ZfB2pV.jpg","View")</f>
        <v>View</v>
      </c>
    </row>
    <row r="5915" spans="1:19" ht="20">
      <c r="A5915" s="8">
        <v>43340.470219907409</v>
      </c>
      <c r="B5915" s="11" t="str">
        <f>HYPERLINK("https://twitter.com/MorshediAmir","@MorshediAmir")</f>
        <v>@MorshediAmir</v>
      </c>
      <c r="C5915" s="6" t="s">
        <v>298</v>
      </c>
      <c r="D5915" s="5" t="s">
        <v>297</v>
      </c>
      <c r="E5915" s="9" t="str">
        <f>HYPERLINK("https://twitter.com/MorshediAmir/status/1034331527163928579","1034331527163928579")</f>
        <v>1034331527163928579</v>
      </c>
      <c r="F5915" s="4"/>
      <c r="G5915" s="10" t="s">
        <v>296</v>
      </c>
      <c r="H5915" s="4"/>
      <c r="I5915" s="10" t="str">
        <f>HYPERLINK("http://twitter.com/download/android","Twitter for Android")</f>
        <v>Twitter for Android</v>
      </c>
      <c r="J5915" s="2">
        <v>295</v>
      </c>
      <c r="K5915" s="2">
        <v>161</v>
      </c>
      <c r="L5915" s="2">
        <v>3</v>
      </c>
      <c r="M5915" s="2"/>
      <c r="N5915" s="8">
        <v>42358.495324074072</v>
      </c>
      <c r="O5915" s="4"/>
      <c r="P5915" s="3" t="s">
        <v>295</v>
      </c>
      <c r="Q5915" s="4"/>
      <c r="R5915" s="4"/>
      <c r="S5915" s="9" t="str">
        <f>HYPERLINK("https://pbs.twimg.com/profile_images/983670584361062401/wyBuDabl.jpg","View")</f>
        <v>View</v>
      </c>
    </row>
    <row r="5916" spans="1:19" ht="20">
      <c r="A5916" s="8">
        <v>43340.47010416667</v>
      </c>
      <c r="B5916" s="11" t="str">
        <f>HYPERLINK("https://twitter.com/rezaashaaah","@rezaashaaah")</f>
        <v>@rezaashaaah</v>
      </c>
      <c r="C5916" s="13">
        <v>0.4236111111111111</v>
      </c>
      <c r="D5916" s="5" t="s">
        <v>294</v>
      </c>
      <c r="E5916" s="9" t="str">
        <f>HYPERLINK("https://twitter.com/rezaashaaah/status/1034331485699014656","1034331485699014656")</f>
        <v>1034331485699014656</v>
      </c>
      <c r="F5916" s="4"/>
      <c r="G5916" s="4"/>
      <c r="H5916" s="4"/>
      <c r="I5916" s="10" t="str">
        <f>HYPERLINK("http://twitter.com/download/android","Twitter for Android")</f>
        <v>Twitter for Android</v>
      </c>
      <c r="J5916" s="2">
        <v>242</v>
      </c>
      <c r="K5916" s="2">
        <v>231</v>
      </c>
      <c r="L5916" s="2">
        <v>0</v>
      </c>
      <c r="M5916" s="2"/>
      <c r="N5916" s="8">
        <v>43273.990266203706</v>
      </c>
      <c r="O5916" s="4" t="s">
        <v>293</v>
      </c>
      <c r="P5916" s="3" t="s">
        <v>292</v>
      </c>
      <c r="Q5916" s="4"/>
      <c r="R5916" s="4"/>
      <c r="S5916" s="9" t="str">
        <f>HYPERLINK("https://pbs.twimg.com/profile_images/1011274351398748160/olw58rkx.jpg","View")</f>
        <v>View</v>
      </c>
    </row>
    <row r="5917" spans="1:19" ht="30">
      <c r="A5917" s="8">
        <v>43340.469918981486</v>
      </c>
      <c r="B5917" s="11" t="str">
        <f>HYPERLINK("https://twitter.com/Yasser17898595","@Yasser17898595")</f>
        <v>@Yasser17898595</v>
      </c>
      <c r="C5917" s="6" t="s">
        <v>291</v>
      </c>
      <c r="D5917" s="5" t="s">
        <v>290</v>
      </c>
      <c r="E5917" s="9" t="str">
        <f>HYPERLINK("https://twitter.com/Yasser17898595/status/1034331419273773056","1034331419273773056")</f>
        <v>1034331419273773056</v>
      </c>
      <c r="F5917" s="4"/>
      <c r="G5917" s="4"/>
      <c r="H5917" s="4"/>
      <c r="I5917" s="10" t="str">
        <f>HYPERLINK("http://twitter.com/download/android","Twitter for Android")</f>
        <v>Twitter for Android</v>
      </c>
      <c r="J5917" s="2">
        <v>1894</v>
      </c>
      <c r="K5917" s="2">
        <v>1052</v>
      </c>
      <c r="L5917" s="2">
        <v>4</v>
      </c>
      <c r="M5917" s="2"/>
      <c r="N5917" s="8">
        <v>43220.637604166666</v>
      </c>
      <c r="O5917" s="4" t="s">
        <v>289</v>
      </c>
      <c r="P5917" s="3" t="s">
        <v>288</v>
      </c>
      <c r="Q5917" s="4"/>
      <c r="R5917" s="4"/>
      <c r="S5917" s="9" t="str">
        <f>HYPERLINK("https://pbs.twimg.com/profile_images/1011872261970845696/QS_Q8zty.jpg","View")</f>
        <v>View</v>
      </c>
    </row>
    <row r="5918" spans="1:19" ht="12.5">
      <c r="A5918" s="8">
        <v>43340.469861111109</v>
      </c>
      <c r="B5918" s="11" t="str">
        <f>HYPERLINK("https://twitter.com/Virgi_Woolf","@Virgi_Woolf")</f>
        <v>@Virgi_Woolf</v>
      </c>
      <c r="C5918" s="6" t="s">
        <v>287</v>
      </c>
      <c r="D5918" s="5" t="s">
        <v>286</v>
      </c>
      <c r="E5918" s="9" t="str">
        <f>HYPERLINK("https://twitter.com/Virgi_Woolf/status/1034331397236895745","1034331397236895745")</f>
        <v>1034331397236895745</v>
      </c>
      <c r="F5918" s="4"/>
      <c r="G5918" s="10" t="s">
        <v>285</v>
      </c>
      <c r="H5918" s="4"/>
      <c r="I5918" s="10" t="str">
        <f>HYPERLINK("http://twitter.com/download/android","Twitter for Android")</f>
        <v>Twitter for Android</v>
      </c>
      <c r="J5918" s="2">
        <v>1066</v>
      </c>
      <c r="K5918" s="2">
        <v>1234</v>
      </c>
      <c r="L5918" s="2">
        <v>13</v>
      </c>
      <c r="M5918" s="2"/>
      <c r="N5918" s="8">
        <v>41203.075219907405</v>
      </c>
      <c r="O5918" s="4" t="s">
        <v>133</v>
      </c>
      <c r="P5918" s="3"/>
      <c r="Q5918" s="4"/>
      <c r="R5918" s="4"/>
      <c r="S5918" s="9" t="str">
        <f>HYPERLINK("https://pbs.twimg.com/profile_images/957344697617395712/gvN7stP3.jpg","View")</f>
        <v>View</v>
      </c>
    </row>
    <row r="5919" spans="1:19" ht="40">
      <c r="A5919" s="8">
        <v>43340.469849537039</v>
      </c>
      <c r="B5919" s="11" t="str">
        <f>HYPERLINK("https://twitter.com/Veganwolf08","@Veganwolf08")</f>
        <v>@Veganwolf08</v>
      </c>
      <c r="C5919" s="6" t="s">
        <v>284</v>
      </c>
      <c r="D5919" s="5" t="s">
        <v>283</v>
      </c>
      <c r="E5919" s="9" t="str">
        <f>HYPERLINK("https://twitter.com/Veganwolf08/status/1034331390098190336","1034331390098190336")</f>
        <v>1034331390098190336</v>
      </c>
      <c r="F5919" s="4"/>
      <c r="G5919" s="4"/>
      <c r="H5919" s="4"/>
      <c r="I5919" s="10" t="str">
        <f>HYPERLINK("https://mobile.twitter.com","Twitter Lite")</f>
        <v>Twitter Lite</v>
      </c>
      <c r="J5919" s="2">
        <v>51</v>
      </c>
      <c r="K5919" s="2">
        <v>100</v>
      </c>
      <c r="L5919" s="2">
        <v>0</v>
      </c>
      <c r="M5919" s="2"/>
      <c r="N5919" s="8">
        <v>43102.106967592597</v>
      </c>
      <c r="O5919" s="4" t="s">
        <v>282</v>
      </c>
      <c r="P5919" s="3" t="s">
        <v>281</v>
      </c>
      <c r="Q5919" s="4"/>
      <c r="R5919" s="4"/>
      <c r="S5919" s="9" t="str">
        <f>HYPERLINK("https://pbs.twimg.com/profile_images/963000529822593024/DGULHkzW.jpg","View")</f>
        <v>View</v>
      </c>
    </row>
    <row r="5920" spans="1:19" ht="30">
      <c r="A5920" s="8">
        <v>43340.469733796301</v>
      </c>
      <c r="B5920" s="11" t="str">
        <f>HYPERLINK("https://twitter.com/M_Rezaei14","@M_Rezaei14")</f>
        <v>@M_Rezaei14</v>
      </c>
      <c r="C5920" s="6" t="s">
        <v>280</v>
      </c>
      <c r="D5920" s="5" t="s">
        <v>279</v>
      </c>
      <c r="E5920" s="9" t="str">
        <f>HYPERLINK("https://twitter.com/M_Rezaei14/status/1034331348348149760","1034331348348149760")</f>
        <v>1034331348348149760</v>
      </c>
      <c r="F5920" s="4"/>
      <c r="G5920" s="4"/>
      <c r="H5920" s="4"/>
      <c r="I5920" s="10" t="str">
        <f>HYPERLINK("http://twitter.com/download/android","Twitter for Android")</f>
        <v>Twitter for Android</v>
      </c>
      <c r="J5920" s="2">
        <v>11</v>
      </c>
      <c r="K5920" s="2">
        <v>13</v>
      </c>
      <c r="L5920" s="2">
        <v>0</v>
      </c>
      <c r="M5920" s="2"/>
      <c r="N5920" s="8">
        <v>43330.475347222222</v>
      </c>
      <c r="O5920" s="4" t="s">
        <v>278</v>
      </c>
      <c r="P5920" s="3" t="s">
        <v>277</v>
      </c>
      <c r="Q5920" s="4"/>
      <c r="R5920" s="4"/>
      <c r="S5920" s="9" t="str">
        <f>HYPERLINK("https://pbs.twimg.com/profile_images/1031385698274865154/wP6FG9mE.jpg","View")</f>
        <v>View</v>
      </c>
    </row>
    <row r="5921" spans="1:19" ht="30">
      <c r="A5921" s="8">
        <v>43340.469699074078</v>
      </c>
      <c r="B5921" s="11" t="str">
        <f>HYPERLINK("https://twitter.com/STF1ALFA","@STF1ALFA")</f>
        <v>@STF1ALFA</v>
      </c>
      <c r="C5921" s="6" t="s">
        <v>276</v>
      </c>
      <c r="D5921" s="5" t="s">
        <v>275</v>
      </c>
      <c r="E5921" s="9" t="str">
        <f>HYPERLINK("https://twitter.com/STF1ALFA/status/1034331337862393856","1034331337862393856")</f>
        <v>1034331337862393856</v>
      </c>
      <c r="F5921" s="10" t="s">
        <v>274</v>
      </c>
      <c r="G5921" s="4"/>
      <c r="H5921" s="4"/>
      <c r="I5921" s="10" t="str">
        <f>HYPERLINK("http://twitter.com/download/iphone","Twitter for iPhone")</f>
        <v>Twitter for iPhone</v>
      </c>
      <c r="J5921" s="2">
        <v>3188</v>
      </c>
      <c r="K5921" s="2">
        <v>1434</v>
      </c>
      <c r="L5921" s="2">
        <v>13</v>
      </c>
      <c r="M5921" s="2"/>
      <c r="N5921" s="8">
        <v>40666.00063657407</v>
      </c>
      <c r="O5921" s="4" t="s">
        <v>273</v>
      </c>
      <c r="P5921" s="3" t="s">
        <v>272</v>
      </c>
      <c r="Q5921" s="4"/>
      <c r="R5921" s="4"/>
      <c r="S5921" s="9" t="str">
        <f>HYPERLINK("https://pbs.twimg.com/profile_images/998198702660452353/EL2FNYyg.jpg","View")</f>
        <v>View</v>
      </c>
    </row>
    <row r="5922" spans="1:19" ht="50">
      <c r="A5922" s="8">
        <v>43340.469652777778</v>
      </c>
      <c r="B5922" s="11" t="str">
        <f>HYPERLINK("https://twitter.com/Sari_pishik","@Sari_pishik")</f>
        <v>@Sari_pishik</v>
      </c>
      <c r="C5922" s="6" t="s">
        <v>271</v>
      </c>
      <c r="D5922" s="5" t="s">
        <v>270</v>
      </c>
      <c r="E5922" s="9" t="str">
        <f>HYPERLINK("https://twitter.com/Sari_pishik/status/1034331321139638272","1034331321139638272")</f>
        <v>1034331321139638272</v>
      </c>
      <c r="F5922" s="10" t="s">
        <v>269</v>
      </c>
      <c r="G5922" s="4"/>
      <c r="H5922" s="4"/>
      <c r="I5922" s="10" t="str">
        <f>HYPERLINK("https://mobile.twitter.com","Twitter Lite")</f>
        <v>Twitter Lite</v>
      </c>
      <c r="J5922" s="2">
        <v>3947</v>
      </c>
      <c r="K5922" s="2">
        <v>985</v>
      </c>
      <c r="L5922" s="2">
        <v>28</v>
      </c>
      <c r="M5922" s="2"/>
      <c r="N5922" s="8">
        <v>42800.43167824074</v>
      </c>
      <c r="O5922" s="4"/>
      <c r="P5922" s="3" t="s">
        <v>268</v>
      </c>
      <c r="Q5922" s="4"/>
      <c r="R5922" s="4"/>
      <c r="S5922" s="9" t="str">
        <f>HYPERLINK("https://pbs.twimg.com/profile_images/879785315338260482/FDBwvOC3.jpg","View")</f>
        <v>View</v>
      </c>
    </row>
    <row r="5923" spans="1:19" ht="30">
      <c r="A5923" s="8">
        <v>43340.469525462962</v>
      </c>
      <c r="B5923" s="11" t="str">
        <f>HYPERLINK("https://twitter.com/mparsa3","@mparsa3")</f>
        <v>@mparsa3</v>
      </c>
      <c r="C5923" s="6" t="s">
        <v>267</v>
      </c>
      <c r="D5923" s="5" t="s">
        <v>266</v>
      </c>
      <c r="E5923" s="9" t="str">
        <f>HYPERLINK("https://twitter.com/mparsa3/status/1034331275119583232","1034331275119583232")</f>
        <v>1034331275119583232</v>
      </c>
      <c r="F5923" s="4"/>
      <c r="G5923" s="4"/>
      <c r="H5923" s="4"/>
      <c r="I5923" s="10" t="str">
        <f>HYPERLINK("http://twitter.com","Twitter Web Client")</f>
        <v>Twitter Web Client</v>
      </c>
      <c r="J5923" s="2">
        <v>67</v>
      </c>
      <c r="K5923" s="2">
        <v>96</v>
      </c>
      <c r="L5923" s="2">
        <v>0</v>
      </c>
      <c r="M5923" s="2"/>
      <c r="N5923" s="8">
        <v>40589.402314814812</v>
      </c>
      <c r="O5923" s="4"/>
      <c r="P5923" s="3"/>
      <c r="Q5923" s="4"/>
      <c r="R5923" s="4"/>
      <c r="S5923" s="9" t="str">
        <f>HYPERLINK("https://pbs.twimg.com/profile_images/1002100970518540293/y5AjbXIk.jpg","View")</f>
        <v>View</v>
      </c>
    </row>
    <row r="5924" spans="1:19" ht="40">
      <c r="A5924" s="8">
        <v>43340.469525462962</v>
      </c>
      <c r="B5924" s="11" t="str">
        <f>HYPERLINK("https://twitter.com/nasiri1404","@nasiri1404")</f>
        <v>@nasiri1404</v>
      </c>
      <c r="C5924" s="6" t="s">
        <v>265</v>
      </c>
      <c r="D5924" s="5" t="s">
        <v>264</v>
      </c>
      <c r="E5924" s="9" t="str">
        <f>HYPERLINK("https://twitter.com/nasiri1404/status/1034331274238939136","1034331274238939136")</f>
        <v>1034331274238939136</v>
      </c>
      <c r="F5924" s="4"/>
      <c r="G5924" s="4"/>
      <c r="H5924" s="4"/>
      <c r="I5924" s="10" t="str">
        <f>HYPERLINK("http://twitter.com/download/android","Twitter for Android")</f>
        <v>Twitter for Android</v>
      </c>
      <c r="J5924" s="2">
        <v>8728</v>
      </c>
      <c r="K5924" s="2">
        <v>6061</v>
      </c>
      <c r="L5924" s="2">
        <v>50</v>
      </c>
      <c r="M5924" s="2"/>
      <c r="N5924" s="8">
        <v>42026.026562500003</v>
      </c>
      <c r="O5924" s="4" t="s">
        <v>263</v>
      </c>
      <c r="P5924" s="3" t="s">
        <v>262</v>
      </c>
      <c r="Q5924" s="4"/>
      <c r="R5924" s="4"/>
      <c r="S5924" s="9" t="str">
        <f>HYPERLINK("https://pbs.twimg.com/profile_images/915674410270339072/Ma2BgBts.jpg","View")</f>
        <v>View</v>
      </c>
    </row>
    <row r="5925" spans="1:19" ht="30">
      <c r="A5925" s="8">
        <v>43340.469513888893</v>
      </c>
      <c r="B5925" s="11" t="str">
        <f>HYPERLINK("https://twitter.com/4rknevis","@4rknevis")</f>
        <v>@4rknevis</v>
      </c>
      <c r="C5925" s="6" t="s">
        <v>261</v>
      </c>
      <c r="D5925" s="5" t="s">
        <v>260</v>
      </c>
      <c r="E5925" s="9" t="str">
        <f>HYPERLINK("https://twitter.com/4rknevis/status/1034331269285531650","1034331269285531650")</f>
        <v>1034331269285531650</v>
      </c>
      <c r="F5925" s="4"/>
      <c r="G5925" s="4"/>
      <c r="H5925" s="4"/>
      <c r="I5925" s="10" t="str">
        <f>HYPERLINK("http://twitter.com","Twitter Web Client")</f>
        <v>Twitter Web Client</v>
      </c>
      <c r="J5925" s="2">
        <v>63</v>
      </c>
      <c r="K5925" s="2">
        <v>78</v>
      </c>
      <c r="L5925" s="2">
        <v>0</v>
      </c>
      <c r="M5925" s="2"/>
      <c r="N5925" s="8">
        <v>41465.589490740742</v>
      </c>
      <c r="O5925" s="4"/>
      <c r="P5925" s="3" t="s">
        <v>259</v>
      </c>
      <c r="Q5925" s="4"/>
      <c r="R5925" s="4"/>
      <c r="S5925" s="9" t="str">
        <f>HYPERLINK("https://pbs.twimg.com/profile_images/1029250754098458625/2ku0PZgW.jpg","View")</f>
        <v>View</v>
      </c>
    </row>
    <row r="5926" spans="1:19" ht="20">
      <c r="A5926" s="8">
        <v>43340.469444444447</v>
      </c>
      <c r="B5926" s="11" t="str">
        <f>HYPERLINK("https://twitter.com/EhsanRamezanian","@EhsanRamezanian")</f>
        <v>@EhsanRamezanian</v>
      </c>
      <c r="C5926" s="6" t="s">
        <v>258</v>
      </c>
      <c r="D5926" s="5" t="s">
        <v>257</v>
      </c>
      <c r="E5926" s="9" t="str">
        <f>HYPERLINK("https://twitter.com/EhsanRamezanian/status/1034331243444400128","1034331243444400128")</f>
        <v>1034331243444400128</v>
      </c>
      <c r="F5926" s="4"/>
      <c r="G5926" s="4"/>
      <c r="H5926" s="4"/>
      <c r="I5926" s="10" t="str">
        <f>HYPERLINK("http://twitter.com","Twitter Web Client")</f>
        <v>Twitter Web Client</v>
      </c>
      <c r="J5926" s="2">
        <v>766</v>
      </c>
      <c r="K5926" s="2">
        <v>177</v>
      </c>
      <c r="L5926" s="2">
        <v>6</v>
      </c>
      <c r="M5926" s="2"/>
      <c r="N5926" s="8">
        <v>41523.105879629627</v>
      </c>
      <c r="O5926" s="4" t="s">
        <v>133</v>
      </c>
      <c r="P5926" s="3" t="s">
        <v>256</v>
      </c>
      <c r="Q5926" s="10" t="s">
        <v>255</v>
      </c>
      <c r="R5926" s="4"/>
      <c r="S5926" s="9" t="str">
        <f>HYPERLINK("https://pbs.twimg.com/profile_images/871254681942724608/5-zpL6oT.jpg","View")</f>
        <v>View</v>
      </c>
    </row>
    <row r="5927" spans="1:19" ht="30">
      <c r="A5927" s="8">
        <v>43340.469398148147</v>
      </c>
      <c r="B5927" s="11" t="str">
        <f>HYPERLINK("https://twitter.com/Houmatth","@Houmatth")</f>
        <v>@Houmatth</v>
      </c>
      <c r="C5927" s="6" t="s">
        <v>254</v>
      </c>
      <c r="D5927" s="5" t="s">
        <v>253</v>
      </c>
      <c r="E5927" s="9" t="str">
        <f>HYPERLINK("https://twitter.com/Houmatth/status/1034331230567837697","1034331230567837697")</f>
        <v>1034331230567837697</v>
      </c>
      <c r="F5927" s="4"/>
      <c r="G5927" s="4"/>
      <c r="H5927" s="4"/>
      <c r="I5927" s="10" t="str">
        <f>HYPERLINK("http://twitter.com/download/android","Twitter for Android")</f>
        <v>Twitter for Android</v>
      </c>
      <c r="J5927" s="2">
        <v>280</v>
      </c>
      <c r="K5927" s="2">
        <v>274</v>
      </c>
      <c r="L5927" s="2">
        <v>0</v>
      </c>
      <c r="M5927" s="2"/>
      <c r="N5927" s="8">
        <v>41033.979664351849</v>
      </c>
      <c r="O5927" s="4" t="s">
        <v>252</v>
      </c>
      <c r="P5927" s="3" t="s">
        <v>251</v>
      </c>
      <c r="Q5927" s="4"/>
      <c r="R5927" s="4"/>
      <c r="S5927" s="9" t="str">
        <f>HYPERLINK("https://pbs.twimg.com/profile_images/1026998685178253313/l6NsSeYl.jpg","View")</f>
        <v>View</v>
      </c>
    </row>
    <row r="5928" spans="1:19" ht="30">
      <c r="A5928" s="8">
        <v>43340.469293981485</v>
      </c>
      <c r="B5928" s="11" t="str">
        <f>HYPERLINK("https://twitter.com/hamedRamezaniii","@hamedRamezaniii")</f>
        <v>@hamedRamezaniii</v>
      </c>
      <c r="C5928" s="6" t="s">
        <v>250</v>
      </c>
      <c r="D5928" s="5" t="s">
        <v>249</v>
      </c>
      <c r="E5928" s="9" t="str">
        <f>HYPERLINK("https://twitter.com/hamedRamezaniii/status/1034331192303276034","1034331192303276034")</f>
        <v>1034331192303276034</v>
      </c>
      <c r="F5928" s="4"/>
      <c r="G5928" s="4"/>
      <c r="H5928" s="4"/>
      <c r="I5928" s="10" t="str">
        <f>HYPERLINK("http://twitter.com/download/android","Twitter for Android")</f>
        <v>Twitter for Android</v>
      </c>
      <c r="J5928" s="2">
        <v>18</v>
      </c>
      <c r="K5928" s="2">
        <v>30</v>
      </c>
      <c r="L5928" s="2">
        <v>0</v>
      </c>
      <c r="M5928" s="2"/>
      <c r="N5928" s="8">
        <v>42568.477986111116</v>
      </c>
      <c r="O5928" s="4" t="s">
        <v>248</v>
      </c>
      <c r="P5928" s="3" t="s">
        <v>247</v>
      </c>
      <c r="Q5928" s="4"/>
      <c r="R5928" s="4"/>
      <c r="S5928" s="9" t="str">
        <f>HYPERLINK("https://pbs.twimg.com/profile_images/998964652146016256/847IT_hO.jpg","View")</f>
        <v>View</v>
      </c>
    </row>
    <row r="5929" spans="1:19" ht="40">
      <c r="A5929" s="8">
        <v>43340.469143518523</v>
      </c>
      <c r="B5929" s="11" t="str">
        <f>HYPERLINK("https://twitter.com/mmasiha","@mmasiha")</f>
        <v>@mmasiha</v>
      </c>
      <c r="C5929" s="6" t="s">
        <v>246</v>
      </c>
      <c r="D5929" s="5" t="s">
        <v>245</v>
      </c>
      <c r="E5929" s="9" t="str">
        <f>HYPERLINK("https://twitter.com/mmasiha/status/1034331135600414720","1034331135600414720")</f>
        <v>1034331135600414720</v>
      </c>
      <c r="F5929" s="4"/>
      <c r="G5929" s="4"/>
      <c r="H5929" s="4"/>
      <c r="I5929" s="10" t="str">
        <f>HYPERLINK("http://twitter.com","Twitter Web Client")</f>
        <v>Twitter Web Client</v>
      </c>
      <c r="J5929" s="2">
        <v>3261</v>
      </c>
      <c r="K5929" s="2">
        <v>541</v>
      </c>
      <c r="L5929" s="2">
        <v>48</v>
      </c>
      <c r="M5929" s="2"/>
      <c r="N5929" s="8">
        <v>39983.288252314815</v>
      </c>
      <c r="O5929" s="4" t="s">
        <v>244</v>
      </c>
      <c r="P5929" s="3" t="s">
        <v>243</v>
      </c>
      <c r="Q5929" s="10" t="s">
        <v>242</v>
      </c>
      <c r="R5929" s="4"/>
      <c r="S5929" s="9" t="str">
        <f>HYPERLINK("https://pbs.twimg.com/profile_images/756187596447940610/3aUNxTLs.jpg","View")</f>
        <v>View</v>
      </c>
    </row>
    <row r="5930" spans="1:19" ht="30">
      <c r="A5930" s="8">
        <v>43340.46912037037</v>
      </c>
      <c r="B5930" s="11" t="str">
        <f>HYPERLINK("https://twitter.com/Ghoghnus11","@Ghoghnus11")</f>
        <v>@Ghoghnus11</v>
      </c>
      <c r="C5930" s="6" t="s">
        <v>15</v>
      </c>
      <c r="D5930" s="5" t="s">
        <v>241</v>
      </c>
      <c r="E5930" s="9" t="str">
        <f>HYPERLINK("https://twitter.com/Ghoghnus11/status/1034331127195033602","1034331127195033602")</f>
        <v>1034331127195033602</v>
      </c>
      <c r="F5930" s="4"/>
      <c r="G5930" s="4"/>
      <c r="H5930" s="4"/>
      <c r="I5930" s="10" t="str">
        <f>HYPERLINK("http://twitter.com/download/android","Twitter for Android")</f>
        <v>Twitter for Android</v>
      </c>
      <c r="J5930" s="2">
        <v>1293</v>
      </c>
      <c r="K5930" s="2">
        <v>1480</v>
      </c>
      <c r="L5930" s="2">
        <v>2</v>
      </c>
      <c r="M5930" s="2"/>
      <c r="N5930" s="8">
        <v>43145.030578703707</v>
      </c>
      <c r="O5930" s="4"/>
      <c r="P5930" s="3" t="s">
        <v>13</v>
      </c>
      <c r="Q5930" s="4"/>
      <c r="R5930" s="4"/>
      <c r="S5930" s="9" t="str">
        <f>HYPERLINK("https://pbs.twimg.com/profile_images/998733120865091584/fgjpCWOH.jpg","View")</f>
        <v>View</v>
      </c>
    </row>
    <row r="5931" spans="1:19" ht="20">
      <c r="A5931" s="8">
        <v>43340.469097222223</v>
      </c>
      <c r="B5931" s="11" t="str">
        <f>HYPERLINK("https://twitter.com/Zantis2","@Zantis2")</f>
        <v>@Zantis2</v>
      </c>
      <c r="C5931" s="6" t="s">
        <v>76</v>
      </c>
      <c r="D5931" s="5" t="s">
        <v>240</v>
      </c>
      <c r="E5931" s="9" t="str">
        <f>HYPERLINK("https://twitter.com/Zantis2/status/1034331121092370432","1034331121092370432")</f>
        <v>1034331121092370432</v>
      </c>
      <c r="F5931" s="4"/>
      <c r="G5931" s="4"/>
      <c r="H5931" s="4"/>
      <c r="I5931" s="10" t="str">
        <f>HYPERLINK("http://twitter.com/download/android","Twitter for Android")</f>
        <v>Twitter for Android</v>
      </c>
      <c r="J5931" s="2">
        <v>303</v>
      </c>
      <c r="K5931" s="2">
        <v>333</v>
      </c>
      <c r="L5931" s="2">
        <v>0</v>
      </c>
      <c r="M5931" s="2"/>
      <c r="N5931" s="8">
        <v>43311.46056712963</v>
      </c>
      <c r="O5931" s="4" t="s">
        <v>17</v>
      </c>
      <c r="P5931" s="3" t="s">
        <v>74</v>
      </c>
      <c r="Q5931" s="4"/>
      <c r="R5931" s="4"/>
      <c r="S5931" s="9" t="str">
        <f>HYPERLINK("https://pbs.twimg.com/profile_images/1033350632256806912/7KhKD7sc.jpg","View")</f>
        <v>View</v>
      </c>
    </row>
    <row r="5932" spans="1:19" ht="30">
      <c r="A5932" s="8">
        <v>43340.469027777777</v>
      </c>
      <c r="B5932" s="11" t="str">
        <f>HYPERLINK("https://twitter.com/jml_chbhar","@jml_chbhar")</f>
        <v>@jml_chbhar</v>
      </c>
      <c r="C5932" s="6" t="s">
        <v>239</v>
      </c>
      <c r="D5932" s="5" t="s">
        <v>238</v>
      </c>
      <c r="E5932" s="9" t="str">
        <f>HYPERLINK("https://twitter.com/jml_chbhar/status/1034331093170892803","1034331093170892803")</f>
        <v>1034331093170892803</v>
      </c>
      <c r="F5932" s="4"/>
      <c r="G5932" s="4"/>
      <c r="H5932" s="4"/>
      <c r="I5932" s="10" t="str">
        <f>HYPERLINK("http://twitter.com","Twitter Web Client")</f>
        <v>Twitter Web Client</v>
      </c>
      <c r="J5932" s="2">
        <v>61</v>
      </c>
      <c r="K5932" s="2">
        <v>60</v>
      </c>
      <c r="L5932" s="2">
        <v>0</v>
      </c>
      <c r="M5932" s="2"/>
      <c r="N5932" s="8">
        <v>43246.177025462966</v>
      </c>
      <c r="O5932" s="4"/>
      <c r="P5932" s="3" t="s">
        <v>237</v>
      </c>
      <c r="Q5932" s="4"/>
      <c r="R5932" s="4"/>
      <c r="S5932" s="9" t="str">
        <f>HYPERLINK("https://pbs.twimg.com/profile_images/1034298864570785792/y3YzartB.jpg","View")</f>
        <v>View</v>
      </c>
    </row>
    <row r="5933" spans="1:19" ht="20">
      <c r="A5933" s="8">
        <v>43340.468993055554</v>
      </c>
      <c r="B5933" s="11" t="str">
        <f>HYPERLINK("https://twitter.com/Ehyeh_Asher_Ehy","@Ehyeh_Asher_Ehy")</f>
        <v>@Ehyeh_Asher_Ehy</v>
      </c>
      <c r="C5933" s="6" t="s">
        <v>236</v>
      </c>
      <c r="D5933" s="5" t="s">
        <v>235</v>
      </c>
      <c r="E5933" s="9" t="str">
        <f>HYPERLINK("https://twitter.com/Ehyeh_Asher_Ehy/status/1034331080684384261","1034331080684384261")</f>
        <v>1034331080684384261</v>
      </c>
      <c r="F5933" s="4"/>
      <c r="G5933" s="4"/>
      <c r="H5933" s="4"/>
      <c r="I5933" s="10" t="str">
        <f>HYPERLINK("http://twitter.com","Twitter Web Client")</f>
        <v>Twitter Web Client</v>
      </c>
      <c r="J5933" s="2">
        <v>682</v>
      </c>
      <c r="K5933" s="2">
        <v>649</v>
      </c>
      <c r="L5933" s="2">
        <v>11</v>
      </c>
      <c r="M5933" s="2"/>
      <c r="N5933" s="8">
        <v>40862.013761574075</v>
      </c>
      <c r="O5933" s="4"/>
      <c r="P5933" s="3" t="s">
        <v>234</v>
      </c>
      <c r="Q5933" s="4"/>
      <c r="R5933" s="4"/>
      <c r="S5933" s="9" t="str">
        <f>HYPERLINK("https://pbs.twimg.com/profile_images/1002277673274695682/LAGGMDVI.jpg","View")</f>
        <v>View</v>
      </c>
    </row>
    <row r="5934" spans="1:19" ht="20">
      <c r="A5934" s="8">
        <v>43340.468958333338</v>
      </c>
      <c r="B5934" s="11" t="str">
        <f>HYPERLINK("https://twitter.com/royaloyalROYA","@royaloyalROYA")</f>
        <v>@royaloyalROYA</v>
      </c>
      <c r="C5934" s="6" t="s">
        <v>233</v>
      </c>
      <c r="D5934" s="5" t="s">
        <v>232</v>
      </c>
      <c r="E5934" s="9" t="str">
        <f>HYPERLINK("https://twitter.com/royaloyalROYA/status/1034331069670219776","1034331069670219776")</f>
        <v>1034331069670219776</v>
      </c>
      <c r="F5934" s="4"/>
      <c r="G5934" s="4"/>
      <c r="H5934" s="4"/>
      <c r="I5934" s="10" t="str">
        <f>HYPERLINK("http://twitter.com/download/iphone","Twitter for iPhone")</f>
        <v>Twitter for iPhone</v>
      </c>
      <c r="J5934" s="2">
        <v>92</v>
      </c>
      <c r="K5934" s="2">
        <v>181</v>
      </c>
      <c r="L5934" s="2">
        <v>0</v>
      </c>
      <c r="M5934" s="2"/>
      <c r="N5934" s="8">
        <v>43246.58079861111</v>
      </c>
      <c r="O5934" s="4"/>
      <c r="P5934" s="3" t="s">
        <v>231</v>
      </c>
      <c r="Q5934" s="4"/>
      <c r="R5934" s="4"/>
      <c r="S5934" s="9" t="str">
        <f>HYPERLINK("https://pbs.twimg.com/profile_images/1026911404597694471/VoSGVh9M.jpg","View")</f>
        <v>View</v>
      </c>
    </row>
    <row r="5935" spans="1:19" ht="20">
      <c r="A5935" s="8">
        <v>43340.468935185185</v>
      </c>
      <c r="B5935" s="11" t="str">
        <f>HYPERLINK("https://twitter.com/Masoud05352006","@Masoud05352006")</f>
        <v>@Masoud05352006</v>
      </c>
      <c r="C5935" s="6" t="s">
        <v>230</v>
      </c>
      <c r="D5935" s="5" t="s">
        <v>229</v>
      </c>
      <c r="E5935" s="9" t="str">
        <f>HYPERLINK("https://twitter.com/Masoud05352006/status/1034331059742236672","1034331059742236672")</f>
        <v>1034331059742236672</v>
      </c>
      <c r="F5935" s="4"/>
      <c r="G5935" s="4"/>
      <c r="H5935" s="4"/>
      <c r="I5935" s="10" t="str">
        <f>HYPERLINK("http://twitter.com/download/iphone","Twitter for iPhone")</f>
        <v>Twitter for iPhone</v>
      </c>
      <c r="J5935" s="2">
        <v>0</v>
      </c>
      <c r="K5935" s="2">
        <v>16</v>
      </c>
      <c r="L5935" s="2">
        <v>0</v>
      </c>
      <c r="M5935" s="2"/>
      <c r="N5935" s="8">
        <v>43334.837268518517</v>
      </c>
      <c r="O5935" s="4"/>
      <c r="P5935" s="3"/>
      <c r="Q5935" s="4"/>
      <c r="R5935" s="4"/>
      <c r="S5935" s="2" t="s">
        <v>155</v>
      </c>
    </row>
    <row r="5936" spans="1:19" ht="20">
      <c r="A5936" s="8">
        <v>43340.468900462962</v>
      </c>
      <c r="B5936" s="11" t="str">
        <f>HYPERLINK("https://twitter.com/gagooolgg","@gagooolgg")</f>
        <v>@gagooolgg</v>
      </c>
      <c r="C5936" s="6" t="s">
        <v>228</v>
      </c>
      <c r="D5936" s="5" t="s">
        <v>227</v>
      </c>
      <c r="E5936" s="9" t="str">
        <f>HYPERLINK("https://twitter.com/gagooolgg/status/1034331048694431749","1034331048694431749")</f>
        <v>1034331048694431749</v>
      </c>
      <c r="F5936" s="4"/>
      <c r="G5936" s="4"/>
      <c r="H5936" s="4"/>
      <c r="I5936" s="10" t="str">
        <f>HYPERLINK("http://twitter.com/download/android","Twitter for Android")</f>
        <v>Twitter for Android</v>
      </c>
      <c r="J5936" s="2">
        <v>25</v>
      </c>
      <c r="K5936" s="2">
        <v>132</v>
      </c>
      <c r="L5936" s="2">
        <v>0</v>
      </c>
      <c r="M5936" s="2"/>
      <c r="N5936" s="8">
        <v>43316.534629629634</v>
      </c>
      <c r="O5936" s="4"/>
      <c r="P5936" s="3" t="s">
        <v>226</v>
      </c>
      <c r="Q5936" s="4"/>
      <c r="R5936" s="4"/>
      <c r="S5936" s="9" t="str">
        <f>HYPERLINK("https://pbs.twimg.com/profile_images/1025662369668595713/IM1OqcbX.jpg","View")</f>
        <v>View</v>
      </c>
    </row>
    <row r="5937" spans="1:19" ht="20">
      <c r="A5937" s="8">
        <v>43340.46873842593</v>
      </c>
      <c r="B5937" s="11" t="str">
        <f>HYPERLINK("https://twitter.com/Mostafa_Goli","@Mostafa_Goli")</f>
        <v>@Mostafa_Goli</v>
      </c>
      <c r="C5937" s="6" t="s">
        <v>98</v>
      </c>
      <c r="D5937" s="5" t="s">
        <v>225</v>
      </c>
      <c r="E5937" s="9" t="str">
        <f>HYPERLINK("https://twitter.com/Mostafa_Goli/status/1034330989646962688","1034330989646962688")</f>
        <v>1034330989646962688</v>
      </c>
      <c r="F5937" s="4"/>
      <c r="G5937" s="4"/>
      <c r="H5937" s="4"/>
      <c r="I5937" s="10" t="str">
        <f>HYPERLINK("http://twitter.com/download/android","Twitter for Android")</f>
        <v>Twitter for Android</v>
      </c>
      <c r="J5937" s="2">
        <v>2070</v>
      </c>
      <c r="K5937" s="2">
        <v>916</v>
      </c>
      <c r="L5937" s="2">
        <v>6</v>
      </c>
      <c r="M5937" s="2"/>
      <c r="N5937" s="8">
        <v>41881.921805555554</v>
      </c>
      <c r="O5937" s="4"/>
      <c r="P5937" s="3">
        <v>1996</v>
      </c>
      <c r="Q5937" s="4"/>
      <c r="R5937" s="4"/>
      <c r="S5937" s="9" t="str">
        <f>HYPERLINK("https://pbs.twimg.com/profile_images/1018776351887773697/igEtmh-y.jpg","View")</f>
        <v>View</v>
      </c>
    </row>
    <row r="5938" spans="1:19" ht="30">
      <c r="A5938" s="8">
        <v>43340.46873842593</v>
      </c>
      <c r="B5938" s="11" t="str">
        <f>HYPERLINK("https://twitter.com/ahmehrzad","@ahmehrzad")</f>
        <v>@ahmehrzad</v>
      </c>
      <c r="C5938" s="6" t="s">
        <v>224</v>
      </c>
      <c r="D5938" s="5" t="s">
        <v>223</v>
      </c>
      <c r="E5938" s="9" t="str">
        <f>HYPERLINK("https://twitter.com/ahmehrzad/status/1034330988703297536","1034330988703297536")</f>
        <v>1034330988703297536</v>
      </c>
      <c r="F5938" s="4"/>
      <c r="G5938" s="4"/>
      <c r="H5938" s="4"/>
      <c r="I5938" s="10" t="str">
        <f>HYPERLINK("http://twitter.com/download/android","Twitter for Android")</f>
        <v>Twitter for Android</v>
      </c>
      <c r="J5938" s="2">
        <v>434</v>
      </c>
      <c r="K5938" s="2">
        <v>93</v>
      </c>
      <c r="L5938" s="2">
        <v>0</v>
      </c>
      <c r="M5938" s="2"/>
      <c r="N5938" s="8">
        <v>42343.669490740736</v>
      </c>
      <c r="O5938" s="4" t="s">
        <v>133</v>
      </c>
      <c r="P5938" s="3" t="s">
        <v>222</v>
      </c>
      <c r="Q5938" s="4"/>
      <c r="R5938" s="4"/>
      <c r="S5938" s="9" t="str">
        <f>HYPERLINK("https://pbs.twimg.com/profile_images/990250740726845441/QdpdvhxS.jpg","View")</f>
        <v>View</v>
      </c>
    </row>
    <row r="5939" spans="1:19" ht="30">
      <c r="A5939" s="8">
        <v>43340.468657407408</v>
      </c>
      <c r="B5939" s="11" t="str">
        <f>HYPERLINK("https://twitter.com/xalxin","@xalxin")</f>
        <v>@xalxin</v>
      </c>
      <c r="C5939" s="6" t="s">
        <v>221</v>
      </c>
      <c r="D5939" s="5" t="s">
        <v>220</v>
      </c>
      <c r="E5939" s="9" t="str">
        <f>HYPERLINK("https://twitter.com/xalxin/status/1034330958152060928","1034330958152060928")</f>
        <v>1034330958152060928</v>
      </c>
      <c r="F5939" s="4"/>
      <c r="G5939" s="4"/>
      <c r="H5939" s="4"/>
      <c r="I5939" s="10" t="str">
        <f>HYPERLINK("http://twitter.com","Twitter Web Client")</f>
        <v>Twitter Web Client</v>
      </c>
      <c r="J5939" s="2">
        <v>648</v>
      </c>
      <c r="K5939" s="2">
        <v>95</v>
      </c>
      <c r="L5939" s="2">
        <v>6</v>
      </c>
      <c r="M5939" s="2"/>
      <c r="N5939" s="8">
        <v>41515.757824074077</v>
      </c>
      <c r="O5939" s="4" t="s">
        <v>219</v>
      </c>
      <c r="P5939" s="3"/>
      <c r="Q5939" s="4"/>
      <c r="R5939" s="4"/>
      <c r="S5939" s="9" t="str">
        <f>HYPERLINK("https://pbs.twimg.com/profile_images/1034040683953377281/ShQfcUDC.jpg","View")</f>
        <v>View</v>
      </c>
    </row>
    <row r="5940" spans="1:19" ht="20">
      <c r="A5940" s="8">
        <v>43340.468645833331</v>
      </c>
      <c r="B5940" s="11" t="str">
        <f>HYPERLINK("https://twitter.com/MJavad_Asghari","@MJavad_Asghari")</f>
        <v>@MJavad_Asghari</v>
      </c>
      <c r="C5940" s="6" t="s">
        <v>218</v>
      </c>
      <c r="D5940" s="5" t="s">
        <v>217</v>
      </c>
      <c r="E5940" s="9" t="str">
        <f>HYPERLINK("https://twitter.com/MJavad_Asghari/status/1034330957740994561","1034330957740994561")</f>
        <v>1034330957740994561</v>
      </c>
      <c r="F5940" s="4"/>
      <c r="G5940" s="4"/>
      <c r="H5940" s="4"/>
      <c r="I5940" s="10" t="str">
        <f>HYPERLINK("http://twitter.com/download/android","Twitter for Android")</f>
        <v>Twitter for Android</v>
      </c>
      <c r="J5940" s="2">
        <v>617</v>
      </c>
      <c r="K5940" s="2">
        <v>295</v>
      </c>
      <c r="L5940" s="2">
        <v>3</v>
      </c>
      <c r="M5940" s="2"/>
      <c r="N5940" s="8">
        <v>42830.026458333334</v>
      </c>
      <c r="O5940" s="4" t="s">
        <v>216</v>
      </c>
      <c r="P5940" s="3" t="s">
        <v>215</v>
      </c>
      <c r="Q5940" s="4"/>
      <c r="R5940" s="4"/>
      <c r="S5940" s="9" t="str">
        <f>HYPERLINK("https://pbs.twimg.com/profile_images/974373512893825024/02kUljsf.jpg","View")</f>
        <v>View</v>
      </c>
    </row>
    <row r="5941" spans="1:19" ht="20">
      <c r="A5941" s="8">
        <v>43340.468645833331</v>
      </c>
      <c r="B5941" s="11" t="str">
        <f>HYPERLINK("https://twitter.com/Samane7173","@Samane7173")</f>
        <v>@Samane7173</v>
      </c>
      <c r="C5941" s="6" t="s">
        <v>214</v>
      </c>
      <c r="D5941" s="5" t="s">
        <v>213</v>
      </c>
      <c r="E5941" s="9" t="str">
        <f>HYPERLINK("https://twitter.com/Samane7173/status/1034330955006312448","1034330955006312448")</f>
        <v>1034330955006312448</v>
      </c>
      <c r="F5941" s="4"/>
      <c r="G5941" s="10" t="s">
        <v>212</v>
      </c>
      <c r="H5941" s="4"/>
      <c r="I5941" s="10" t="str">
        <f>HYPERLINK("http://twitter.com","Twitter Web Client")</f>
        <v>Twitter Web Client</v>
      </c>
      <c r="J5941" s="2">
        <v>259</v>
      </c>
      <c r="K5941" s="2">
        <v>747</v>
      </c>
      <c r="L5941" s="2">
        <v>0</v>
      </c>
      <c r="M5941" s="2"/>
      <c r="N5941" s="8">
        <v>42625.426539351851</v>
      </c>
      <c r="O5941" s="4" t="s">
        <v>211</v>
      </c>
      <c r="P5941" s="3"/>
      <c r="Q5941" s="4"/>
      <c r="R5941" s="4"/>
      <c r="S5941" s="9" t="str">
        <f>HYPERLINK("https://pbs.twimg.com/profile_images/1011474754778402816/ffN2SyST.jpg","View")</f>
        <v>View</v>
      </c>
    </row>
    <row r="5942" spans="1:19" ht="30">
      <c r="A5942" s="8">
        <v>43340.468634259261</v>
      </c>
      <c r="B5942" s="11" t="str">
        <f>HYPERLINK("https://twitter.com/GomnamAmadim","@GomnamAmadim")</f>
        <v>@GomnamAmadim</v>
      </c>
      <c r="C5942" s="6" t="s">
        <v>210</v>
      </c>
      <c r="D5942" s="5" t="s">
        <v>209</v>
      </c>
      <c r="E5942" s="9" t="str">
        <f>HYPERLINK("https://twitter.com/GomnamAmadim/status/1034330950090534912","1034330950090534912")</f>
        <v>1034330950090534912</v>
      </c>
      <c r="F5942" s="4"/>
      <c r="G5942" s="4"/>
      <c r="H5942" s="4"/>
      <c r="I5942" s="10" t="str">
        <f>HYPERLINK("http://twitter.com/download/android","Twitter for Android")</f>
        <v>Twitter for Android</v>
      </c>
      <c r="J5942" s="2">
        <v>1167</v>
      </c>
      <c r="K5942" s="2">
        <v>914</v>
      </c>
      <c r="L5942" s="2">
        <v>3</v>
      </c>
      <c r="M5942" s="2"/>
      <c r="N5942" s="8">
        <v>43143.865787037037</v>
      </c>
      <c r="O5942" s="4" t="s">
        <v>208</v>
      </c>
      <c r="P5942" s="3" t="s">
        <v>207</v>
      </c>
      <c r="Q5942" s="4"/>
      <c r="R5942" s="4"/>
      <c r="S5942" s="9" t="str">
        <f>HYPERLINK("https://pbs.twimg.com/profile_images/1002234261431255049/AZXPDV7r.jpg","View")</f>
        <v>View</v>
      </c>
    </row>
    <row r="5943" spans="1:19" ht="20">
      <c r="A5943" s="8">
        <v>43340.468541666662</v>
      </c>
      <c r="B5943" s="11" t="str">
        <f>HYPERLINK("https://twitter.com/hossein1440","@hossein1440")</f>
        <v>@hossein1440</v>
      </c>
      <c r="C5943" s="6" t="s">
        <v>206</v>
      </c>
      <c r="D5943" s="5" t="s">
        <v>205</v>
      </c>
      <c r="E5943" s="9" t="str">
        <f>HYPERLINK("https://twitter.com/hossein1440/status/1034330919526645760","1034330919526645760")</f>
        <v>1034330919526645760</v>
      </c>
      <c r="F5943" s="4"/>
      <c r="G5943" s="4"/>
      <c r="H5943" s="4"/>
      <c r="I5943" s="10" t="str">
        <f>HYPERLINK("http://twitter.com/download/android","Twitter for Android")</f>
        <v>Twitter for Android</v>
      </c>
      <c r="J5943" s="2">
        <v>258</v>
      </c>
      <c r="K5943" s="2">
        <v>396</v>
      </c>
      <c r="L5943" s="2">
        <v>0</v>
      </c>
      <c r="M5943" s="2"/>
      <c r="N5943" s="8">
        <v>43259.933495370366</v>
      </c>
      <c r="O5943" s="4" t="s">
        <v>17</v>
      </c>
      <c r="P5943" s="3" t="s">
        <v>204</v>
      </c>
      <c r="Q5943" s="4"/>
      <c r="R5943" s="4"/>
      <c r="S5943" s="9" t="str">
        <f>HYPERLINK("https://pbs.twimg.com/profile_images/1023239182867681281/A18ja227.jpg","View")</f>
        <v>View</v>
      </c>
    </row>
    <row r="5944" spans="1:19" ht="40">
      <c r="A5944" s="8">
        <v>43340.468472222223</v>
      </c>
      <c r="B5944" s="11" t="str">
        <f>HYPERLINK("https://twitter.com/ebrahimomran7","@ebrahimomran7")</f>
        <v>@ebrahimomran7</v>
      </c>
      <c r="C5944" s="6" t="s">
        <v>203</v>
      </c>
      <c r="D5944" s="5" t="s">
        <v>202</v>
      </c>
      <c r="E5944" s="9" t="str">
        <f>HYPERLINK("https://twitter.com/ebrahimomran7/status/1034330891764617216","1034330891764617216")</f>
        <v>1034330891764617216</v>
      </c>
      <c r="F5944" s="4"/>
      <c r="G5944" s="4"/>
      <c r="H5944" s="4"/>
      <c r="I5944" s="10" t="str">
        <f>HYPERLINK("https://mobile.twitter.com","Twitter Lite")</f>
        <v>Twitter Lite</v>
      </c>
      <c r="J5944" s="2">
        <v>18</v>
      </c>
      <c r="K5944" s="2">
        <v>118</v>
      </c>
      <c r="L5944" s="2">
        <v>0</v>
      </c>
      <c r="M5944" s="2"/>
      <c r="N5944" s="8">
        <v>42844.590567129635</v>
      </c>
      <c r="O5944" s="4"/>
      <c r="P5944" s="3" t="s">
        <v>201</v>
      </c>
      <c r="Q5944" s="4"/>
      <c r="R5944" s="4"/>
      <c r="S5944" s="9" t="str">
        <f>HYPERLINK("https://pbs.twimg.com/profile_images/1015113103602798592/AoLB419H.jpg","View")</f>
        <v>View</v>
      </c>
    </row>
    <row r="5945" spans="1:19" ht="30">
      <c r="A5945" s="8">
        <v>43340.468425925923</v>
      </c>
      <c r="B5945" s="11" t="str">
        <f>HYPERLINK("https://twitter.com/peikanjavanan","@peikanjavanan")</f>
        <v>@peikanjavanan</v>
      </c>
      <c r="C5945" s="6" t="s">
        <v>200</v>
      </c>
      <c r="D5945" s="5" t="s">
        <v>199</v>
      </c>
      <c r="E5945" s="9" t="str">
        <f>HYPERLINK("https://twitter.com/peikanjavanan/status/1034330875864014848","1034330875864014848")</f>
        <v>1034330875864014848</v>
      </c>
      <c r="F5945" s="4"/>
      <c r="G5945" s="10" t="s">
        <v>198</v>
      </c>
      <c r="H5945" s="4"/>
      <c r="I5945" s="10" t="str">
        <f>HYPERLINK("http://twitter.com/download/android","Twitter for Android")</f>
        <v>Twitter for Android</v>
      </c>
      <c r="J5945" s="2">
        <v>7270</v>
      </c>
      <c r="K5945" s="2">
        <v>7419</v>
      </c>
      <c r="L5945" s="2">
        <v>11</v>
      </c>
      <c r="M5945" s="2"/>
      <c r="N5945" s="8">
        <v>42596.398252314815</v>
      </c>
      <c r="O5945" s="4"/>
      <c r="P5945" s="3" t="s">
        <v>197</v>
      </c>
      <c r="Q5945" s="4"/>
      <c r="R5945" s="4"/>
      <c r="S5945" s="9" t="str">
        <f>HYPERLINK("https://pbs.twimg.com/profile_images/885781298710798336/Qw8NPVi0.jpg","View")</f>
        <v>View</v>
      </c>
    </row>
    <row r="5946" spans="1:19" ht="20">
      <c r="A5946" s="8">
        <v>43340.468414351853</v>
      </c>
      <c r="B5946" s="11" t="str">
        <f>HYPERLINK("https://twitter.com/saberiranboy","@saberiranboy")</f>
        <v>@saberiranboy</v>
      </c>
      <c r="C5946" s="6" t="s">
        <v>196</v>
      </c>
      <c r="D5946" s="5" t="s">
        <v>195</v>
      </c>
      <c r="E5946" s="9" t="str">
        <f>HYPERLINK("https://twitter.com/saberiranboy/status/1034330870247841792","1034330870247841792")</f>
        <v>1034330870247841792</v>
      </c>
      <c r="F5946" s="4"/>
      <c r="G5946" s="4"/>
      <c r="H5946" s="4"/>
      <c r="I5946" s="10" t="str">
        <f>HYPERLINK("http://twitter.com","Twitter Web Client")</f>
        <v>Twitter Web Client</v>
      </c>
      <c r="J5946" s="2">
        <v>560</v>
      </c>
      <c r="K5946" s="2">
        <v>755</v>
      </c>
      <c r="L5946" s="2">
        <v>0</v>
      </c>
      <c r="M5946" s="2"/>
      <c r="N5946" s="8">
        <v>43281.409270833334</v>
      </c>
      <c r="O5946" s="4" t="s">
        <v>194</v>
      </c>
      <c r="P5946" s="3" t="s">
        <v>193</v>
      </c>
      <c r="Q5946" s="4"/>
      <c r="R5946" s="4"/>
      <c r="S5946" s="9" t="str">
        <f>HYPERLINK("https://pbs.twimg.com/profile_images/1014771204757114880/5XwtSLcW.jpg","View")</f>
        <v>View</v>
      </c>
    </row>
    <row r="5947" spans="1:19" ht="40">
      <c r="A5947" s="8">
        <v>43340.468356481477</v>
      </c>
      <c r="B5947" s="11" t="str">
        <f>HYPERLINK("https://twitter.com/pop_mahmood","@pop_mahmood")</f>
        <v>@pop_mahmood</v>
      </c>
      <c r="C5947" s="6" t="s">
        <v>192</v>
      </c>
      <c r="D5947" s="5" t="s">
        <v>191</v>
      </c>
      <c r="E5947" s="9" t="str">
        <f>HYPERLINK("https://twitter.com/pop_mahmood/status/1034330849980952577","1034330849980952577")</f>
        <v>1034330849980952577</v>
      </c>
      <c r="F5947" s="4"/>
      <c r="G5947" s="4"/>
      <c r="H5947" s="4"/>
      <c r="I5947" s="10" t="str">
        <f>HYPERLINK("http://twitter.com/download/android","Twitter for Android")</f>
        <v>Twitter for Android</v>
      </c>
      <c r="J5947" s="2">
        <v>1682</v>
      </c>
      <c r="K5947" s="2">
        <v>1140</v>
      </c>
      <c r="L5947" s="2">
        <v>2</v>
      </c>
      <c r="M5947" s="2"/>
      <c r="N5947" s="8">
        <v>42730.123796296291</v>
      </c>
      <c r="O5947" s="4" t="s">
        <v>190</v>
      </c>
      <c r="P5947" s="3" t="s">
        <v>189</v>
      </c>
      <c r="Q5947" s="10" t="s">
        <v>188</v>
      </c>
      <c r="R5947" s="4"/>
      <c r="S5947" s="9" t="str">
        <f>HYPERLINK("https://pbs.twimg.com/profile_images/1001943038858493953/w-liQpVC.jpg","View")</f>
        <v>View</v>
      </c>
    </row>
    <row r="5948" spans="1:19" ht="12.5">
      <c r="A5948" s="8">
        <v>43340.468252314815</v>
      </c>
      <c r="B5948" s="11" t="str">
        <f>HYPERLINK("https://twitter.com/majidmhj1","@majidmhj1")</f>
        <v>@majidmhj1</v>
      </c>
      <c r="C5948" s="6" t="s">
        <v>187</v>
      </c>
      <c r="D5948" s="5" t="s">
        <v>186</v>
      </c>
      <c r="E5948" s="9" t="str">
        <f>HYPERLINK("https://twitter.com/majidmhj1/status/1034330811343007745","1034330811343007745")</f>
        <v>1034330811343007745</v>
      </c>
      <c r="F5948" s="4"/>
      <c r="G5948" s="4"/>
      <c r="H5948" s="4"/>
      <c r="I5948" s="10" t="str">
        <f>HYPERLINK("http://twitter.com/download/android","Twitter for Android")</f>
        <v>Twitter for Android</v>
      </c>
      <c r="J5948" s="2">
        <v>1959</v>
      </c>
      <c r="K5948" s="2">
        <v>1439</v>
      </c>
      <c r="L5948" s="2">
        <v>4</v>
      </c>
      <c r="M5948" s="2"/>
      <c r="N5948" s="8">
        <v>42735.022453703699</v>
      </c>
      <c r="O5948" s="4" t="s">
        <v>185</v>
      </c>
      <c r="P5948" s="3" t="s">
        <v>184</v>
      </c>
      <c r="Q5948" s="4"/>
      <c r="R5948" s="4"/>
      <c r="S5948" s="9" t="str">
        <f>HYPERLINK("https://pbs.twimg.com/profile_images/1025458993920180224/FkARGrqd.jpg","View")</f>
        <v>View</v>
      </c>
    </row>
    <row r="5949" spans="1:19" ht="20">
      <c r="A5949" s="8">
        <v>43340.468240740738</v>
      </c>
      <c r="B5949" s="11" t="str">
        <f>HYPERLINK("https://twitter.com/hamed_pahlevani","@hamed_pahlevani")</f>
        <v>@hamed_pahlevani</v>
      </c>
      <c r="C5949" s="6" t="s">
        <v>183</v>
      </c>
      <c r="D5949" s="5" t="s">
        <v>182</v>
      </c>
      <c r="E5949" s="9" t="str">
        <f>HYPERLINK("https://twitter.com/hamed_pahlevani/status/1034330811183636480","1034330811183636480")</f>
        <v>1034330811183636480</v>
      </c>
      <c r="F5949" s="4"/>
      <c r="G5949" s="10" t="s">
        <v>181</v>
      </c>
      <c r="H5949" s="4"/>
      <c r="I5949" s="10" t="str">
        <f>HYPERLINK("http://twitter.com/download/iphone","Twitter for iPhone")</f>
        <v>Twitter for iPhone</v>
      </c>
      <c r="J5949" s="2">
        <v>3939</v>
      </c>
      <c r="K5949" s="2">
        <v>285</v>
      </c>
      <c r="L5949" s="2">
        <v>38</v>
      </c>
      <c r="M5949" s="2"/>
      <c r="N5949" s="8">
        <v>41060.704652777778</v>
      </c>
      <c r="O5949" s="4" t="s">
        <v>34</v>
      </c>
      <c r="P5949" s="3" t="s">
        <v>180</v>
      </c>
      <c r="Q5949" s="10" t="s">
        <v>179</v>
      </c>
      <c r="R5949" s="4"/>
      <c r="S5949" s="9" t="str">
        <f>HYPERLINK("https://pbs.twimg.com/profile_images/977278551279001600/wYTXF58j.jpg","View")</f>
        <v>View</v>
      </c>
    </row>
    <row r="5950" spans="1:19" ht="30">
      <c r="A5950" s="8">
        <v>43340.468159722222</v>
      </c>
      <c r="B5950" s="11" t="str">
        <f>HYPERLINK("https://twitter.com/Baltazar1100","@Baltazar1100")</f>
        <v>@Baltazar1100</v>
      </c>
      <c r="C5950" s="6" t="s">
        <v>178</v>
      </c>
      <c r="D5950" s="5" t="s">
        <v>177</v>
      </c>
      <c r="E5950" s="9" t="str">
        <f>HYPERLINK("https://twitter.com/Baltazar1100/status/1034330780586127360","1034330780586127360")</f>
        <v>1034330780586127360</v>
      </c>
      <c r="F5950" s="4" t="s">
        <v>176</v>
      </c>
      <c r="G5950" s="4"/>
      <c r="H5950" s="4"/>
      <c r="I5950" s="10" t="str">
        <f>HYPERLINK("http://twitter.com/download/android","Twitter for Android")</f>
        <v>Twitter for Android</v>
      </c>
      <c r="J5950" s="2">
        <v>309</v>
      </c>
      <c r="K5950" s="2">
        <v>487</v>
      </c>
      <c r="L5950" s="2">
        <v>0</v>
      </c>
      <c r="M5950" s="2"/>
      <c r="N5950" s="8">
        <v>43334.583865740744</v>
      </c>
      <c r="O5950" s="4"/>
      <c r="P5950" s="3" t="s">
        <v>175</v>
      </c>
      <c r="Q5950" s="4"/>
      <c r="R5950" s="4"/>
      <c r="S5950" s="9" t="str">
        <f>HYPERLINK("https://pbs.twimg.com/profile_images/1032202694172270598/Wb9ARGhq.jpg","View")</f>
        <v>View</v>
      </c>
    </row>
    <row r="5951" spans="1:19" ht="20">
      <c r="A5951" s="8">
        <v>43340.46806712963</v>
      </c>
      <c r="B5951" s="11" t="str">
        <f>HYPERLINK("https://twitter.com/setarehtanhayii","@setarehtanhayii")</f>
        <v>@setarehtanhayii</v>
      </c>
      <c r="C5951" s="6" t="s">
        <v>174</v>
      </c>
      <c r="D5951" s="5" t="s">
        <v>173</v>
      </c>
      <c r="E5951" s="9" t="str">
        <f>HYPERLINK("https://twitter.com/setarehtanhayii/status/1034330744481435648","1034330744481435648")</f>
        <v>1034330744481435648</v>
      </c>
      <c r="F5951" s="4"/>
      <c r="G5951" s="4"/>
      <c r="H5951" s="4"/>
      <c r="I5951" s="10" t="str">
        <f>HYPERLINK("http://twitter.com","Twitter Web Client")</f>
        <v>Twitter Web Client</v>
      </c>
      <c r="J5951" s="2">
        <v>1226</v>
      </c>
      <c r="K5951" s="2">
        <v>1325</v>
      </c>
      <c r="L5951" s="2">
        <v>1</v>
      </c>
      <c r="M5951" s="2"/>
      <c r="N5951" s="8">
        <v>42953.60802083333</v>
      </c>
      <c r="O5951" s="4" t="s">
        <v>104</v>
      </c>
      <c r="P5951" s="3" t="s">
        <v>172</v>
      </c>
      <c r="Q5951" s="4"/>
      <c r="R5951" s="4"/>
      <c r="S5951" s="9" t="str">
        <f>HYPERLINK("https://pbs.twimg.com/profile_images/901686357583577088/fSdCRO9L.jpg","View")</f>
        <v>View</v>
      </c>
    </row>
    <row r="5952" spans="1:19" ht="30">
      <c r="A5952" s="8">
        <v>43340.468009259261</v>
      </c>
      <c r="B5952" s="11" t="str">
        <f>HYPERLINK("https://twitter.com/rsarbaz_ir","@rsarbaz_ir")</f>
        <v>@rsarbaz_ir</v>
      </c>
      <c r="C5952" s="6" t="s">
        <v>171</v>
      </c>
      <c r="D5952" s="5" t="s">
        <v>170</v>
      </c>
      <c r="E5952" s="9" t="str">
        <f>HYPERLINK("https://twitter.com/rsarbaz_ir/status/1034330723325489153","1034330723325489153")</f>
        <v>1034330723325489153</v>
      </c>
      <c r="F5952" s="4"/>
      <c r="G5952" s="4"/>
      <c r="H5952" s="4"/>
      <c r="I5952" s="10" t="str">
        <f>HYPERLINK("http://twitter.com/download/android","Twitter for Android")</f>
        <v>Twitter for Android</v>
      </c>
      <c r="J5952" s="2">
        <v>301</v>
      </c>
      <c r="K5952" s="2">
        <v>470</v>
      </c>
      <c r="L5952" s="2">
        <v>2</v>
      </c>
      <c r="M5952" s="2"/>
      <c r="N5952" s="8">
        <v>42813.940578703703</v>
      </c>
      <c r="O5952" s="4" t="s">
        <v>169</v>
      </c>
      <c r="P5952" s="3" t="s">
        <v>168</v>
      </c>
      <c r="Q5952" s="4"/>
      <c r="R5952" s="4"/>
      <c r="S5952" s="9" t="str">
        <f>HYPERLINK("https://pbs.twimg.com/profile_images/1014156764693090305/f0ErHlGt.jpg","View")</f>
        <v>View</v>
      </c>
    </row>
    <row r="5953" spans="1:19" ht="12.5">
      <c r="A5953" s="8">
        <v>43340.467951388884</v>
      </c>
      <c r="B5953" s="11" t="str">
        <f>HYPERLINK("https://twitter.com/MPurahmadi","@MPurahmadi")</f>
        <v>@MPurahmadi</v>
      </c>
      <c r="C5953" s="6" t="s">
        <v>167</v>
      </c>
      <c r="D5953" s="5" t="s">
        <v>166</v>
      </c>
      <c r="E5953" s="9" t="str">
        <f>HYPERLINK("https://twitter.com/MPurahmadi/status/1034330705881387008","1034330705881387008")</f>
        <v>1034330705881387008</v>
      </c>
      <c r="F5953" s="4"/>
      <c r="G5953" s="4"/>
      <c r="H5953" s="4"/>
      <c r="I5953" s="10" t="str">
        <f>HYPERLINK("http://twitter.com/download/iphone","Twitter for iPhone")</f>
        <v>Twitter for iPhone</v>
      </c>
      <c r="J5953" s="2">
        <v>96</v>
      </c>
      <c r="K5953" s="2">
        <v>324</v>
      </c>
      <c r="L5953" s="2">
        <v>1</v>
      </c>
      <c r="M5953" s="2"/>
      <c r="N5953" s="8">
        <v>42901.639548611114</v>
      </c>
      <c r="O5953" s="4" t="s">
        <v>34</v>
      </c>
      <c r="P5953" s="3" t="s">
        <v>165</v>
      </c>
      <c r="Q5953" s="4"/>
      <c r="R5953" s="4"/>
      <c r="S5953" s="9" t="str">
        <f>HYPERLINK("https://pbs.twimg.com/profile_images/1032377250740678658/PyxBpvb-.jpg","View")</f>
        <v>View</v>
      </c>
    </row>
    <row r="5954" spans="1:19" ht="40">
      <c r="A5954" s="8">
        <v>43340.467893518522</v>
      </c>
      <c r="B5954" s="11" t="str">
        <f>HYPERLINK("https://twitter.com/juventus0098","@juventus0098")</f>
        <v>@juventus0098</v>
      </c>
      <c r="C5954" s="6" t="s">
        <v>164</v>
      </c>
      <c r="D5954" s="5" t="s">
        <v>163</v>
      </c>
      <c r="E5954" s="9" t="str">
        <f>HYPERLINK("https://twitter.com/juventus0098/status/1034330684557598721","1034330684557598721")</f>
        <v>1034330684557598721</v>
      </c>
      <c r="F5954" s="4"/>
      <c r="G5954" s="4"/>
      <c r="H5954" s="4"/>
      <c r="I5954" s="10" t="str">
        <f>HYPERLINK("http://twitter.com/download/android","Twitter for Android")</f>
        <v>Twitter for Android</v>
      </c>
      <c r="J5954" s="2">
        <v>885</v>
      </c>
      <c r="K5954" s="2">
        <v>563</v>
      </c>
      <c r="L5954" s="2">
        <v>7</v>
      </c>
      <c r="M5954" s="2"/>
      <c r="N5954" s="8">
        <v>42655.448865740742</v>
      </c>
      <c r="O5954" s="4" t="s">
        <v>104</v>
      </c>
      <c r="P5954" s="3" t="s">
        <v>162</v>
      </c>
      <c r="Q5954" s="4"/>
      <c r="R5954" s="4"/>
      <c r="S5954" s="9" t="str">
        <f>HYPERLINK("https://pbs.twimg.com/profile_images/956437322844790784/XaA6WVub.jpg","View")</f>
        <v>View</v>
      </c>
    </row>
    <row r="5955" spans="1:19" ht="12.5">
      <c r="A5955" s="8">
        <v>43340.467858796299</v>
      </c>
      <c r="B5955" s="11" t="str">
        <f>HYPERLINK("https://twitter.com/aghamohsen72","@aghamohsen72")</f>
        <v>@aghamohsen72</v>
      </c>
      <c r="C5955" s="6" t="s">
        <v>161</v>
      </c>
      <c r="D5955" s="5" t="s">
        <v>160</v>
      </c>
      <c r="E5955" s="9" t="str">
        <f>HYPERLINK("https://twitter.com/aghamohsen72/status/1034330671781695493","1034330671781695493")</f>
        <v>1034330671781695493</v>
      </c>
      <c r="F5955" s="4"/>
      <c r="G5955" s="10" t="s">
        <v>159</v>
      </c>
      <c r="H5955" s="4"/>
      <c r="I5955" s="10" t="str">
        <f>HYPERLINK("http://twitter.com","Twitter Web Client")</f>
        <v>Twitter Web Client</v>
      </c>
      <c r="J5955" s="2">
        <v>101</v>
      </c>
      <c r="K5955" s="2">
        <v>103</v>
      </c>
      <c r="L5955" s="2">
        <v>0</v>
      </c>
      <c r="M5955" s="2"/>
      <c r="N5955" s="8">
        <v>42388.465405092589</v>
      </c>
      <c r="O5955" s="4" t="s">
        <v>158</v>
      </c>
      <c r="P5955" s="3" t="s">
        <v>157</v>
      </c>
      <c r="Q5955" s="10" t="s">
        <v>156</v>
      </c>
      <c r="R5955" s="4"/>
      <c r="S5955" s="2" t="s">
        <v>155</v>
      </c>
    </row>
    <row r="5956" spans="1:19" ht="30">
      <c r="A5956" s="8">
        <v>43340.467777777776</v>
      </c>
      <c r="B5956" s="11" t="str">
        <f>HYPERLINK("https://twitter.com/s_fatemeh74","@s_fatemeh74")</f>
        <v>@s_fatemeh74</v>
      </c>
      <c r="C5956" s="6" t="s">
        <v>154</v>
      </c>
      <c r="D5956" s="5" t="s">
        <v>153</v>
      </c>
      <c r="E5956" s="9" t="str">
        <f>HYPERLINK("https://twitter.com/s_fatemeh74/status/1034330639636615168","1034330639636615168")</f>
        <v>1034330639636615168</v>
      </c>
      <c r="F5956" s="4"/>
      <c r="G5956" s="10" t="s">
        <v>152</v>
      </c>
      <c r="H5956" s="4"/>
      <c r="I5956" s="10" t="str">
        <f>HYPERLINK("http://twitter.com/download/android","Twitter for Android")</f>
        <v>Twitter for Android</v>
      </c>
      <c r="J5956" s="2">
        <v>927</v>
      </c>
      <c r="K5956" s="2">
        <v>953</v>
      </c>
      <c r="L5956" s="2">
        <v>2</v>
      </c>
      <c r="M5956" s="2"/>
      <c r="N5956" s="8">
        <v>43265.009502314817</v>
      </c>
      <c r="O5956" s="4"/>
      <c r="P5956" s="3" t="s">
        <v>151</v>
      </c>
      <c r="Q5956" s="4"/>
      <c r="R5956" s="4"/>
      <c r="S5956" s="9" t="str">
        <f>HYPERLINK("https://pbs.twimg.com/profile_images/1006988913846571008/oYPnyHsq.jpg","View")</f>
        <v>View</v>
      </c>
    </row>
    <row r="5957" spans="1:19" ht="30">
      <c r="A5957" s="8">
        <v>43340.467719907407</v>
      </c>
      <c r="B5957" s="11" t="str">
        <f>HYPERLINK("https://twitter.com/Me___Ti","@Me___Ti")</f>
        <v>@Me___Ti</v>
      </c>
      <c r="C5957" s="6" t="s">
        <v>150</v>
      </c>
      <c r="D5957" s="5" t="s">
        <v>149</v>
      </c>
      <c r="E5957" s="9" t="str">
        <f>HYPERLINK("https://twitter.com/Me___Ti/status/1034330619071930369","1034330619071930369")</f>
        <v>1034330619071930369</v>
      </c>
      <c r="F5957" s="4"/>
      <c r="G5957" s="4"/>
      <c r="H5957" s="4"/>
      <c r="I5957" s="10" t="str">
        <f>HYPERLINK("http://twitter.com","Twitter Web Client")</f>
        <v>Twitter Web Client</v>
      </c>
      <c r="J5957" s="2">
        <v>8622</v>
      </c>
      <c r="K5957" s="2">
        <v>5509</v>
      </c>
      <c r="L5957" s="2">
        <v>5</v>
      </c>
      <c r="M5957" s="2"/>
      <c r="N5957" s="8">
        <v>41480.971851851849</v>
      </c>
      <c r="O5957" s="4"/>
      <c r="P5957" s="3" t="s">
        <v>148</v>
      </c>
      <c r="Q5957" s="4"/>
      <c r="R5957" s="4"/>
      <c r="S5957" s="9" t="str">
        <f>HYPERLINK("https://pbs.twimg.com/profile_images/897211722351693824/uAUhvxMZ.jpg","View")</f>
        <v>View</v>
      </c>
    </row>
    <row r="5958" spans="1:19" ht="40">
      <c r="A5958" s="8">
        <v>43340.467569444445</v>
      </c>
      <c r="B5958" s="11" t="str">
        <f>HYPERLINK("https://twitter.com/mrbahrani4","@mrbahrani4")</f>
        <v>@mrbahrani4</v>
      </c>
      <c r="C5958" s="6" t="s">
        <v>147</v>
      </c>
      <c r="D5958" s="5" t="s">
        <v>146</v>
      </c>
      <c r="E5958" s="9" t="str">
        <f>HYPERLINK("https://twitter.com/mrbahrani4/status/1034330567930781697","1034330567930781697")</f>
        <v>1034330567930781697</v>
      </c>
      <c r="F5958" s="4"/>
      <c r="G5958" s="4"/>
      <c r="H5958" s="4"/>
      <c r="I5958" s="10" t="str">
        <f>HYPERLINK("http://twitter.com","Twitter Web Client")</f>
        <v>Twitter Web Client</v>
      </c>
      <c r="J5958" s="2">
        <v>14</v>
      </c>
      <c r="K5958" s="2">
        <v>14</v>
      </c>
      <c r="L5958" s="2">
        <v>0</v>
      </c>
      <c r="M5958" s="2"/>
      <c r="N5958" s="8">
        <v>42368.146400462967</v>
      </c>
      <c r="O5958" s="4" t="s">
        <v>145</v>
      </c>
      <c r="P5958" s="3" t="s">
        <v>144</v>
      </c>
      <c r="Q5958" s="4"/>
      <c r="R5958" s="4"/>
      <c r="S5958" s="9" t="str">
        <f>HYPERLINK("https://pbs.twimg.com/profile_images/1011707039272218624/sTmhaytP.jpg","View")</f>
        <v>View</v>
      </c>
    </row>
    <row r="5959" spans="1:19" ht="30">
      <c r="A5959" s="8">
        <v>43340.467546296291</v>
      </c>
      <c r="B5959" s="11" t="str">
        <f>HYPERLINK("https://twitter.com/redintellects","@redintellects")</f>
        <v>@redintellects</v>
      </c>
      <c r="C5959" s="6" t="s">
        <v>143</v>
      </c>
      <c r="D5959" s="5" t="s">
        <v>142</v>
      </c>
      <c r="E5959" s="9" t="str">
        <f>HYPERLINK("https://twitter.com/redintellects/status/1034330556950093824","1034330556950093824")</f>
        <v>1034330556950093824</v>
      </c>
      <c r="F5959" s="4"/>
      <c r="G5959" s="4"/>
      <c r="H5959" s="4"/>
      <c r="I5959" s="10" t="str">
        <f>HYPERLINK("http://twitter.com/download/android","Twitter for Android")</f>
        <v>Twitter for Android</v>
      </c>
      <c r="J5959" s="2">
        <v>1173</v>
      </c>
      <c r="K5959" s="2">
        <v>954</v>
      </c>
      <c r="L5959" s="2">
        <v>2</v>
      </c>
      <c r="M5959" s="2"/>
      <c r="N5959" s="8">
        <v>42742.967152777783</v>
      </c>
      <c r="O5959" s="4"/>
      <c r="P5959" s="3" t="s">
        <v>141</v>
      </c>
      <c r="Q5959" s="10" t="s">
        <v>140</v>
      </c>
      <c r="R5959" s="4"/>
      <c r="S5959" s="9" t="str">
        <f>HYPERLINK("https://pbs.twimg.com/profile_images/869313191087681536/QS95cQeP.jpg","View")</f>
        <v>View</v>
      </c>
    </row>
    <row r="5960" spans="1:19" ht="40">
      <c r="A5960" s="8">
        <v>43340.467523148152</v>
      </c>
      <c r="B5960" s="11" t="str">
        <f>HYPERLINK("https://twitter.com/rastgaamataan","@rastgaamataan")</f>
        <v>@rastgaamataan</v>
      </c>
      <c r="C5960" s="6" t="s">
        <v>139</v>
      </c>
      <c r="D5960" s="5" t="s">
        <v>138</v>
      </c>
      <c r="E5960" s="9" t="str">
        <f>HYPERLINK("https://twitter.com/rastgaamataan/status/1034330548989317120","1034330548989317120")</f>
        <v>1034330548989317120</v>
      </c>
      <c r="F5960" s="4"/>
      <c r="G5960" s="4"/>
      <c r="H5960" s="4"/>
      <c r="I5960" s="10" t="str">
        <f>HYPERLINK("https://mobile.twitter.com","Twitter Lite")</f>
        <v>Twitter Lite</v>
      </c>
      <c r="J5960" s="2">
        <v>42</v>
      </c>
      <c r="K5960" s="2">
        <v>64</v>
      </c>
      <c r="L5960" s="2">
        <v>0</v>
      </c>
      <c r="M5960" s="2"/>
      <c r="N5960" s="8">
        <v>43302.499826388885</v>
      </c>
      <c r="O5960" s="4"/>
      <c r="P5960" s="3" t="s">
        <v>137</v>
      </c>
      <c r="Q5960" s="4"/>
      <c r="R5960" s="4"/>
      <c r="S5960" s="9" t="str">
        <f>HYPERLINK("https://pbs.twimg.com/profile_images/1020641321944592384/jBH8fkva.jpg","View")</f>
        <v>View</v>
      </c>
    </row>
    <row r="5961" spans="1:19" ht="30">
      <c r="A5961" s="8">
        <v>43340.467453703706</v>
      </c>
      <c r="B5961" s="11" t="str">
        <f>HYPERLINK("https://twitter.com/Ghoghnus11","@Ghoghnus11")</f>
        <v>@Ghoghnus11</v>
      </c>
      <c r="C5961" s="6" t="s">
        <v>15</v>
      </c>
      <c r="D5961" s="5" t="s">
        <v>136</v>
      </c>
      <c r="E5961" s="9" t="str">
        <f>HYPERLINK("https://twitter.com/Ghoghnus11/status/1034330524926570496","1034330524926570496")</f>
        <v>1034330524926570496</v>
      </c>
      <c r="F5961" s="4"/>
      <c r="G5961" s="4"/>
      <c r="H5961" s="4"/>
      <c r="I5961" s="10" t="str">
        <f>HYPERLINK("http://twitter.com/download/android","Twitter for Android")</f>
        <v>Twitter for Android</v>
      </c>
      <c r="J5961" s="2">
        <v>1293</v>
      </c>
      <c r="K5961" s="2">
        <v>1480</v>
      </c>
      <c r="L5961" s="2">
        <v>2</v>
      </c>
      <c r="M5961" s="2"/>
      <c r="N5961" s="8">
        <v>43145.030578703707</v>
      </c>
      <c r="O5961" s="4"/>
      <c r="P5961" s="3" t="s">
        <v>13</v>
      </c>
      <c r="Q5961" s="4"/>
      <c r="R5961" s="4"/>
      <c r="S5961" s="9" t="str">
        <f>HYPERLINK("https://pbs.twimg.com/profile_images/998733120865091584/fgjpCWOH.jpg","View")</f>
        <v>View</v>
      </c>
    </row>
    <row r="5962" spans="1:19" ht="40">
      <c r="A5962" s="8">
        <v>43340.467430555553</v>
      </c>
      <c r="B5962" s="11" t="str">
        <f>HYPERLINK("https://twitter.com/Nikoobakht","@Nikoobakht")</f>
        <v>@Nikoobakht</v>
      </c>
      <c r="C5962" s="6" t="s">
        <v>135</v>
      </c>
      <c r="D5962" s="5" t="s">
        <v>134</v>
      </c>
      <c r="E5962" s="9" t="str">
        <f>HYPERLINK("https://twitter.com/Nikoobakht/status/1034330515078369280","1034330515078369280")</f>
        <v>1034330515078369280</v>
      </c>
      <c r="F5962" s="4"/>
      <c r="G5962" s="4"/>
      <c r="H5962" s="4"/>
      <c r="I5962" s="10" t="str">
        <f>HYPERLINK("http://twitter.com/download/android","Twitter for Android")</f>
        <v>Twitter for Android</v>
      </c>
      <c r="J5962" s="2">
        <v>61</v>
      </c>
      <c r="K5962" s="2">
        <v>48</v>
      </c>
      <c r="L5962" s="2">
        <v>2</v>
      </c>
      <c r="M5962" s="2"/>
      <c r="N5962" s="8">
        <v>42069.570590277777</v>
      </c>
      <c r="O5962" s="4" t="s">
        <v>133</v>
      </c>
      <c r="P5962" s="3" t="s">
        <v>132</v>
      </c>
      <c r="Q5962" s="10" t="s">
        <v>131</v>
      </c>
      <c r="R5962" s="4"/>
      <c r="S5962" s="9" t="str">
        <f>HYPERLINK("https://pbs.twimg.com/profile_images/987074666538962945/YNEHmQ82.jpg","View")</f>
        <v>View</v>
      </c>
    </row>
    <row r="5963" spans="1:19" ht="20">
      <c r="A5963" s="8">
        <v>43340.467303240745</v>
      </c>
      <c r="B5963" s="11" t="str">
        <f>HYPERLINK("https://twitter.com/Mohsen46827799","@Mohsen46827799")</f>
        <v>@Mohsen46827799</v>
      </c>
      <c r="C5963" s="6" t="s">
        <v>49</v>
      </c>
      <c r="D5963" s="5" t="s">
        <v>130</v>
      </c>
      <c r="E5963" s="9" t="str">
        <f>HYPERLINK("https://twitter.com/Mohsen46827799/status/1034330471168180224","1034330471168180224")</f>
        <v>1034330471168180224</v>
      </c>
      <c r="F5963" s="4"/>
      <c r="G5963" s="4"/>
      <c r="H5963" s="4"/>
      <c r="I5963" s="10" t="str">
        <f>HYPERLINK("http://twitter.com/download/android","Twitter for Android")</f>
        <v>Twitter for Android</v>
      </c>
      <c r="J5963" s="2">
        <v>184</v>
      </c>
      <c r="K5963" s="2">
        <v>66</v>
      </c>
      <c r="L5963" s="2">
        <v>0</v>
      </c>
      <c r="M5963" s="2"/>
      <c r="N5963" s="8">
        <v>43282.08929398148</v>
      </c>
      <c r="O5963" s="4"/>
      <c r="P5963" s="3" t="s">
        <v>47</v>
      </c>
      <c r="Q5963" s="4"/>
      <c r="R5963" s="4"/>
      <c r="S5963" s="9" t="str">
        <f>HYPERLINK("https://pbs.twimg.com/profile_images/1030824684663783424/Igfrv82s.jpg","View")</f>
        <v>View</v>
      </c>
    </row>
    <row r="5964" spans="1:19" ht="30">
      <c r="A5964" s="8">
        <v>43340.467222222222</v>
      </c>
      <c r="B5964" s="11" t="str">
        <f>HYPERLINK("https://twitter.com/khojasteh75","@khojasteh75")</f>
        <v>@khojasteh75</v>
      </c>
      <c r="C5964" s="6" t="s">
        <v>129</v>
      </c>
      <c r="D5964" s="5" t="s">
        <v>128</v>
      </c>
      <c r="E5964" s="9" t="str">
        <f>HYPERLINK("https://twitter.com/khojasteh75/status/1034330441392762881","1034330441392762881")</f>
        <v>1034330441392762881</v>
      </c>
      <c r="F5964" s="4"/>
      <c r="G5964" s="4"/>
      <c r="H5964" s="4"/>
      <c r="I5964" s="10" t="str">
        <f>HYPERLINK("http://twitter.com","Twitter Web Client")</f>
        <v>Twitter Web Client</v>
      </c>
      <c r="J5964" s="2">
        <v>10227</v>
      </c>
      <c r="K5964" s="2">
        <v>996</v>
      </c>
      <c r="L5964" s="2">
        <v>35</v>
      </c>
      <c r="M5964" s="2"/>
      <c r="N5964" s="8">
        <v>42637.993807870371</v>
      </c>
      <c r="O5964" s="4" t="s">
        <v>17</v>
      </c>
      <c r="P5964" s="3" t="s">
        <v>127</v>
      </c>
      <c r="Q5964" s="10" t="s">
        <v>126</v>
      </c>
      <c r="R5964" s="4"/>
      <c r="S5964" s="9" t="str">
        <f>HYPERLINK("https://pbs.twimg.com/profile_images/868063173991124993/V2zrgvUv.jpg","View")</f>
        <v>View</v>
      </c>
    </row>
    <row r="5965" spans="1:19" ht="40">
      <c r="A5965" s="8">
        <v>43340.467199074075</v>
      </c>
      <c r="B5965" s="11" t="str">
        <f>HYPERLINK("https://twitter.com/M_Hajarr","@M_Hajarr")</f>
        <v>@M_Hajarr</v>
      </c>
      <c r="C5965" s="6" t="s">
        <v>125</v>
      </c>
      <c r="D5965" s="5" t="s">
        <v>124</v>
      </c>
      <c r="E5965" s="9" t="str">
        <f>HYPERLINK("https://twitter.com/M_Hajarr/status/1034330430655393792","1034330430655393792")</f>
        <v>1034330430655393792</v>
      </c>
      <c r="F5965" s="4"/>
      <c r="G5965" s="4"/>
      <c r="H5965" s="4"/>
      <c r="I5965" s="10" t="str">
        <f>HYPERLINK("http://twitter.com/download/android","Twitter for Android")</f>
        <v>Twitter for Android</v>
      </c>
      <c r="J5965" s="2">
        <v>907</v>
      </c>
      <c r="K5965" s="2">
        <v>1320</v>
      </c>
      <c r="L5965" s="2">
        <v>1</v>
      </c>
      <c r="M5965" s="2"/>
      <c r="N5965" s="8">
        <v>42918.549641203703</v>
      </c>
      <c r="O5965" s="4"/>
      <c r="P5965" s="3" t="s">
        <v>123</v>
      </c>
      <c r="Q5965" s="4"/>
      <c r="R5965" s="4"/>
      <c r="S5965" s="9" t="str">
        <f>HYPERLINK("https://pbs.twimg.com/profile_images/1030581313806495744/QyYqukki.jpg","View")</f>
        <v>View</v>
      </c>
    </row>
    <row r="5966" spans="1:19" ht="40">
      <c r="A5966" s="8">
        <v>43340.467187499999</v>
      </c>
      <c r="B5966" s="11" t="str">
        <f>HYPERLINK("https://twitter.com/samimi_sadaf","@samimi_sadaf")</f>
        <v>@samimi_sadaf</v>
      </c>
      <c r="C5966" s="6" t="s">
        <v>122</v>
      </c>
      <c r="D5966" s="5" t="s">
        <v>121</v>
      </c>
      <c r="E5966" s="9" t="str">
        <f>HYPERLINK("https://twitter.com/samimi_sadaf/status/1034330428742803458","1034330428742803458")</f>
        <v>1034330428742803458</v>
      </c>
      <c r="F5966" s="4"/>
      <c r="G5966" s="10" t="s">
        <v>120</v>
      </c>
      <c r="H5966" s="4"/>
      <c r="I5966" s="10" t="str">
        <f>HYPERLINK("http://twitter.com/download/iphone","Twitter for iPhone")</f>
        <v>Twitter for iPhone</v>
      </c>
      <c r="J5966" s="2">
        <v>5886</v>
      </c>
      <c r="K5966" s="2">
        <v>496</v>
      </c>
      <c r="L5966" s="2">
        <v>22</v>
      </c>
      <c r="M5966" s="2"/>
      <c r="N5966" s="8">
        <v>42695.007476851853</v>
      </c>
      <c r="O5966" s="4" t="s">
        <v>34</v>
      </c>
      <c r="P5966" s="3" t="s">
        <v>119</v>
      </c>
      <c r="Q5966" s="10" t="s">
        <v>118</v>
      </c>
      <c r="R5966" s="4"/>
      <c r="S5966" s="9" t="str">
        <f>HYPERLINK("https://pbs.twimg.com/profile_images/1024712519393456131/yXoH_KYq.jpg","View")</f>
        <v>View</v>
      </c>
    </row>
    <row r="5967" spans="1:19" ht="20">
      <c r="A5967" s="8">
        <v>43340.467141203699</v>
      </c>
      <c r="B5967" s="11" t="str">
        <f>HYPERLINK("https://twitter.com/lindnisjhkd","@lindnisjhkd")</f>
        <v>@lindnisjhkd</v>
      </c>
      <c r="C5967" s="6" t="s">
        <v>117</v>
      </c>
      <c r="D5967" s="5" t="s">
        <v>116</v>
      </c>
      <c r="E5967" s="9" t="str">
        <f>HYPERLINK("https://twitter.com/lindnisjhkd/status/1034330411374202880","1034330411374202880")</f>
        <v>1034330411374202880</v>
      </c>
      <c r="F5967" s="4"/>
      <c r="G5967" s="4"/>
      <c r="H5967" s="4"/>
      <c r="I5967" s="10" t="str">
        <f>HYPERLINK("http://twitter.com","Twitter Web Client")</f>
        <v>Twitter Web Client</v>
      </c>
      <c r="J5967" s="2">
        <v>2258</v>
      </c>
      <c r="K5967" s="2">
        <v>2272</v>
      </c>
      <c r="L5967" s="2">
        <v>1</v>
      </c>
      <c r="M5967" s="2"/>
      <c r="N5967" s="8">
        <v>42733.668009259258</v>
      </c>
      <c r="O5967" s="4"/>
      <c r="P5967" s="3" t="s">
        <v>115</v>
      </c>
      <c r="Q5967" s="4"/>
      <c r="R5967" s="4"/>
      <c r="S5967" s="9" t="str">
        <f>HYPERLINK("https://pbs.twimg.com/profile_images/1030167719998443520/B1MAYwOP.jpg","View")</f>
        <v>View</v>
      </c>
    </row>
    <row r="5968" spans="1:19" ht="40">
      <c r="A5968" s="8">
        <v>43340.467141203699</v>
      </c>
      <c r="B5968" s="11" t="str">
        <f>HYPERLINK("https://twitter.com/Delrish315","@Delrish315")</f>
        <v>@Delrish315</v>
      </c>
      <c r="C5968" s="6" t="s">
        <v>114</v>
      </c>
      <c r="D5968" s="5" t="s">
        <v>113</v>
      </c>
      <c r="E5968" s="9" t="str">
        <f>HYPERLINK("https://twitter.com/Delrish315/status/1034330409025372160","1034330409025372160")</f>
        <v>1034330409025372160</v>
      </c>
      <c r="F5968" s="4"/>
      <c r="G5968" s="4"/>
      <c r="H5968" s="4"/>
      <c r="I5968" s="10" t="str">
        <f>HYPERLINK("http://twitter.com/download/android","Twitter for Android")</f>
        <v>Twitter for Android</v>
      </c>
      <c r="J5968" s="2">
        <v>18</v>
      </c>
      <c r="K5968" s="2">
        <v>21</v>
      </c>
      <c r="L5968" s="2">
        <v>0</v>
      </c>
      <c r="M5968" s="2"/>
      <c r="N5968" s="8">
        <v>43339.579791666663</v>
      </c>
      <c r="O5968" s="4" t="s">
        <v>112</v>
      </c>
      <c r="P5968" s="3" t="s">
        <v>111</v>
      </c>
      <c r="Q5968" s="4"/>
      <c r="R5968" s="4"/>
      <c r="S5968" s="9" t="str">
        <f>HYPERLINK("https://pbs.twimg.com/profile_images/1034010238083588096/U5AAqKBq.jpg","View")</f>
        <v>View</v>
      </c>
    </row>
    <row r="5969" spans="1:19" ht="20">
      <c r="A5969" s="8">
        <v>43340.467129629629</v>
      </c>
      <c r="B5969" s="11" t="str">
        <f>HYPERLINK("https://twitter.com/yVA4ATUfdofr2xS","@yVA4ATUfdofr2xS")</f>
        <v>@yVA4ATUfdofr2xS</v>
      </c>
      <c r="C5969" s="6" t="s">
        <v>27</v>
      </c>
      <c r="D5969" s="5" t="s">
        <v>110</v>
      </c>
      <c r="E5969" s="9" t="str">
        <f>HYPERLINK("https://twitter.com/yVA4ATUfdofr2xS/status/1034330405095256064","1034330405095256064")</f>
        <v>1034330405095256064</v>
      </c>
      <c r="F5969" s="4"/>
      <c r="G5969" s="4"/>
      <c r="H5969" s="4"/>
      <c r="I5969" s="10" t="str">
        <f>HYPERLINK("http://twitter.com","Twitter Web Client")</f>
        <v>Twitter Web Client</v>
      </c>
      <c r="J5969" s="2">
        <v>120</v>
      </c>
      <c r="K5969" s="2">
        <v>2</v>
      </c>
      <c r="L5969" s="2">
        <v>0</v>
      </c>
      <c r="M5969" s="2"/>
      <c r="N5969" s="8">
        <v>43323.438252314816</v>
      </c>
      <c r="O5969" s="4" t="s">
        <v>25</v>
      </c>
      <c r="P5969" s="3" t="s">
        <v>24</v>
      </c>
      <c r="Q5969" s="4"/>
      <c r="R5969" s="4"/>
      <c r="S5969" s="9" t="str">
        <f>HYPERLINK("https://pbs.twimg.com/profile_images/1028178183206498305/b7usXKsw.jpg","View")</f>
        <v>View</v>
      </c>
    </row>
    <row r="5970" spans="1:19" ht="20">
      <c r="A5970" s="8">
        <v>43340.46711805556</v>
      </c>
      <c r="B5970" s="11" t="str">
        <f>HYPERLINK("https://twitter.com/bardiairani4","@bardiairani4")</f>
        <v>@bardiairani4</v>
      </c>
      <c r="C5970" s="6" t="s">
        <v>109</v>
      </c>
      <c r="D5970" s="5" t="s">
        <v>108</v>
      </c>
      <c r="E5970" s="9" t="str">
        <f>HYPERLINK("https://twitter.com/bardiairani4/status/1034330403786641414","1034330403786641414")</f>
        <v>1034330403786641414</v>
      </c>
      <c r="F5970" s="4"/>
      <c r="G5970" s="4"/>
      <c r="H5970" s="4"/>
      <c r="I5970" s="10" t="str">
        <f>HYPERLINK("http://twitter.com/download/android","Twitter for Android")</f>
        <v>Twitter for Android</v>
      </c>
      <c r="J5970" s="2">
        <v>34</v>
      </c>
      <c r="K5970" s="2">
        <v>34</v>
      </c>
      <c r="L5970" s="2">
        <v>0</v>
      </c>
      <c r="M5970" s="2"/>
      <c r="N5970" s="8">
        <v>43317.830104166671</v>
      </c>
      <c r="O5970" s="4"/>
      <c r="P5970" s="3" t="s">
        <v>107</v>
      </c>
      <c r="Q5970" s="4"/>
      <c r="R5970" s="4"/>
      <c r="S5970" s="9" t="str">
        <f>HYPERLINK("https://pbs.twimg.com/profile_images/1026518407372591106/b9tQN_bg.jpg","View")</f>
        <v>View</v>
      </c>
    </row>
    <row r="5971" spans="1:19" ht="20">
      <c r="A5971" s="8">
        <v>43340.46711805556</v>
      </c>
      <c r="B5971" s="11" t="str">
        <f>HYPERLINK("https://twitter.com/Mahdi_GMG","@Mahdi_GMG")</f>
        <v>@Mahdi_GMG</v>
      </c>
      <c r="C5971" s="6" t="s">
        <v>106</v>
      </c>
      <c r="D5971" s="5" t="s">
        <v>105</v>
      </c>
      <c r="E5971" s="9" t="str">
        <f>HYPERLINK("https://twitter.com/Mahdi_GMG/status/1034330402754899968","1034330402754899968")</f>
        <v>1034330402754899968</v>
      </c>
      <c r="F5971" s="4"/>
      <c r="G5971" s="4"/>
      <c r="H5971" s="4"/>
      <c r="I5971" s="10" t="str">
        <f>HYPERLINK("http://twitter.com/download/android","Twitter for Android")</f>
        <v>Twitter for Android</v>
      </c>
      <c r="J5971" s="2">
        <v>670</v>
      </c>
      <c r="K5971" s="2">
        <v>663</v>
      </c>
      <c r="L5971" s="2">
        <v>3</v>
      </c>
      <c r="M5971" s="2"/>
      <c r="N5971" s="8">
        <v>42650.69736111111</v>
      </c>
      <c r="O5971" s="4" t="s">
        <v>104</v>
      </c>
      <c r="P5971" s="3"/>
      <c r="Q5971" s="4"/>
      <c r="R5971" s="4"/>
      <c r="S5971" s="9" t="str">
        <f>HYPERLINK("https://pbs.twimg.com/profile_images/1002121245155123200/hTwGlXX4.jpg","View")</f>
        <v>View</v>
      </c>
    </row>
    <row r="5972" spans="1:19" ht="20">
      <c r="A5972" s="8">
        <v>43340.46707175926</v>
      </c>
      <c r="B5972" s="11" t="str">
        <f>HYPERLINK("https://twitter.com/RoozPortal","@RoozPortal")</f>
        <v>@RoozPortal</v>
      </c>
      <c r="C5972" s="6" t="s">
        <v>103</v>
      </c>
      <c r="D5972" s="5" t="s">
        <v>102</v>
      </c>
      <c r="E5972" s="9" t="str">
        <f>HYPERLINK("https://twitter.com/RoozPortal/status/1034330383767220227","1034330383767220227")</f>
        <v>1034330383767220227</v>
      </c>
      <c r="F5972" s="10" t="s">
        <v>101</v>
      </c>
      <c r="G5972" s="4"/>
      <c r="H5972" s="4"/>
      <c r="I5972" s="10" t="str">
        <f>HYPERLINK("http://twitter.com","Twitter Web Client")</f>
        <v>Twitter Web Client</v>
      </c>
      <c r="J5972" s="2">
        <v>709</v>
      </c>
      <c r="K5972" s="2">
        <v>66</v>
      </c>
      <c r="L5972" s="2">
        <v>0</v>
      </c>
      <c r="M5972" s="2"/>
      <c r="N5972" s="8">
        <v>42955.651608796295</v>
      </c>
      <c r="O5972" s="4"/>
      <c r="P5972" s="3" t="s">
        <v>100</v>
      </c>
      <c r="Q5972" s="10" t="s">
        <v>99</v>
      </c>
      <c r="R5972" s="4"/>
      <c r="S5972" s="9" t="str">
        <f>HYPERLINK("https://pbs.twimg.com/profile_images/894879327573114884/JSAl1mw-.jpg","View")</f>
        <v>View</v>
      </c>
    </row>
    <row r="5973" spans="1:19" ht="20">
      <c r="A5973" s="8">
        <v>43340.466990740737</v>
      </c>
      <c r="B5973" s="11" t="str">
        <f>HYPERLINK("https://twitter.com/Mostafa_Goli","@Mostafa_Goli")</f>
        <v>@Mostafa_Goli</v>
      </c>
      <c r="C5973" s="6" t="s">
        <v>98</v>
      </c>
      <c r="D5973" s="5" t="s">
        <v>97</v>
      </c>
      <c r="E5973" s="9" t="str">
        <f>HYPERLINK("https://twitter.com/Mostafa_Goli/status/1034330357514960896","1034330357514960896")</f>
        <v>1034330357514960896</v>
      </c>
      <c r="F5973" s="4"/>
      <c r="G5973" s="4"/>
      <c r="H5973" s="4"/>
      <c r="I5973" s="10" t="str">
        <f>HYPERLINK("http://twitter.com/download/android","Twitter for Android")</f>
        <v>Twitter for Android</v>
      </c>
      <c r="J5973" s="2">
        <v>2070</v>
      </c>
      <c r="K5973" s="2">
        <v>916</v>
      </c>
      <c r="L5973" s="2">
        <v>6</v>
      </c>
      <c r="M5973" s="2"/>
      <c r="N5973" s="8">
        <v>41881.921805555554</v>
      </c>
      <c r="O5973" s="4"/>
      <c r="P5973" s="3">
        <v>1996</v>
      </c>
      <c r="Q5973" s="4"/>
      <c r="R5973" s="4"/>
      <c r="S5973" s="9" t="str">
        <f>HYPERLINK("https://pbs.twimg.com/profile_images/1018776351887773697/igEtmh-y.jpg","View")</f>
        <v>View</v>
      </c>
    </row>
    <row r="5974" spans="1:19" ht="30">
      <c r="A5974" s="8">
        <v>43340.466921296298</v>
      </c>
      <c r="B5974" s="11" t="str">
        <f>HYPERLINK("https://twitter.com/Mohajer63171914","@Mohajer63171914")</f>
        <v>@Mohajer63171914</v>
      </c>
      <c r="C5974" s="6" t="s">
        <v>96</v>
      </c>
      <c r="D5974" s="5" t="s">
        <v>95</v>
      </c>
      <c r="E5974" s="9" t="str">
        <f>HYPERLINK("https://twitter.com/Mohajer63171914/status/1034330331506253824","1034330331506253824")</f>
        <v>1034330331506253824</v>
      </c>
      <c r="F5974" s="4"/>
      <c r="G5974" s="10" t="s">
        <v>94</v>
      </c>
      <c r="H5974" s="4"/>
      <c r="I5974" s="10" t="str">
        <f>HYPERLINK("http://twitter.com/download/android","Twitter for Android")</f>
        <v>Twitter for Android</v>
      </c>
      <c r="J5974" s="2">
        <v>2415</v>
      </c>
      <c r="K5974" s="2">
        <v>2875</v>
      </c>
      <c r="L5974" s="2">
        <v>0</v>
      </c>
      <c r="M5974" s="2"/>
      <c r="N5974" s="8">
        <v>43228.579907407402</v>
      </c>
      <c r="O5974" s="4"/>
      <c r="P5974" s="3" t="s">
        <v>93</v>
      </c>
      <c r="Q5974" s="4"/>
      <c r="R5974" s="4"/>
      <c r="S5974" s="9" t="str">
        <f>HYPERLINK("https://pbs.twimg.com/profile_images/1033414365641433090/LzVciCbi.jpg","View")</f>
        <v>View</v>
      </c>
    </row>
    <row r="5975" spans="1:19" ht="30">
      <c r="A5975" s="8">
        <v>43340.466828703706</v>
      </c>
      <c r="B5975" s="11" t="str">
        <f>HYPERLINK("https://twitter.com/OmidBeig","@OmidBeig")</f>
        <v>@OmidBeig</v>
      </c>
      <c r="C5975" s="6" t="s">
        <v>92</v>
      </c>
      <c r="D5975" s="5" t="s">
        <v>91</v>
      </c>
      <c r="E5975" s="9" t="str">
        <f>HYPERLINK("https://twitter.com/OmidBeig/status/1034330297654038528","1034330297654038528")</f>
        <v>1034330297654038528</v>
      </c>
      <c r="F5975" s="4"/>
      <c r="G5975" s="4"/>
      <c r="H5975" s="4"/>
      <c r="I5975" s="10" t="str">
        <f>HYPERLINK("http://twitter.com/download/android","Twitter for Android")</f>
        <v>Twitter for Android</v>
      </c>
      <c r="J5975" s="2">
        <v>101</v>
      </c>
      <c r="K5975" s="2">
        <v>154</v>
      </c>
      <c r="L5975" s="2">
        <v>0</v>
      </c>
      <c r="M5975" s="2"/>
      <c r="N5975" s="8">
        <v>42846.48505787037</v>
      </c>
      <c r="O5975" s="4" t="s">
        <v>90</v>
      </c>
      <c r="P5975" s="3" t="s">
        <v>89</v>
      </c>
      <c r="Q5975" s="10" t="s">
        <v>88</v>
      </c>
      <c r="R5975" s="4"/>
      <c r="S5975" s="9" t="str">
        <f>HYPERLINK("https://pbs.twimg.com/profile_images/1000299215535226881/Jh1lnt7z.jpg","View")</f>
        <v>View</v>
      </c>
    </row>
    <row r="5976" spans="1:19" ht="20">
      <c r="A5976" s="8">
        <v>43340.466805555552</v>
      </c>
      <c r="B5976" s="11" t="str">
        <f>HYPERLINK("https://twitter.com/ata_motiei","@ata_motiei")</f>
        <v>@ata_motiei</v>
      </c>
      <c r="C5976" s="6" t="s">
        <v>87</v>
      </c>
      <c r="D5976" s="5" t="s">
        <v>86</v>
      </c>
      <c r="E5976" s="9" t="str">
        <f>HYPERLINK("https://twitter.com/ata_motiei/status/1034330290724974592","1034330290724974592")</f>
        <v>1034330290724974592</v>
      </c>
      <c r="F5976" s="4"/>
      <c r="G5976" s="4"/>
      <c r="H5976" s="4"/>
      <c r="I5976" s="10" t="str">
        <f>HYPERLINK("http://twitter.com/download/android","Twitter for Android")</f>
        <v>Twitter for Android</v>
      </c>
      <c r="J5976" s="2">
        <v>1204</v>
      </c>
      <c r="K5976" s="2">
        <v>1116</v>
      </c>
      <c r="L5976" s="2">
        <v>3</v>
      </c>
      <c r="M5976" s="2"/>
      <c r="N5976" s="8">
        <v>41106.805983796294</v>
      </c>
      <c r="O5976" s="4" t="s">
        <v>85</v>
      </c>
      <c r="P5976" s="3" t="s">
        <v>84</v>
      </c>
      <c r="Q5976" s="4"/>
      <c r="R5976" s="4"/>
      <c r="S5976" s="9" t="str">
        <f>HYPERLINK("https://pbs.twimg.com/profile_images/985488778021277696/IlVkVdic.jpg","View")</f>
        <v>View</v>
      </c>
    </row>
    <row r="5977" spans="1:19" ht="20">
      <c r="A5977" s="8">
        <v>43340.466770833329</v>
      </c>
      <c r="B5977" s="11" t="str">
        <f>HYPERLINK("https://twitter.com/FarsNews_Agency","@FarsNews_Agency")</f>
        <v>@FarsNews_Agency</v>
      </c>
      <c r="C5977" s="6" t="s">
        <v>83</v>
      </c>
      <c r="D5977" s="5" t="s">
        <v>82</v>
      </c>
      <c r="E5977" s="9" t="str">
        <f>HYPERLINK("https://twitter.com/FarsNews_Agency/status/1034330278234341376","1034330278234341376")</f>
        <v>1034330278234341376</v>
      </c>
      <c r="F5977" s="4"/>
      <c r="G5977" s="10" t="s">
        <v>81</v>
      </c>
      <c r="H5977" s="4"/>
      <c r="I5977" s="10" t="str">
        <f>HYPERLINK("http://twitter.com","Twitter Web Client")</f>
        <v>Twitter Web Client</v>
      </c>
      <c r="J5977" s="2">
        <v>54282</v>
      </c>
      <c r="K5977" s="2">
        <v>1</v>
      </c>
      <c r="L5977" s="2">
        <v>345</v>
      </c>
      <c r="M5977" s="2" t="s">
        <v>80</v>
      </c>
      <c r="N5977" s="8">
        <v>41779.409398148149</v>
      </c>
      <c r="O5977" s="4" t="s">
        <v>79</v>
      </c>
      <c r="P5977" s="3" t="s">
        <v>78</v>
      </c>
      <c r="Q5977" s="10" t="s">
        <v>77</v>
      </c>
      <c r="R5977" s="4"/>
      <c r="S5977" s="9" t="str">
        <f>HYPERLINK("https://pbs.twimg.com/profile_images/970300864257777664/8y7AvX_N.jpg","View")</f>
        <v>View</v>
      </c>
    </row>
    <row r="5978" spans="1:19" ht="20">
      <c r="A5978" s="8">
        <v>43340.466736111106</v>
      </c>
      <c r="B5978" s="11" t="str">
        <f>HYPERLINK("https://twitter.com/Zantis2","@Zantis2")</f>
        <v>@Zantis2</v>
      </c>
      <c r="C5978" s="6" t="s">
        <v>76</v>
      </c>
      <c r="D5978" s="5" t="s">
        <v>75</v>
      </c>
      <c r="E5978" s="9" t="str">
        <f>HYPERLINK("https://twitter.com/Zantis2/status/1034330264812630016","1034330264812630016")</f>
        <v>1034330264812630016</v>
      </c>
      <c r="F5978" s="4"/>
      <c r="G5978" s="4"/>
      <c r="H5978" s="4"/>
      <c r="I5978" s="10" t="str">
        <f>HYPERLINK("http://twitter.com/download/android","Twitter for Android")</f>
        <v>Twitter for Android</v>
      </c>
      <c r="J5978" s="2">
        <v>303</v>
      </c>
      <c r="K5978" s="2">
        <v>333</v>
      </c>
      <c r="L5978" s="2">
        <v>0</v>
      </c>
      <c r="M5978" s="2"/>
      <c r="N5978" s="8">
        <v>43311.46056712963</v>
      </c>
      <c r="O5978" s="4" t="s">
        <v>17</v>
      </c>
      <c r="P5978" s="3" t="s">
        <v>74</v>
      </c>
      <c r="Q5978" s="4"/>
      <c r="R5978" s="4"/>
      <c r="S5978" s="9" t="str">
        <f>HYPERLINK("https://pbs.twimg.com/profile_images/1033350632256806912/7KhKD7sc.jpg","View")</f>
        <v>View</v>
      </c>
    </row>
    <row r="5979" spans="1:19" ht="20">
      <c r="A5979" s="8">
        <v>43340.466666666667</v>
      </c>
      <c r="B5979" s="11" t="str">
        <f>HYPERLINK("https://twitter.com/ABAR_MARD","@ABAR_MARD")</f>
        <v>@ABAR_MARD</v>
      </c>
      <c r="C5979" s="6" t="s">
        <v>73</v>
      </c>
      <c r="D5979" s="5" t="s">
        <v>72</v>
      </c>
      <c r="E5979" s="9" t="str">
        <f>HYPERLINK("https://twitter.com/ABAR_MARD/status/1034330238703099904","1034330238703099904")</f>
        <v>1034330238703099904</v>
      </c>
      <c r="F5979" s="4"/>
      <c r="G5979" s="4"/>
      <c r="H5979" s="4"/>
      <c r="I5979" s="10" t="str">
        <f>HYPERLINK("http://twitter.com","Twitter Web Client")</f>
        <v>Twitter Web Client</v>
      </c>
      <c r="J5979" s="2">
        <v>632</v>
      </c>
      <c r="K5979" s="2">
        <v>651</v>
      </c>
      <c r="L5979" s="2">
        <v>3</v>
      </c>
      <c r="M5979" s="2"/>
      <c r="N5979" s="8">
        <v>43105.380162037036</v>
      </c>
      <c r="O5979" s="4" t="s">
        <v>71</v>
      </c>
      <c r="P5979" s="3" t="s">
        <v>70</v>
      </c>
      <c r="Q5979" s="4"/>
      <c r="R5979" s="4"/>
      <c r="S5979" s="9" t="str">
        <f>HYPERLINK("https://pbs.twimg.com/profile_images/1011955034542702592/jLD2JJh4.jpg","View")</f>
        <v>View</v>
      </c>
    </row>
    <row r="5980" spans="1:19" ht="20">
      <c r="A5980" s="8">
        <v>43340.466574074075</v>
      </c>
      <c r="B5980" s="11" t="str">
        <f>HYPERLINK("https://twitter.com/Ali_reza_glv","@Ali_reza_glv")</f>
        <v>@Ali_reza_glv</v>
      </c>
      <c r="C5980" s="6" t="s">
        <v>69</v>
      </c>
      <c r="D5980" s="5" t="s">
        <v>68</v>
      </c>
      <c r="E5980" s="9" t="str">
        <f>HYPERLINK("https://twitter.com/Ali_reza_glv/status/1034330204980879360","1034330204980879360")</f>
        <v>1034330204980879360</v>
      </c>
      <c r="F5980" s="4"/>
      <c r="G5980" s="4"/>
      <c r="H5980" s="4"/>
      <c r="I5980" s="10" t="str">
        <f>HYPERLINK("http://twitter.com/download/android","Twitter for Android")</f>
        <v>Twitter for Android</v>
      </c>
      <c r="J5980" s="2">
        <v>6</v>
      </c>
      <c r="K5980" s="2">
        <v>22</v>
      </c>
      <c r="L5980" s="2">
        <v>0</v>
      </c>
      <c r="M5980" s="2"/>
      <c r="N5980" s="8">
        <v>43338.884305555555</v>
      </c>
      <c r="O5980" s="4"/>
      <c r="P5980" s="3" t="s">
        <v>67</v>
      </c>
      <c r="Q5980" s="4"/>
      <c r="R5980" s="4"/>
      <c r="S5980" s="9" t="str">
        <f>HYPERLINK("https://pbs.twimg.com/profile_images/1033769926023176192/f_25FTSb.jpg","View")</f>
        <v>View</v>
      </c>
    </row>
    <row r="5981" spans="1:19" ht="30">
      <c r="A5981" s="8">
        <v>43340.466504629629</v>
      </c>
      <c r="B5981" s="11" t="str">
        <f>HYPERLINK("https://twitter.com/hadizaleki","@hadizaleki")</f>
        <v>@hadizaleki</v>
      </c>
      <c r="C5981" s="6" t="s">
        <v>66</v>
      </c>
      <c r="D5981" s="5" t="s">
        <v>65</v>
      </c>
      <c r="E5981" s="9" t="str">
        <f>HYPERLINK("https://twitter.com/hadizaleki/status/1034330181786390528","1034330181786390528")</f>
        <v>1034330181786390528</v>
      </c>
      <c r="F5981" s="4"/>
      <c r="G5981" s="4"/>
      <c r="H5981" s="4"/>
      <c r="I5981" s="10" t="str">
        <f>HYPERLINK("http://twitter.com/download/android","Twitter for Android")</f>
        <v>Twitter for Android</v>
      </c>
      <c r="J5981" s="2">
        <v>25</v>
      </c>
      <c r="K5981" s="2">
        <v>86</v>
      </c>
      <c r="L5981" s="2">
        <v>0</v>
      </c>
      <c r="M5981" s="2"/>
      <c r="N5981" s="8">
        <v>43173.911932870367</v>
      </c>
      <c r="O5981" s="4"/>
      <c r="P5981" s="3" t="s">
        <v>64</v>
      </c>
      <c r="Q5981" s="4"/>
      <c r="R5981" s="4"/>
      <c r="S5981" s="9" t="str">
        <f>HYPERLINK("https://pbs.twimg.com/profile_images/1034075382788628480/7ESRm_4R.jpg","View")</f>
        <v>View</v>
      </c>
    </row>
    <row r="5982" spans="1:19" ht="40">
      <c r="A5982" s="8">
        <v>43340.466446759259</v>
      </c>
      <c r="B5982" s="11" t="str">
        <f>HYPERLINK("https://twitter.com/elia12420","@elia12420")</f>
        <v>@elia12420</v>
      </c>
      <c r="C5982" s="6" t="s">
        <v>63</v>
      </c>
      <c r="D5982" s="5" t="s">
        <v>62</v>
      </c>
      <c r="E5982" s="9" t="str">
        <f>HYPERLINK("https://twitter.com/elia12420/status/1034330159036485632","1034330159036485632")</f>
        <v>1034330159036485632</v>
      </c>
      <c r="F5982" s="4"/>
      <c r="G5982" s="10" t="s">
        <v>61</v>
      </c>
      <c r="H5982" s="4"/>
      <c r="I5982" s="10" t="str">
        <f>HYPERLINK("http://twitter.com/download/android","Twitter for Android")</f>
        <v>Twitter for Android</v>
      </c>
      <c r="J5982" s="2">
        <v>4812</v>
      </c>
      <c r="K5982" s="2">
        <v>335</v>
      </c>
      <c r="L5982" s="2">
        <v>29</v>
      </c>
      <c r="M5982" s="2"/>
      <c r="N5982" s="8">
        <v>42739.552025462966</v>
      </c>
      <c r="O5982" s="4" t="s">
        <v>34</v>
      </c>
      <c r="P5982" s="3" t="s">
        <v>60</v>
      </c>
      <c r="Q5982" s="4"/>
      <c r="R5982" s="4"/>
      <c r="S5982" s="9" t="str">
        <f>HYPERLINK("https://pbs.twimg.com/profile_images/1004468105748328454/0ha7XoVa.jpg","View")</f>
        <v>View</v>
      </c>
    </row>
    <row r="5983" spans="1:19" ht="30">
      <c r="A5983" s="8">
        <v>43340.466435185182</v>
      </c>
      <c r="B5983" s="11" t="str">
        <f>HYPERLINK("https://twitter.com/mahdi_barari","@mahdi_barari")</f>
        <v>@mahdi_barari</v>
      </c>
      <c r="C5983" s="6" t="s">
        <v>59</v>
      </c>
      <c r="D5983" s="5" t="s">
        <v>58</v>
      </c>
      <c r="E5983" s="9" t="str">
        <f>HYPERLINK("https://twitter.com/mahdi_barari/status/1034330153692717056","1034330153692717056")</f>
        <v>1034330153692717056</v>
      </c>
      <c r="F5983" s="4"/>
      <c r="G5983" s="4"/>
      <c r="H5983" s="4"/>
      <c r="I5983" s="10" t="str">
        <f>HYPERLINK("http://twitter.com/download/android","Twitter for Android")</f>
        <v>Twitter for Android</v>
      </c>
      <c r="J5983" s="2">
        <v>4167</v>
      </c>
      <c r="K5983" s="2">
        <v>434</v>
      </c>
      <c r="L5983" s="2">
        <v>21</v>
      </c>
      <c r="M5983" s="2"/>
      <c r="N5983" s="8">
        <v>42489.134467592594</v>
      </c>
      <c r="O5983" s="4" t="s">
        <v>17</v>
      </c>
      <c r="P5983" s="3" t="s">
        <v>57</v>
      </c>
      <c r="Q5983" s="4"/>
      <c r="R5983" s="4"/>
      <c r="S5983" s="9" t="str">
        <f>HYPERLINK("https://pbs.twimg.com/profile_images/1032073356496064512/t-bzb4P4.jpg","View")</f>
        <v>View</v>
      </c>
    </row>
    <row r="5984" spans="1:19" ht="20">
      <c r="A5984" s="8">
        <v>43340.466412037036</v>
      </c>
      <c r="B5984" s="11" t="str">
        <f>HYPERLINK("https://twitter.com/hosssinelhami","@hosssinelhami")</f>
        <v>@hosssinelhami</v>
      </c>
      <c r="C5984" s="6" t="s">
        <v>56</v>
      </c>
      <c r="D5984" s="5" t="s">
        <v>55</v>
      </c>
      <c r="E5984" s="9" t="str">
        <f>HYPERLINK("https://twitter.com/hosssinelhami/status/1034330144398290945","1034330144398290945")</f>
        <v>1034330144398290945</v>
      </c>
      <c r="F5984" s="4"/>
      <c r="G5984" s="4"/>
      <c r="H5984" s="4"/>
      <c r="I5984" s="10" t="str">
        <f>HYPERLINK("http://twitter.com","Twitter Web Client")</f>
        <v>Twitter Web Client</v>
      </c>
      <c r="J5984" s="2">
        <v>592</v>
      </c>
      <c r="K5984" s="2">
        <v>353</v>
      </c>
      <c r="L5984" s="2">
        <v>1</v>
      </c>
      <c r="M5984" s="2"/>
      <c r="N5984" s="8">
        <v>42691.432615740741</v>
      </c>
      <c r="O5984" s="4"/>
      <c r="P5984" s="3" t="s">
        <v>54</v>
      </c>
      <c r="Q5984" s="4"/>
      <c r="R5984" s="4"/>
      <c r="S5984" s="9" t="str">
        <f>HYPERLINK("https://pbs.twimg.com/profile_images/950745821015871488/-AbCrsQL.jpg","View")</f>
        <v>View</v>
      </c>
    </row>
    <row r="5985" spans="1:19" ht="20">
      <c r="A5985" s="8">
        <v>43340.466331018513</v>
      </c>
      <c r="B5985" s="11" t="str">
        <f>HYPERLINK("https://twitter.com/Reihaneasgari","@Reihaneasgari")</f>
        <v>@Reihaneasgari</v>
      </c>
      <c r="C5985" s="6" t="s">
        <v>53</v>
      </c>
      <c r="D5985" s="5" t="s">
        <v>52</v>
      </c>
      <c r="E5985" s="9" t="str">
        <f>HYPERLINK("https://twitter.com/Reihaneasgari/status/1034330117261148160","1034330117261148160")</f>
        <v>1034330117261148160</v>
      </c>
      <c r="F5985" s="4"/>
      <c r="G5985" s="4"/>
      <c r="H5985" s="4"/>
      <c r="I5985" s="10" t="str">
        <f>HYPERLINK("http://twitter.com/download/android","Twitter for Android")</f>
        <v>Twitter for Android</v>
      </c>
      <c r="J5985" s="2">
        <v>6882</v>
      </c>
      <c r="K5985" s="2">
        <v>1604</v>
      </c>
      <c r="L5985" s="2">
        <v>32</v>
      </c>
      <c r="M5985" s="2"/>
      <c r="N5985" s="8">
        <v>42876.684872685189</v>
      </c>
      <c r="O5985" s="4" t="s">
        <v>51</v>
      </c>
      <c r="P5985" s="3" t="s">
        <v>50</v>
      </c>
      <c r="Q5985" s="4"/>
      <c r="R5985" s="4"/>
      <c r="S5985" s="9" t="str">
        <f>HYPERLINK("https://pbs.twimg.com/profile_images/1005386766415777792/wcnHNHJR.jpg","View")</f>
        <v>View</v>
      </c>
    </row>
    <row r="5986" spans="1:19" ht="20">
      <c r="A5986" s="8">
        <v>43340.466319444444</v>
      </c>
      <c r="B5986" s="11" t="str">
        <f>HYPERLINK("https://twitter.com/Mohsen46827799","@Mohsen46827799")</f>
        <v>@Mohsen46827799</v>
      </c>
      <c r="C5986" s="6" t="s">
        <v>49</v>
      </c>
      <c r="D5986" s="5" t="s">
        <v>48</v>
      </c>
      <c r="E5986" s="9" t="str">
        <f>HYPERLINK("https://twitter.com/Mohsen46827799/status/1034330113368907776","1034330113368907776")</f>
        <v>1034330113368907776</v>
      </c>
      <c r="F5986" s="4"/>
      <c r="G5986" s="4"/>
      <c r="H5986" s="4"/>
      <c r="I5986" s="10" t="str">
        <f>HYPERLINK("http://twitter.com/download/android","Twitter for Android")</f>
        <v>Twitter for Android</v>
      </c>
      <c r="J5986" s="2">
        <v>184</v>
      </c>
      <c r="K5986" s="2">
        <v>66</v>
      </c>
      <c r="L5986" s="2">
        <v>0</v>
      </c>
      <c r="M5986" s="2"/>
      <c r="N5986" s="8">
        <v>43282.08929398148</v>
      </c>
      <c r="O5986" s="4"/>
      <c r="P5986" s="3" t="s">
        <v>47</v>
      </c>
      <c r="Q5986" s="4"/>
      <c r="R5986" s="4"/>
      <c r="S5986" s="9" t="str">
        <f>HYPERLINK("https://pbs.twimg.com/profile_images/1030824684663783424/Igfrv82s.jpg","View")</f>
        <v>View</v>
      </c>
    </row>
    <row r="5987" spans="1:19" ht="20">
      <c r="A5987" s="8">
        <v>43340.466273148151</v>
      </c>
      <c r="B5987" s="11" t="str">
        <f>HYPERLINK("https://twitter.com/Abuali_313","@Abuali_313")</f>
        <v>@Abuali_313</v>
      </c>
      <c r="C5987" s="6" t="s">
        <v>46</v>
      </c>
      <c r="D5987" s="12" t="s">
        <v>45</v>
      </c>
      <c r="E5987" s="9" t="str">
        <f>HYPERLINK("https://twitter.com/Abuali_313/status/1034330096801394688","1034330096801394688")</f>
        <v>1034330096801394688</v>
      </c>
      <c r="F5987" s="4"/>
      <c r="G5987" s="4"/>
      <c r="H5987" s="4"/>
      <c r="I5987" s="10" t="str">
        <f>HYPERLINK("http://twitter.com/download/android","Twitter for Android")</f>
        <v>Twitter for Android</v>
      </c>
      <c r="J5987" s="2">
        <v>498</v>
      </c>
      <c r="K5987" s="2">
        <v>548</v>
      </c>
      <c r="L5987" s="2">
        <v>0</v>
      </c>
      <c r="M5987" s="2"/>
      <c r="N5987" s="8">
        <v>43081.298576388886</v>
      </c>
      <c r="O5987" s="4" t="s">
        <v>34</v>
      </c>
      <c r="P5987" s="3" t="s">
        <v>44</v>
      </c>
      <c r="Q5987" s="10" t="s">
        <v>43</v>
      </c>
      <c r="R5987" s="4"/>
      <c r="S5987" s="9" t="str">
        <f>HYPERLINK("https://pbs.twimg.com/profile_images/941006636113637378/T--iAnqV.jpg","View")</f>
        <v>View</v>
      </c>
    </row>
    <row r="5988" spans="1:19" ht="30">
      <c r="A5988" s="8">
        <v>43340.466249999998</v>
      </c>
      <c r="B5988" s="11" t="str">
        <f>HYPERLINK("https://twitter.com/HosseinniaM","@HosseinniaM")</f>
        <v>@HosseinniaM</v>
      </c>
      <c r="C5988" s="6" t="s">
        <v>42</v>
      </c>
      <c r="D5988" s="5" t="s">
        <v>41</v>
      </c>
      <c r="E5988" s="9" t="str">
        <f>HYPERLINK("https://twitter.com/HosseinniaM/status/1034330086764437504","1034330086764437504")</f>
        <v>1034330086764437504</v>
      </c>
      <c r="F5988" s="4"/>
      <c r="G5988" s="4"/>
      <c r="H5988" s="4"/>
      <c r="I5988" s="10" t="str">
        <f>HYPERLINK("http://twitter.com/download/android","Twitter for Android")</f>
        <v>Twitter for Android</v>
      </c>
      <c r="J5988" s="2">
        <v>184</v>
      </c>
      <c r="K5988" s="2">
        <v>194</v>
      </c>
      <c r="L5988" s="2">
        <v>0</v>
      </c>
      <c r="M5988" s="2"/>
      <c r="N5988" s="8">
        <v>42430.565532407403</v>
      </c>
      <c r="O5988" s="4" t="s">
        <v>34</v>
      </c>
      <c r="P5988" s="3" t="s">
        <v>40</v>
      </c>
      <c r="Q5988" s="4"/>
      <c r="R5988" s="4"/>
      <c r="S5988" s="9" t="str">
        <f>HYPERLINK("https://pbs.twimg.com/profile_images/704715813282918400/EndKMvGK.jpg","View")</f>
        <v>View</v>
      </c>
    </row>
    <row r="5989" spans="1:19" ht="40">
      <c r="A5989" s="8">
        <v>43340.466249999998</v>
      </c>
      <c r="B5989" s="11" t="str">
        <f>HYPERLINK("https://twitter.com/solaleh_zahra20","@solaleh_zahra20")</f>
        <v>@solaleh_zahra20</v>
      </c>
      <c r="C5989" s="6" t="s">
        <v>39</v>
      </c>
      <c r="D5989" s="5" t="s">
        <v>38</v>
      </c>
      <c r="E5989" s="9" t="str">
        <f>HYPERLINK("https://twitter.com/solaleh_zahra20/status/1034330086391140352","1034330086391140352")</f>
        <v>1034330086391140352</v>
      </c>
      <c r="F5989" s="4"/>
      <c r="G5989" s="4"/>
      <c r="H5989" s="4"/>
      <c r="I5989" s="10" t="str">
        <f>HYPERLINK("http://twitter.com/download/android","Twitter for Android")</f>
        <v>Twitter for Android</v>
      </c>
      <c r="J5989" s="2">
        <v>35</v>
      </c>
      <c r="K5989" s="2">
        <v>57</v>
      </c>
      <c r="L5989" s="2">
        <v>1</v>
      </c>
      <c r="M5989" s="2"/>
      <c r="N5989" s="8">
        <v>43197.844814814816</v>
      </c>
      <c r="O5989" s="4" t="s">
        <v>17</v>
      </c>
      <c r="P5989" s="3" t="s">
        <v>37</v>
      </c>
      <c r="Q5989" s="4"/>
      <c r="R5989" s="4"/>
      <c r="S5989" s="9" t="str">
        <f>HYPERLINK("https://pbs.twimg.com/profile_images/984091807616327680/2YPt6tP7.jpg","View")</f>
        <v>View</v>
      </c>
    </row>
    <row r="5990" spans="1:19" ht="30">
      <c r="A5990" s="8">
        <v>43340.466087962966</v>
      </c>
      <c r="B5990" s="11" t="str">
        <f>HYPERLINK("https://twitter.com/mirtajoddini","@mirtajoddini")</f>
        <v>@mirtajoddini</v>
      </c>
      <c r="C5990" s="6" t="s">
        <v>36</v>
      </c>
      <c r="D5990" s="5" t="s">
        <v>35</v>
      </c>
      <c r="E5990" s="9" t="str">
        <f>HYPERLINK("https://twitter.com/mirtajoddini/status/1034330029377769472","1034330029377769472")</f>
        <v>1034330029377769472</v>
      </c>
      <c r="F5990" s="4"/>
      <c r="G5990" s="4"/>
      <c r="H5990" s="4"/>
      <c r="I5990" s="10" t="str">
        <f>HYPERLINK("http://twitter.com/download/android","Twitter for Android")</f>
        <v>Twitter for Android</v>
      </c>
      <c r="J5990" s="2">
        <v>382</v>
      </c>
      <c r="K5990" s="2">
        <v>40</v>
      </c>
      <c r="L5990" s="2">
        <v>7</v>
      </c>
      <c r="M5990" s="2"/>
      <c r="N5990" s="8">
        <v>42777.004143518519</v>
      </c>
      <c r="O5990" s="4" t="s">
        <v>34</v>
      </c>
      <c r="P5990" s="3" t="s">
        <v>33</v>
      </c>
      <c r="Q5990" s="4"/>
      <c r="R5990" s="4"/>
      <c r="S5990" s="9" t="str">
        <f>HYPERLINK("https://pbs.twimg.com/profile_images/830162684976828416/JhrrHfia.jpg","View")</f>
        <v>View</v>
      </c>
    </row>
    <row r="5991" spans="1:19" ht="40">
      <c r="A5991" s="8">
        <v>43340.466053240743</v>
      </c>
      <c r="B5991" s="11" t="str">
        <f>HYPERLINK("https://twitter.com/komeil_noor","@komeil_noor")</f>
        <v>@komeil_noor</v>
      </c>
      <c r="C5991" s="6" t="s">
        <v>32</v>
      </c>
      <c r="D5991" s="5" t="s">
        <v>31</v>
      </c>
      <c r="E5991" s="9" t="str">
        <f>HYPERLINK("https://twitter.com/komeil_noor/status/1034330016413171712","1034330016413171712")</f>
        <v>1034330016413171712</v>
      </c>
      <c r="F5991" s="4"/>
      <c r="G5991" s="4"/>
      <c r="H5991" s="4"/>
      <c r="I5991" s="10" t="str">
        <f>HYPERLINK("http://twitter.com/download/android","Twitter for Android")</f>
        <v>Twitter for Android</v>
      </c>
      <c r="J5991" s="2">
        <v>327</v>
      </c>
      <c r="K5991" s="2">
        <v>331</v>
      </c>
      <c r="L5991" s="2">
        <v>3</v>
      </c>
      <c r="M5991" s="2"/>
      <c r="N5991" s="8">
        <v>42739.948518518519</v>
      </c>
      <c r="O5991" s="4" t="s">
        <v>30</v>
      </c>
      <c r="P5991" s="3" t="s">
        <v>29</v>
      </c>
      <c r="Q5991" s="10" t="s">
        <v>28</v>
      </c>
      <c r="R5991" s="4"/>
      <c r="S5991" s="9" t="str">
        <f>HYPERLINK("https://pbs.twimg.com/profile_images/1008997557043908608/wisAAsU6.jpg","View")</f>
        <v>View</v>
      </c>
    </row>
    <row r="5992" spans="1:19" ht="12.5">
      <c r="A5992" s="8">
        <v>43340.465937500005</v>
      </c>
      <c r="B5992" s="11" t="str">
        <f>HYPERLINK("https://twitter.com/yVA4ATUfdofr2xS","@yVA4ATUfdofr2xS")</f>
        <v>@yVA4ATUfdofr2xS</v>
      </c>
      <c r="C5992" s="6" t="s">
        <v>27</v>
      </c>
      <c r="D5992" s="5" t="s">
        <v>26</v>
      </c>
      <c r="E5992" s="9" t="str">
        <f>HYPERLINK("https://twitter.com/yVA4ATUfdofr2xS/status/1034329974604541952","1034329974604541952")</f>
        <v>1034329974604541952</v>
      </c>
      <c r="F5992" s="4"/>
      <c r="G5992" s="4"/>
      <c r="H5992" s="4"/>
      <c r="I5992" s="10" t="str">
        <f>HYPERLINK("http://twitter.com","Twitter Web Client")</f>
        <v>Twitter Web Client</v>
      </c>
      <c r="J5992" s="2">
        <v>120</v>
      </c>
      <c r="K5992" s="2">
        <v>2</v>
      </c>
      <c r="L5992" s="2">
        <v>0</v>
      </c>
      <c r="M5992" s="2"/>
      <c r="N5992" s="8">
        <v>43323.438252314816</v>
      </c>
      <c r="O5992" s="4" t="s">
        <v>25</v>
      </c>
      <c r="P5992" s="3" t="s">
        <v>24</v>
      </c>
      <c r="Q5992" s="4"/>
      <c r="R5992" s="4"/>
      <c r="S5992" s="9" t="str">
        <f>HYPERLINK("https://pbs.twimg.com/profile_images/1028178183206498305/b7usXKsw.jpg","View")</f>
        <v>View</v>
      </c>
    </row>
    <row r="5993" spans="1:19" ht="30">
      <c r="A5993" s="8">
        <v>43340.465740740736</v>
      </c>
      <c r="B5993" s="11" t="str">
        <f>HYPERLINK("https://twitter.com/ommidgholami","@ommidgholami")</f>
        <v>@ommidgholami</v>
      </c>
      <c r="C5993" s="6" t="s">
        <v>23</v>
      </c>
      <c r="D5993" s="5" t="s">
        <v>22</v>
      </c>
      <c r="E5993" s="9" t="str">
        <f>HYPERLINK("https://twitter.com/ommidgholami/status/1034329904664403970","1034329904664403970")</f>
        <v>1034329904664403970</v>
      </c>
      <c r="F5993" s="4"/>
      <c r="G5993" s="4"/>
      <c r="H5993" s="4"/>
      <c r="I5993" s="10" t="str">
        <f>HYPERLINK("http://twitter.com/download/android","Twitter for Android")</f>
        <v>Twitter for Android</v>
      </c>
      <c r="J5993" s="2">
        <v>83</v>
      </c>
      <c r="K5993" s="2">
        <v>92</v>
      </c>
      <c r="L5993" s="2">
        <v>0</v>
      </c>
      <c r="M5993" s="2"/>
      <c r="N5993" s="8">
        <v>42691.930451388893</v>
      </c>
      <c r="O5993" s="4"/>
      <c r="P5993" s="3" t="s">
        <v>21</v>
      </c>
      <c r="Q5993" s="4"/>
      <c r="R5993" s="4"/>
      <c r="S5993" s="9" t="str">
        <f>HYPERLINK("https://pbs.twimg.com/profile_images/1010087043257585664/TKkeJNEz.jpg","View")</f>
        <v>View</v>
      </c>
    </row>
    <row r="5994" spans="1:19" ht="20">
      <c r="A5994" s="8">
        <v>43340.46565972222</v>
      </c>
      <c r="B5994" s="11" t="str">
        <f>HYPERLINK("https://twitter.com/MahdiBarzegar00","@MahdiBarzegar00")</f>
        <v>@MahdiBarzegar00</v>
      </c>
      <c r="C5994" s="6" t="s">
        <v>20</v>
      </c>
      <c r="D5994" s="5" t="s">
        <v>19</v>
      </c>
      <c r="E5994" s="9" t="str">
        <f>HYPERLINK("https://twitter.com/MahdiBarzegar00/status/1034329873408512000","1034329873408512000")</f>
        <v>1034329873408512000</v>
      </c>
      <c r="F5994" s="4"/>
      <c r="G5994" s="10" t="s">
        <v>18</v>
      </c>
      <c r="H5994" s="4"/>
      <c r="I5994" s="10" t="str">
        <f>HYPERLINK("http://twitter.com/download/android","Twitter for Android")</f>
        <v>Twitter for Android</v>
      </c>
      <c r="J5994" s="2">
        <v>282</v>
      </c>
      <c r="K5994" s="2">
        <v>492</v>
      </c>
      <c r="L5994" s="2">
        <v>3</v>
      </c>
      <c r="M5994" s="2"/>
      <c r="N5994" s="8">
        <v>43090.814155092594</v>
      </c>
      <c r="O5994" s="4" t="s">
        <v>17</v>
      </c>
      <c r="P5994" s="3" t="s">
        <v>16</v>
      </c>
      <c r="Q5994" s="4"/>
      <c r="R5994" s="4"/>
      <c r="S5994" s="9" t="str">
        <f>HYPERLINK("https://pbs.twimg.com/profile_images/1019223560408260610/ozLBwwXV.jpg","View")</f>
        <v>View</v>
      </c>
    </row>
    <row r="5995" spans="1:19" ht="20">
      <c r="A5995" s="8">
        <v>43340.465543981481</v>
      </c>
      <c r="B5995" s="11" t="str">
        <f>HYPERLINK("https://twitter.com/Ghoghnus11","@Ghoghnus11")</f>
        <v>@Ghoghnus11</v>
      </c>
      <c r="C5995" s="6" t="s">
        <v>15</v>
      </c>
      <c r="D5995" s="5" t="s">
        <v>14</v>
      </c>
      <c r="E5995" s="9" t="str">
        <f>HYPERLINK("https://twitter.com/Ghoghnus11/status/1034329830240731136","1034329830240731136")</f>
        <v>1034329830240731136</v>
      </c>
      <c r="F5995" s="4"/>
      <c r="G5995" s="4"/>
      <c r="H5995" s="4"/>
      <c r="I5995" s="10" t="str">
        <f>HYPERLINK("http://twitter.com/download/android","Twitter for Android")</f>
        <v>Twitter for Android</v>
      </c>
      <c r="J5995" s="2">
        <v>1293</v>
      </c>
      <c r="K5995" s="2">
        <v>1480</v>
      </c>
      <c r="L5995" s="2">
        <v>2</v>
      </c>
      <c r="M5995" s="2"/>
      <c r="N5995" s="8">
        <v>43145.030578703707</v>
      </c>
      <c r="O5995" s="4"/>
      <c r="P5995" s="3" t="s">
        <v>13</v>
      </c>
      <c r="Q5995" s="4"/>
      <c r="R5995" s="4"/>
      <c r="S5995" s="9" t="str">
        <f>HYPERLINK("https://pbs.twimg.com/profile_images/998733120865091584/fgjpCWOH.jpg","View")</f>
        <v>View</v>
      </c>
    </row>
    <row r="5996" spans="1:19" ht="12.5">
      <c r="A5996" s="8">
        <v>43340.465462962966</v>
      </c>
      <c r="B5996" s="11" t="str">
        <f>HYPERLINK("https://twitter.com/ARahaei","@ARahaei")</f>
        <v>@ARahaei</v>
      </c>
      <c r="C5996" s="6" t="s">
        <v>12</v>
      </c>
      <c r="D5996" s="5" t="s">
        <v>11</v>
      </c>
      <c r="E5996" s="9" t="str">
        <f>HYPERLINK("https://twitter.com/ARahaei/status/1034329801652424705","1034329801652424705")</f>
        <v>1034329801652424705</v>
      </c>
      <c r="F5996" s="10" t="s">
        <v>10</v>
      </c>
      <c r="G5996" s="4"/>
      <c r="H5996" s="4"/>
      <c r="I5996" s="10" t="str">
        <f>HYPERLINK("http://twitter.com","Twitter Web Client")</f>
        <v>Twitter Web Client</v>
      </c>
      <c r="J5996" s="2">
        <v>4179</v>
      </c>
      <c r="K5996" s="2">
        <v>4811</v>
      </c>
      <c r="L5996" s="2">
        <v>102</v>
      </c>
      <c r="M5996" s="2"/>
      <c r="N5996" s="8">
        <v>42371.519155092596</v>
      </c>
      <c r="O5996" s="4"/>
      <c r="P5996" s="3" t="s">
        <v>9</v>
      </c>
      <c r="Q5996" s="4"/>
      <c r="R5996" s="4"/>
      <c r="S5996" s="9" t="str">
        <f>HYPERLINK("https://pbs.twimg.com/profile_images/1015167812615266304/CqFgkueB.jpg","View")</f>
        <v>View</v>
      </c>
    </row>
    <row r="5997" spans="1:19" ht="50">
      <c r="A5997" s="8">
        <v>43340.465451388889</v>
      </c>
      <c r="B5997" s="11" t="str">
        <f>HYPERLINK("https://twitter.com/yekagah","@yekagah")</f>
        <v>@yekagah</v>
      </c>
      <c r="C5997" s="6" t="s">
        <v>8</v>
      </c>
      <c r="D5997" s="5" t="s">
        <v>7</v>
      </c>
      <c r="E5997" s="9" t="str">
        <f>HYPERLINK("https://twitter.com/yekagah/status/1034329796619264000","1034329796619264000")</f>
        <v>1034329796619264000</v>
      </c>
      <c r="F5997" s="10" t="s">
        <v>6</v>
      </c>
      <c r="G5997" s="4"/>
      <c r="H5997" s="4"/>
      <c r="I5997" s="10" t="str">
        <f>HYPERLINK("http://twitter.com","Twitter Web Client")</f>
        <v>Twitter Web Client</v>
      </c>
      <c r="J5997" s="2">
        <v>719</v>
      </c>
      <c r="K5997" s="2">
        <v>817</v>
      </c>
      <c r="L5997" s="2">
        <v>2</v>
      </c>
      <c r="M5997" s="2"/>
      <c r="N5997" s="8">
        <v>42837.615104166667</v>
      </c>
      <c r="O5997" s="4"/>
      <c r="P5997" s="3" t="s">
        <v>5</v>
      </c>
      <c r="Q5997" s="4"/>
      <c r="R5997" s="4"/>
      <c r="S5997" s="9" t="str">
        <f>HYPERLINK("https://pbs.twimg.com/profile_images/859483031224164356/5EzrnkDQ.jpg","View")</f>
        <v>View</v>
      </c>
    </row>
    <row r="5998" spans="1:19" ht="40">
      <c r="A5998" s="8">
        <v>43340.465439814812</v>
      </c>
      <c r="B5998" s="11" t="str">
        <f>HYPERLINK("https://twitter.com/xahra56184395","@xahra56184395")</f>
        <v>@xahra56184395</v>
      </c>
      <c r="C5998" s="6" t="s">
        <v>4</v>
      </c>
      <c r="D5998" s="5" t="s">
        <v>3</v>
      </c>
      <c r="E5998" s="9" t="str">
        <f>HYPERLINK("https://twitter.com/xahra56184395/status/1034329794996002817","1034329794996002817")</f>
        <v>1034329794996002817</v>
      </c>
      <c r="F5998" s="4"/>
      <c r="G5998" s="4"/>
      <c r="H5998" s="4"/>
      <c r="I5998" s="10" t="str">
        <f>HYPERLINK("http://twitter.com/download/iphone","Twitter for iPhone")</f>
        <v>Twitter for iPhone</v>
      </c>
      <c r="J5998" s="2">
        <v>48</v>
      </c>
      <c r="K5998" s="2">
        <v>119</v>
      </c>
      <c r="L5998" s="2">
        <v>0</v>
      </c>
      <c r="M5998" s="2"/>
      <c r="N5998" s="8">
        <v>43106.658402777779</v>
      </c>
      <c r="O5998" s="4"/>
      <c r="P5998" s="3"/>
      <c r="Q5998" s="4"/>
      <c r="R5998" s="4"/>
      <c r="S5998" s="9" t="str">
        <f>HYPERLINK("https://pbs.twimg.com/profile_images/1034083401173741569/hACLRSJz.jpg","View")</f>
        <v>View</v>
      </c>
    </row>
    <row r="5999" spans="1:19" ht="20">
      <c r="A5999" s="8">
        <v>43340.429826388892</v>
      </c>
      <c r="B5999" s="11" t="str">
        <f>HYPERLINK("https://twitter.com/aa_alst","@aa_alst")</f>
        <v>@aa_alst</v>
      </c>
      <c r="C5999" s="6" t="s">
        <v>2</v>
      </c>
      <c r="D5999" s="5" t="s">
        <v>1</v>
      </c>
      <c r="E5999" s="9" t="str">
        <f>HYPERLINK("https://twitter.com/aa_alst/status/1034316887050645504","1034316887050645504")</f>
        <v>1034316887050645504</v>
      </c>
      <c r="F5999" s="4"/>
      <c r="G5999" s="4"/>
      <c r="H5999" s="4"/>
      <c r="I5999" s="10" t="str">
        <f>HYPERLINK("http://twitter.com/download/android","Twitter for Android")</f>
        <v>Twitter for Android</v>
      </c>
      <c r="J5999" s="2">
        <v>1376</v>
      </c>
      <c r="K5999" s="2">
        <v>254</v>
      </c>
      <c r="L5999" s="2">
        <v>5</v>
      </c>
      <c r="M5999" s="2"/>
      <c r="N5999" s="8">
        <v>43105.100972222222</v>
      </c>
      <c r="O5999" s="4"/>
      <c r="P5999" s="3" t="s">
        <v>0</v>
      </c>
      <c r="Q5999" s="4"/>
      <c r="R5999" s="4"/>
      <c r="S5999" s="9" t="str">
        <f>HYPERLINK("https://pbs.twimg.com/profile_images/1026482549353267202/I0FQXmLt.jpg","View")</f>
        <v>View</v>
      </c>
    </row>
    <row r="6000" spans="1:19" ht="12.5">
      <c r="A6000" s="8"/>
      <c r="B6000" s="6"/>
      <c r="C6000" s="6"/>
      <c r="D6000" s="5"/>
      <c r="E6000" s="2"/>
      <c r="F6000" s="4"/>
      <c r="G6000" s="4"/>
      <c r="H6000" s="4"/>
      <c r="I6000" s="4"/>
      <c r="J6000" s="2"/>
      <c r="K6000" s="2"/>
      <c r="L6000" s="2"/>
      <c r="M6000" s="2"/>
      <c r="N6000" s="8"/>
      <c r="O6000" s="4"/>
      <c r="P6000" s="3"/>
      <c r="Q6000" s="4"/>
      <c r="R6000" s="4"/>
      <c r="S6000" s="2"/>
    </row>
    <row r="6001" spans="1:19" ht="12.5">
      <c r="A6001" s="7"/>
      <c r="B6001" s="6"/>
      <c r="C6001" s="6"/>
      <c r="D6001" s="5"/>
      <c r="E6001" s="2"/>
      <c r="F6001" s="2"/>
      <c r="G6001" s="2"/>
      <c r="H6001" s="2"/>
      <c r="I6001" s="2"/>
      <c r="J6001" s="2"/>
      <c r="K6001" s="2"/>
      <c r="L6001" s="2"/>
      <c r="M6001" s="2"/>
      <c r="N6001" s="2"/>
      <c r="O6001" s="4"/>
      <c r="P6001" s="3"/>
      <c r="Q6001" s="2"/>
      <c r="R6001" s="2"/>
      <c r="S6001" s="2"/>
    </row>
    <row r="6002" spans="1:19" ht="12.5">
      <c r="A6002" s="7"/>
      <c r="B6002" s="6"/>
      <c r="C6002" s="6"/>
      <c r="D6002" s="5"/>
      <c r="E6002" s="2"/>
      <c r="F6002" s="2"/>
      <c r="G6002" s="2"/>
      <c r="H6002" s="2"/>
      <c r="I6002" s="2"/>
      <c r="J6002" s="2"/>
      <c r="K6002" s="2"/>
      <c r="L6002" s="2"/>
      <c r="M6002" s="2"/>
      <c r="N6002" s="2"/>
      <c r="O6002" s="4"/>
      <c r="P6002" s="3"/>
      <c r="Q6002" s="2"/>
      <c r="R6002" s="2"/>
      <c r="S6002" s="2"/>
    </row>
    <row r="6003" spans="1:19" ht="12.5">
      <c r="A6003" s="7"/>
      <c r="B6003" s="6"/>
      <c r="C6003" s="6"/>
      <c r="D6003" s="5"/>
      <c r="E6003" s="2"/>
      <c r="F6003" s="2"/>
      <c r="G6003" s="2"/>
      <c r="H6003" s="2"/>
      <c r="I6003" s="2"/>
      <c r="J6003" s="2"/>
      <c r="K6003" s="2"/>
      <c r="L6003" s="2"/>
      <c r="M6003" s="2"/>
      <c r="N6003" s="2"/>
      <c r="O6003" s="4"/>
      <c r="P6003" s="3"/>
      <c r="Q6003" s="2"/>
      <c r="R6003" s="2"/>
      <c r="S6003" s="2"/>
    </row>
    <row r="6004" spans="1:19" ht="12.5">
      <c r="A6004" s="7"/>
      <c r="B6004" s="6"/>
      <c r="C6004" s="6"/>
      <c r="D6004" s="5"/>
      <c r="E6004" s="2"/>
      <c r="F6004" s="2"/>
      <c r="G6004" s="2"/>
      <c r="H6004" s="2"/>
      <c r="I6004" s="2"/>
      <c r="J6004" s="2"/>
      <c r="K6004" s="2"/>
      <c r="L6004" s="2"/>
      <c r="M6004" s="2"/>
      <c r="N6004" s="2"/>
      <c r="O6004" s="4"/>
      <c r="P6004" s="3"/>
      <c r="Q6004" s="2"/>
      <c r="R6004" s="2"/>
      <c r="S6004" s="2"/>
    </row>
    <row r="6005" spans="1:19" ht="12.5">
      <c r="A6005" s="7"/>
      <c r="B6005" s="6"/>
      <c r="C6005" s="6"/>
      <c r="D6005" s="5"/>
      <c r="E6005" s="2"/>
      <c r="F6005" s="2"/>
      <c r="G6005" s="2"/>
      <c r="H6005" s="2"/>
      <c r="I6005" s="2"/>
      <c r="J6005" s="2"/>
      <c r="K6005" s="2"/>
      <c r="L6005" s="2"/>
      <c r="M6005" s="2"/>
      <c r="N6005" s="2"/>
      <c r="O6005" s="4"/>
      <c r="P6005" s="3"/>
      <c r="Q6005" s="2"/>
      <c r="R6005" s="2"/>
      <c r="S6005" s="2"/>
    </row>
    <row r="6006" spans="1:19" ht="12.5">
      <c r="A6006" s="7"/>
      <c r="B6006" s="6"/>
      <c r="C6006" s="6"/>
      <c r="D6006" s="5"/>
      <c r="E6006" s="2"/>
      <c r="F6006" s="2"/>
      <c r="G6006" s="2"/>
      <c r="H6006" s="2"/>
      <c r="I6006" s="2"/>
      <c r="J6006" s="2"/>
      <c r="K6006" s="2"/>
      <c r="L6006" s="2"/>
      <c r="M6006" s="2"/>
      <c r="N6006" s="2"/>
      <c r="O6006" s="4"/>
      <c r="P6006" s="3"/>
      <c r="Q6006" s="2"/>
      <c r="R6006" s="2"/>
      <c r="S6006" s="2"/>
    </row>
    <row r="6007" spans="1:19" ht="12.5">
      <c r="A6007" s="2"/>
      <c r="B6007" s="6"/>
      <c r="C6007" s="6"/>
      <c r="D6007" s="5"/>
      <c r="E6007" s="2"/>
      <c r="F6007" s="2"/>
      <c r="G6007" s="2"/>
      <c r="H6007" s="2"/>
      <c r="I6007" s="2"/>
      <c r="J6007" s="2"/>
      <c r="K6007" s="2"/>
      <c r="L6007" s="2"/>
      <c r="M6007" s="2"/>
      <c r="N6007" s="2"/>
      <c r="O6007" s="4"/>
      <c r="P6007" s="3"/>
      <c r="Q6007" s="2"/>
      <c r="R6007" s="2"/>
      <c r="S6007" s="2"/>
    </row>
    <row r="6008" spans="1:19" ht="12.5">
      <c r="A6008" s="7"/>
      <c r="B6008" s="6"/>
      <c r="C6008" s="6"/>
      <c r="D6008" s="5"/>
      <c r="E6008" s="2"/>
      <c r="F6008" s="2"/>
      <c r="G6008" s="2"/>
      <c r="H6008" s="2"/>
      <c r="I6008" s="2"/>
      <c r="J6008" s="2"/>
      <c r="K6008" s="2"/>
      <c r="L6008" s="2"/>
      <c r="M6008" s="2"/>
      <c r="N6008" s="2"/>
      <c r="O6008" s="4"/>
      <c r="P6008" s="3"/>
      <c r="Q6008" s="2"/>
      <c r="R6008" s="2"/>
      <c r="S6008" s="2"/>
    </row>
    <row r="6009" spans="1:19" ht="12.5">
      <c r="A6009" s="7"/>
      <c r="B6009" s="6"/>
      <c r="C6009" s="6"/>
      <c r="D6009" s="5"/>
      <c r="E6009" s="2"/>
      <c r="F6009" s="2"/>
      <c r="G6009" s="2"/>
      <c r="H6009" s="2"/>
      <c r="I6009" s="2"/>
      <c r="J6009" s="2"/>
      <c r="K6009" s="2"/>
      <c r="L6009" s="2"/>
      <c r="M6009" s="2"/>
      <c r="N6009" s="2"/>
      <c r="O6009" s="4"/>
      <c r="P6009" s="3"/>
      <c r="Q6009" s="2"/>
      <c r="R6009" s="2"/>
      <c r="S6009" s="2"/>
    </row>
    <row r="6010" spans="1:19" ht="12.5">
      <c r="A6010" s="7"/>
      <c r="B6010" s="6"/>
      <c r="C6010" s="6"/>
      <c r="D6010" s="5"/>
      <c r="E6010" s="2"/>
      <c r="F6010" s="2"/>
      <c r="G6010" s="2"/>
      <c r="H6010" s="2"/>
      <c r="I6010" s="2"/>
      <c r="J6010" s="2"/>
      <c r="K6010" s="2"/>
      <c r="L6010" s="2"/>
      <c r="M6010" s="2"/>
      <c r="N6010" s="2"/>
      <c r="O6010" s="4"/>
      <c r="P6010" s="3"/>
      <c r="Q6010" s="2"/>
      <c r="R6010" s="2"/>
      <c r="S6010" s="2"/>
    </row>
    <row r="6011" spans="1:19" ht="12.5">
      <c r="A6011" s="7"/>
      <c r="B6011" s="6"/>
      <c r="C6011" s="6"/>
      <c r="D6011" s="5"/>
      <c r="E6011" s="2"/>
      <c r="F6011" s="2"/>
      <c r="G6011" s="2"/>
      <c r="H6011" s="2"/>
      <c r="I6011" s="2"/>
      <c r="J6011" s="2"/>
      <c r="K6011" s="2"/>
      <c r="L6011" s="2"/>
      <c r="M6011" s="2"/>
      <c r="N6011" s="2"/>
      <c r="O6011" s="4"/>
      <c r="P6011" s="3"/>
      <c r="Q6011" s="2"/>
      <c r="R6011" s="2"/>
      <c r="S6011" s="2"/>
    </row>
    <row r="6012" spans="1:19" ht="12.5">
      <c r="A6012" s="7"/>
      <c r="B6012" s="6"/>
      <c r="C6012" s="6"/>
      <c r="D6012" s="5"/>
      <c r="E6012" s="2"/>
      <c r="F6012" s="2"/>
      <c r="G6012" s="2"/>
      <c r="H6012" s="2"/>
      <c r="I6012" s="2"/>
      <c r="J6012" s="2"/>
      <c r="K6012" s="2"/>
      <c r="L6012" s="2"/>
      <c r="M6012" s="2"/>
      <c r="N6012" s="2"/>
      <c r="O6012" s="4"/>
      <c r="P6012" s="3"/>
      <c r="Q6012" s="2"/>
      <c r="R6012" s="2"/>
      <c r="S6012" s="2"/>
    </row>
    <row r="6013" spans="1:19" ht="12.5">
      <c r="A6013" s="7"/>
      <c r="B6013" s="6"/>
      <c r="C6013" s="6"/>
      <c r="D6013" s="5"/>
      <c r="E6013" s="2"/>
      <c r="F6013" s="2"/>
      <c r="G6013" s="2"/>
      <c r="H6013" s="2"/>
      <c r="I6013" s="2"/>
      <c r="J6013" s="2"/>
      <c r="K6013" s="2"/>
      <c r="L6013" s="2"/>
      <c r="M6013" s="2"/>
      <c r="N6013" s="2"/>
      <c r="O6013" s="4"/>
      <c r="P6013" s="3"/>
      <c r="Q6013" s="2"/>
      <c r="R6013" s="2"/>
      <c r="S6013" s="2"/>
    </row>
    <row r="6014" spans="1:19" ht="12.5">
      <c r="A6014" s="7"/>
      <c r="B6014" s="6"/>
      <c r="C6014" s="6"/>
      <c r="D6014" s="5"/>
      <c r="E6014" s="2"/>
      <c r="F6014" s="2"/>
      <c r="G6014" s="2"/>
      <c r="H6014" s="2"/>
      <c r="I6014" s="2"/>
      <c r="J6014" s="2"/>
      <c r="K6014" s="2"/>
      <c r="L6014" s="2"/>
      <c r="M6014" s="2"/>
      <c r="N6014" s="2"/>
      <c r="O6014" s="4"/>
      <c r="P6014" s="3"/>
      <c r="Q6014" s="2"/>
      <c r="R6014" s="2"/>
      <c r="S6014" s="2"/>
    </row>
    <row r="6015" spans="1:19" ht="12.5">
      <c r="A6015" s="7"/>
      <c r="B6015" s="6"/>
      <c r="C6015" s="6"/>
      <c r="D6015" s="5"/>
      <c r="E6015" s="2"/>
      <c r="F6015" s="2"/>
      <c r="G6015" s="2"/>
      <c r="H6015" s="2"/>
      <c r="I6015" s="2"/>
      <c r="J6015" s="2"/>
      <c r="K6015" s="2"/>
      <c r="L6015" s="2"/>
      <c r="M6015" s="2"/>
      <c r="N6015" s="2"/>
      <c r="O6015" s="4"/>
      <c r="P6015" s="3"/>
      <c r="Q6015" s="2"/>
      <c r="R6015" s="2"/>
      <c r="S6015" s="2"/>
    </row>
    <row r="6016" spans="1:19" ht="12.5">
      <c r="A6016" s="7"/>
      <c r="B6016" s="6"/>
      <c r="C6016" s="6"/>
      <c r="D6016" s="5"/>
      <c r="E6016" s="2"/>
      <c r="F6016" s="2"/>
      <c r="G6016" s="2"/>
      <c r="H6016" s="2"/>
      <c r="I6016" s="2"/>
      <c r="J6016" s="2"/>
      <c r="K6016" s="2"/>
      <c r="L6016" s="2"/>
      <c r="M6016" s="2"/>
      <c r="N6016" s="2"/>
      <c r="O6016" s="4"/>
      <c r="P6016" s="3"/>
      <c r="Q6016" s="2"/>
      <c r="R6016" s="2"/>
      <c r="S6016" s="2"/>
    </row>
    <row r="6017" spans="1:19" ht="12.5">
      <c r="A6017" s="7"/>
      <c r="B6017" s="6"/>
      <c r="C6017" s="6"/>
      <c r="D6017" s="5"/>
      <c r="E6017" s="2"/>
      <c r="F6017" s="2"/>
      <c r="G6017" s="2"/>
      <c r="H6017" s="2"/>
      <c r="I6017" s="2"/>
      <c r="J6017" s="2"/>
      <c r="K6017" s="2"/>
      <c r="L6017" s="2"/>
      <c r="M6017" s="2"/>
      <c r="N6017" s="2"/>
      <c r="O6017" s="4"/>
      <c r="P6017" s="3"/>
      <c r="Q6017" s="2"/>
      <c r="R6017" s="2"/>
      <c r="S6017" s="2"/>
    </row>
    <row r="6018" spans="1:19" ht="12.5">
      <c r="A6018" s="7"/>
      <c r="B6018" s="6"/>
      <c r="C6018" s="6"/>
      <c r="D6018" s="5"/>
      <c r="E6018" s="2"/>
      <c r="F6018" s="2"/>
      <c r="G6018" s="2"/>
      <c r="H6018" s="2"/>
      <c r="I6018" s="2"/>
      <c r="J6018" s="2"/>
      <c r="K6018" s="2"/>
      <c r="L6018" s="2"/>
      <c r="M6018" s="2"/>
      <c r="N6018" s="2"/>
      <c r="O6018" s="4"/>
      <c r="P6018" s="3"/>
      <c r="Q6018" s="2"/>
      <c r="R6018" s="2"/>
      <c r="S6018" s="2"/>
    </row>
    <row r="6019" spans="1:19" ht="12.5">
      <c r="A6019" s="7"/>
      <c r="B6019" s="6"/>
      <c r="C6019" s="6"/>
      <c r="D6019" s="5"/>
      <c r="E6019" s="2"/>
      <c r="F6019" s="2"/>
      <c r="G6019" s="2"/>
      <c r="H6019" s="2"/>
      <c r="I6019" s="2"/>
      <c r="J6019" s="2"/>
      <c r="K6019" s="2"/>
      <c r="L6019" s="2"/>
      <c r="M6019" s="2"/>
      <c r="N6019" s="2"/>
      <c r="O6019" s="4"/>
      <c r="P6019" s="3"/>
      <c r="Q6019" s="2"/>
      <c r="R6019" s="2"/>
      <c r="S6019" s="2"/>
    </row>
    <row r="6020" spans="1:19" ht="12.5">
      <c r="A6020" s="7"/>
      <c r="B6020" s="6"/>
      <c r="C6020" s="6"/>
      <c r="D6020" s="5"/>
      <c r="E6020" s="2"/>
      <c r="F6020" s="2"/>
      <c r="G6020" s="2"/>
      <c r="H6020" s="2"/>
      <c r="I6020" s="2"/>
      <c r="J6020" s="2"/>
      <c r="K6020" s="2"/>
      <c r="L6020" s="2"/>
      <c r="M6020" s="2"/>
      <c r="N6020" s="2"/>
      <c r="O6020" s="4"/>
      <c r="P6020" s="3"/>
      <c r="Q6020" s="2"/>
      <c r="R6020" s="2"/>
      <c r="S6020" s="2"/>
    </row>
    <row r="6021" spans="1:19" ht="12.5">
      <c r="A6021" s="7"/>
      <c r="B6021" s="6"/>
      <c r="C6021" s="6"/>
      <c r="D6021" s="5"/>
      <c r="E6021" s="2"/>
      <c r="F6021" s="2"/>
      <c r="G6021" s="2"/>
      <c r="H6021" s="2"/>
      <c r="I6021" s="2"/>
      <c r="J6021" s="2"/>
      <c r="K6021" s="2"/>
      <c r="L6021" s="2"/>
      <c r="M6021" s="2"/>
      <c r="N6021" s="2"/>
      <c r="O6021" s="4"/>
      <c r="P6021" s="3"/>
      <c r="Q6021" s="2"/>
      <c r="R6021" s="2"/>
      <c r="S6021" s="2"/>
    </row>
    <row r="6022" spans="1:19" ht="12.5">
      <c r="A6022" s="7"/>
      <c r="B6022" s="6"/>
      <c r="C6022" s="6"/>
      <c r="D6022" s="5"/>
      <c r="E6022" s="2"/>
      <c r="F6022" s="2"/>
      <c r="G6022" s="2"/>
      <c r="H6022" s="2"/>
      <c r="I6022" s="2"/>
      <c r="J6022" s="2"/>
      <c r="K6022" s="2"/>
      <c r="L6022" s="2"/>
      <c r="M6022" s="2"/>
      <c r="N6022" s="2"/>
      <c r="O6022" s="4"/>
      <c r="P6022" s="3"/>
      <c r="Q6022" s="2"/>
      <c r="R6022" s="2"/>
      <c r="S6022" s="2"/>
    </row>
  </sheetData>
  <hyperlinks>
    <hyperlink ref="G3" r:id="rId1"/>
    <hyperlink ref="G7" r:id="rId2"/>
    <hyperlink ref="G10" r:id="rId3"/>
    <hyperlink ref="F11" r:id="rId4"/>
    <hyperlink ref="G11" r:id="rId5"/>
    <hyperlink ref="Q11" r:id="rId6"/>
    <hyperlink ref="F14" r:id="rId7"/>
    <hyperlink ref="G23" r:id="rId8"/>
    <hyperlink ref="Q26" r:id="rId9"/>
    <hyperlink ref="F27" r:id="rId10"/>
    <hyperlink ref="G27" r:id="rId11"/>
    <hyperlink ref="F28" r:id="rId12"/>
    <hyperlink ref="Q29" r:id="rId13"/>
    <hyperlink ref="G32" r:id="rId14"/>
    <hyperlink ref="F34" r:id="rId15"/>
    <hyperlink ref="Q34" r:id="rId16"/>
    <hyperlink ref="G40" r:id="rId17"/>
    <hyperlink ref="Q40" r:id="rId18"/>
    <hyperlink ref="G44" r:id="rId19"/>
    <hyperlink ref="Q44" r:id="rId20"/>
    <hyperlink ref="F48" r:id="rId21"/>
    <hyperlink ref="Q48" r:id="rId22"/>
    <hyperlink ref="Q49" r:id="rId23"/>
    <hyperlink ref="G50" r:id="rId24"/>
    <hyperlink ref="G51" r:id="rId25"/>
    <hyperlink ref="F54" r:id="rId26"/>
    <hyperlink ref="G54" r:id="rId27"/>
    <hyperlink ref="F58" r:id="rId28"/>
    <hyperlink ref="Q58" r:id="rId29"/>
    <hyperlink ref="G59" r:id="rId30"/>
    <hyperlink ref="Q60" r:id="rId31"/>
    <hyperlink ref="G63" r:id="rId32"/>
    <hyperlink ref="G65" r:id="rId33"/>
    <hyperlink ref="G67" r:id="rId34"/>
    <hyperlink ref="G71" r:id="rId35"/>
    <hyperlink ref="F72" r:id="rId36"/>
    <hyperlink ref="Q72" r:id="rId37"/>
    <hyperlink ref="F74" r:id="rId38"/>
    <hyperlink ref="G74" r:id="rId39"/>
    <hyperlink ref="Q74" r:id="rId40"/>
    <hyperlink ref="F77" r:id="rId41"/>
    <hyperlink ref="G77" r:id="rId42"/>
    <hyperlink ref="G80" r:id="rId43"/>
    <hyperlink ref="Q80" r:id="rId44"/>
    <hyperlink ref="F82" r:id="rId45"/>
    <hyperlink ref="G82" r:id="rId46"/>
    <hyperlink ref="G83" r:id="rId47"/>
    <hyperlink ref="Q85" r:id="rId48"/>
    <hyperlink ref="F86" r:id="rId49"/>
    <hyperlink ref="Q86" r:id="rId50"/>
    <hyperlink ref="F90" r:id="rId51"/>
    <hyperlink ref="G92" r:id="rId52"/>
    <hyperlink ref="Q94" r:id="rId53"/>
    <hyperlink ref="F95" r:id="rId54"/>
    <hyperlink ref="G95" r:id="rId55"/>
    <hyperlink ref="Q95" r:id="rId56"/>
    <hyperlink ref="G99" r:id="rId57"/>
    <hyperlink ref="Q101" r:id="rId58"/>
    <hyperlink ref="G102" r:id="rId59"/>
    <hyperlink ref="Q102" r:id="rId60"/>
    <hyperlink ref="G107" r:id="rId61"/>
    <hyperlink ref="Q107" r:id="rId62"/>
    <hyperlink ref="G109" r:id="rId63"/>
    <hyperlink ref="G111" r:id="rId64"/>
    <hyperlink ref="Q111" r:id="rId65"/>
    <hyperlink ref="F112" r:id="rId66"/>
    <hyperlink ref="G112" r:id="rId67"/>
    <hyperlink ref="Q112" r:id="rId68"/>
    <hyperlink ref="Q113" r:id="rId69"/>
    <hyperlink ref="G116" r:id="rId70"/>
    <hyperlink ref="Q117" r:id="rId71"/>
    <hyperlink ref="Q118" r:id="rId72"/>
    <hyperlink ref="G119" r:id="rId73"/>
    <hyperlink ref="Q122" r:id="rId74"/>
    <hyperlink ref="F139" r:id="rId75"/>
    <hyperlink ref="G139" r:id="rId76"/>
    <hyperlink ref="G141" r:id="rId77"/>
    <hyperlink ref="Q142" r:id="rId78"/>
    <hyperlink ref="F148" r:id="rId79"/>
    <hyperlink ref="Q148" r:id="rId80"/>
    <hyperlink ref="Q150" r:id="rId81"/>
    <hyperlink ref="G153" r:id="rId82"/>
    <hyperlink ref="G156" r:id="rId83"/>
    <hyperlink ref="Q156" r:id="rId84"/>
    <hyperlink ref="G157" r:id="rId85"/>
    <hyperlink ref="G160" r:id="rId86"/>
    <hyperlink ref="Q160" r:id="rId87"/>
    <hyperlink ref="G161" r:id="rId88"/>
    <hyperlink ref="Q165" r:id="rId89"/>
    <hyperlink ref="G166" r:id="rId90"/>
    <hyperlink ref="Q167" r:id="rId91"/>
    <hyperlink ref="Q172" r:id="rId92"/>
    <hyperlink ref="Q181" r:id="rId93"/>
    <hyperlink ref="G182" r:id="rId94"/>
    <hyperlink ref="Q182" r:id="rId95"/>
    <hyperlink ref="G188" r:id="rId96"/>
    <hyperlink ref="Q188" r:id="rId97"/>
    <hyperlink ref="F189" r:id="rId98"/>
    <hyperlink ref="G190" r:id="rId99"/>
    <hyperlink ref="G192" r:id="rId100"/>
    <hyperlink ref="G194" r:id="rId101"/>
    <hyperlink ref="G199" r:id="rId102"/>
    <hyperlink ref="Q205" r:id="rId103"/>
    <hyperlink ref="G207" r:id="rId104"/>
    <hyperlink ref="G210" r:id="rId105"/>
    <hyperlink ref="G211" r:id="rId106"/>
    <hyperlink ref="G222" r:id="rId107"/>
    <hyperlink ref="Q222" r:id="rId108"/>
    <hyperlink ref="G229" r:id="rId109"/>
    <hyperlink ref="Q231" r:id="rId110"/>
    <hyperlink ref="F233" r:id="rId111"/>
    <hyperlink ref="F234" r:id="rId112"/>
    <hyperlink ref="F235" r:id="rId113"/>
    <hyperlink ref="Q235" r:id="rId114"/>
    <hyperlink ref="G238" r:id="rId115"/>
    <hyperlink ref="Q238" r:id="rId116"/>
    <hyperlink ref="G239" r:id="rId117"/>
    <hyperlink ref="F242" r:id="rId118"/>
    <hyperlink ref="G247" r:id="rId119"/>
    <hyperlink ref="Q247" r:id="rId120"/>
    <hyperlink ref="F249" r:id="rId121"/>
    <hyperlink ref="G249" r:id="rId122"/>
    <hyperlink ref="G250" r:id="rId123"/>
    <hyperlink ref="Q250" r:id="rId124"/>
    <hyperlink ref="F256" r:id="rId125"/>
    <hyperlink ref="G264" r:id="rId126"/>
    <hyperlink ref="Q265" r:id="rId127"/>
    <hyperlink ref="F266" r:id="rId128"/>
    <hyperlink ref="G267" r:id="rId129"/>
    <hyperlink ref="G268" r:id="rId130"/>
    <hyperlink ref="F272" r:id="rId131"/>
    <hyperlink ref="Q272" r:id="rId132"/>
    <hyperlink ref="Q273" r:id="rId133"/>
    <hyperlink ref="G276" r:id="rId134"/>
    <hyperlink ref="F277" r:id="rId135"/>
    <hyperlink ref="Q277" r:id="rId136"/>
    <hyperlink ref="F279" r:id="rId137"/>
    <hyperlink ref="Q280" r:id="rId138"/>
    <hyperlink ref="F281" r:id="rId139"/>
    <hyperlink ref="G281" r:id="rId140"/>
    <hyperlink ref="G282" r:id="rId141"/>
    <hyperlink ref="F285" r:id="rId142"/>
    <hyperlink ref="Q285" r:id="rId143"/>
    <hyperlink ref="F287" r:id="rId144"/>
    <hyperlink ref="G288" r:id="rId145"/>
    <hyperlink ref="Q289" r:id="rId146"/>
    <hyperlink ref="F296" r:id="rId147"/>
    <hyperlink ref="Q301" r:id="rId148"/>
    <hyperlink ref="F305" r:id="rId149"/>
    <hyperlink ref="Q305" r:id="rId150"/>
    <hyperlink ref="G308" r:id="rId151"/>
    <hyperlink ref="Q308" r:id="rId152"/>
    <hyperlink ref="G310" r:id="rId153"/>
    <hyperlink ref="G311" r:id="rId154"/>
    <hyperlink ref="Q313" r:id="rId155"/>
    <hyperlink ref="Q314" r:id="rId156"/>
    <hyperlink ref="Q321" r:id="rId157"/>
    <hyperlink ref="F324" r:id="rId158"/>
    <hyperlink ref="Q325" r:id="rId159"/>
    <hyperlink ref="F327" r:id="rId160"/>
    <hyperlink ref="Q328" r:id="rId161"/>
    <hyperlink ref="Q330" r:id="rId162"/>
    <hyperlink ref="Q332" r:id="rId163"/>
    <hyperlink ref="F333" r:id="rId164"/>
    <hyperlink ref="G333" r:id="rId165"/>
    <hyperlink ref="Q333" r:id="rId166"/>
    <hyperlink ref="F339" r:id="rId167"/>
    <hyperlink ref="C342" r:id="rId168"/>
    <hyperlink ref="G342" r:id="rId169"/>
    <hyperlink ref="F347" r:id="rId170"/>
    <hyperlink ref="G347" r:id="rId171"/>
    <hyperlink ref="G357" r:id="rId172"/>
    <hyperlink ref="Q358" r:id="rId173"/>
    <hyperlink ref="G359" r:id="rId174"/>
    <hyperlink ref="G362" r:id="rId175"/>
    <hyperlink ref="G363" r:id="rId176"/>
    <hyperlink ref="G365" r:id="rId177"/>
    <hyperlink ref="G370" r:id="rId178"/>
    <hyperlink ref="G371" r:id="rId179"/>
    <hyperlink ref="G375" r:id="rId180"/>
    <hyperlink ref="Q376" r:id="rId181"/>
    <hyperlink ref="Q378" r:id="rId182"/>
    <hyperlink ref="F379" r:id="rId183"/>
    <hyperlink ref="G379" r:id="rId184"/>
    <hyperlink ref="F384" r:id="rId185"/>
    <hyperlink ref="G387" r:id="rId186"/>
    <hyperlink ref="G389" r:id="rId187"/>
    <hyperlink ref="G391" r:id="rId188"/>
    <hyperlink ref="Q392" r:id="rId189"/>
    <hyperlink ref="G393" r:id="rId190"/>
    <hyperlink ref="G394" r:id="rId191"/>
    <hyperlink ref="F398" r:id="rId192"/>
    <hyperlink ref="Q403" r:id="rId193"/>
    <hyperlink ref="G404" r:id="rId194"/>
    <hyperlink ref="Q404" r:id="rId195"/>
    <hyperlink ref="F406" r:id="rId196"/>
    <hyperlink ref="G406" r:id="rId197"/>
    <hyperlink ref="G407" r:id="rId198"/>
    <hyperlink ref="Q408" r:id="rId199"/>
    <hyperlink ref="G409" r:id="rId200"/>
    <hyperlink ref="G413" r:id="rId201"/>
    <hyperlink ref="G414" r:id="rId202"/>
    <hyperlink ref="Q415" r:id="rId203"/>
    <hyperlink ref="Q417" r:id="rId204"/>
    <hyperlink ref="F421" r:id="rId205"/>
    <hyperlink ref="G421" r:id="rId206"/>
    <hyperlink ref="G422" r:id="rId207"/>
    <hyperlink ref="Q422" r:id="rId208"/>
    <hyperlink ref="Q425" r:id="rId209"/>
    <hyperlink ref="Q429" r:id="rId210"/>
    <hyperlink ref="Q433" r:id="rId211"/>
    <hyperlink ref="F435" r:id="rId212"/>
    <hyperlink ref="G435" r:id="rId213"/>
    <hyperlink ref="G437" r:id="rId214"/>
    <hyperlink ref="G439" r:id="rId215"/>
    <hyperlink ref="Q439" r:id="rId216"/>
    <hyperlink ref="G440" r:id="rId217"/>
    <hyperlink ref="Q443" r:id="rId218"/>
    <hyperlink ref="G449" r:id="rId219"/>
    <hyperlink ref="F450" r:id="rId220"/>
    <hyperlink ref="G450" r:id="rId221"/>
    <hyperlink ref="G451" r:id="rId222"/>
    <hyperlink ref="Q451" r:id="rId223"/>
    <hyperlink ref="G454" r:id="rId224"/>
    <hyperlink ref="Q454" r:id="rId225"/>
    <hyperlink ref="G455" r:id="rId226"/>
    <hyperlink ref="Q455" r:id="rId227"/>
    <hyperlink ref="F457" r:id="rId228"/>
    <hyperlink ref="G457" r:id="rId229"/>
    <hyperlink ref="Q457" r:id="rId230"/>
    <hyperlink ref="G460" r:id="rId231"/>
    <hyperlink ref="Q460" r:id="rId232"/>
    <hyperlink ref="F462" r:id="rId233"/>
    <hyperlink ref="G463" r:id="rId234"/>
    <hyperlink ref="G465" r:id="rId235"/>
    <hyperlink ref="Q465" r:id="rId236"/>
    <hyperlink ref="G466" r:id="rId237"/>
    <hyperlink ref="F471" r:id="rId238"/>
    <hyperlink ref="G472" r:id="rId239"/>
    <hyperlink ref="Q474" r:id="rId240"/>
    <hyperlink ref="G476" r:id="rId241"/>
    <hyperlink ref="Q478" r:id="rId242"/>
    <hyperlink ref="G484" r:id="rId243"/>
    <hyperlink ref="Q484" r:id="rId244"/>
    <hyperlink ref="F485" r:id="rId245"/>
    <hyperlink ref="G485" r:id="rId246"/>
    <hyperlink ref="Q485" r:id="rId247"/>
    <hyperlink ref="G491" r:id="rId248"/>
    <hyperlink ref="Q491" r:id="rId249"/>
    <hyperlink ref="G492" r:id="rId250"/>
    <hyperlink ref="G495" r:id="rId251"/>
    <hyperlink ref="Q496" r:id="rId252"/>
    <hyperlink ref="G499" r:id="rId253"/>
    <hyperlink ref="Q499" r:id="rId254"/>
    <hyperlink ref="G500" r:id="rId255"/>
    <hyperlink ref="C502" r:id="rId256"/>
    <hyperlink ref="G502" r:id="rId257"/>
    <hyperlink ref="G507" r:id="rId258"/>
    <hyperlink ref="G509" r:id="rId259"/>
    <hyperlink ref="Q509" r:id="rId260"/>
    <hyperlink ref="F510" r:id="rId261"/>
    <hyperlink ref="G510" r:id="rId262"/>
    <hyperlink ref="G514" r:id="rId263"/>
    <hyperlink ref="P514" r:id="rId264"/>
    <hyperlink ref="Q514" r:id="rId265"/>
    <hyperlink ref="G515" r:id="rId266"/>
    <hyperlink ref="Q515" r:id="rId267"/>
    <hyperlink ref="F517" r:id="rId268"/>
    <hyperlink ref="G517" r:id="rId269"/>
    <hyperlink ref="Q519" r:id="rId270"/>
    <hyperlink ref="F521" r:id="rId271"/>
    <hyperlink ref="Q521" r:id="rId272"/>
    <hyperlink ref="G524" r:id="rId273"/>
    <hyperlink ref="G525" r:id="rId274"/>
    <hyperlink ref="Q526" r:id="rId275"/>
    <hyperlink ref="Q527" r:id="rId276"/>
    <hyperlink ref="F528" r:id="rId277"/>
    <hyperlink ref="G529" r:id="rId278"/>
    <hyperlink ref="Q531" r:id="rId279"/>
    <hyperlink ref="F532" r:id="rId280"/>
    <hyperlink ref="G532" r:id="rId281"/>
    <hyperlink ref="Q533" r:id="rId282"/>
    <hyperlink ref="G534" r:id="rId283"/>
    <hyperlink ref="Q534" r:id="rId284"/>
    <hyperlink ref="F541" r:id="rId285"/>
    <hyperlink ref="Q541" r:id="rId286"/>
    <hyperlink ref="G542" r:id="rId287"/>
    <hyperlink ref="Q546" r:id="rId288"/>
    <hyperlink ref="G550" r:id="rId289"/>
    <hyperlink ref="Q550" r:id="rId290"/>
    <hyperlink ref="G551" r:id="rId291"/>
    <hyperlink ref="Q551" r:id="rId292"/>
    <hyperlink ref="G556" r:id="rId293"/>
    <hyperlink ref="Q556" r:id="rId294"/>
    <hyperlink ref="Q558" r:id="rId295"/>
    <hyperlink ref="G559" r:id="rId296"/>
    <hyperlink ref="G560" r:id="rId297"/>
    <hyperlink ref="Q560" r:id="rId298"/>
    <hyperlink ref="Q562" r:id="rId299"/>
    <hyperlink ref="G563" r:id="rId300"/>
    <hyperlink ref="G564" r:id="rId301"/>
    <hyperlink ref="G565" r:id="rId302"/>
    <hyperlink ref="Q565" r:id="rId303"/>
    <hyperlink ref="F566" r:id="rId304"/>
    <hyperlink ref="Q566" r:id="rId305"/>
    <hyperlink ref="Q568" r:id="rId306"/>
    <hyperlink ref="Q575" r:id="rId307"/>
    <hyperlink ref="G580" r:id="rId308"/>
    <hyperlink ref="Q581" r:id="rId309"/>
    <hyperlink ref="F582" r:id="rId310"/>
    <hyperlink ref="G582" r:id="rId311"/>
    <hyperlink ref="Q582" r:id="rId312"/>
    <hyperlink ref="Q586" r:id="rId313"/>
    <hyperlink ref="G592" r:id="rId314"/>
    <hyperlink ref="C593" r:id="rId315"/>
    <hyperlink ref="F593" r:id="rId316"/>
    <hyperlink ref="Q593" r:id="rId317"/>
    <hyperlink ref="F594" r:id="rId318"/>
    <hyperlink ref="G594" r:id="rId319"/>
    <hyperlink ref="Q594" r:id="rId320"/>
    <hyperlink ref="Q595" r:id="rId321"/>
    <hyperlink ref="Q596" r:id="rId322"/>
    <hyperlink ref="F600" r:id="rId323"/>
    <hyperlink ref="Q600" r:id="rId324"/>
    <hyperlink ref="G602" r:id="rId325"/>
    <hyperlink ref="G603" r:id="rId326"/>
    <hyperlink ref="G604" r:id="rId327"/>
    <hyperlink ref="G605" r:id="rId328"/>
    <hyperlink ref="Q606" r:id="rId329"/>
    <hyperlink ref="G609" r:id="rId330"/>
    <hyperlink ref="F611" r:id="rId331"/>
    <hyperlink ref="G611" r:id="rId332"/>
    <hyperlink ref="Q611" r:id="rId333"/>
    <hyperlink ref="G618" r:id="rId334"/>
    <hyperlink ref="Q618" r:id="rId335"/>
    <hyperlink ref="Q619" r:id="rId336"/>
    <hyperlink ref="G620" r:id="rId337"/>
    <hyperlink ref="Q620" r:id="rId338"/>
    <hyperlink ref="F623" r:id="rId339"/>
    <hyperlink ref="G624" r:id="rId340"/>
    <hyperlink ref="Q624" r:id="rId341"/>
    <hyperlink ref="P630" r:id="rId342"/>
    <hyperlink ref="G631" r:id="rId343"/>
    <hyperlink ref="G635" r:id="rId344"/>
    <hyperlink ref="F636" r:id="rId345"/>
    <hyperlink ref="G636" r:id="rId346"/>
    <hyperlink ref="Q636" r:id="rId347"/>
    <hyperlink ref="F637" r:id="rId348"/>
    <hyperlink ref="Q638" r:id="rId349"/>
    <hyperlink ref="Q639" r:id="rId350"/>
    <hyperlink ref="Q641" r:id="rId351"/>
    <hyperlink ref="G643" r:id="rId352"/>
    <hyperlink ref="Q643" r:id="rId353"/>
    <hyperlink ref="G644" r:id="rId354"/>
    <hyperlink ref="F646" r:id="rId355"/>
    <hyperlink ref="G647" r:id="rId356"/>
    <hyperlink ref="Q647" r:id="rId357"/>
    <hyperlink ref="Q648" r:id="rId358"/>
    <hyperlink ref="G652" r:id="rId359"/>
    <hyperlink ref="Q655" r:id="rId360"/>
    <hyperlink ref="G658" r:id="rId361"/>
    <hyperlink ref="F662" r:id="rId362"/>
    <hyperlink ref="Q662" r:id="rId363"/>
    <hyperlink ref="G664" r:id="rId364"/>
    <hyperlink ref="F666" r:id="rId365"/>
    <hyperlink ref="G666" r:id="rId366"/>
    <hyperlink ref="Q666" r:id="rId367"/>
    <hyperlink ref="F669" r:id="rId368"/>
    <hyperlink ref="G669" r:id="rId369"/>
    <hyperlink ref="Q669" r:id="rId370"/>
    <hyperlink ref="F670" r:id="rId371"/>
    <hyperlink ref="F673" r:id="rId372"/>
    <hyperlink ref="Q673" r:id="rId373"/>
    <hyperlink ref="G674" r:id="rId374"/>
    <hyperlink ref="G677" r:id="rId375"/>
    <hyperlink ref="Q677" r:id="rId376"/>
    <hyperlink ref="F678" r:id="rId377"/>
    <hyperlink ref="G678" r:id="rId378"/>
    <hyperlink ref="Q678" r:id="rId379"/>
    <hyperlink ref="Q681" r:id="rId380"/>
    <hyperlink ref="G684" r:id="rId381"/>
    <hyperlink ref="F685" r:id="rId382"/>
    <hyperlink ref="G685" r:id="rId383"/>
    <hyperlink ref="Q685" r:id="rId384"/>
    <hyperlink ref="G686" r:id="rId385"/>
    <hyperlink ref="G695" r:id="rId386"/>
    <hyperlink ref="Q695" r:id="rId387"/>
    <hyperlink ref="Q696" r:id="rId388"/>
    <hyperlink ref="F699" r:id="rId389"/>
    <hyperlink ref="Q699" r:id="rId390"/>
    <hyperlink ref="C704" r:id="rId391"/>
    <hyperlink ref="Q707" r:id="rId392"/>
    <hyperlink ref="G708" r:id="rId393"/>
    <hyperlink ref="Q709" r:id="rId394"/>
    <hyperlink ref="G713" r:id="rId395"/>
    <hyperlink ref="Q714" r:id="rId396"/>
    <hyperlink ref="F715" r:id="rId397"/>
    <hyperlink ref="Q715" r:id="rId398"/>
    <hyperlink ref="G716" r:id="rId399"/>
    <hyperlink ref="Q716" r:id="rId400"/>
    <hyperlink ref="Q717" r:id="rId401"/>
    <hyperlink ref="G718" r:id="rId402"/>
    <hyperlink ref="Q718" r:id="rId403"/>
    <hyperlink ref="Q719" r:id="rId404"/>
    <hyperlink ref="F720" r:id="rId405"/>
    <hyperlink ref="G720" r:id="rId406"/>
    <hyperlink ref="Q720" r:id="rId407"/>
    <hyperlink ref="F724" r:id="rId408"/>
    <hyperlink ref="G724" r:id="rId409"/>
    <hyperlink ref="G726" r:id="rId410"/>
    <hyperlink ref="F733" r:id="rId411"/>
    <hyperlink ref="G733" r:id="rId412"/>
    <hyperlink ref="G737" r:id="rId413"/>
    <hyperlink ref="Q737" r:id="rId414"/>
    <hyperlink ref="F739" r:id="rId415"/>
    <hyperlink ref="G740" r:id="rId416"/>
    <hyperlink ref="Q740" r:id="rId417"/>
    <hyperlink ref="F746" r:id="rId418"/>
    <hyperlink ref="F747" r:id="rId419"/>
    <hyperlink ref="F748" r:id="rId420"/>
    <hyperlink ref="G749" r:id="rId421"/>
    <hyperlink ref="G752" r:id="rId422"/>
    <hyperlink ref="Q752" r:id="rId423"/>
    <hyperlink ref="G753" r:id="rId424"/>
    <hyperlink ref="Q753" r:id="rId425"/>
    <hyperlink ref="F756" r:id="rId426"/>
    <hyperlink ref="G757" r:id="rId427"/>
    <hyperlink ref="G760" r:id="rId428"/>
    <hyperlink ref="Q760" r:id="rId429"/>
    <hyperlink ref="G763" r:id="rId430"/>
    <hyperlink ref="F768" r:id="rId431"/>
    <hyperlink ref="G770" r:id="rId432"/>
    <hyperlink ref="G771" r:id="rId433"/>
    <hyperlink ref="G775" r:id="rId434"/>
    <hyperlink ref="Q775" r:id="rId435"/>
    <hyperlink ref="F778" r:id="rId436"/>
    <hyperlink ref="Q779" r:id="rId437"/>
    <hyperlink ref="G781" r:id="rId438"/>
    <hyperlink ref="G786" r:id="rId439"/>
    <hyperlink ref="G788" r:id="rId440"/>
    <hyperlink ref="G790" r:id="rId441"/>
    <hyperlink ref="Q792" r:id="rId442"/>
    <hyperlink ref="Q794" r:id="rId443"/>
    <hyperlink ref="G796" r:id="rId444"/>
    <hyperlink ref="Q801" r:id="rId445"/>
    <hyperlink ref="G803" r:id="rId446"/>
    <hyperlink ref="Q805" r:id="rId447"/>
    <hyperlink ref="G806" r:id="rId448"/>
    <hyperlink ref="G807" r:id="rId449"/>
    <hyperlink ref="Q807" r:id="rId450"/>
    <hyperlink ref="G808" r:id="rId451"/>
    <hyperlink ref="F812" r:id="rId452"/>
    <hyperlink ref="G812" r:id="rId453"/>
    <hyperlink ref="G815" r:id="rId454"/>
    <hyperlink ref="F816" r:id="rId455"/>
    <hyperlink ref="G816" r:id="rId456"/>
    <hyperlink ref="F818" r:id="rId457"/>
    <hyperlink ref="G818" r:id="rId458"/>
    <hyperlink ref="F819" r:id="rId459"/>
    <hyperlink ref="Q819" r:id="rId460"/>
    <hyperlink ref="Q821" r:id="rId461"/>
    <hyperlink ref="F825" r:id="rId462"/>
    <hyperlink ref="Q825" r:id="rId463"/>
    <hyperlink ref="Q827" r:id="rId464"/>
    <hyperlink ref="G829" r:id="rId465"/>
    <hyperlink ref="F833" r:id="rId466"/>
    <hyperlink ref="G834" r:id="rId467"/>
    <hyperlink ref="F844" r:id="rId468"/>
    <hyperlink ref="G844" r:id="rId469"/>
    <hyperlink ref="Q845" r:id="rId470"/>
    <hyperlink ref="G846" r:id="rId471"/>
    <hyperlink ref="Q846" r:id="rId472"/>
    <hyperlink ref="G850" r:id="rId473"/>
    <hyperlink ref="G851" r:id="rId474"/>
    <hyperlink ref="Q852" r:id="rId475"/>
    <hyperlink ref="G855" r:id="rId476"/>
    <hyperlink ref="Q855" r:id="rId477"/>
    <hyperlink ref="G857" r:id="rId478"/>
    <hyperlink ref="G861" r:id="rId479"/>
    <hyperlink ref="F866" r:id="rId480"/>
    <hyperlink ref="F870" r:id="rId481"/>
    <hyperlink ref="G870" r:id="rId482"/>
    <hyperlink ref="Q870" r:id="rId483"/>
    <hyperlink ref="Q876" r:id="rId484"/>
    <hyperlink ref="F877" r:id="rId485"/>
    <hyperlink ref="G880" r:id="rId486"/>
    <hyperlink ref="Q881" r:id="rId487"/>
    <hyperlink ref="F883" r:id="rId488"/>
    <hyperlink ref="G883" r:id="rId489"/>
    <hyperlink ref="Q886" r:id="rId490"/>
    <hyperlink ref="Q888" r:id="rId491"/>
    <hyperlink ref="G890" r:id="rId492"/>
    <hyperlink ref="Q892" r:id="rId493"/>
    <hyperlink ref="G893" r:id="rId494"/>
    <hyperlink ref="F897" r:id="rId495"/>
    <hyperlink ref="Q897" r:id="rId496"/>
    <hyperlink ref="F898" r:id="rId497"/>
    <hyperlink ref="G898" r:id="rId498"/>
    <hyperlink ref="Q899" r:id="rId499"/>
    <hyperlink ref="G902" r:id="rId500"/>
    <hyperlink ref="G908" r:id="rId501"/>
    <hyperlink ref="Q909" r:id="rId502"/>
    <hyperlink ref="G912" r:id="rId503"/>
    <hyperlink ref="G914" r:id="rId504"/>
    <hyperlink ref="G916" r:id="rId505"/>
    <hyperlink ref="Q916" r:id="rId506"/>
    <hyperlink ref="Q917" r:id="rId507"/>
    <hyperlink ref="G919" r:id="rId508"/>
    <hyperlink ref="F920" r:id="rId509"/>
    <hyperlink ref="G920" r:id="rId510"/>
    <hyperlink ref="Q920" r:id="rId511"/>
    <hyperlink ref="Q926" r:id="rId512"/>
    <hyperlink ref="G928" r:id="rId513"/>
    <hyperlink ref="G930" r:id="rId514"/>
    <hyperlink ref="F931" r:id="rId515"/>
    <hyperlink ref="G931" r:id="rId516"/>
    <hyperlink ref="G933" r:id="rId517"/>
    <hyperlink ref="F935" r:id="rId518"/>
    <hyperlink ref="F937" r:id="rId519"/>
    <hyperlink ref="G937" r:id="rId520"/>
    <hyperlink ref="F939" r:id="rId521"/>
    <hyperlink ref="G939" r:id="rId522"/>
    <hyperlink ref="G942" r:id="rId523"/>
    <hyperlink ref="G943" r:id="rId524"/>
    <hyperlink ref="G944" r:id="rId525"/>
    <hyperlink ref="G945" r:id="rId526"/>
    <hyperlink ref="G946" r:id="rId527"/>
    <hyperlink ref="Q946" r:id="rId528"/>
    <hyperlink ref="G947" r:id="rId529"/>
    <hyperlink ref="Q947" r:id="rId530"/>
    <hyperlink ref="G951" r:id="rId531"/>
    <hyperlink ref="F952" r:id="rId532"/>
    <hyperlink ref="G953" r:id="rId533"/>
    <hyperlink ref="G956" r:id="rId534"/>
    <hyperlink ref="Q956" r:id="rId535"/>
    <hyperlink ref="Q960" r:id="rId536"/>
    <hyperlink ref="G963" r:id="rId537"/>
    <hyperlink ref="G970" r:id="rId538"/>
    <hyperlink ref="F972" r:id="rId539"/>
    <hyperlink ref="G972" r:id="rId540"/>
    <hyperlink ref="Q972" r:id="rId541"/>
    <hyperlink ref="Q974" r:id="rId542"/>
    <hyperlink ref="G979" r:id="rId543"/>
    <hyperlink ref="F980" r:id="rId544"/>
    <hyperlink ref="F988" r:id="rId545"/>
    <hyperlink ref="Q988" r:id="rId546"/>
    <hyperlink ref="G991" r:id="rId547"/>
    <hyperlink ref="G992" r:id="rId548"/>
    <hyperlink ref="G996" r:id="rId549"/>
    <hyperlink ref="G998" r:id="rId550"/>
    <hyperlink ref="G1001" r:id="rId551"/>
    <hyperlink ref="G1002" r:id="rId552"/>
    <hyperlink ref="G1006" r:id="rId553"/>
    <hyperlink ref="G1007" r:id="rId554"/>
    <hyperlink ref="Q1008" r:id="rId555"/>
    <hyperlink ref="Q1013" r:id="rId556"/>
    <hyperlink ref="G1014" r:id="rId557"/>
    <hyperlink ref="G1015" r:id="rId558"/>
    <hyperlink ref="F1024" r:id="rId559"/>
    <hyperlink ref="G1027" r:id="rId560"/>
    <hyperlink ref="G1029" r:id="rId561"/>
    <hyperlink ref="G1035" r:id="rId562"/>
    <hyperlink ref="Q1035" r:id="rId563"/>
    <hyperlink ref="Q1036" r:id="rId564"/>
    <hyperlink ref="G1041" r:id="rId565"/>
    <hyperlink ref="F1043" r:id="rId566"/>
    <hyperlink ref="G1043" r:id="rId567"/>
    <hyperlink ref="Q1044" r:id="rId568"/>
    <hyperlink ref="F1049" r:id="rId569"/>
    <hyperlink ref="G1049" r:id="rId570"/>
    <hyperlink ref="G1050" r:id="rId571"/>
    <hyperlink ref="G1052" r:id="rId572"/>
    <hyperlink ref="Q1053" r:id="rId573"/>
    <hyperlink ref="F1054" r:id="rId574"/>
    <hyperlink ref="G1054" r:id="rId575"/>
    <hyperlink ref="F1055" r:id="rId576"/>
    <hyperlink ref="G1057" r:id="rId577"/>
    <hyperlink ref="Q1057" r:id="rId578"/>
    <hyperlink ref="F1059" r:id="rId579"/>
    <hyperlink ref="G1059" r:id="rId580"/>
    <hyperlink ref="Q1063" r:id="rId581"/>
    <hyperlink ref="G1065" r:id="rId582"/>
    <hyperlink ref="Q1068" r:id="rId583"/>
    <hyperlink ref="G1069" r:id="rId584"/>
    <hyperlink ref="Q1069" r:id="rId585"/>
    <hyperlink ref="F1071" r:id="rId586"/>
    <hyperlink ref="Q1071" r:id="rId587"/>
    <hyperlink ref="F1072" r:id="rId588"/>
    <hyperlink ref="G1072" r:id="rId589"/>
    <hyperlink ref="Q1072" r:id="rId590"/>
    <hyperlink ref="F1075" r:id="rId591"/>
    <hyperlink ref="Q1075" r:id="rId592"/>
    <hyperlink ref="F1076" r:id="rId593"/>
    <hyperlink ref="Q1082" r:id="rId594"/>
    <hyperlink ref="G1085" r:id="rId595"/>
    <hyperlink ref="Q1085" r:id="rId596"/>
    <hyperlink ref="F1088" r:id="rId597"/>
    <hyperlink ref="G1088" r:id="rId598"/>
    <hyperlink ref="Q1088" r:id="rId599"/>
    <hyperlink ref="G1091" r:id="rId600"/>
    <hyperlink ref="G1093" r:id="rId601"/>
    <hyperlink ref="Q1095" r:id="rId602"/>
    <hyperlink ref="F1096" r:id="rId603"/>
    <hyperlink ref="G1096" r:id="rId604"/>
    <hyperlink ref="Q1097" r:id="rId605"/>
    <hyperlink ref="G1100" r:id="rId606"/>
    <hyperlink ref="G1106" r:id="rId607"/>
    <hyperlink ref="F1107" r:id="rId608"/>
    <hyperlink ref="Q1107" r:id="rId609"/>
    <hyperlink ref="F1110" r:id="rId610"/>
    <hyperlink ref="Q1110" r:id="rId611"/>
    <hyperlink ref="Q1115" r:id="rId612"/>
    <hyperlink ref="G1118" r:id="rId613"/>
    <hyperlink ref="Q1119" r:id="rId614"/>
    <hyperlink ref="G1122" r:id="rId615"/>
    <hyperlink ref="F1123" r:id="rId616"/>
    <hyperlink ref="G1123" r:id="rId617"/>
    <hyperlink ref="F1125" r:id="rId618"/>
    <hyperlink ref="G1125" r:id="rId619"/>
    <hyperlink ref="Q1125" r:id="rId620"/>
    <hyperlink ref="G1126" r:id="rId621"/>
    <hyperlink ref="F1133" r:id="rId622"/>
    <hyperlink ref="G1133" r:id="rId623"/>
    <hyperlink ref="Q1136" r:id="rId624"/>
    <hyperlink ref="Q1139" r:id="rId625"/>
    <hyperlink ref="Q1140" r:id="rId626"/>
    <hyperlink ref="G1141" r:id="rId627"/>
    <hyperlink ref="Q1141" r:id="rId628"/>
    <hyperlink ref="Q1144" r:id="rId629"/>
    <hyperlink ref="F1145" r:id="rId630"/>
    <hyperlink ref="G1145" r:id="rId631"/>
    <hyperlink ref="Q1145" r:id="rId632"/>
    <hyperlink ref="G1149" r:id="rId633"/>
    <hyperlink ref="G1151" r:id="rId634"/>
    <hyperlink ref="Q1151" r:id="rId635"/>
    <hyperlink ref="G1153" r:id="rId636"/>
    <hyperlink ref="Q1153" r:id="rId637"/>
    <hyperlink ref="F1154" r:id="rId638"/>
    <hyperlink ref="Q1154" r:id="rId639"/>
    <hyperlink ref="F1155" r:id="rId640"/>
    <hyperlink ref="Q1155" r:id="rId641"/>
    <hyperlink ref="G1158" r:id="rId642"/>
    <hyperlink ref="Q1158" r:id="rId643"/>
    <hyperlink ref="F1160" r:id="rId644"/>
    <hyperlink ref="G1160" r:id="rId645"/>
    <hyperlink ref="Q1161" r:id="rId646"/>
    <hyperlink ref="G1162" r:id="rId647"/>
    <hyperlink ref="Q1163" r:id="rId648"/>
    <hyperlink ref="G1164" r:id="rId649"/>
    <hyperlink ref="F1167" r:id="rId650"/>
    <hyperlink ref="G1167" r:id="rId651"/>
    <hyperlink ref="G1168" r:id="rId652"/>
    <hyperlink ref="G1169" r:id="rId653"/>
    <hyperlink ref="Q1169" r:id="rId654"/>
    <hyperlink ref="F1170" r:id="rId655"/>
    <hyperlink ref="G1171" r:id="rId656"/>
    <hyperlink ref="G1172" r:id="rId657"/>
    <hyperlink ref="G1173" r:id="rId658"/>
    <hyperlink ref="Q1173" r:id="rId659"/>
    <hyperlink ref="Q1174" r:id="rId660"/>
    <hyperlink ref="Q1176" r:id="rId661"/>
    <hyperlink ref="Q1178" r:id="rId662"/>
    <hyperlink ref="F1180" r:id="rId663"/>
    <hyperlink ref="G1180" r:id="rId664"/>
    <hyperlink ref="G1183" r:id="rId665"/>
    <hyperlink ref="Q1184" r:id="rId666"/>
    <hyperlink ref="G1186" r:id="rId667"/>
    <hyperlink ref="G1188" r:id="rId668"/>
    <hyperlink ref="G1190" r:id="rId669"/>
    <hyperlink ref="F1191" r:id="rId670"/>
    <hyperlink ref="G1191" r:id="rId671"/>
    <hyperlink ref="Q1191" r:id="rId672"/>
    <hyperlink ref="F1192" r:id="rId673"/>
    <hyperlink ref="Q1192" r:id="rId674"/>
    <hyperlink ref="G1193" r:id="rId675"/>
    <hyperlink ref="Q1197" r:id="rId676"/>
    <hyperlink ref="G1200" r:id="rId677"/>
    <hyperlink ref="F1203" r:id="rId678"/>
    <hyperlink ref="G1203" r:id="rId679"/>
    <hyperlink ref="Q1204" r:id="rId680"/>
    <hyperlink ref="G1205" r:id="rId681"/>
    <hyperlink ref="G1212" r:id="rId682"/>
    <hyperlink ref="G1213" r:id="rId683"/>
    <hyperlink ref="Q1213" r:id="rId684"/>
    <hyperlink ref="G1214" r:id="rId685"/>
    <hyperlink ref="F1215" r:id="rId686"/>
    <hyperlink ref="G1215" r:id="rId687"/>
    <hyperlink ref="G1216" r:id="rId688"/>
    <hyperlink ref="Q1216" r:id="rId689"/>
    <hyperlink ref="F1219" r:id="rId690"/>
    <hyperlink ref="Q1219" r:id="rId691"/>
    <hyperlink ref="G1221" r:id="rId692"/>
    <hyperlink ref="G1223" r:id="rId693"/>
    <hyperlink ref="G1227" r:id="rId694"/>
    <hyperlink ref="Q1227" r:id="rId695"/>
    <hyperlink ref="F1232" r:id="rId696"/>
    <hyperlink ref="G1232" r:id="rId697"/>
    <hyperlink ref="Q1234" r:id="rId698"/>
    <hyperlink ref="G1235" r:id="rId699"/>
    <hyperlink ref="P1235" r:id="rId700"/>
    <hyperlink ref="Q1235" r:id="rId701"/>
    <hyperlink ref="F1237" r:id="rId702"/>
    <hyperlink ref="G1237" r:id="rId703"/>
    <hyperlink ref="Q1238" r:id="rId704"/>
    <hyperlink ref="Q1240" r:id="rId705"/>
    <hyperlink ref="Q1243" r:id="rId706"/>
    <hyperlink ref="G1245" r:id="rId707"/>
    <hyperlink ref="G1251" r:id="rId708"/>
    <hyperlink ref="Q1251" r:id="rId709"/>
    <hyperlink ref="G1252" r:id="rId710"/>
    <hyperlink ref="G1253" r:id="rId711"/>
    <hyperlink ref="F1258" r:id="rId712"/>
    <hyperlink ref="F1261" r:id="rId713"/>
    <hyperlink ref="G1261" r:id="rId714"/>
    <hyperlink ref="G1264" r:id="rId715"/>
    <hyperlink ref="F1265" r:id="rId716"/>
    <hyperlink ref="G1265" r:id="rId717"/>
    <hyperlink ref="Q1266" r:id="rId718"/>
    <hyperlink ref="G1267" r:id="rId719"/>
    <hyperlink ref="Q1267" r:id="rId720"/>
    <hyperlink ref="Q1270" r:id="rId721"/>
    <hyperlink ref="Q1271" r:id="rId722"/>
    <hyperlink ref="G1275" r:id="rId723"/>
    <hyperlink ref="G1277" r:id="rId724"/>
    <hyperlink ref="G1280" r:id="rId725"/>
    <hyperlink ref="G1281" r:id="rId726"/>
    <hyperlink ref="Q1288" r:id="rId727"/>
    <hyperlink ref="G1291" r:id="rId728"/>
    <hyperlink ref="G1296" r:id="rId729"/>
    <hyperlink ref="Q1296" r:id="rId730"/>
    <hyperlink ref="F1300" r:id="rId731"/>
    <hyperlink ref="Q1301" r:id="rId732"/>
    <hyperlink ref="G1302" r:id="rId733"/>
    <hyperlink ref="G1304" r:id="rId734"/>
    <hyperlink ref="G1305" r:id="rId735"/>
    <hyperlink ref="F1306" r:id="rId736"/>
    <hyperlink ref="Q1306" r:id="rId737"/>
    <hyperlink ref="F1307" r:id="rId738"/>
    <hyperlink ref="G1308" r:id="rId739"/>
    <hyperlink ref="F1312" r:id="rId740"/>
    <hyperlink ref="Q1318" r:id="rId741"/>
    <hyperlink ref="G1319" r:id="rId742"/>
    <hyperlink ref="G1320" r:id="rId743"/>
    <hyperlink ref="Q1320" r:id="rId744"/>
    <hyperlink ref="G1321" r:id="rId745"/>
    <hyperlink ref="G1322" r:id="rId746"/>
    <hyperlink ref="Q1322" r:id="rId747"/>
    <hyperlink ref="G1325" r:id="rId748"/>
    <hyperlink ref="G1326" r:id="rId749"/>
    <hyperlink ref="Q1326" r:id="rId750"/>
    <hyperlink ref="Q1327" r:id="rId751"/>
    <hyperlink ref="F1328" r:id="rId752"/>
    <hyperlink ref="F1331" r:id="rId753"/>
    <hyperlink ref="G1331" r:id="rId754"/>
    <hyperlink ref="F1337" r:id="rId755"/>
    <hyperlink ref="G1337" r:id="rId756"/>
    <hyperlink ref="G1338" r:id="rId757"/>
    <hyperlink ref="F1339" r:id="rId758"/>
    <hyperlink ref="Q1339" r:id="rId759"/>
    <hyperlink ref="F1344" r:id="rId760"/>
    <hyperlink ref="Q1344" r:id="rId761"/>
    <hyperlink ref="G1347" r:id="rId762"/>
    <hyperlink ref="Q1347" r:id="rId763"/>
    <hyperlink ref="G1348" r:id="rId764"/>
    <hyperlink ref="F1352" r:id="rId765"/>
    <hyperlink ref="F1353" r:id="rId766"/>
    <hyperlink ref="G1353" r:id="rId767"/>
    <hyperlink ref="F1354" r:id="rId768"/>
    <hyperlink ref="G1354" r:id="rId769"/>
    <hyperlink ref="G1356" r:id="rId770"/>
    <hyperlink ref="Q1356" r:id="rId771"/>
    <hyperlink ref="G1357" r:id="rId772"/>
    <hyperlink ref="F1360" r:id="rId773"/>
    <hyperlink ref="Q1361" r:id="rId774"/>
    <hyperlink ref="G1364" r:id="rId775"/>
    <hyperlink ref="G1365" r:id="rId776"/>
    <hyperlink ref="Q1365" r:id="rId777"/>
    <hyperlink ref="G1367" r:id="rId778"/>
    <hyperlink ref="F1370" r:id="rId779"/>
    <hyperlink ref="Q1370" r:id="rId780"/>
    <hyperlink ref="F1372" r:id="rId781"/>
    <hyperlink ref="G1372" r:id="rId782"/>
    <hyperlink ref="Q1372" r:id="rId783"/>
    <hyperlink ref="F1375" r:id="rId784"/>
    <hyperlink ref="Q1375" r:id="rId785"/>
    <hyperlink ref="F1376" r:id="rId786"/>
    <hyperlink ref="G1376" r:id="rId787"/>
    <hyperlink ref="G1379" r:id="rId788"/>
    <hyperlink ref="Q1381" r:id="rId789"/>
    <hyperlink ref="Q1382" r:id="rId790"/>
    <hyperlink ref="Q1383" r:id="rId791"/>
    <hyperlink ref="G1385" r:id="rId792"/>
    <hyperlink ref="Q1385" r:id="rId793"/>
    <hyperlink ref="G1387" r:id="rId794"/>
    <hyperlink ref="G1390" r:id="rId795"/>
    <hyperlink ref="G1395" r:id="rId796"/>
    <hyperlink ref="G1397" r:id="rId797"/>
    <hyperlink ref="G1399" r:id="rId798"/>
    <hyperlink ref="Q1400" r:id="rId799"/>
    <hyperlink ref="Q1411" r:id="rId800"/>
    <hyperlink ref="G1412" r:id="rId801"/>
    <hyperlink ref="G1413" r:id="rId802"/>
    <hyperlink ref="Q1413" r:id="rId803"/>
    <hyperlink ref="F1415" r:id="rId804"/>
    <hyperlink ref="G1415" r:id="rId805"/>
    <hyperlink ref="G1416" r:id="rId806"/>
    <hyperlink ref="Q1416" r:id="rId807"/>
    <hyperlink ref="Q1417" r:id="rId808"/>
    <hyperlink ref="G1419" r:id="rId809"/>
    <hyperlink ref="G1420" r:id="rId810"/>
    <hyperlink ref="F1422" r:id="rId811"/>
    <hyperlink ref="G1422" r:id="rId812"/>
    <hyperlink ref="G1423" r:id="rId813"/>
    <hyperlink ref="Q1425" r:id="rId814"/>
    <hyperlink ref="G1427" r:id="rId815"/>
    <hyperlink ref="Q1427" r:id="rId816"/>
    <hyperlink ref="F1428" r:id="rId817"/>
    <hyperlink ref="Q1428" r:id="rId818"/>
    <hyperlink ref="F1429" r:id="rId819"/>
    <hyperlink ref="G1429" r:id="rId820"/>
    <hyperlink ref="Q1429" r:id="rId821"/>
    <hyperlink ref="G1432" r:id="rId822"/>
    <hyperlink ref="Q1432" r:id="rId823"/>
    <hyperlink ref="F1433" r:id="rId824"/>
    <hyperlink ref="F1435" r:id="rId825"/>
    <hyperlink ref="G1435" r:id="rId826"/>
    <hyperlink ref="Q1435" r:id="rId827"/>
    <hyperlink ref="F1436" r:id="rId828"/>
    <hyperlink ref="G1437" r:id="rId829"/>
    <hyperlink ref="Q1439" r:id="rId830"/>
    <hyperlink ref="Q1440" r:id="rId831"/>
    <hyperlink ref="F1441" r:id="rId832"/>
    <hyperlink ref="F1443" r:id="rId833"/>
    <hyperlink ref="Q1445" r:id="rId834"/>
    <hyperlink ref="Q1446" r:id="rId835"/>
    <hyperlink ref="G1454" r:id="rId836"/>
    <hyperlink ref="Q1454" r:id="rId837"/>
    <hyperlink ref="C1458" r:id="rId838"/>
    <hyperlink ref="G1458" r:id="rId839"/>
    <hyperlink ref="F1464" r:id="rId840"/>
    <hyperlink ref="G1464" r:id="rId841"/>
    <hyperlink ref="Q1464" r:id="rId842"/>
    <hyperlink ref="F1466" r:id="rId843"/>
    <hyperlink ref="Q1466" r:id="rId844"/>
    <hyperlink ref="F1468" r:id="rId845"/>
    <hyperlink ref="G1468" r:id="rId846"/>
    <hyperlink ref="G1471" r:id="rId847"/>
    <hyperlink ref="Q1471" r:id="rId848"/>
    <hyperlink ref="G1472" r:id="rId849"/>
    <hyperlink ref="Q1472" r:id="rId850"/>
    <hyperlink ref="G1473" r:id="rId851"/>
    <hyperlink ref="Q1474" r:id="rId852"/>
    <hyperlink ref="G1477" r:id="rId853"/>
    <hyperlink ref="Q1479" r:id="rId854"/>
    <hyperlink ref="Q1483" r:id="rId855"/>
    <hyperlink ref="Q1487" r:id="rId856"/>
    <hyperlink ref="Q1492" r:id="rId857"/>
    <hyperlink ref="F1494" r:id="rId858"/>
    <hyperlink ref="F1495" r:id="rId859"/>
    <hyperlink ref="G1495" r:id="rId860"/>
    <hyperlink ref="Q1495" r:id="rId861"/>
    <hyperlink ref="G1499" r:id="rId862"/>
    <hyperlink ref="Q1502" r:id="rId863"/>
    <hyperlink ref="Q1503" r:id="rId864"/>
    <hyperlink ref="G1506" r:id="rId865"/>
    <hyperlink ref="Q1506" r:id="rId866"/>
    <hyperlink ref="G1510" r:id="rId867"/>
    <hyperlink ref="Q1510" r:id="rId868"/>
    <hyperlink ref="Q1511" r:id="rId869"/>
    <hyperlink ref="G1513" r:id="rId870"/>
    <hyperlink ref="G1517" r:id="rId871"/>
    <hyperlink ref="Q1517" r:id="rId872"/>
    <hyperlink ref="G1518" r:id="rId873"/>
    <hyperlink ref="G1519" r:id="rId874"/>
    <hyperlink ref="Q1520" r:id="rId875"/>
    <hyperlink ref="Q1522" r:id="rId876"/>
    <hyperlink ref="G1523" r:id="rId877"/>
    <hyperlink ref="Q1523" r:id="rId878"/>
    <hyperlink ref="Q1527" r:id="rId879"/>
    <hyperlink ref="G1528" r:id="rId880"/>
    <hyperlink ref="F1529" r:id="rId881"/>
    <hyperlink ref="G1529" r:id="rId882"/>
    <hyperlink ref="Q1529" r:id="rId883"/>
    <hyperlink ref="F1532" r:id="rId884"/>
    <hyperlink ref="G1532" r:id="rId885"/>
    <hyperlink ref="Q1532" r:id="rId886"/>
    <hyperlink ref="F1533" r:id="rId887"/>
    <hyperlink ref="G1533" r:id="rId888"/>
    <hyperlink ref="G1534" r:id="rId889"/>
    <hyperlink ref="G1535" r:id="rId890"/>
    <hyperlink ref="G1536" r:id="rId891"/>
    <hyperlink ref="Q1536" r:id="rId892"/>
    <hyperlink ref="G1538" r:id="rId893"/>
    <hyperlink ref="Q1538" r:id="rId894"/>
    <hyperlink ref="G1539" r:id="rId895"/>
    <hyperlink ref="Q1539" r:id="rId896"/>
    <hyperlink ref="G1541" r:id="rId897"/>
    <hyperlink ref="Q1544" r:id="rId898"/>
    <hyperlink ref="F1546" r:id="rId899"/>
    <hyperlink ref="G1546" r:id="rId900"/>
    <hyperlink ref="Q1546" r:id="rId901"/>
    <hyperlink ref="F1549" r:id="rId902"/>
    <hyperlink ref="F1551" r:id="rId903"/>
    <hyperlink ref="G1551" r:id="rId904"/>
    <hyperlink ref="Q1551" r:id="rId905"/>
    <hyperlink ref="Q1552" r:id="rId906"/>
    <hyperlink ref="F1553" r:id="rId907"/>
    <hyperlink ref="G1553" r:id="rId908"/>
    <hyperlink ref="Q1553" r:id="rId909"/>
    <hyperlink ref="F1554" r:id="rId910"/>
    <hyperlink ref="G1554" r:id="rId911"/>
    <hyperlink ref="Q1556" r:id="rId912"/>
    <hyperlink ref="F1559" r:id="rId913"/>
    <hyperlink ref="G1559" r:id="rId914"/>
    <hyperlink ref="G1562" r:id="rId915"/>
    <hyperlink ref="G1563" r:id="rId916"/>
    <hyperlink ref="Q1563" r:id="rId917"/>
    <hyperlink ref="G1566" r:id="rId918"/>
    <hyperlink ref="F1575" r:id="rId919"/>
    <hyperlink ref="Q1578" r:id="rId920"/>
    <hyperlink ref="Q1579" r:id="rId921"/>
    <hyperlink ref="Q1581" r:id="rId922"/>
    <hyperlink ref="G1583" r:id="rId923"/>
    <hyperlink ref="G1584" r:id="rId924"/>
    <hyperlink ref="Q1586" r:id="rId925"/>
    <hyperlink ref="Q1587" r:id="rId926"/>
    <hyperlink ref="Q1590" r:id="rId927"/>
    <hyperlink ref="Q1592" r:id="rId928"/>
    <hyperlink ref="F1593" r:id="rId929"/>
    <hyperlink ref="G1593" r:id="rId930"/>
    <hyperlink ref="F1594" r:id="rId931"/>
    <hyperlink ref="G1594" r:id="rId932"/>
    <hyperlink ref="F1595" r:id="rId933"/>
    <hyperlink ref="G1595" r:id="rId934"/>
    <hyperlink ref="Q1595" r:id="rId935"/>
    <hyperlink ref="F1597" r:id="rId936"/>
    <hyperlink ref="G1601" r:id="rId937"/>
    <hyperlink ref="G1605" r:id="rId938"/>
    <hyperlink ref="G1621" r:id="rId939"/>
    <hyperlink ref="Q1628" r:id="rId940"/>
    <hyperlink ref="G1629" r:id="rId941"/>
    <hyperlink ref="Q1629" r:id="rId942"/>
    <hyperlink ref="C1634" r:id="rId943"/>
    <hyperlink ref="G1635" r:id="rId944"/>
    <hyperlink ref="G1636" r:id="rId945"/>
    <hyperlink ref="Q1636" r:id="rId946"/>
    <hyperlink ref="Q1637" r:id="rId947"/>
    <hyperlink ref="C1638" r:id="rId948"/>
    <hyperlink ref="Q1639" r:id="rId949"/>
    <hyperlink ref="G1644" r:id="rId950"/>
    <hyperlink ref="C1653" r:id="rId951"/>
    <hyperlink ref="G1654" r:id="rId952"/>
    <hyperlink ref="Q1655" r:id="rId953"/>
    <hyperlink ref="G1656" r:id="rId954"/>
    <hyperlink ref="F1659" r:id="rId955"/>
    <hyperlink ref="G1668" r:id="rId956"/>
    <hyperlink ref="Q1668" r:id="rId957"/>
    <hyperlink ref="G1669" r:id="rId958"/>
    <hyperlink ref="Q1669" r:id="rId959"/>
    <hyperlink ref="Q1670" r:id="rId960"/>
    <hyperlink ref="G1671" r:id="rId961"/>
    <hyperlink ref="G1672" r:id="rId962"/>
    <hyperlink ref="Q1672" r:id="rId963"/>
    <hyperlink ref="F1676" r:id="rId964"/>
    <hyperlink ref="G1677" r:id="rId965"/>
    <hyperlink ref="G1679" r:id="rId966"/>
    <hyperlink ref="G1680" r:id="rId967"/>
    <hyperlink ref="Q1681" r:id="rId968"/>
    <hyperlink ref="G1683" r:id="rId969"/>
    <hyperlink ref="G1684" r:id="rId970"/>
    <hyperlink ref="G1685" r:id="rId971"/>
    <hyperlink ref="Q1685" r:id="rId972"/>
    <hyperlink ref="Q1686" r:id="rId973"/>
    <hyperlink ref="G1688" r:id="rId974"/>
    <hyperlink ref="G1689" r:id="rId975"/>
    <hyperlink ref="F1690" r:id="rId976"/>
    <hyperlink ref="G1690" r:id="rId977"/>
    <hyperlink ref="Q1690" r:id="rId978"/>
    <hyperlink ref="Q1693" r:id="rId979"/>
    <hyperlink ref="Q1695" r:id="rId980"/>
    <hyperlink ref="F1699" r:id="rId981"/>
    <hyperlink ref="Q1699" r:id="rId982"/>
    <hyperlink ref="G1701" r:id="rId983"/>
    <hyperlink ref="Q1703" r:id="rId984"/>
    <hyperlink ref="G1704" r:id="rId985"/>
    <hyperlink ref="F1706" r:id="rId986"/>
    <hyperlink ref="Q1706" r:id="rId987"/>
    <hyperlink ref="F1708" r:id="rId988"/>
    <hyperlink ref="G1709" r:id="rId989"/>
    <hyperlink ref="Q1709" r:id="rId990"/>
    <hyperlink ref="G1710" r:id="rId991"/>
    <hyperlink ref="G1715" r:id="rId992"/>
    <hyperlink ref="F1717" r:id="rId993"/>
    <hyperlink ref="G1718" r:id="rId994"/>
    <hyperlink ref="Q1718" r:id="rId995"/>
    <hyperlink ref="F1721" r:id="rId996"/>
    <hyperlink ref="Q1721" r:id="rId997"/>
    <hyperlink ref="Q1723" r:id="rId998"/>
    <hyperlink ref="Q1725" r:id="rId999"/>
    <hyperlink ref="F1728" r:id="rId1000"/>
    <hyperlink ref="G1728" r:id="rId1001"/>
    <hyperlink ref="Q1731" r:id="rId1002"/>
    <hyperlink ref="G1732" r:id="rId1003"/>
    <hyperlink ref="F1733" r:id="rId1004"/>
    <hyperlink ref="Q1733" r:id="rId1005"/>
    <hyperlink ref="F1735" r:id="rId1006"/>
    <hyperlink ref="Q1735" r:id="rId1007"/>
    <hyperlink ref="F1738" r:id="rId1008"/>
    <hyperlink ref="Q1738" r:id="rId1009"/>
    <hyperlink ref="G1742" r:id="rId1010"/>
    <hyperlink ref="Q1743" r:id="rId1011"/>
    <hyperlink ref="Q1744" r:id="rId1012"/>
    <hyperlink ref="G1745" r:id="rId1013"/>
    <hyperlink ref="C1746" r:id="rId1014"/>
    <hyperlink ref="G1746" r:id="rId1015"/>
    <hyperlink ref="Q1747" r:id="rId1016"/>
    <hyperlink ref="Q1748" r:id="rId1017"/>
    <hyperlink ref="G1749" r:id="rId1018"/>
    <hyperlink ref="Q1749" r:id="rId1019"/>
    <hyperlink ref="G1750" r:id="rId1020"/>
    <hyperlink ref="Q1750" r:id="rId1021"/>
    <hyperlink ref="G1751" r:id="rId1022"/>
    <hyperlink ref="Q1752" r:id="rId1023"/>
    <hyperlink ref="G1753" r:id="rId1024"/>
    <hyperlink ref="Q1754" r:id="rId1025"/>
    <hyperlink ref="G1755" r:id="rId1026"/>
    <hyperlink ref="G1763" r:id="rId1027"/>
    <hyperlink ref="G1764" r:id="rId1028"/>
    <hyperlink ref="Q1764" r:id="rId1029"/>
    <hyperlink ref="G1765" r:id="rId1030"/>
    <hyperlink ref="F1766" r:id="rId1031"/>
    <hyperlink ref="G1766" r:id="rId1032"/>
    <hyperlink ref="Q1766" r:id="rId1033"/>
    <hyperlink ref="Q1767" r:id="rId1034"/>
    <hyperlink ref="Q1768" r:id="rId1035"/>
    <hyperlink ref="F1770" r:id="rId1036"/>
    <hyperlink ref="G1771" r:id="rId1037"/>
    <hyperlink ref="Q1771" r:id="rId1038"/>
    <hyperlink ref="F1774" r:id="rId1039"/>
    <hyperlink ref="G1774" r:id="rId1040"/>
    <hyperlink ref="Q1774" r:id="rId1041"/>
    <hyperlink ref="G1775" r:id="rId1042"/>
    <hyperlink ref="G1778" r:id="rId1043"/>
    <hyperlink ref="Q1780" r:id="rId1044"/>
    <hyperlink ref="G1781" r:id="rId1045"/>
    <hyperlink ref="Q1784" r:id="rId1046"/>
    <hyperlink ref="F1786" r:id="rId1047"/>
    <hyperlink ref="Q1789" r:id="rId1048"/>
    <hyperlink ref="Q1790" r:id="rId1049"/>
    <hyperlink ref="Q1791" r:id="rId1050"/>
    <hyperlink ref="F1793" r:id="rId1051"/>
    <hyperlink ref="Q1793" r:id="rId1052"/>
    <hyperlink ref="G1795" r:id="rId1053"/>
    <hyperlink ref="G1796" r:id="rId1054"/>
    <hyperlink ref="G1797" r:id="rId1055"/>
    <hyperlink ref="Q1797" r:id="rId1056"/>
    <hyperlink ref="F1800" r:id="rId1057"/>
    <hyperlink ref="G1800" r:id="rId1058"/>
    <hyperlink ref="F1801" r:id="rId1059"/>
    <hyperlink ref="G1801" r:id="rId1060"/>
    <hyperlink ref="Q1801" r:id="rId1061"/>
    <hyperlink ref="G1803" r:id="rId1062"/>
    <hyperlink ref="Q1803" r:id="rId1063"/>
    <hyperlink ref="Q1804" r:id="rId1064"/>
    <hyperlink ref="G1805" r:id="rId1065"/>
    <hyperlink ref="Q1805" r:id="rId1066"/>
    <hyperlink ref="G1806" r:id="rId1067"/>
    <hyperlink ref="G1808" r:id="rId1068"/>
    <hyperlink ref="G1809" r:id="rId1069"/>
    <hyperlink ref="G1812" r:id="rId1070"/>
    <hyperlink ref="Q1812" r:id="rId1071"/>
    <hyperlink ref="G1814" r:id="rId1072"/>
    <hyperlink ref="G1815" r:id="rId1073"/>
    <hyperlink ref="Q1815" r:id="rId1074"/>
    <hyperlink ref="G1817" r:id="rId1075"/>
    <hyperlink ref="Q1818" r:id="rId1076"/>
    <hyperlink ref="G1819" r:id="rId1077"/>
    <hyperlink ref="Q1819" r:id="rId1078"/>
    <hyperlink ref="G1822" r:id="rId1079"/>
    <hyperlink ref="Q1822" r:id="rId1080"/>
    <hyperlink ref="F1825" r:id="rId1081"/>
    <hyperlink ref="Q1825" r:id="rId1082"/>
    <hyperlink ref="F1828" r:id="rId1083"/>
    <hyperlink ref="Q1828" r:id="rId1084"/>
    <hyperlink ref="F1831" r:id="rId1085"/>
    <hyperlink ref="G1831" r:id="rId1086"/>
    <hyperlink ref="G1832" r:id="rId1087"/>
    <hyperlink ref="Q1832" r:id="rId1088"/>
    <hyperlink ref="F1833" r:id="rId1089"/>
    <hyperlink ref="Q1833" r:id="rId1090"/>
    <hyperlink ref="G1834" r:id="rId1091"/>
    <hyperlink ref="Q1837" r:id="rId1092"/>
    <hyperlink ref="G1838" r:id="rId1093"/>
    <hyperlink ref="Q1838" r:id="rId1094"/>
    <hyperlink ref="G1839" r:id="rId1095"/>
    <hyperlink ref="Q1840" r:id="rId1096"/>
    <hyperlink ref="G1841" r:id="rId1097"/>
    <hyperlink ref="F1844" r:id="rId1098"/>
    <hyperlink ref="G1844" r:id="rId1099"/>
    <hyperlink ref="Q1844" r:id="rId1100"/>
    <hyperlink ref="F1847" r:id="rId1101"/>
    <hyperlink ref="G1847" r:id="rId1102"/>
    <hyperlink ref="Q1847" r:id="rId1103"/>
    <hyperlink ref="F1849" r:id="rId1104"/>
    <hyperlink ref="Q1849" r:id="rId1105"/>
    <hyperlink ref="Q1850" r:id="rId1106"/>
    <hyperlink ref="G1852" r:id="rId1107"/>
    <hyperlink ref="F1853" r:id="rId1108"/>
    <hyperlink ref="Q1853" r:id="rId1109"/>
    <hyperlink ref="F1854" r:id="rId1110"/>
    <hyperlink ref="F1857" r:id="rId1111"/>
    <hyperlink ref="Q1857" r:id="rId1112"/>
    <hyperlink ref="G1860" r:id="rId1113"/>
    <hyperlink ref="G1862" r:id="rId1114"/>
    <hyperlink ref="Q1862" r:id="rId1115"/>
    <hyperlink ref="G1866" r:id="rId1116"/>
    <hyperlink ref="Q1868" r:id="rId1117"/>
    <hyperlink ref="G1870" r:id="rId1118"/>
    <hyperlink ref="Q1870" r:id="rId1119"/>
    <hyperlink ref="Q1871" r:id="rId1120"/>
    <hyperlink ref="Q1872" r:id="rId1121"/>
    <hyperlink ref="G1874" r:id="rId1122"/>
    <hyperlink ref="Q1876" r:id="rId1123"/>
    <hyperlink ref="F1884" r:id="rId1124"/>
    <hyperlink ref="G1884" r:id="rId1125"/>
    <hyperlink ref="Q1884" r:id="rId1126"/>
    <hyperlink ref="F1886" r:id="rId1127"/>
    <hyperlink ref="G1887" r:id="rId1128"/>
    <hyperlink ref="Q1887" r:id="rId1129"/>
    <hyperlink ref="G1888" r:id="rId1130"/>
    <hyperlink ref="G1889" r:id="rId1131"/>
    <hyperlink ref="F1891" r:id="rId1132"/>
    <hyperlink ref="Q1891" r:id="rId1133"/>
    <hyperlink ref="Q1892" r:id="rId1134"/>
    <hyperlink ref="G1895" r:id="rId1135"/>
    <hyperlink ref="Q1895" r:id="rId1136"/>
    <hyperlink ref="F1896" r:id="rId1137"/>
    <hyperlink ref="Q1896" r:id="rId1138"/>
    <hyperlink ref="F1901" r:id="rId1139"/>
    <hyperlink ref="Q1901" r:id="rId1140"/>
    <hyperlink ref="G1904" r:id="rId1141"/>
    <hyperlink ref="Q1904" r:id="rId1142"/>
    <hyperlink ref="G1905" r:id="rId1143"/>
    <hyperlink ref="G1906" r:id="rId1144"/>
    <hyperlink ref="Q1906" r:id="rId1145"/>
    <hyperlink ref="G1907" r:id="rId1146"/>
    <hyperlink ref="Q1907" r:id="rId1147"/>
    <hyperlink ref="F1908" r:id="rId1148"/>
    <hyperlink ref="Q1910" r:id="rId1149"/>
    <hyperlink ref="F1911" r:id="rId1150"/>
    <hyperlink ref="G1911" r:id="rId1151"/>
    <hyperlink ref="Q1911" r:id="rId1152"/>
    <hyperlink ref="Q1912" r:id="rId1153"/>
    <hyperlink ref="G1913" r:id="rId1154"/>
    <hyperlink ref="F1914" r:id="rId1155"/>
    <hyperlink ref="G1916" r:id="rId1156"/>
    <hyperlink ref="Q1917" r:id="rId1157"/>
    <hyperlink ref="Q1919" r:id="rId1158"/>
    <hyperlink ref="F1920" r:id="rId1159"/>
    <hyperlink ref="Q1921" r:id="rId1160"/>
    <hyperlink ref="Q1927" r:id="rId1161"/>
    <hyperlink ref="G1928" r:id="rId1162"/>
    <hyperlink ref="Q1929" r:id="rId1163"/>
    <hyperlink ref="F1930" r:id="rId1164"/>
    <hyperlink ref="Q1930" r:id="rId1165"/>
    <hyperlink ref="G1931" r:id="rId1166"/>
    <hyperlink ref="Q1931" r:id="rId1167"/>
    <hyperlink ref="F1932" r:id="rId1168"/>
    <hyperlink ref="F1934" r:id="rId1169"/>
    <hyperlink ref="G1934" r:id="rId1170"/>
    <hyperlink ref="Q1934" r:id="rId1171"/>
    <hyperlink ref="G1937" r:id="rId1172"/>
    <hyperlink ref="Q1942" r:id="rId1173"/>
    <hyperlink ref="F1944" r:id="rId1174"/>
    <hyperlink ref="G1944" r:id="rId1175"/>
    <hyperlink ref="Q1944" r:id="rId1176"/>
    <hyperlink ref="G1945" r:id="rId1177"/>
    <hyperlink ref="G1946" r:id="rId1178"/>
    <hyperlink ref="G1949" r:id="rId1179"/>
    <hyperlink ref="F1951" r:id="rId1180"/>
    <hyperlink ref="G1951" r:id="rId1181"/>
    <hyperlink ref="Q1951" r:id="rId1182"/>
    <hyperlink ref="G1953" r:id="rId1183"/>
    <hyperlink ref="Q1953" r:id="rId1184"/>
    <hyperlink ref="G1959" r:id="rId1185"/>
    <hyperlink ref="G1961" r:id="rId1186"/>
    <hyperlink ref="F1962" r:id="rId1187"/>
    <hyperlink ref="G1962" r:id="rId1188"/>
    <hyperlink ref="G1964" r:id="rId1189"/>
    <hyperlink ref="G1974" r:id="rId1190"/>
    <hyperlink ref="G1975" r:id="rId1191"/>
    <hyperlink ref="Q1975" r:id="rId1192"/>
    <hyperlink ref="F1976" r:id="rId1193"/>
    <hyperlink ref="G1976" r:id="rId1194"/>
    <hyperlink ref="Q1979" r:id="rId1195"/>
    <hyperlink ref="G1981" r:id="rId1196"/>
    <hyperlink ref="G1982" r:id="rId1197"/>
    <hyperlink ref="G1985" r:id="rId1198"/>
    <hyperlink ref="G1986" r:id="rId1199"/>
    <hyperlink ref="G1987" r:id="rId1200"/>
    <hyperlink ref="F1988" r:id="rId1201"/>
    <hyperlink ref="G1988" r:id="rId1202"/>
    <hyperlink ref="Q1988" r:id="rId1203"/>
    <hyperlink ref="Q1990" r:id="rId1204"/>
    <hyperlink ref="G1991" r:id="rId1205"/>
    <hyperlink ref="Q1991" r:id="rId1206"/>
    <hyperlink ref="G1996" r:id="rId1207"/>
    <hyperlink ref="Q1996" r:id="rId1208"/>
    <hyperlink ref="F1998" r:id="rId1209"/>
    <hyperlink ref="F1999" r:id="rId1210"/>
    <hyperlink ref="G1999" r:id="rId1211"/>
    <hyperlink ref="Q1999" r:id="rId1212"/>
    <hyperlink ref="G2000" r:id="rId1213"/>
    <hyperlink ref="F2001" r:id="rId1214"/>
    <hyperlink ref="Q2001" r:id="rId1215"/>
    <hyperlink ref="Q2002" r:id="rId1216"/>
    <hyperlink ref="Q2006" r:id="rId1217"/>
    <hyperlink ref="F2008" r:id="rId1218"/>
    <hyperlink ref="Q2008" r:id="rId1219"/>
    <hyperlink ref="Q2010" r:id="rId1220"/>
    <hyperlink ref="G2011" r:id="rId1221"/>
    <hyperlink ref="G2013" r:id="rId1222"/>
    <hyperlink ref="G2014" r:id="rId1223"/>
    <hyperlink ref="Q2015" r:id="rId1224"/>
    <hyperlink ref="Q2017" r:id="rId1225"/>
    <hyperlink ref="F2018" r:id="rId1226"/>
    <hyperlink ref="G2018" r:id="rId1227"/>
    <hyperlink ref="Q2018" r:id="rId1228"/>
    <hyperlink ref="F2020" r:id="rId1229"/>
    <hyperlink ref="G2020" r:id="rId1230"/>
    <hyperlink ref="Q2023" r:id="rId1231"/>
    <hyperlink ref="G2024" r:id="rId1232"/>
    <hyperlink ref="Q2024" r:id="rId1233"/>
    <hyperlink ref="G2025" r:id="rId1234"/>
    <hyperlink ref="Q2029" r:id="rId1235"/>
    <hyperlink ref="G2033" r:id="rId1236"/>
    <hyperlink ref="Q2033" r:id="rId1237"/>
    <hyperlink ref="Q2036" r:id="rId1238"/>
    <hyperlink ref="Q2037" r:id="rId1239"/>
    <hyperlink ref="Q2039" r:id="rId1240"/>
    <hyperlink ref="Q2040" r:id="rId1241"/>
    <hyperlink ref="G2042" r:id="rId1242"/>
    <hyperlink ref="G2045" r:id="rId1243"/>
    <hyperlink ref="G2046" r:id="rId1244"/>
    <hyperlink ref="Q2046" r:id="rId1245"/>
    <hyperlink ref="F2048" r:id="rId1246"/>
    <hyperlink ref="G2051" r:id="rId1247"/>
    <hyperlink ref="Q2051" r:id="rId1248"/>
    <hyperlink ref="G2055" r:id="rId1249"/>
    <hyperlink ref="Q2055" r:id="rId1250"/>
    <hyperlink ref="G2056" r:id="rId1251"/>
    <hyperlink ref="G2061" r:id="rId1252"/>
    <hyperlink ref="Q2061" r:id="rId1253"/>
    <hyperlink ref="G2063" r:id="rId1254"/>
    <hyperlink ref="Q2063" r:id="rId1255"/>
    <hyperlink ref="G2065" r:id="rId1256"/>
    <hyperlink ref="F2067" r:id="rId1257"/>
    <hyperlink ref="G2067" r:id="rId1258"/>
    <hyperlink ref="F2068" r:id="rId1259"/>
    <hyperlink ref="G2069" r:id="rId1260"/>
    <hyperlink ref="G2070" r:id="rId1261"/>
    <hyperlink ref="Q2070" r:id="rId1262"/>
    <hyperlink ref="G2072" r:id="rId1263"/>
    <hyperlink ref="Q2072" r:id="rId1264"/>
    <hyperlink ref="F2074" r:id="rId1265"/>
    <hyperlink ref="F2076" r:id="rId1266"/>
    <hyperlink ref="G2076" r:id="rId1267"/>
    <hyperlink ref="Q2076" r:id="rId1268"/>
    <hyperlink ref="Q2078" r:id="rId1269"/>
    <hyperlink ref="Q2079" r:id="rId1270"/>
    <hyperlink ref="C2081" r:id="rId1271"/>
    <hyperlink ref="Q2081" r:id="rId1272"/>
    <hyperlink ref="G2085" r:id="rId1273"/>
    <hyperlink ref="Q2085" r:id="rId1274"/>
    <hyperlink ref="G2088" r:id="rId1275"/>
    <hyperlink ref="Q2089" r:id="rId1276"/>
    <hyperlink ref="Q2091" r:id="rId1277"/>
    <hyperlink ref="G2093" r:id="rId1278"/>
    <hyperlink ref="Q2093" r:id="rId1279"/>
    <hyperlink ref="F2094" r:id="rId1280"/>
    <hyperlink ref="Q2096" r:id="rId1281"/>
    <hyperlink ref="G2098" r:id="rId1282"/>
    <hyperlink ref="Q2098" r:id="rId1283"/>
    <hyperlink ref="G2099" r:id="rId1284"/>
    <hyperlink ref="G2100" r:id="rId1285"/>
    <hyperlink ref="G2101" r:id="rId1286"/>
    <hyperlink ref="Q2101" r:id="rId1287"/>
    <hyperlink ref="G2102" r:id="rId1288"/>
    <hyperlink ref="G2105" r:id="rId1289"/>
    <hyperlink ref="Q2105" r:id="rId1290"/>
    <hyperlink ref="F2106" r:id="rId1291"/>
    <hyperlink ref="F2108" r:id="rId1292"/>
    <hyperlink ref="G2108" r:id="rId1293"/>
    <hyperlink ref="G2109" r:id="rId1294"/>
    <hyperlink ref="F2110" r:id="rId1295"/>
    <hyperlink ref="G2111" r:id="rId1296"/>
    <hyperlink ref="Q2111" r:id="rId1297"/>
    <hyperlink ref="G2113" r:id="rId1298"/>
    <hyperlink ref="G2116" r:id="rId1299"/>
    <hyperlink ref="Q2116" r:id="rId1300"/>
    <hyperlink ref="G2122" r:id="rId1301"/>
    <hyperlink ref="Q2122" r:id="rId1302"/>
    <hyperlink ref="F2126" r:id="rId1303"/>
    <hyperlink ref="Q2126" r:id="rId1304"/>
    <hyperlink ref="G2128" r:id="rId1305"/>
    <hyperlink ref="Q2128" r:id="rId1306"/>
    <hyperlink ref="G2130" r:id="rId1307"/>
    <hyperlink ref="Q2130" r:id="rId1308"/>
    <hyperlink ref="G2132" r:id="rId1309"/>
    <hyperlink ref="Q2132" r:id="rId1310"/>
    <hyperlink ref="Q2134" r:id="rId1311"/>
    <hyperlink ref="Q2141" r:id="rId1312"/>
    <hyperlink ref="G2142" r:id="rId1313"/>
    <hyperlink ref="Q2142" r:id="rId1314"/>
    <hyperlink ref="C2144" r:id="rId1315"/>
    <hyperlink ref="F2144" r:id="rId1316"/>
    <hyperlink ref="Q2144" r:id="rId1317"/>
    <hyperlink ref="F2149" r:id="rId1318"/>
    <hyperlink ref="Q2149" r:id="rId1319"/>
    <hyperlink ref="F2151" r:id="rId1320"/>
    <hyperlink ref="Q2151" r:id="rId1321"/>
    <hyperlink ref="G2153" r:id="rId1322"/>
    <hyperlink ref="G2154" r:id="rId1323"/>
    <hyperlink ref="G2156" r:id="rId1324"/>
    <hyperlink ref="G2158" r:id="rId1325"/>
    <hyperlink ref="G2160" r:id="rId1326"/>
    <hyperlink ref="G2163" r:id="rId1327"/>
    <hyperlink ref="Q2166" r:id="rId1328"/>
    <hyperlink ref="G2167" r:id="rId1329"/>
    <hyperlink ref="G2170" r:id="rId1330"/>
    <hyperlink ref="Q2173" r:id="rId1331"/>
    <hyperlink ref="G2174" r:id="rId1332"/>
    <hyperlink ref="Q2174" r:id="rId1333"/>
    <hyperlink ref="Q2176" r:id="rId1334"/>
    <hyperlink ref="G2178" r:id="rId1335"/>
    <hyperlink ref="C2182" r:id="rId1336"/>
    <hyperlink ref="F2182" r:id="rId1337"/>
    <hyperlink ref="Q2182" r:id="rId1338"/>
    <hyperlink ref="F2183" r:id="rId1339"/>
    <hyperlink ref="G2183" r:id="rId1340"/>
    <hyperlink ref="Q2183" r:id="rId1341"/>
    <hyperlink ref="Q2185" r:id="rId1342"/>
    <hyperlink ref="G2187" r:id="rId1343"/>
    <hyperlink ref="Q2187" r:id="rId1344" location="/"/>
    <hyperlink ref="G2188" r:id="rId1345"/>
    <hyperlink ref="Q2188" r:id="rId1346"/>
    <hyperlink ref="F2189" r:id="rId1347"/>
    <hyperlink ref="G2189" r:id="rId1348"/>
    <hyperlink ref="Q2189" r:id="rId1349"/>
    <hyperlink ref="G2191" r:id="rId1350"/>
    <hyperlink ref="F2193" r:id="rId1351"/>
    <hyperlink ref="Q2193" r:id="rId1352"/>
    <hyperlink ref="Q2194" r:id="rId1353"/>
    <hyperlink ref="G2195" r:id="rId1354"/>
    <hyperlink ref="Q2196" r:id="rId1355"/>
    <hyperlink ref="Q2197" r:id="rId1356"/>
    <hyperlink ref="G2201" r:id="rId1357"/>
    <hyperlink ref="Q2201" r:id="rId1358"/>
    <hyperlink ref="G2202" r:id="rId1359"/>
    <hyperlink ref="Q2202" r:id="rId1360"/>
    <hyperlink ref="G2204" r:id="rId1361"/>
    <hyperlink ref="Q2204" r:id="rId1362"/>
    <hyperlink ref="G2206" r:id="rId1363"/>
    <hyperlink ref="F2211" r:id="rId1364"/>
    <hyperlink ref="G2211" r:id="rId1365"/>
    <hyperlink ref="Q2211" r:id="rId1366"/>
    <hyperlink ref="G2214" r:id="rId1367"/>
    <hyperlink ref="F2216" r:id="rId1368"/>
    <hyperlink ref="Q2216" r:id="rId1369"/>
    <hyperlink ref="F2217" r:id="rId1370"/>
    <hyperlink ref="F2218" r:id="rId1371"/>
    <hyperlink ref="F2219" r:id="rId1372"/>
    <hyperlink ref="F2220" r:id="rId1373"/>
    <hyperlink ref="G2221" r:id="rId1374"/>
    <hyperlink ref="Q2222" r:id="rId1375"/>
    <hyperlink ref="G2223" r:id="rId1376"/>
    <hyperlink ref="G2224" r:id="rId1377"/>
    <hyperlink ref="Q2225" r:id="rId1378"/>
    <hyperlink ref="G2228" r:id="rId1379"/>
    <hyperlink ref="Q2228" r:id="rId1380"/>
    <hyperlink ref="G2229" r:id="rId1381"/>
    <hyperlink ref="F2233" r:id="rId1382"/>
    <hyperlink ref="G2233" r:id="rId1383"/>
    <hyperlink ref="Q2234" r:id="rId1384"/>
    <hyperlink ref="G2236" r:id="rId1385"/>
    <hyperlink ref="Q2236" r:id="rId1386"/>
    <hyperlink ref="G2237" r:id="rId1387"/>
    <hyperlink ref="G2240" r:id="rId1388"/>
    <hyperlink ref="Q2241" r:id="rId1389"/>
    <hyperlink ref="G2243" r:id="rId1390"/>
    <hyperlink ref="Q2243" r:id="rId1391"/>
    <hyperlink ref="Q2245" r:id="rId1392"/>
    <hyperlink ref="G2246" r:id="rId1393"/>
    <hyperlink ref="G2249" r:id="rId1394"/>
    <hyperlink ref="Q2249" r:id="rId1395"/>
    <hyperlink ref="Q2251" r:id="rId1396"/>
    <hyperlink ref="G2252" r:id="rId1397"/>
    <hyperlink ref="F2254" r:id="rId1398"/>
    <hyperlink ref="Q2254" r:id="rId1399"/>
    <hyperlink ref="F2255" r:id="rId1400"/>
    <hyperlink ref="Q2255" r:id="rId1401"/>
    <hyperlink ref="G2259" r:id="rId1402"/>
    <hyperlink ref="F2261" r:id="rId1403"/>
    <hyperlink ref="Q2261" r:id="rId1404"/>
    <hyperlink ref="G2263" r:id="rId1405"/>
    <hyperlink ref="Q2263" r:id="rId1406"/>
    <hyperlink ref="G2268" r:id="rId1407"/>
    <hyperlink ref="P2268" r:id="rId1408"/>
    <hyperlink ref="Q2268" r:id="rId1409"/>
    <hyperlink ref="Q2272" r:id="rId1410"/>
    <hyperlink ref="F2275" r:id="rId1411"/>
    <hyperlink ref="G2275" r:id="rId1412"/>
    <hyperlink ref="Q2275" r:id="rId1413"/>
    <hyperlink ref="F2279" r:id="rId1414"/>
    <hyperlink ref="G2279" r:id="rId1415"/>
    <hyperlink ref="Q2279" r:id="rId1416"/>
    <hyperlink ref="F2280" r:id="rId1417"/>
    <hyperlink ref="G2280" r:id="rId1418"/>
    <hyperlink ref="Q2280" r:id="rId1419"/>
    <hyperlink ref="G2281" r:id="rId1420"/>
    <hyperlink ref="G2283" r:id="rId1421"/>
    <hyperlink ref="G2289" r:id="rId1422"/>
    <hyperlink ref="Q2289" r:id="rId1423"/>
    <hyperlink ref="F2292" r:id="rId1424"/>
    <hyperlink ref="G2292" r:id="rId1425"/>
    <hyperlink ref="F2295" r:id="rId1426"/>
    <hyperlink ref="G2295" r:id="rId1427"/>
    <hyperlink ref="Q2295" r:id="rId1428"/>
    <hyperlink ref="Q2296" r:id="rId1429"/>
    <hyperlink ref="F2297" r:id="rId1430"/>
    <hyperlink ref="F2298" r:id="rId1431"/>
    <hyperlink ref="G2298" r:id="rId1432"/>
    <hyperlink ref="Q2298" r:id="rId1433"/>
    <hyperlink ref="F2300" r:id="rId1434"/>
    <hyperlink ref="Q2300" r:id="rId1435"/>
    <hyperlink ref="F2301" r:id="rId1436"/>
    <hyperlink ref="G2301" r:id="rId1437"/>
    <hyperlink ref="Q2301" r:id="rId1438"/>
    <hyperlink ref="G2302" r:id="rId1439"/>
    <hyperlink ref="Q2303" r:id="rId1440"/>
    <hyperlink ref="G2304" r:id="rId1441"/>
    <hyperlink ref="G2306" r:id="rId1442"/>
    <hyperlink ref="Q2306" r:id="rId1443"/>
    <hyperlink ref="Q2308" r:id="rId1444"/>
    <hyperlink ref="Q2311" r:id="rId1445"/>
    <hyperlink ref="F2313" r:id="rId1446"/>
    <hyperlink ref="G2313" r:id="rId1447"/>
    <hyperlink ref="F2314" r:id="rId1448"/>
    <hyperlink ref="Q2314" r:id="rId1449"/>
    <hyperlink ref="C2317" r:id="rId1450"/>
    <hyperlink ref="Q2317" r:id="rId1451"/>
    <hyperlink ref="Q2318" r:id="rId1452"/>
    <hyperlink ref="G2319" r:id="rId1453"/>
    <hyperlink ref="Q2320" r:id="rId1454"/>
    <hyperlink ref="G2322" r:id="rId1455"/>
    <hyperlink ref="Q2322" r:id="rId1456"/>
    <hyperlink ref="G2324" r:id="rId1457"/>
    <hyperlink ref="Q2324" r:id="rId1458"/>
    <hyperlink ref="F2327" r:id="rId1459"/>
    <hyperlink ref="G2327" r:id="rId1460"/>
    <hyperlink ref="Q2329" r:id="rId1461"/>
    <hyperlink ref="Q2330" r:id="rId1462"/>
    <hyperlink ref="G2331" r:id="rId1463"/>
    <hyperlink ref="Q2331" r:id="rId1464"/>
    <hyperlink ref="Q2333" r:id="rId1465"/>
    <hyperlink ref="F2334" r:id="rId1466"/>
    <hyperlink ref="G2335" r:id="rId1467"/>
    <hyperlink ref="Q2335" r:id="rId1468"/>
    <hyperlink ref="F2338" r:id="rId1469"/>
    <hyperlink ref="Q2338" r:id="rId1470"/>
    <hyperlink ref="G2340" r:id="rId1471"/>
    <hyperlink ref="Q2340" r:id="rId1472"/>
    <hyperlink ref="F2342" r:id="rId1473"/>
    <hyperlink ref="G2342" r:id="rId1474"/>
    <hyperlink ref="Q2342" r:id="rId1475"/>
    <hyperlink ref="G2343" r:id="rId1476"/>
    <hyperlink ref="G2347" r:id="rId1477"/>
    <hyperlink ref="F2348" r:id="rId1478"/>
    <hyperlink ref="G2348" r:id="rId1479"/>
    <hyperlink ref="G2349" r:id="rId1480"/>
    <hyperlink ref="F2350" r:id="rId1481"/>
    <hyperlink ref="G2350" r:id="rId1482"/>
    <hyperlink ref="Q2350" r:id="rId1483"/>
    <hyperlink ref="Q2352" r:id="rId1484"/>
    <hyperlink ref="Q2353" r:id="rId1485"/>
    <hyperlink ref="G2355" r:id="rId1486"/>
    <hyperlink ref="G2357" r:id="rId1487"/>
    <hyperlink ref="Q2357" r:id="rId1488"/>
    <hyperlink ref="G2360" r:id="rId1489"/>
    <hyperlink ref="Q2360" r:id="rId1490"/>
    <hyperlink ref="G2362" r:id="rId1491"/>
    <hyperlink ref="Q2362" r:id="rId1492"/>
    <hyperlink ref="G2363" r:id="rId1493"/>
    <hyperlink ref="F2367" r:id="rId1494"/>
    <hyperlink ref="G2367" r:id="rId1495"/>
    <hyperlink ref="Q2367" r:id="rId1496"/>
    <hyperlink ref="F2369" r:id="rId1497"/>
    <hyperlink ref="G2369" r:id="rId1498"/>
    <hyperlink ref="Q2370" r:id="rId1499"/>
    <hyperlink ref="G2372" r:id="rId1500"/>
    <hyperlink ref="Q2372" r:id="rId1501"/>
    <hyperlink ref="G2373" r:id="rId1502"/>
    <hyperlink ref="G2375" r:id="rId1503"/>
    <hyperlink ref="F2377" r:id="rId1504"/>
    <hyperlink ref="G2377" r:id="rId1505"/>
    <hyperlink ref="Q2377" r:id="rId1506"/>
    <hyperlink ref="Q2378" r:id="rId1507"/>
    <hyperlink ref="G2380" r:id="rId1508"/>
    <hyperlink ref="G2381" r:id="rId1509"/>
    <hyperlink ref="Q2381" r:id="rId1510"/>
    <hyperlink ref="G2384" r:id="rId1511"/>
    <hyperlink ref="G2385" r:id="rId1512"/>
    <hyperlink ref="G2387" r:id="rId1513"/>
    <hyperlink ref="Q2389" r:id="rId1514"/>
    <hyperlink ref="G2390" r:id="rId1515"/>
    <hyperlink ref="Q2390" r:id="rId1516"/>
    <hyperlink ref="G2394" r:id="rId1517"/>
    <hyperlink ref="Q2394" r:id="rId1518"/>
    <hyperlink ref="G2397" r:id="rId1519"/>
    <hyperlink ref="G2398" r:id="rId1520"/>
    <hyperlink ref="G2406" r:id="rId1521"/>
    <hyperlink ref="G2408" r:id="rId1522"/>
    <hyperlink ref="G2409" r:id="rId1523"/>
    <hyperlink ref="Q2409" r:id="rId1524"/>
    <hyperlink ref="F2410" r:id="rId1525"/>
    <hyperlink ref="G2410" r:id="rId1526"/>
    <hyperlink ref="Q2410" r:id="rId1527"/>
    <hyperlink ref="C2411" r:id="rId1528"/>
    <hyperlink ref="F2411" r:id="rId1529"/>
    <hyperlink ref="Q2411" r:id="rId1530"/>
    <hyperlink ref="F2412" r:id="rId1531"/>
    <hyperlink ref="G2412" r:id="rId1532"/>
    <hyperlink ref="Q2414" r:id="rId1533"/>
    <hyperlink ref="C2415" r:id="rId1534"/>
    <hyperlink ref="Q2415" r:id="rId1535"/>
    <hyperlink ref="Q2416" r:id="rId1536"/>
    <hyperlink ref="G2418" r:id="rId1537"/>
    <hyperlink ref="Q2418" r:id="rId1538"/>
    <hyperlink ref="F2419" r:id="rId1539"/>
    <hyperlink ref="G2419" r:id="rId1540"/>
    <hyperlink ref="Q2419" r:id="rId1541"/>
    <hyperlink ref="Q2425" r:id="rId1542"/>
    <hyperlink ref="Q2428" r:id="rId1543"/>
    <hyperlink ref="Q2429" r:id="rId1544"/>
    <hyperlink ref="G2432" r:id="rId1545"/>
    <hyperlink ref="F2433" r:id="rId1546"/>
    <hyperlink ref="G2433" r:id="rId1547"/>
    <hyperlink ref="Q2433" r:id="rId1548"/>
    <hyperlink ref="Q2437" r:id="rId1549"/>
    <hyperlink ref="Q2438" r:id="rId1550"/>
    <hyperlink ref="Q2439" r:id="rId1551"/>
    <hyperlink ref="Q2440" r:id="rId1552"/>
    <hyperlink ref="G2441" r:id="rId1553"/>
    <hyperlink ref="Q2442" r:id="rId1554"/>
    <hyperlink ref="Q2445" r:id="rId1555"/>
    <hyperlink ref="F2446" r:id="rId1556"/>
    <hyperlink ref="G2446" r:id="rId1557"/>
    <hyperlink ref="Q2446" r:id="rId1558"/>
    <hyperlink ref="G2447" r:id="rId1559"/>
    <hyperlink ref="Q2447" r:id="rId1560"/>
    <hyperlink ref="F2448" r:id="rId1561"/>
    <hyperlink ref="Q2448" r:id="rId1562"/>
    <hyperlink ref="F2451" r:id="rId1563"/>
    <hyperlink ref="G2451" r:id="rId1564"/>
    <hyperlink ref="Q2451" r:id="rId1565"/>
    <hyperlink ref="F2454" r:id="rId1566"/>
    <hyperlink ref="P2454" r:id="rId1567"/>
    <hyperlink ref="G2458" r:id="rId1568"/>
    <hyperlink ref="Q2459" r:id="rId1569"/>
    <hyperlink ref="G2466" r:id="rId1570"/>
    <hyperlink ref="F2469" r:id="rId1571"/>
    <hyperlink ref="G2469" r:id="rId1572"/>
    <hyperlink ref="F2470" r:id="rId1573"/>
    <hyperlink ref="Q2470" r:id="rId1574"/>
    <hyperlink ref="G2475" r:id="rId1575"/>
    <hyperlink ref="G2477" r:id="rId1576"/>
    <hyperlink ref="G2478" r:id="rId1577"/>
    <hyperlink ref="F2479" r:id="rId1578"/>
    <hyperlink ref="G2479" r:id="rId1579"/>
    <hyperlink ref="Q2479" r:id="rId1580"/>
    <hyperlink ref="G2481" r:id="rId1581"/>
    <hyperlink ref="Q2482" r:id="rId1582"/>
    <hyperlink ref="G2487" r:id="rId1583"/>
    <hyperlink ref="G2488" r:id="rId1584"/>
    <hyperlink ref="Q2488" r:id="rId1585"/>
    <hyperlink ref="Q2489" r:id="rId1586"/>
    <hyperlink ref="Q2490" r:id="rId1587"/>
    <hyperlink ref="Q2491" r:id="rId1588"/>
    <hyperlink ref="G2493" r:id="rId1589"/>
    <hyperlink ref="G2498" r:id="rId1590"/>
    <hyperlink ref="Q2498" r:id="rId1591"/>
    <hyperlink ref="G2500" r:id="rId1592"/>
    <hyperlink ref="Q2501" r:id="rId1593"/>
    <hyperlink ref="Q2504" r:id="rId1594"/>
    <hyperlink ref="F2507" r:id="rId1595"/>
    <hyperlink ref="Q2507" r:id="rId1596"/>
    <hyperlink ref="G2508" r:id="rId1597"/>
    <hyperlink ref="G2513" r:id="rId1598"/>
    <hyperlink ref="Q2513" r:id="rId1599"/>
    <hyperlink ref="F2517" r:id="rId1600"/>
    <hyperlink ref="Q2518" r:id="rId1601"/>
    <hyperlink ref="Q2519" r:id="rId1602"/>
    <hyperlink ref="F2524" r:id="rId1603"/>
    <hyperlink ref="G2524" r:id="rId1604"/>
    <hyperlink ref="Q2524" r:id="rId1605"/>
    <hyperlink ref="Q2527" r:id="rId1606"/>
    <hyperlink ref="G2532" r:id="rId1607"/>
    <hyperlink ref="C2534" r:id="rId1608"/>
    <hyperlink ref="F2534" r:id="rId1609"/>
    <hyperlink ref="G2534" r:id="rId1610"/>
    <hyperlink ref="G2536" r:id="rId1611"/>
    <hyperlink ref="G2537" r:id="rId1612"/>
    <hyperlink ref="F2541" r:id="rId1613"/>
    <hyperlink ref="Q2547" r:id="rId1614"/>
    <hyperlink ref="Q2549" r:id="rId1615"/>
    <hyperlink ref="G2550" r:id="rId1616"/>
    <hyperlink ref="F2552" r:id="rId1617"/>
    <hyperlink ref="G2552" r:id="rId1618"/>
    <hyperlink ref="Q2552" r:id="rId1619"/>
    <hyperlink ref="F2554" r:id="rId1620"/>
    <hyperlink ref="Q2554" r:id="rId1621"/>
    <hyperlink ref="Q2557" r:id="rId1622"/>
    <hyperlink ref="Q2558" r:id="rId1623"/>
    <hyperlink ref="G2560" r:id="rId1624"/>
    <hyperlink ref="Q2561" r:id="rId1625"/>
    <hyperlink ref="F2562" r:id="rId1626"/>
    <hyperlink ref="G2562" r:id="rId1627"/>
    <hyperlink ref="Q2562" r:id="rId1628"/>
    <hyperlink ref="F2563" r:id="rId1629"/>
    <hyperlink ref="Q2563" r:id="rId1630"/>
    <hyperlink ref="F2564" r:id="rId1631"/>
    <hyperlink ref="Q2564" r:id="rId1632"/>
    <hyperlink ref="G2566" r:id="rId1633"/>
    <hyperlink ref="Q2567" r:id="rId1634"/>
    <hyperlink ref="G2569" r:id="rId1635"/>
    <hyperlink ref="G2570" r:id="rId1636"/>
    <hyperlink ref="G2571" r:id="rId1637"/>
    <hyperlink ref="F2573" r:id="rId1638"/>
    <hyperlink ref="Q2574" r:id="rId1639"/>
    <hyperlink ref="G2576" r:id="rId1640"/>
    <hyperlink ref="Q2576" r:id="rId1641"/>
    <hyperlink ref="G2577" r:id="rId1642"/>
    <hyperlink ref="G2578" r:id="rId1643"/>
    <hyperlink ref="Q2578" r:id="rId1644"/>
    <hyperlink ref="G2579" r:id="rId1645"/>
    <hyperlink ref="G2583" r:id="rId1646"/>
    <hyperlink ref="Q2584" r:id="rId1647"/>
    <hyperlink ref="Q2588" r:id="rId1648"/>
    <hyperlink ref="G2592" r:id="rId1649"/>
    <hyperlink ref="F2593" r:id="rId1650"/>
    <hyperlink ref="G2593" r:id="rId1651"/>
    <hyperlink ref="Q2593" r:id="rId1652"/>
    <hyperlink ref="G2596" r:id="rId1653"/>
    <hyperlink ref="F2599" r:id="rId1654"/>
    <hyperlink ref="G2599" r:id="rId1655"/>
    <hyperlink ref="Q2599" r:id="rId1656"/>
    <hyperlink ref="G2600" r:id="rId1657"/>
    <hyperlink ref="F2603" r:id="rId1658"/>
    <hyperlink ref="Q2603" r:id="rId1659"/>
    <hyperlink ref="Q2604" r:id="rId1660"/>
    <hyperlink ref="F2606" r:id="rId1661"/>
    <hyperlink ref="G2606" r:id="rId1662"/>
    <hyperlink ref="Q2607" r:id="rId1663"/>
    <hyperlink ref="G2609" r:id="rId1664"/>
    <hyperlink ref="Q2611" r:id="rId1665"/>
    <hyperlink ref="G2612" r:id="rId1666"/>
    <hyperlink ref="Q2614" r:id="rId1667"/>
    <hyperlink ref="G2615" r:id="rId1668"/>
    <hyperlink ref="F2617" r:id="rId1669"/>
    <hyperlink ref="Q2617" r:id="rId1670"/>
    <hyperlink ref="F2625" r:id="rId1671"/>
    <hyperlink ref="G2625" r:id="rId1672"/>
    <hyperlink ref="F2627" r:id="rId1673"/>
    <hyperlink ref="G2627" r:id="rId1674"/>
    <hyperlink ref="Q2627" r:id="rId1675"/>
    <hyperlink ref="F2629" r:id="rId1676"/>
    <hyperlink ref="Q2629" r:id="rId1677"/>
    <hyperlink ref="F2630" r:id="rId1678"/>
    <hyperlink ref="G2630" r:id="rId1679"/>
    <hyperlink ref="G2633" r:id="rId1680"/>
    <hyperlink ref="Q2633" r:id="rId1681"/>
    <hyperlink ref="C2635" r:id="rId1682"/>
    <hyperlink ref="G2635" r:id="rId1683"/>
    <hyperlink ref="F2637" r:id="rId1684"/>
    <hyperlink ref="G2640" r:id="rId1685"/>
    <hyperlink ref="G2641" r:id="rId1686"/>
    <hyperlink ref="Q2641" r:id="rId1687"/>
    <hyperlink ref="G2645" r:id="rId1688"/>
    <hyperlink ref="F2646" r:id="rId1689"/>
    <hyperlink ref="Q2646" r:id="rId1690"/>
    <hyperlink ref="Q2651" r:id="rId1691"/>
    <hyperlink ref="G2652" r:id="rId1692"/>
    <hyperlink ref="Q2653" r:id="rId1693"/>
    <hyperlink ref="Q2656" r:id="rId1694"/>
    <hyperlink ref="G2660" r:id="rId1695"/>
    <hyperlink ref="G2661" r:id="rId1696"/>
    <hyperlink ref="G2662" r:id="rId1697"/>
    <hyperlink ref="Q2662" r:id="rId1698"/>
    <hyperlink ref="G2663" r:id="rId1699"/>
    <hyperlink ref="Q2664" r:id="rId1700"/>
    <hyperlink ref="G2670" r:id="rId1701"/>
    <hyperlink ref="F2671" r:id="rId1702"/>
    <hyperlink ref="Q2671" r:id="rId1703"/>
    <hyperlink ref="G2672" r:id="rId1704"/>
    <hyperlink ref="G2681" r:id="rId1705"/>
    <hyperlink ref="Q2681" r:id="rId1706"/>
    <hyperlink ref="Q2682" r:id="rId1707"/>
    <hyperlink ref="G2683" r:id="rId1708"/>
    <hyperlink ref="Q2684" r:id="rId1709"/>
    <hyperlink ref="G2686" r:id="rId1710"/>
    <hyperlink ref="Q2686" r:id="rId1711"/>
    <hyperlink ref="Q2687" r:id="rId1712"/>
    <hyperlink ref="Q2688" r:id="rId1713"/>
    <hyperlink ref="G2689" r:id="rId1714"/>
    <hyperlink ref="G2690" r:id="rId1715"/>
    <hyperlink ref="Q2691" r:id="rId1716"/>
    <hyperlink ref="G2692" r:id="rId1717"/>
    <hyperlink ref="F2694" r:id="rId1718"/>
    <hyperlink ref="G2694" r:id="rId1719"/>
    <hyperlink ref="Q2694" r:id="rId1720"/>
    <hyperlink ref="F2696" r:id="rId1721"/>
    <hyperlink ref="Q2696" r:id="rId1722"/>
    <hyperlink ref="Q2697" r:id="rId1723"/>
    <hyperlink ref="G2698" r:id="rId1724"/>
    <hyperlink ref="G2700" r:id="rId1725"/>
    <hyperlink ref="Q2700" r:id="rId1726"/>
    <hyperlink ref="Q2701" r:id="rId1727"/>
    <hyperlink ref="Q2708" r:id="rId1728"/>
    <hyperlink ref="G2712" r:id="rId1729"/>
    <hyperlink ref="F2713" r:id="rId1730"/>
    <hyperlink ref="G2713" r:id="rId1731"/>
    <hyperlink ref="Q2713" r:id="rId1732"/>
    <hyperlink ref="G2714" r:id="rId1733"/>
    <hyperlink ref="G2715" r:id="rId1734"/>
    <hyperlink ref="G2717" r:id="rId1735"/>
    <hyperlink ref="G2719" r:id="rId1736"/>
    <hyperlink ref="Q2719" r:id="rId1737"/>
    <hyperlink ref="G2721" r:id="rId1738"/>
    <hyperlink ref="F2722" r:id="rId1739"/>
    <hyperlink ref="G2722" r:id="rId1740"/>
    <hyperlink ref="Q2722" r:id="rId1741"/>
    <hyperlink ref="Q2725" r:id="rId1742"/>
    <hyperlink ref="Q2726" r:id="rId1743"/>
    <hyperlink ref="G2727" r:id="rId1744"/>
    <hyperlink ref="G2729" r:id="rId1745"/>
    <hyperlink ref="Q2730" r:id="rId1746"/>
    <hyperlink ref="G2734" r:id="rId1747"/>
    <hyperlink ref="Q2734" r:id="rId1748"/>
    <hyperlink ref="G2735" r:id="rId1749"/>
    <hyperlink ref="Q2735" r:id="rId1750"/>
    <hyperlink ref="Q2736" r:id="rId1751"/>
    <hyperlink ref="Q2737" r:id="rId1752"/>
    <hyperlink ref="G2738" r:id="rId1753"/>
    <hyperlink ref="G2739" r:id="rId1754"/>
    <hyperlink ref="G2740" r:id="rId1755"/>
    <hyperlink ref="Q2740" r:id="rId1756"/>
    <hyperlink ref="G2741" r:id="rId1757"/>
    <hyperlink ref="Q2741" r:id="rId1758"/>
    <hyperlink ref="F2743" r:id="rId1759"/>
    <hyperlink ref="G2743" r:id="rId1760"/>
    <hyperlink ref="Q2743" r:id="rId1761"/>
    <hyperlink ref="F2745" r:id="rId1762"/>
    <hyperlink ref="Q2745" r:id="rId1763"/>
    <hyperlink ref="Q2746" r:id="rId1764"/>
    <hyperlink ref="Q2747" r:id="rId1765"/>
    <hyperlink ref="F2748" r:id="rId1766" location="redirect=2"/>
    <hyperlink ref="G2748" r:id="rId1767"/>
    <hyperlink ref="Q2748" r:id="rId1768"/>
    <hyperlink ref="G2753" r:id="rId1769"/>
    <hyperlink ref="Q2753" r:id="rId1770"/>
    <hyperlink ref="F2755" r:id="rId1771"/>
    <hyperlink ref="G2755" r:id="rId1772"/>
    <hyperlink ref="Q2755" r:id="rId1773"/>
    <hyperlink ref="F2756" r:id="rId1774"/>
    <hyperlink ref="Q2756" r:id="rId1775"/>
    <hyperlink ref="F2757" r:id="rId1776"/>
    <hyperlink ref="G2757" r:id="rId1777"/>
    <hyperlink ref="Q2757" r:id="rId1778"/>
    <hyperlink ref="F2758" r:id="rId1779"/>
    <hyperlink ref="Q2758" r:id="rId1780"/>
    <hyperlink ref="F2760" r:id="rId1781"/>
    <hyperlink ref="G2760" r:id="rId1782"/>
    <hyperlink ref="Q2760" r:id="rId1783"/>
    <hyperlink ref="F2761" r:id="rId1784"/>
    <hyperlink ref="G2761" r:id="rId1785"/>
    <hyperlink ref="Q2761" r:id="rId1786"/>
    <hyperlink ref="F2762" r:id="rId1787"/>
    <hyperlink ref="Q2762" r:id="rId1788"/>
    <hyperlink ref="F2766" r:id="rId1789"/>
    <hyperlink ref="Q2766" r:id="rId1790"/>
    <hyperlink ref="C2768" r:id="rId1791"/>
    <hyperlink ref="F2768" r:id="rId1792"/>
    <hyperlink ref="Q2768" r:id="rId1793"/>
    <hyperlink ref="G2769" r:id="rId1794"/>
    <hyperlink ref="P2769" r:id="rId1795"/>
    <hyperlink ref="Q2769" r:id="rId1796"/>
    <hyperlink ref="G2770" r:id="rId1797"/>
    <hyperlink ref="F2771" r:id="rId1798"/>
    <hyperlink ref="F2772" r:id="rId1799"/>
    <hyperlink ref="G2772" r:id="rId1800"/>
    <hyperlink ref="Q2772" r:id="rId1801"/>
    <hyperlink ref="F2773" r:id="rId1802"/>
    <hyperlink ref="G2773" r:id="rId1803"/>
    <hyperlink ref="G2774" r:id="rId1804"/>
    <hyperlink ref="Q2774" r:id="rId1805"/>
    <hyperlink ref="G2775" r:id="rId1806"/>
    <hyperlink ref="G2776" r:id="rId1807"/>
    <hyperlink ref="F2777" r:id="rId1808"/>
    <hyperlink ref="G2777" r:id="rId1809"/>
    <hyperlink ref="F2779" r:id="rId1810"/>
    <hyperlink ref="Q2779" r:id="rId1811"/>
    <hyperlink ref="F2780" r:id="rId1812"/>
    <hyperlink ref="G2780" r:id="rId1813"/>
    <hyperlink ref="G2782" r:id="rId1814"/>
    <hyperlink ref="F2784" r:id="rId1815"/>
    <hyperlink ref="F2785" r:id="rId1816"/>
    <hyperlink ref="G2785" r:id="rId1817"/>
    <hyperlink ref="Q2786" r:id="rId1818"/>
    <hyperlink ref="F2787" r:id="rId1819"/>
    <hyperlink ref="Q2787" r:id="rId1820"/>
    <hyperlink ref="G2788" r:id="rId1821"/>
    <hyperlink ref="G2789" r:id="rId1822"/>
    <hyperlink ref="G2790" r:id="rId1823"/>
    <hyperlink ref="Q2792" r:id="rId1824"/>
    <hyperlink ref="G2798" r:id="rId1825"/>
    <hyperlink ref="G2799" r:id="rId1826"/>
    <hyperlink ref="Q2799" r:id="rId1827"/>
    <hyperlink ref="Q2800" r:id="rId1828"/>
    <hyperlink ref="Q2802" r:id="rId1829"/>
    <hyperlink ref="G2804" r:id="rId1830"/>
    <hyperlink ref="G2805" r:id="rId1831"/>
    <hyperlink ref="F2808" r:id="rId1832"/>
    <hyperlink ref="F2809" r:id="rId1833"/>
    <hyperlink ref="G2810" r:id="rId1834"/>
    <hyperlink ref="G2814" r:id="rId1835"/>
    <hyperlink ref="Q2817" r:id="rId1836"/>
    <hyperlink ref="F2818" r:id="rId1837"/>
    <hyperlink ref="G2818" r:id="rId1838"/>
    <hyperlink ref="F2819" r:id="rId1839"/>
    <hyperlink ref="G2820" r:id="rId1840"/>
    <hyperlink ref="G2823" r:id="rId1841"/>
    <hyperlink ref="G2825" r:id="rId1842"/>
    <hyperlink ref="Q2825" r:id="rId1843"/>
    <hyperlink ref="Q2829" r:id="rId1844"/>
    <hyperlink ref="G2831" r:id="rId1845"/>
    <hyperlink ref="Q2831" r:id="rId1846"/>
    <hyperlink ref="F2836" r:id="rId1847"/>
    <hyperlink ref="F2840" r:id="rId1848"/>
    <hyperlink ref="G2840" r:id="rId1849"/>
    <hyperlink ref="G2841" r:id="rId1850"/>
    <hyperlink ref="G2842" r:id="rId1851"/>
    <hyperlink ref="G2843" r:id="rId1852"/>
    <hyperlink ref="Q2843" r:id="rId1853"/>
    <hyperlink ref="G2847" r:id="rId1854"/>
    <hyperlink ref="F2848" r:id="rId1855"/>
    <hyperlink ref="G2848" r:id="rId1856"/>
    <hyperlink ref="Q2848" r:id="rId1857"/>
    <hyperlink ref="F2850" r:id="rId1858"/>
    <hyperlink ref="G2850" r:id="rId1859"/>
    <hyperlink ref="Q2850" r:id="rId1860"/>
    <hyperlink ref="Q2859" r:id="rId1861"/>
    <hyperlink ref="G2864" r:id="rId1862"/>
    <hyperlink ref="Q2864" r:id="rId1863"/>
    <hyperlink ref="G2865" r:id="rId1864"/>
    <hyperlink ref="Q2865" r:id="rId1865"/>
    <hyperlink ref="G2872" r:id="rId1866"/>
    <hyperlink ref="Q2875" r:id="rId1867"/>
    <hyperlink ref="G2876" r:id="rId1868"/>
    <hyperlink ref="F2877" r:id="rId1869"/>
    <hyperlink ref="G2877" r:id="rId1870"/>
    <hyperlink ref="Q2877" r:id="rId1871"/>
    <hyperlink ref="G2878" r:id="rId1872"/>
    <hyperlink ref="Q2879" r:id="rId1873"/>
    <hyperlink ref="Q2880" r:id="rId1874"/>
    <hyperlink ref="F2881" r:id="rId1875"/>
    <hyperlink ref="Q2881" r:id="rId1876"/>
    <hyperlink ref="F2887" r:id="rId1877"/>
    <hyperlink ref="G2887" r:id="rId1878"/>
    <hyperlink ref="F2889" r:id="rId1879"/>
    <hyperlink ref="G2889" r:id="rId1880"/>
    <hyperlink ref="Q2889" r:id="rId1881"/>
    <hyperlink ref="G2890" r:id="rId1882"/>
    <hyperlink ref="C2892" r:id="rId1883"/>
    <hyperlink ref="F2892" r:id="rId1884"/>
    <hyperlink ref="Q2892" r:id="rId1885"/>
    <hyperlink ref="G2894" r:id="rId1886"/>
    <hyperlink ref="G2898" r:id="rId1887"/>
    <hyperlink ref="G2899" r:id="rId1888"/>
    <hyperlink ref="G2903" r:id="rId1889"/>
    <hyperlink ref="G2905" r:id="rId1890"/>
    <hyperlink ref="Q2906" r:id="rId1891"/>
    <hyperlink ref="G2908" r:id="rId1892"/>
    <hyperlink ref="Q2910" r:id="rId1893"/>
    <hyperlink ref="F2911" r:id="rId1894"/>
    <hyperlink ref="G2911" r:id="rId1895"/>
    <hyperlink ref="G2913" r:id="rId1896"/>
    <hyperlink ref="G2914" r:id="rId1897"/>
    <hyperlink ref="G2915" r:id="rId1898"/>
    <hyperlink ref="G2916" r:id="rId1899"/>
    <hyperlink ref="G2917" r:id="rId1900"/>
    <hyperlink ref="G2918" r:id="rId1901"/>
    <hyperlink ref="F2919" r:id="rId1902"/>
    <hyperlink ref="Q2919" r:id="rId1903"/>
    <hyperlink ref="Q2922" r:id="rId1904"/>
    <hyperlink ref="G2926" r:id="rId1905"/>
    <hyperlink ref="Q2926" r:id="rId1906"/>
    <hyperlink ref="G2928" r:id="rId1907"/>
    <hyperlink ref="G2929" r:id="rId1908"/>
    <hyperlink ref="G2931" r:id="rId1909"/>
    <hyperlink ref="Q2933" r:id="rId1910"/>
    <hyperlink ref="F2935" r:id="rId1911"/>
    <hyperlink ref="Q2936" r:id="rId1912"/>
    <hyperlink ref="Q2937" r:id="rId1913"/>
    <hyperlink ref="G2939" r:id="rId1914"/>
    <hyperlink ref="Q2939" r:id="rId1915"/>
    <hyperlink ref="G2940" r:id="rId1916"/>
    <hyperlink ref="Q2940" r:id="rId1917"/>
    <hyperlink ref="G2943" r:id="rId1918"/>
    <hyperlink ref="F2946" r:id="rId1919"/>
    <hyperlink ref="Q2946" r:id="rId1920"/>
    <hyperlink ref="G2948" r:id="rId1921"/>
    <hyperlink ref="Q2948" r:id="rId1922"/>
    <hyperlink ref="Q2952" r:id="rId1923"/>
    <hyperlink ref="G2956" r:id="rId1924"/>
    <hyperlink ref="Q2956" r:id="rId1925"/>
    <hyperlink ref="Q2958" r:id="rId1926"/>
    <hyperlink ref="F2959" r:id="rId1927"/>
    <hyperlink ref="G2959" r:id="rId1928"/>
    <hyperlink ref="Q2959" r:id="rId1929"/>
    <hyperlink ref="Q2960" r:id="rId1930"/>
    <hyperlink ref="G2961" r:id="rId1931"/>
    <hyperlink ref="Q2963" r:id="rId1932"/>
    <hyperlink ref="G2965" r:id="rId1933"/>
    <hyperlink ref="G2966" r:id="rId1934"/>
    <hyperlink ref="G2969" r:id="rId1935"/>
    <hyperlink ref="F2972" r:id="rId1936"/>
    <hyperlink ref="G2972" r:id="rId1937"/>
    <hyperlink ref="Q2972" r:id="rId1938"/>
    <hyperlink ref="G2974" r:id="rId1939"/>
    <hyperlink ref="G2975" r:id="rId1940"/>
    <hyperlink ref="G2982" r:id="rId1941"/>
    <hyperlink ref="Q2982" r:id="rId1942"/>
    <hyperlink ref="F2983" r:id="rId1943"/>
    <hyperlink ref="G2983" r:id="rId1944"/>
    <hyperlink ref="Q2983" r:id="rId1945"/>
    <hyperlink ref="F2992" r:id="rId1946"/>
    <hyperlink ref="G2993" r:id="rId1947"/>
    <hyperlink ref="Q2995" r:id="rId1948"/>
    <hyperlink ref="F2997" r:id="rId1949"/>
    <hyperlink ref="G2997" r:id="rId1950"/>
    <hyperlink ref="Q2997" r:id="rId1951"/>
    <hyperlink ref="G2999" r:id="rId1952"/>
    <hyperlink ref="G3000" r:id="rId1953"/>
    <hyperlink ref="F3002" r:id="rId1954"/>
    <hyperlink ref="G3005" r:id="rId1955"/>
    <hyperlink ref="Q3005" r:id="rId1956"/>
    <hyperlink ref="G3014" r:id="rId1957"/>
    <hyperlink ref="G3015" r:id="rId1958"/>
    <hyperlink ref="Q3015" r:id="rId1959"/>
    <hyperlink ref="G3017" r:id="rId1960"/>
    <hyperlink ref="G3020" r:id="rId1961"/>
    <hyperlink ref="F3022" r:id="rId1962"/>
    <hyperlink ref="Q3022" r:id="rId1963"/>
    <hyperlink ref="F3024" r:id="rId1964"/>
    <hyperlink ref="G3024" r:id="rId1965"/>
    <hyperlink ref="Q3024" r:id="rId1966"/>
    <hyperlink ref="G3025" r:id="rId1967"/>
    <hyperlink ref="Q3025" r:id="rId1968"/>
    <hyperlink ref="F3026" r:id="rId1969"/>
    <hyperlink ref="G3027" r:id="rId1970"/>
    <hyperlink ref="Q3027" r:id="rId1971"/>
    <hyperlink ref="G3031" r:id="rId1972"/>
    <hyperlink ref="G3033" r:id="rId1973"/>
    <hyperlink ref="Q3035" r:id="rId1974"/>
    <hyperlink ref="G3036" r:id="rId1975"/>
    <hyperlink ref="G3037" r:id="rId1976"/>
    <hyperlink ref="G3040" r:id="rId1977"/>
    <hyperlink ref="G3041" r:id="rId1978"/>
    <hyperlink ref="G3042" r:id="rId1979"/>
    <hyperlink ref="G3043" r:id="rId1980"/>
    <hyperlink ref="Q3043" r:id="rId1981"/>
    <hyperlink ref="F3045" r:id="rId1982"/>
    <hyperlink ref="G3046" r:id="rId1983"/>
    <hyperlink ref="F3050" r:id="rId1984"/>
    <hyperlink ref="G3050" r:id="rId1985"/>
    <hyperlink ref="Q3050" r:id="rId1986"/>
    <hyperlink ref="G3051" r:id="rId1987"/>
    <hyperlink ref="G3054" r:id="rId1988"/>
    <hyperlink ref="Q3054" r:id="rId1989"/>
    <hyperlink ref="G3058" r:id="rId1990"/>
    <hyperlink ref="G3059" r:id="rId1991"/>
    <hyperlink ref="F3063" r:id="rId1992"/>
    <hyperlink ref="G3063" r:id="rId1993"/>
    <hyperlink ref="Q3063" r:id="rId1994"/>
    <hyperlink ref="F3064" r:id="rId1995"/>
    <hyperlink ref="G3064" r:id="rId1996"/>
    <hyperlink ref="Q3064" r:id="rId1997"/>
    <hyperlink ref="F3066" r:id="rId1998"/>
    <hyperlink ref="G3067" r:id="rId1999"/>
    <hyperlink ref="G3068" r:id="rId2000"/>
    <hyperlink ref="Q3075" r:id="rId2001"/>
    <hyperlink ref="F3076" r:id="rId2002"/>
    <hyperlink ref="G3076" r:id="rId2003"/>
    <hyperlink ref="Q3076" r:id="rId2004"/>
    <hyperlink ref="G3082" r:id="rId2005"/>
    <hyperlink ref="G3083" r:id="rId2006"/>
    <hyperlink ref="Q3083" r:id="rId2007"/>
    <hyperlink ref="G3084" r:id="rId2008"/>
    <hyperlink ref="Q3086" r:id="rId2009"/>
    <hyperlink ref="F3089" r:id="rId2010"/>
    <hyperlink ref="Q3090" r:id="rId2011"/>
    <hyperlink ref="Q3091" r:id="rId2012"/>
    <hyperlink ref="F3095" r:id="rId2013"/>
    <hyperlink ref="G3098" r:id="rId2014"/>
    <hyperlink ref="F3100" r:id="rId2015"/>
    <hyperlink ref="G3100" r:id="rId2016"/>
    <hyperlink ref="Q3100" r:id="rId2017"/>
    <hyperlink ref="F3102" r:id="rId2018"/>
    <hyperlink ref="G3102" r:id="rId2019"/>
    <hyperlink ref="Q3102" r:id="rId2020"/>
    <hyperlink ref="F3106" r:id="rId2021"/>
    <hyperlink ref="Q3106" r:id="rId2022"/>
    <hyperlink ref="G3109" r:id="rId2023"/>
    <hyperlink ref="Q3109" r:id="rId2024"/>
    <hyperlink ref="G3110" r:id="rId2025"/>
    <hyperlink ref="Q3111" r:id="rId2026"/>
    <hyperlink ref="F3115" r:id="rId2027"/>
    <hyperlink ref="G3115" r:id="rId2028"/>
    <hyperlink ref="G3116" r:id="rId2029"/>
    <hyperlink ref="F3117" r:id="rId2030"/>
    <hyperlink ref="G3117" r:id="rId2031"/>
    <hyperlink ref="G3120" r:id="rId2032"/>
    <hyperlink ref="Q3122" r:id="rId2033"/>
    <hyperlink ref="G3124" r:id="rId2034"/>
    <hyperlink ref="F3126" r:id="rId2035"/>
    <hyperlink ref="Q3126" r:id="rId2036"/>
    <hyperlink ref="Q3128" r:id="rId2037"/>
    <hyperlink ref="G3129" r:id="rId2038"/>
    <hyperlink ref="F3131" r:id="rId2039"/>
    <hyperlink ref="G3131" r:id="rId2040"/>
    <hyperlink ref="G3132" r:id="rId2041"/>
    <hyperlink ref="G3134" r:id="rId2042"/>
    <hyperlink ref="Q3134" r:id="rId2043"/>
    <hyperlink ref="G3138" r:id="rId2044"/>
    <hyperlink ref="Q3140" r:id="rId2045"/>
    <hyperlink ref="G3141" r:id="rId2046"/>
    <hyperlink ref="Q3141" r:id="rId2047"/>
    <hyperlink ref="G3142" r:id="rId2048"/>
    <hyperlink ref="G3145" r:id="rId2049"/>
    <hyperlink ref="Q3148" r:id="rId2050"/>
    <hyperlink ref="G3151" r:id="rId2051"/>
    <hyperlink ref="Q3152" r:id="rId2052"/>
    <hyperlink ref="G3153" r:id="rId2053"/>
    <hyperlink ref="G3154" r:id="rId2054"/>
    <hyperlink ref="Q3154" r:id="rId2055"/>
    <hyperlink ref="Q3155" r:id="rId2056"/>
    <hyperlink ref="G3160" r:id="rId2057"/>
    <hyperlink ref="F3162" r:id="rId2058"/>
    <hyperlink ref="G3162" r:id="rId2059"/>
    <hyperlink ref="Q3162" r:id="rId2060"/>
    <hyperlink ref="Q3165" r:id="rId2061"/>
    <hyperlink ref="F3166" r:id="rId2062"/>
    <hyperlink ref="G3166" r:id="rId2063"/>
    <hyperlink ref="Q3166" r:id="rId2064"/>
    <hyperlink ref="G3167" r:id="rId2065"/>
    <hyperlink ref="G3168" r:id="rId2066"/>
    <hyperlink ref="Q3168" r:id="rId2067"/>
    <hyperlink ref="Q3171" r:id="rId2068"/>
    <hyperlink ref="F3173" r:id="rId2069"/>
    <hyperlink ref="G3173" r:id="rId2070"/>
    <hyperlink ref="P3175" r:id="rId2071"/>
    <hyperlink ref="Q3177" r:id="rId2072"/>
    <hyperlink ref="F3178" r:id="rId2073"/>
    <hyperlink ref="G3178" r:id="rId2074"/>
    <hyperlink ref="Q3178" r:id="rId2075"/>
    <hyperlink ref="F3180" r:id="rId2076"/>
    <hyperlink ref="G3182" r:id="rId2077"/>
    <hyperlink ref="Q3182" r:id="rId2078"/>
    <hyperlink ref="G3183" r:id="rId2079"/>
    <hyperlink ref="F3186" r:id="rId2080"/>
    <hyperlink ref="Q3186" r:id="rId2081"/>
    <hyperlink ref="F3187" r:id="rId2082"/>
    <hyperlink ref="G3187" r:id="rId2083"/>
    <hyperlink ref="Q3187" r:id="rId2084"/>
    <hyperlink ref="G3189" r:id="rId2085"/>
    <hyperlink ref="Q3189" r:id="rId2086"/>
    <hyperlink ref="G3190" r:id="rId2087"/>
    <hyperlink ref="F3191" r:id="rId2088"/>
    <hyperlink ref="G3191" r:id="rId2089"/>
    <hyperlink ref="Q3191" r:id="rId2090"/>
    <hyperlink ref="G3192" r:id="rId2091"/>
    <hyperlink ref="F3195" r:id="rId2092"/>
    <hyperlink ref="Q3195" r:id="rId2093"/>
    <hyperlink ref="F3201" r:id="rId2094"/>
    <hyperlink ref="G3202" r:id="rId2095"/>
    <hyperlink ref="Q3207" r:id="rId2096"/>
    <hyperlink ref="G3208" r:id="rId2097"/>
    <hyperlink ref="Q3209" r:id="rId2098"/>
    <hyperlink ref="Q3210" r:id="rId2099"/>
    <hyperlink ref="F3213" r:id="rId2100"/>
    <hyperlink ref="Q3213" r:id="rId2101"/>
    <hyperlink ref="F3214" r:id="rId2102"/>
    <hyperlink ref="G3215" r:id="rId2103"/>
    <hyperlink ref="F3219" r:id="rId2104"/>
    <hyperlink ref="G3219" r:id="rId2105"/>
    <hyperlink ref="F3221" r:id="rId2106"/>
    <hyperlink ref="G3221" r:id="rId2107"/>
    <hyperlink ref="G3222" r:id="rId2108"/>
    <hyperlink ref="Q3222" r:id="rId2109"/>
    <hyperlink ref="G3224" r:id="rId2110"/>
    <hyperlink ref="F3226" r:id="rId2111"/>
    <hyperlink ref="G3226" r:id="rId2112"/>
    <hyperlink ref="G3227" r:id="rId2113"/>
    <hyperlink ref="Q3227" r:id="rId2114"/>
    <hyperlink ref="G3228" r:id="rId2115"/>
    <hyperlink ref="G3233" r:id="rId2116"/>
    <hyperlink ref="Q3234" r:id="rId2117"/>
    <hyperlink ref="F3235" r:id="rId2118"/>
    <hyperlink ref="G3235" r:id="rId2119"/>
    <hyperlink ref="Q3235" r:id="rId2120"/>
    <hyperlink ref="G3236" r:id="rId2121"/>
    <hyperlink ref="Q3236" r:id="rId2122"/>
    <hyperlink ref="G3238" r:id="rId2123"/>
    <hyperlink ref="Q3238" r:id="rId2124"/>
    <hyperlink ref="F3240" r:id="rId2125"/>
    <hyperlink ref="G3240" r:id="rId2126"/>
    <hyperlink ref="Q3241" r:id="rId2127"/>
    <hyperlink ref="F3242" r:id="rId2128"/>
    <hyperlink ref="F3248" r:id="rId2129"/>
    <hyperlink ref="G3249" r:id="rId2130"/>
    <hyperlink ref="G3251" r:id="rId2131"/>
    <hyperlink ref="G3253" r:id="rId2132"/>
    <hyperlink ref="Q3253" r:id="rId2133"/>
    <hyperlink ref="G3254" r:id="rId2134"/>
    <hyperlink ref="G3255" r:id="rId2135"/>
    <hyperlink ref="Q3256" r:id="rId2136"/>
    <hyperlink ref="G3257" r:id="rId2137"/>
    <hyperlink ref="F3259" r:id="rId2138"/>
    <hyperlink ref="G3259" r:id="rId2139"/>
    <hyperlink ref="G3260" r:id="rId2140"/>
    <hyperlink ref="Q3260" r:id="rId2141"/>
    <hyperlink ref="G3262" r:id="rId2142"/>
    <hyperlink ref="G3263" r:id="rId2143"/>
    <hyperlink ref="G3265" r:id="rId2144"/>
    <hyperlink ref="Q3265" r:id="rId2145"/>
    <hyperlink ref="F3267" r:id="rId2146"/>
    <hyperlink ref="Q3267" r:id="rId2147"/>
    <hyperlink ref="G3268" r:id="rId2148"/>
    <hyperlink ref="G3269" r:id="rId2149"/>
    <hyperlink ref="Q3272" r:id="rId2150"/>
    <hyperlink ref="G3273" r:id="rId2151"/>
    <hyperlink ref="G3274" r:id="rId2152"/>
    <hyperlink ref="G3275" r:id="rId2153"/>
    <hyperlink ref="F3277" r:id="rId2154"/>
    <hyperlink ref="G3277" r:id="rId2155"/>
    <hyperlink ref="Q3277" r:id="rId2156"/>
    <hyperlink ref="Q3279" r:id="rId2157"/>
    <hyperlink ref="G3285" r:id="rId2158"/>
    <hyperlink ref="G3286" r:id="rId2159"/>
    <hyperlink ref="Q3286" r:id="rId2160"/>
    <hyperlink ref="G3288" r:id="rId2161"/>
    <hyperlink ref="Q3289" r:id="rId2162"/>
    <hyperlink ref="G3290" r:id="rId2163"/>
    <hyperlink ref="G3294" r:id="rId2164"/>
    <hyperlink ref="F3295" r:id="rId2165"/>
    <hyperlink ref="G3295" r:id="rId2166"/>
    <hyperlink ref="G3301" r:id="rId2167"/>
    <hyperlink ref="G3302" r:id="rId2168"/>
    <hyperlink ref="Q3303" r:id="rId2169"/>
    <hyperlink ref="G3304" r:id="rId2170"/>
    <hyperlink ref="G3306" r:id="rId2171"/>
    <hyperlink ref="Q3306" r:id="rId2172"/>
    <hyperlink ref="Q3307" r:id="rId2173"/>
    <hyperlink ref="Q3308" r:id="rId2174"/>
    <hyperlink ref="Q3317" r:id="rId2175"/>
    <hyperlink ref="G3318" r:id="rId2176"/>
    <hyperlink ref="F3319" r:id="rId2177"/>
    <hyperlink ref="F3322" r:id="rId2178"/>
    <hyperlink ref="Q3323" r:id="rId2179"/>
    <hyperlink ref="G3324" r:id="rId2180"/>
    <hyperlink ref="G3326" r:id="rId2181"/>
    <hyperlink ref="Q3328" r:id="rId2182"/>
    <hyperlink ref="F3331" r:id="rId2183"/>
    <hyperlink ref="G3331" r:id="rId2184"/>
    <hyperlink ref="Q3333" r:id="rId2185"/>
    <hyperlink ref="G3336" r:id="rId2186"/>
    <hyperlink ref="Q3336" r:id="rId2187"/>
    <hyperlink ref="G3339" r:id="rId2188"/>
    <hyperlink ref="O3339" r:id="rId2189"/>
    <hyperlink ref="Q3340" r:id="rId2190"/>
    <hyperlink ref="G3341" r:id="rId2191"/>
    <hyperlink ref="Q3341" r:id="rId2192"/>
    <hyperlink ref="F3344" r:id="rId2193"/>
    <hyperlink ref="G3344" r:id="rId2194"/>
    <hyperlink ref="Q3347" r:id="rId2195"/>
    <hyperlink ref="G3348" r:id="rId2196"/>
    <hyperlink ref="F3350" r:id="rId2197"/>
    <hyperlink ref="G3350" r:id="rId2198"/>
    <hyperlink ref="G3351" r:id="rId2199"/>
    <hyperlink ref="Q3352" r:id="rId2200"/>
    <hyperlink ref="G3354" r:id="rId2201"/>
    <hyperlink ref="Q3354" r:id="rId2202"/>
    <hyperlink ref="Q3355" r:id="rId2203"/>
    <hyperlink ref="F3360" r:id="rId2204"/>
    <hyperlink ref="G3360" r:id="rId2205"/>
    <hyperlink ref="Q3365" r:id="rId2206"/>
    <hyperlink ref="Q3366" r:id="rId2207"/>
    <hyperlink ref="G3367" r:id="rId2208"/>
    <hyperlink ref="F3368" r:id="rId2209"/>
    <hyperlink ref="G3368" r:id="rId2210"/>
    <hyperlink ref="Q3368" r:id="rId2211"/>
    <hyperlink ref="F3371" r:id="rId2212"/>
    <hyperlink ref="G3371" r:id="rId2213"/>
    <hyperlink ref="Q3371" r:id="rId2214"/>
    <hyperlink ref="G3374" r:id="rId2215"/>
    <hyperlink ref="G3375" r:id="rId2216"/>
    <hyperlink ref="G3385" r:id="rId2217"/>
    <hyperlink ref="Q3386" r:id="rId2218"/>
    <hyperlink ref="F3392" r:id="rId2219"/>
    <hyperlink ref="G3392" r:id="rId2220"/>
    <hyperlink ref="G3393" r:id="rId2221"/>
    <hyperlink ref="Q3393" r:id="rId2222"/>
    <hyperlink ref="F3394" r:id="rId2223"/>
    <hyperlink ref="G3394" r:id="rId2224"/>
    <hyperlink ref="G3395" r:id="rId2225"/>
    <hyperlink ref="Q3396" r:id="rId2226"/>
    <hyperlink ref="G3397" r:id="rId2227"/>
    <hyperlink ref="G3399" r:id="rId2228"/>
    <hyperlink ref="G3400" r:id="rId2229"/>
    <hyperlink ref="F3401" r:id="rId2230"/>
    <hyperlink ref="G3401" r:id="rId2231"/>
    <hyperlink ref="G3404" r:id="rId2232"/>
    <hyperlink ref="Q3405" r:id="rId2233"/>
    <hyperlink ref="F3406" r:id="rId2234"/>
    <hyperlink ref="G3412" r:id="rId2235"/>
    <hyperlink ref="F3414" r:id="rId2236"/>
    <hyperlink ref="Q3414" r:id="rId2237"/>
    <hyperlink ref="F3416" r:id="rId2238"/>
    <hyperlink ref="G3416" r:id="rId2239"/>
    <hyperlink ref="F3417" r:id="rId2240"/>
    <hyperlink ref="Q3417" r:id="rId2241"/>
    <hyperlink ref="F3419" r:id="rId2242"/>
    <hyperlink ref="Q3420" r:id="rId2243"/>
    <hyperlink ref="Q3421" r:id="rId2244"/>
    <hyperlink ref="Q3422" r:id="rId2245"/>
    <hyperlink ref="Q3423" r:id="rId2246"/>
    <hyperlink ref="G3425" r:id="rId2247"/>
    <hyperlink ref="G3426" r:id="rId2248"/>
    <hyperlink ref="Q3426" r:id="rId2249"/>
    <hyperlink ref="G3427" r:id="rId2250"/>
    <hyperlink ref="Q3427" r:id="rId2251"/>
    <hyperlink ref="F3428" r:id="rId2252"/>
    <hyperlink ref="G3428" r:id="rId2253"/>
    <hyperlink ref="G3429" r:id="rId2254"/>
    <hyperlink ref="Q3429" r:id="rId2255"/>
    <hyperlink ref="G3432" r:id="rId2256"/>
    <hyperlink ref="G3437" r:id="rId2257"/>
    <hyperlink ref="F3439" r:id="rId2258"/>
    <hyperlink ref="G3439" r:id="rId2259"/>
    <hyperlink ref="Q3439" r:id="rId2260"/>
    <hyperlink ref="G3442" r:id="rId2261"/>
    <hyperlink ref="F3443" r:id="rId2262"/>
    <hyperlink ref="Q3443" r:id="rId2263"/>
    <hyperlink ref="F3444" r:id="rId2264"/>
    <hyperlink ref="Q3444" r:id="rId2265"/>
    <hyperlink ref="G3447" r:id="rId2266"/>
    <hyperlink ref="G3453" r:id="rId2267"/>
    <hyperlink ref="G3455" r:id="rId2268"/>
    <hyperlink ref="F3457" r:id="rId2269"/>
    <hyperlink ref="Q3459" r:id="rId2270"/>
    <hyperlink ref="G3461" r:id="rId2271"/>
    <hyperlink ref="Q3461" r:id="rId2272"/>
    <hyperlink ref="G3462" r:id="rId2273"/>
    <hyperlink ref="G3465" r:id="rId2274"/>
    <hyperlink ref="G3466" r:id="rId2275"/>
    <hyperlink ref="G3467" r:id="rId2276"/>
    <hyperlink ref="G3468" r:id="rId2277"/>
    <hyperlink ref="F3470" r:id="rId2278"/>
    <hyperlink ref="F3471" r:id="rId2279"/>
    <hyperlink ref="G3473" r:id="rId2280"/>
    <hyperlink ref="G3476" r:id="rId2281"/>
    <hyperlink ref="G3479" r:id="rId2282"/>
    <hyperlink ref="F3480" r:id="rId2283"/>
    <hyperlink ref="G3480" r:id="rId2284"/>
    <hyperlink ref="Q3480" r:id="rId2285"/>
    <hyperlink ref="G3481" r:id="rId2286"/>
    <hyperlink ref="G3482" r:id="rId2287"/>
    <hyperlink ref="G3483" r:id="rId2288"/>
    <hyperlink ref="Q3483" r:id="rId2289"/>
    <hyperlink ref="F3484" r:id="rId2290"/>
    <hyperlink ref="G3484" r:id="rId2291"/>
    <hyperlink ref="Q3484" r:id="rId2292"/>
    <hyperlink ref="F3489" r:id="rId2293"/>
    <hyperlink ref="Q3489" r:id="rId2294"/>
    <hyperlink ref="G3491" r:id="rId2295"/>
    <hyperlink ref="F3492" r:id="rId2296"/>
    <hyperlink ref="F3493" r:id="rId2297"/>
    <hyperlink ref="G3493" r:id="rId2298"/>
    <hyperlink ref="Q3495" r:id="rId2299"/>
    <hyperlink ref="F3497" r:id="rId2300"/>
    <hyperlink ref="G3497" r:id="rId2301"/>
    <hyperlink ref="G3498" r:id="rId2302"/>
    <hyperlink ref="F3499" r:id="rId2303"/>
    <hyperlink ref="F3500" r:id="rId2304"/>
    <hyperlink ref="G3500" r:id="rId2305"/>
    <hyperlink ref="F3502" r:id="rId2306"/>
    <hyperlink ref="G3502" r:id="rId2307"/>
    <hyperlink ref="G3503" r:id="rId2308"/>
    <hyperlink ref="Q3503" r:id="rId2309"/>
    <hyperlink ref="F3508" r:id="rId2310"/>
    <hyperlink ref="G3512" r:id="rId2311"/>
    <hyperlink ref="G3518" r:id="rId2312"/>
    <hyperlink ref="F3519" r:id="rId2313"/>
    <hyperlink ref="G3519" r:id="rId2314"/>
    <hyperlink ref="G3521" r:id="rId2315"/>
    <hyperlink ref="G3522" r:id="rId2316"/>
    <hyperlink ref="G3524" r:id="rId2317"/>
    <hyperlink ref="F3527" r:id="rId2318"/>
    <hyperlink ref="G3529" r:id="rId2319"/>
    <hyperlink ref="G3533" r:id="rId2320"/>
    <hyperlink ref="F3538" r:id="rId2321"/>
    <hyperlink ref="G3538" r:id="rId2322"/>
    <hyperlink ref="Q3538" r:id="rId2323"/>
    <hyperlink ref="G3540" r:id="rId2324"/>
    <hyperlink ref="G3541" r:id="rId2325"/>
    <hyperlink ref="G3545" r:id="rId2326"/>
    <hyperlink ref="Q3545" r:id="rId2327"/>
    <hyperlink ref="F3548" r:id="rId2328"/>
    <hyperlink ref="F3549" r:id="rId2329"/>
    <hyperlink ref="G3549" r:id="rId2330"/>
    <hyperlink ref="G3552" r:id="rId2331"/>
    <hyperlink ref="Q3552" r:id="rId2332"/>
    <hyperlink ref="F3554" r:id="rId2333"/>
    <hyperlink ref="Q3554" r:id="rId2334"/>
    <hyperlink ref="G3555" r:id="rId2335"/>
    <hyperlink ref="Q3555" r:id="rId2336"/>
    <hyperlink ref="G3556" r:id="rId2337"/>
    <hyperlink ref="G3558" r:id="rId2338"/>
    <hyperlink ref="G3559" r:id="rId2339"/>
    <hyperlink ref="Q3560" r:id="rId2340"/>
    <hyperlink ref="G3561" r:id="rId2341"/>
    <hyperlink ref="G3563" r:id="rId2342"/>
    <hyperlink ref="Q3565" r:id="rId2343"/>
    <hyperlink ref="Q3566" r:id="rId2344"/>
    <hyperlink ref="Q3567" r:id="rId2345"/>
    <hyperlink ref="F3569" r:id="rId2346"/>
    <hyperlink ref="G3569" r:id="rId2347"/>
    <hyperlink ref="G3571" r:id="rId2348"/>
    <hyperlink ref="G3574" r:id="rId2349"/>
    <hyperlink ref="Q3574" r:id="rId2350"/>
    <hyperlink ref="G3575" r:id="rId2351"/>
    <hyperlink ref="G3577" r:id="rId2352"/>
    <hyperlink ref="G3581" r:id="rId2353"/>
    <hyperlink ref="G3583" r:id="rId2354"/>
    <hyperlink ref="Q3583" r:id="rId2355"/>
    <hyperlink ref="Q3585" r:id="rId2356"/>
    <hyperlink ref="F3586" r:id="rId2357"/>
    <hyperlink ref="G3586" r:id="rId2358"/>
    <hyperlink ref="Q3586" r:id="rId2359"/>
    <hyperlink ref="G3588" r:id="rId2360"/>
    <hyperlink ref="G3589" r:id="rId2361"/>
    <hyperlink ref="G3594" r:id="rId2362"/>
    <hyperlink ref="G3595" r:id="rId2363"/>
    <hyperlink ref="Q3596" r:id="rId2364"/>
    <hyperlink ref="F3597" r:id="rId2365"/>
    <hyperlink ref="G3597" r:id="rId2366"/>
    <hyperlink ref="G3600" r:id="rId2367"/>
    <hyperlink ref="G3610" r:id="rId2368"/>
    <hyperlink ref="F3611" r:id="rId2369"/>
    <hyperlink ref="Q3614" r:id="rId2370"/>
    <hyperlink ref="F3616" r:id="rId2371"/>
    <hyperlink ref="Q3617" r:id="rId2372"/>
    <hyperlink ref="G3618" r:id="rId2373"/>
    <hyperlink ref="F3619" r:id="rId2374"/>
    <hyperlink ref="G3619" r:id="rId2375"/>
    <hyperlink ref="F3626" r:id="rId2376"/>
    <hyperlink ref="G3626" r:id="rId2377"/>
    <hyperlink ref="Q3626" r:id="rId2378"/>
    <hyperlink ref="F3631" r:id="rId2379"/>
    <hyperlink ref="G3635" r:id="rId2380"/>
    <hyperlink ref="G3637" r:id="rId2381"/>
    <hyperlink ref="Q3637" r:id="rId2382"/>
    <hyperlink ref="F3638" r:id="rId2383"/>
    <hyperlink ref="G3638" r:id="rId2384"/>
    <hyperlink ref="Q3638" r:id="rId2385"/>
    <hyperlink ref="G3641" r:id="rId2386"/>
    <hyperlink ref="Q3641" r:id="rId2387"/>
    <hyperlink ref="G3644" r:id="rId2388"/>
    <hyperlink ref="F3645" r:id="rId2389"/>
    <hyperlink ref="G3645" r:id="rId2390"/>
    <hyperlink ref="Q3646" r:id="rId2391"/>
    <hyperlink ref="Q3647" r:id="rId2392"/>
    <hyperlink ref="G3650" r:id="rId2393"/>
    <hyperlink ref="G3653" r:id="rId2394"/>
    <hyperlink ref="Q3653" r:id="rId2395"/>
    <hyperlink ref="G3655" r:id="rId2396"/>
    <hyperlink ref="G3656" r:id="rId2397"/>
    <hyperlink ref="Q3659" r:id="rId2398"/>
    <hyperlink ref="G3661" r:id="rId2399"/>
    <hyperlink ref="F3663" r:id="rId2400"/>
    <hyperlink ref="G3663" r:id="rId2401"/>
    <hyperlink ref="Q3663" r:id="rId2402"/>
    <hyperlink ref="G3665" r:id="rId2403"/>
    <hyperlink ref="Q3665" r:id="rId2404"/>
    <hyperlink ref="G3666" r:id="rId2405"/>
    <hyperlink ref="G3669" r:id="rId2406"/>
    <hyperlink ref="Q3669" r:id="rId2407"/>
    <hyperlink ref="G3670" r:id="rId2408"/>
    <hyperlink ref="G3671" r:id="rId2409"/>
    <hyperlink ref="G3672" r:id="rId2410"/>
    <hyperlink ref="G3678" r:id="rId2411"/>
    <hyperlink ref="F3683" r:id="rId2412"/>
    <hyperlink ref="G3683" r:id="rId2413"/>
    <hyperlink ref="G3685" r:id="rId2414"/>
    <hyperlink ref="Q3685" r:id="rId2415"/>
    <hyperlink ref="G3688" r:id="rId2416"/>
    <hyperlink ref="G3690" r:id="rId2417"/>
    <hyperlink ref="G3694" r:id="rId2418"/>
    <hyperlink ref="F3698" r:id="rId2419"/>
    <hyperlink ref="F3700" r:id="rId2420"/>
    <hyperlink ref="Q3700" r:id="rId2421"/>
    <hyperlink ref="G3702" r:id="rId2422"/>
    <hyperlink ref="Q3702" r:id="rId2423"/>
    <hyperlink ref="F3703" r:id="rId2424"/>
    <hyperlink ref="C3705" r:id="rId2425"/>
    <hyperlink ref="G3709" r:id="rId2426"/>
    <hyperlink ref="G3712" r:id="rId2427"/>
    <hyperlink ref="G3715" r:id="rId2428"/>
    <hyperlink ref="G3716" r:id="rId2429"/>
    <hyperlink ref="F3721" r:id="rId2430"/>
    <hyperlink ref="Q3722" r:id="rId2431"/>
    <hyperlink ref="G3723" r:id="rId2432"/>
    <hyperlink ref="G3724" r:id="rId2433"/>
    <hyperlink ref="G3726" r:id="rId2434"/>
    <hyperlink ref="Q3726" r:id="rId2435"/>
    <hyperlink ref="F3727" r:id="rId2436"/>
    <hyperlink ref="Q3729" r:id="rId2437"/>
    <hyperlink ref="F3730" r:id="rId2438"/>
    <hyperlink ref="G3730" r:id="rId2439"/>
    <hyperlink ref="Q3730" r:id="rId2440"/>
    <hyperlink ref="Q3731" r:id="rId2441"/>
    <hyperlink ref="Q3732" r:id="rId2442"/>
    <hyperlink ref="F3733" r:id="rId2443"/>
    <hyperlink ref="G3733" r:id="rId2444"/>
    <hyperlink ref="G3736" r:id="rId2445"/>
    <hyperlink ref="G3737" r:id="rId2446"/>
    <hyperlink ref="Q3737" r:id="rId2447"/>
    <hyperlink ref="G3738" r:id="rId2448"/>
    <hyperlink ref="Q3738" r:id="rId2449"/>
    <hyperlink ref="G3745" r:id="rId2450"/>
    <hyperlink ref="F3746" r:id="rId2451"/>
    <hyperlink ref="G3746" r:id="rId2452"/>
    <hyperlink ref="F3752" r:id="rId2453"/>
    <hyperlink ref="G3755" r:id="rId2454"/>
    <hyperlink ref="Q3755" r:id="rId2455"/>
    <hyperlink ref="F3757" r:id="rId2456" location="redirect=2"/>
    <hyperlink ref="G3757" r:id="rId2457"/>
    <hyperlink ref="Q3757" r:id="rId2458"/>
    <hyperlink ref="F3759" r:id="rId2459" location="redirect=2"/>
    <hyperlink ref="G3759" r:id="rId2460"/>
    <hyperlink ref="Q3759" r:id="rId2461"/>
    <hyperlink ref="F3760" r:id="rId2462"/>
    <hyperlink ref="G3760" r:id="rId2463"/>
    <hyperlink ref="Q3760" r:id="rId2464"/>
    <hyperlink ref="Q3761" r:id="rId2465"/>
    <hyperlink ref="Q3763" r:id="rId2466"/>
    <hyperlink ref="Q3765" r:id="rId2467"/>
    <hyperlink ref="F3767" r:id="rId2468"/>
    <hyperlink ref="G3767" r:id="rId2469"/>
    <hyperlink ref="Q3767" r:id="rId2470"/>
    <hyperlink ref="G3768" r:id="rId2471"/>
    <hyperlink ref="Q3768" r:id="rId2472"/>
    <hyperlink ref="G3769" r:id="rId2473"/>
    <hyperlink ref="F3771" r:id="rId2474"/>
    <hyperlink ref="Q3771" r:id="rId2475"/>
    <hyperlink ref="G3772" r:id="rId2476"/>
    <hyperlink ref="G3774" r:id="rId2477"/>
    <hyperlink ref="Q3774" r:id="rId2478"/>
    <hyperlink ref="Q3777" r:id="rId2479"/>
    <hyperlink ref="Q3778" r:id="rId2480"/>
    <hyperlink ref="G3780" r:id="rId2481"/>
    <hyperlink ref="G3783" r:id="rId2482"/>
    <hyperlink ref="Q3783" r:id="rId2483"/>
    <hyperlink ref="F3785" r:id="rId2484"/>
    <hyperlink ref="Q3785" r:id="rId2485"/>
    <hyperlink ref="G3786" r:id="rId2486"/>
    <hyperlink ref="Q3787" r:id="rId2487"/>
    <hyperlink ref="G3789" r:id="rId2488"/>
    <hyperlink ref="G3791" r:id="rId2489"/>
    <hyperlink ref="Q3793" r:id="rId2490"/>
    <hyperlink ref="F3795" r:id="rId2491"/>
    <hyperlink ref="G3797" r:id="rId2492"/>
    <hyperlink ref="G3799" r:id="rId2493"/>
    <hyperlink ref="G3800" r:id="rId2494"/>
    <hyperlink ref="Q3802" r:id="rId2495"/>
    <hyperlink ref="G3803" r:id="rId2496"/>
    <hyperlink ref="Q3803" r:id="rId2497"/>
    <hyperlink ref="G3804" r:id="rId2498"/>
    <hyperlink ref="G3805" r:id="rId2499"/>
    <hyperlink ref="Q3805" r:id="rId2500"/>
    <hyperlink ref="F3806" r:id="rId2501"/>
    <hyperlink ref="G3806" r:id="rId2502"/>
    <hyperlink ref="Q3806" r:id="rId2503"/>
    <hyperlink ref="G3808" r:id="rId2504"/>
    <hyperlink ref="F3809" r:id="rId2505"/>
    <hyperlink ref="F3812" r:id="rId2506"/>
    <hyperlink ref="F3815" r:id="rId2507"/>
    <hyperlink ref="Q3815" r:id="rId2508"/>
    <hyperlink ref="G3816" r:id="rId2509"/>
    <hyperlink ref="Q3817" r:id="rId2510"/>
    <hyperlink ref="G3818" r:id="rId2511"/>
    <hyperlink ref="Q3818" r:id="rId2512"/>
    <hyperlink ref="Q3819" r:id="rId2513"/>
    <hyperlink ref="Q3822" r:id="rId2514"/>
    <hyperlink ref="G3823" r:id="rId2515"/>
    <hyperlink ref="Q3823" r:id="rId2516"/>
    <hyperlink ref="G3824" r:id="rId2517"/>
    <hyperlink ref="G3827" r:id="rId2518"/>
    <hyperlink ref="G3828" r:id="rId2519"/>
    <hyperlink ref="G3830" r:id="rId2520"/>
    <hyperlink ref="G3831" r:id="rId2521"/>
    <hyperlink ref="Q3831" r:id="rId2522"/>
    <hyperlink ref="F3832" r:id="rId2523"/>
    <hyperlink ref="Q3832" r:id="rId2524"/>
    <hyperlink ref="G3833" r:id="rId2525"/>
    <hyperlink ref="F3834" r:id="rId2526"/>
    <hyperlink ref="Q3840" r:id="rId2527"/>
    <hyperlink ref="G3841" r:id="rId2528"/>
    <hyperlink ref="Q3841" r:id="rId2529"/>
    <hyperlink ref="Q3843" r:id="rId2530"/>
    <hyperlink ref="Q3846" r:id="rId2531"/>
    <hyperlink ref="G3851" r:id="rId2532"/>
    <hyperlink ref="Q3853" r:id="rId2533"/>
    <hyperlink ref="F3854" r:id="rId2534"/>
    <hyperlink ref="Q3854" r:id="rId2535"/>
    <hyperlink ref="G3858" r:id="rId2536"/>
    <hyperlink ref="G3861" r:id="rId2537"/>
    <hyperlink ref="G3862" r:id="rId2538"/>
    <hyperlink ref="G3867" r:id="rId2539"/>
    <hyperlink ref="G3868" r:id="rId2540"/>
    <hyperlink ref="G3872" r:id="rId2541"/>
    <hyperlink ref="G3873" r:id="rId2542"/>
    <hyperlink ref="Q3874" r:id="rId2543"/>
    <hyperlink ref="G3876" r:id="rId2544"/>
    <hyperlink ref="F3882" r:id="rId2545"/>
    <hyperlink ref="Q3882" r:id="rId2546"/>
    <hyperlink ref="F3883" r:id="rId2547"/>
    <hyperlink ref="Q3883" r:id="rId2548"/>
    <hyperlink ref="G3884" r:id="rId2549"/>
    <hyperlink ref="Q3888" r:id="rId2550"/>
    <hyperlink ref="Q3892" r:id="rId2551"/>
    <hyperlink ref="G3893" r:id="rId2552"/>
    <hyperlink ref="G3896" r:id="rId2553"/>
    <hyperlink ref="Q3898" r:id="rId2554"/>
    <hyperlink ref="G3899" r:id="rId2555"/>
    <hyperlink ref="Q3899" r:id="rId2556"/>
    <hyperlink ref="G3900" r:id="rId2557"/>
    <hyperlink ref="G3903" r:id="rId2558"/>
    <hyperlink ref="Q3904" r:id="rId2559"/>
    <hyperlink ref="F3905" r:id="rId2560"/>
    <hyperlink ref="G3906" r:id="rId2561"/>
    <hyperlink ref="F3909" r:id="rId2562"/>
    <hyperlink ref="Q3909" r:id="rId2563"/>
    <hyperlink ref="G3911" r:id="rId2564"/>
    <hyperlink ref="Q3913" r:id="rId2565"/>
    <hyperlink ref="F3914" r:id="rId2566"/>
    <hyperlink ref="F3919" r:id="rId2567"/>
    <hyperlink ref="G3919" r:id="rId2568"/>
    <hyperlink ref="G3920" r:id="rId2569"/>
    <hyperlink ref="G3921" r:id="rId2570"/>
    <hyperlink ref="G3924" r:id="rId2571"/>
    <hyperlink ref="Q3924" r:id="rId2572"/>
    <hyperlink ref="G3925" r:id="rId2573"/>
    <hyperlink ref="F3926" r:id="rId2574"/>
    <hyperlink ref="G3926" r:id="rId2575"/>
    <hyperlink ref="F3927" r:id="rId2576"/>
    <hyperlink ref="G3927" r:id="rId2577"/>
    <hyperlink ref="G3929" r:id="rId2578"/>
    <hyperlink ref="Q3930" r:id="rId2579"/>
    <hyperlink ref="G3936" r:id="rId2580"/>
    <hyperlink ref="Q3940" r:id="rId2581"/>
    <hyperlink ref="G3941" r:id="rId2582"/>
    <hyperlink ref="G3942" r:id="rId2583"/>
    <hyperlink ref="Q3944" r:id="rId2584"/>
    <hyperlink ref="F3945" r:id="rId2585"/>
    <hyperlink ref="G3945" r:id="rId2586"/>
    <hyperlink ref="Q3945" r:id="rId2587"/>
    <hyperlink ref="Q3946" r:id="rId2588"/>
    <hyperlink ref="F3947" r:id="rId2589"/>
    <hyperlink ref="Q3947" r:id="rId2590"/>
    <hyperlink ref="Q3948" r:id="rId2591"/>
    <hyperlink ref="G3949" r:id="rId2592"/>
    <hyperlink ref="F3950" r:id="rId2593"/>
    <hyperlink ref="G3950" r:id="rId2594"/>
    <hyperlink ref="F3951" r:id="rId2595"/>
    <hyperlink ref="G3951" r:id="rId2596"/>
    <hyperlink ref="G3952" r:id="rId2597"/>
    <hyperlink ref="Q3952" r:id="rId2598"/>
    <hyperlink ref="G3953" r:id="rId2599"/>
    <hyperlink ref="G3954" r:id="rId2600"/>
    <hyperlink ref="Q3954" r:id="rId2601"/>
    <hyperlink ref="G3955" r:id="rId2602"/>
    <hyperlink ref="F3957" r:id="rId2603"/>
    <hyperlink ref="G3957" r:id="rId2604"/>
    <hyperlink ref="Q3957" r:id="rId2605"/>
    <hyperlink ref="Q3959" r:id="rId2606"/>
    <hyperlink ref="G3961" r:id="rId2607"/>
    <hyperlink ref="G3963" r:id="rId2608"/>
    <hyperlink ref="F3964" r:id="rId2609"/>
    <hyperlink ref="G3964" r:id="rId2610"/>
    <hyperlink ref="Q3964" r:id="rId2611"/>
    <hyperlink ref="G3965" r:id="rId2612"/>
    <hyperlink ref="G3967" r:id="rId2613"/>
    <hyperlink ref="F3968" r:id="rId2614"/>
    <hyperlink ref="Q3968" r:id="rId2615"/>
    <hyperlink ref="F3970" r:id="rId2616"/>
    <hyperlink ref="G3970" r:id="rId2617"/>
    <hyperlink ref="Q3970" r:id="rId2618"/>
    <hyperlink ref="G3972" r:id="rId2619"/>
    <hyperlink ref="Q3972" r:id="rId2620"/>
    <hyperlink ref="C3974" r:id="rId2621"/>
    <hyperlink ref="F3974" r:id="rId2622"/>
    <hyperlink ref="F3975" r:id="rId2623"/>
    <hyperlink ref="Q3975" r:id="rId2624"/>
    <hyperlink ref="Q3976" r:id="rId2625"/>
    <hyperlink ref="G3977" r:id="rId2626"/>
    <hyperlink ref="G3978" r:id="rId2627"/>
    <hyperlink ref="G3980" r:id="rId2628"/>
    <hyperlink ref="G3982" r:id="rId2629"/>
    <hyperlink ref="Q3983" r:id="rId2630"/>
    <hyperlink ref="F3985" r:id="rId2631"/>
    <hyperlink ref="Q3990" r:id="rId2632"/>
    <hyperlink ref="F3991" r:id="rId2633"/>
    <hyperlink ref="G3992" r:id="rId2634"/>
    <hyperlink ref="Q3994" r:id="rId2635"/>
    <hyperlink ref="F3995" r:id="rId2636"/>
    <hyperlink ref="G3996" r:id="rId2637"/>
    <hyperlink ref="C3998" r:id="rId2638"/>
    <hyperlink ref="G3999" r:id="rId2639"/>
    <hyperlink ref="F4000" r:id="rId2640"/>
    <hyperlink ref="G4001" r:id="rId2641"/>
    <hyperlink ref="Q4002" r:id="rId2642"/>
    <hyperlink ref="G4003" r:id="rId2643"/>
    <hyperlink ref="Q4003" r:id="rId2644"/>
    <hyperlink ref="G4004" r:id="rId2645"/>
    <hyperlink ref="Q4004" r:id="rId2646"/>
    <hyperlink ref="F4005" r:id="rId2647"/>
    <hyperlink ref="G4005" r:id="rId2648"/>
    <hyperlink ref="Q4005" r:id="rId2649"/>
    <hyperlink ref="G4007" r:id="rId2650"/>
    <hyperlink ref="F4011" r:id="rId2651"/>
    <hyperlink ref="G4011" r:id="rId2652"/>
    <hyperlink ref="Q4011" r:id="rId2653"/>
    <hyperlink ref="G4012" r:id="rId2654"/>
    <hyperlink ref="Q4012" r:id="rId2655"/>
    <hyperlink ref="G4013" r:id="rId2656"/>
    <hyperlink ref="Q4013" r:id="rId2657"/>
    <hyperlink ref="G4014" r:id="rId2658"/>
    <hyperlink ref="Q4014" r:id="rId2659"/>
    <hyperlink ref="G4016" r:id="rId2660"/>
    <hyperlink ref="Q4016" r:id="rId2661"/>
    <hyperlink ref="Q4018" r:id="rId2662"/>
    <hyperlink ref="Q4019" r:id="rId2663"/>
    <hyperlink ref="G4020" r:id="rId2664"/>
    <hyperlink ref="Q4022" r:id="rId2665"/>
    <hyperlink ref="Q4025" r:id="rId2666"/>
    <hyperlink ref="G4027" r:id="rId2667"/>
    <hyperlink ref="F4029" r:id="rId2668"/>
    <hyperlink ref="F4030" r:id="rId2669"/>
    <hyperlink ref="G4030" r:id="rId2670"/>
    <hyperlink ref="F4031" r:id="rId2671"/>
    <hyperlink ref="F4033" r:id="rId2672"/>
    <hyperlink ref="G4033" r:id="rId2673"/>
    <hyperlink ref="G4034" r:id="rId2674"/>
    <hyperlink ref="G4036" r:id="rId2675"/>
    <hyperlink ref="Q4039" r:id="rId2676"/>
    <hyperlink ref="G4044" r:id="rId2677"/>
    <hyperlink ref="Q4044" r:id="rId2678"/>
    <hyperlink ref="G4046" r:id="rId2679"/>
    <hyperlink ref="Q4046" r:id="rId2680"/>
    <hyperlink ref="G4049" r:id="rId2681"/>
    <hyperlink ref="F4050" r:id="rId2682"/>
    <hyperlink ref="F4052" r:id="rId2683"/>
    <hyperlink ref="G4052" r:id="rId2684"/>
    <hyperlink ref="Q4052" r:id="rId2685"/>
    <hyperlink ref="G4053" r:id="rId2686"/>
    <hyperlink ref="Q4054" r:id="rId2687"/>
    <hyperlink ref="G4055" r:id="rId2688"/>
    <hyperlink ref="F4056" r:id="rId2689"/>
    <hyperlink ref="F4057" r:id="rId2690"/>
    <hyperlink ref="G4057" r:id="rId2691"/>
    <hyperlink ref="G4058" r:id="rId2692"/>
    <hyperlink ref="G4060" r:id="rId2693"/>
    <hyperlink ref="G4061" r:id="rId2694"/>
    <hyperlink ref="Q4061" r:id="rId2695"/>
    <hyperlink ref="G4063" r:id="rId2696"/>
    <hyperlink ref="G4064" r:id="rId2697"/>
    <hyperlink ref="G4065" r:id="rId2698"/>
    <hyperlink ref="Q4065" r:id="rId2699"/>
    <hyperlink ref="G4070" r:id="rId2700"/>
    <hyperlink ref="Q4070" r:id="rId2701"/>
    <hyperlink ref="F4071" r:id="rId2702"/>
    <hyperlink ref="Q4076" r:id="rId2703"/>
    <hyperlink ref="G4077" r:id="rId2704"/>
    <hyperlink ref="G4079" r:id="rId2705"/>
    <hyperlink ref="G4082" r:id="rId2706"/>
    <hyperlink ref="Q4082" r:id="rId2707"/>
    <hyperlink ref="Q4088" r:id="rId2708"/>
    <hyperlink ref="Q4089" r:id="rId2709"/>
    <hyperlink ref="G4090" r:id="rId2710"/>
    <hyperlink ref="Q4090" r:id="rId2711"/>
    <hyperlink ref="G4091" r:id="rId2712"/>
    <hyperlink ref="Q4091" r:id="rId2713"/>
    <hyperlink ref="Q4092" r:id="rId2714"/>
    <hyperlink ref="F4096" r:id="rId2715"/>
    <hyperlink ref="G4096" r:id="rId2716"/>
    <hyperlink ref="Q4096" r:id="rId2717"/>
    <hyperlink ref="Q4099" r:id="rId2718"/>
    <hyperlink ref="Q4101" r:id="rId2719"/>
    <hyperlink ref="Q4102" r:id="rId2720"/>
    <hyperlink ref="Q4103" r:id="rId2721"/>
    <hyperlink ref="Q4104" r:id="rId2722"/>
    <hyperlink ref="F4105" r:id="rId2723"/>
    <hyperlink ref="G4105" r:id="rId2724"/>
    <hyperlink ref="Q4105" r:id="rId2725"/>
    <hyperlink ref="Q4108" r:id="rId2726"/>
    <hyperlink ref="F4109" r:id="rId2727"/>
    <hyperlink ref="G4109" r:id="rId2728"/>
    <hyperlink ref="F4110" r:id="rId2729"/>
    <hyperlink ref="G4110" r:id="rId2730"/>
    <hyperlink ref="C4111" r:id="rId2731"/>
    <hyperlink ref="G4111" r:id="rId2732"/>
    <hyperlink ref="Q4111" r:id="rId2733"/>
    <hyperlink ref="Q4112" r:id="rId2734"/>
    <hyperlink ref="Q4113" r:id="rId2735"/>
    <hyperlink ref="Q4117" r:id="rId2736"/>
    <hyperlink ref="G4118" r:id="rId2737"/>
    <hyperlink ref="Q4120" r:id="rId2738"/>
    <hyperlink ref="G4122" r:id="rId2739"/>
    <hyperlink ref="F4123" r:id="rId2740"/>
    <hyperlink ref="G4123" r:id="rId2741"/>
    <hyperlink ref="Q4123" r:id="rId2742"/>
    <hyperlink ref="Q4124" r:id="rId2743"/>
    <hyperlink ref="G4125" r:id="rId2744"/>
    <hyperlink ref="G4127" r:id="rId2745"/>
    <hyperlink ref="Q4127" r:id="rId2746"/>
    <hyperlink ref="G4129" r:id="rId2747"/>
    <hyperlink ref="Q4129" r:id="rId2748"/>
    <hyperlink ref="G4130" r:id="rId2749"/>
    <hyperlink ref="F4132" r:id="rId2750"/>
    <hyperlink ref="G4132" r:id="rId2751"/>
    <hyperlink ref="Q4132" r:id="rId2752"/>
    <hyperlink ref="Q4133" r:id="rId2753"/>
    <hyperlink ref="G4135" r:id="rId2754"/>
    <hyperlink ref="Q4137" r:id="rId2755"/>
    <hyperlink ref="Q4138" r:id="rId2756"/>
    <hyperlink ref="F4139" r:id="rId2757"/>
    <hyperlink ref="Q4139" r:id="rId2758"/>
    <hyperlink ref="Q4140" r:id="rId2759"/>
    <hyperlink ref="F4143" r:id="rId2760"/>
    <hyperlink ref="G4143" r:id="rId2761"/>
    <hyperlink ref="Q4143" r:id="rId2762"/>
    <hyperlink ref="G4144" r:id="rId2763"/>
    <hyperlink ref="Q4144" r:id="rId2764"/>
    <hyperlink ref="G4145" r:id="rId2765"/>
    <hyperlink ref="Q4145" r:id="rId2766"/>
    <hyperlink ref="Q4147" r:id="rId2767"/>
    <hyperlink ref="G4151" r:id="rId2768"/>
    <hyperlink ref="Q4151" r:id="rId2769"/>
    <hyperlink ref="F4152" r:id="rId2770"/>
    <hyperlink ref="G4152" r:id="rId2771"/>
    <hyperlink ref="Q4152" r:id="rId2772"/>
    <hyperlink ref="Q4153" r:id="rId2773"/>
    <hyperlink ref="G4154" r:id="rId2774"/>
    <hyperlink ref="Q4158" r:id="rId2775"/>
    <hyperlink ref="Q4160" r:id="rId2776"/>
    <hyperlink ref="Q4161" r:id="rId2777"/>
    <hyperlink ref="Q4162" r:id="rId2778"/>
    <hyperlink ref="F4163" r:id="rId2779"/>
    <hyperlink ref="Q4163" r:id="rId2780"/>
    <hyperlink ref="G4164" r:id="rId2781"/>
    <hyperlink ref="G4166" r:id="rId2782"/>
    <hyperlink ref="F4167" r:id="rId2783"/>
    <hyperlink ref="G4167" r:id="rId2784"/>
    <hyperlink ref="Q4168" r:id="rId2785"/>
    <hyperlink ref="G4169" r:id="rId2786"/>
    <hyperlink ref="F4170" r:id="rId2787"/>
    <hyperlink ref="G4170" r:id="rId2788"/>
    <hyperlink ref="Q4170" r:id="rId2789"/>
    <hyperlink ref="G4173" r:id="rId2790"/>
    <hyperlink ref="G4174" r:id="rId2791"/>
    <hyperlink ref="Q4174" r:id="rId2792"/>
    <hyperlink ref="G4175" r:id="rId2793"/>
    <hyperlink ref="G4177" r:id="rId2794"/>
    <hyperlink ref="G4178" r:id="rId2795"/>
    <hyperlink ref="G4180" r:id="rId2796"/>
    <hyperlink ref="G4182" r:id="rId2797"/>
    <hyperlink ref="G4183" r:id="rId2798"/>
    <hyperlink ref="Q4184" r:id="rId2799"/>
    <hyperlink ref="G4186" r:id="rId2800"/>
    <hyperlink ref="C4187" r:id="rId2801"/>
    <hyperlink ref="F4187" r:id="rId2802"/>
    <hyperlink ref="Q4187" r:id="rId2803"/>
    <hyperlink ref="C4188" r:id="rId2804"/>
    <hyperlink ref="F4188" r:id="rId2805"/>
    <hyperlink ref="G4188" r:id="rId2806"/>
    <hyperlink ref="G4189" r:id="rId2807"/>
    <hyperlink ref="Q4189" r:id="rId2808"/>
    <hyperlink ref="C4190" r:id="rId2809"/>
    <hyperlink ref="F4190" r:id="rId2810"/>
    <hyperlink ref="G4190" r:id="rId2811"/>
    <hyperlink ref="G4193" r:id="rId2812"/>
    <hyperlink ref="C4195" r:id="rId2813"/>
    <hyperlink ref="F4196" r:id="rId2814"/>
    <hyperlink ref="Q4196" r:id="rId2815"/>
    <hyperlink ref="G4198" r:id="rId2816"/>
    <hyperlink ref="G4199" r:id="rId2817"/>
    <hyperlink ref="Q4199" r:id="rId2818"/>
    <hyperlink ref="Q4202" r:id="rId2819"/>
    <hyperlink ref="F4204" r:id="rId2820"/>
    <hyperlink ref="G4204" r:id="rId2821"/>
    <hyperlink ref="Q4204" r:id="rId2822"/>
    <hyperlink ref="G4205" r:id="rId2823"/>
    <hyperlink ref="Q4205" r:id="rId2824"/>
    <hyperlink ref="G4206" r:id="rId2825"/>
    <hyperlink ref="G4207" r:id="rId2826"/>
    <hyperlink ref="G4208" r:id="rId2827"/>
    <hyperlink ref="G4211" r:id="rId2828"/>
    <hyperlink ref="G4212" r:id="rId2829"/>
    <hyperlink ref="Q4213" r:id="rId2830"/>
    <hyperlink ref="F4214" r:id="rId2831"/>
    <hyperlink ref="G4214" r:id="rId2832"/>
    <hyperlink ref="Q4214" r:id="rId2833"/>
    <hyperlink ref="G4215" r:id="rId2834"/>
    <hyperlink ref="Q4215" r:id="rId2835"/>
    <hyperlink ref="Q4218" r:id="rId2836"/>
    <hyperlink ref="C4219" r:id="rId2837"/>
    <hyperlink ref="G4220" r:id="rId2838"/>
    <hyperlink ref="G4225" r:id="rId2839"/>
    <hyperlink ref="G4228" r:id="rId2840"/>
    <hyperlink ref="G4231" r:id="rId2841"/>
    <hyperlink ref="G4233" r:id="rId2842"/>
    <hyperlink ref="G4234" r:id="rId2843"/>
    <hyperlink ref="F4238" r:id="rId2844"/>
    <hyperlink ref="Q4238" r:id="rId2845"/>
    <hyperlink ref="F4239" r:id="rId2846"/>
    <hyperlink ref="G4239" r:id="rId2847"/>
    <hyperlink ref="F4240" r:id="rId2848"/>
    <hyperlink ref="F4242" r:id="rId2849"/>
    <hyperlink ref="G4242" r:id="rId2850"/>
    <hyperlink ref="Q4242" r:id="rId2851"/>
    <hyperlink ref="F4243" r:id="rId2852"/>
    <hyperlink ref="G4243" r:id="rId2853"/>
    <hyperlink ref="Q4244" r:id="rId2854"/>
    <hyperlink ref="F4246" r:id="rId2855"/>
    <hyperlink ref="G4246" r:id="rId2856"/>
    <hyperlink ref="Q4246" r:id="rId2857"/>
    <hyperlink ref="Q4247" r:id="rId2858"/>
    <hyperlink ref="F4248" r:id="rId2859"/>
    <hyperlink ref="G4248" r:id="rId2860"/>
    <hyperlink ref="Q4248" r:id="rId2861"/>
    <hyperlink ref="G4251" r:id="rId2862"/>
    <hyperlink ref="G4256" r:id="rId2863"/>
    <hyperlink ref="G4258" r:id="rId2864"/>
    <hyperlink ref="Q4260" r:id="rId2865"/>
    <hyperlink ref="G4263" r:id="rId2866"/>
    <hyperlink ref="G4264" r:id="rId2867"/>
    <hyperlink ref="G4265" r:id="rId2868"/>
    <hyperlink ref="F4266" r:id="rId2869"/>
    <hyperlink ref="Q4266" r:id="rId2870"/>
    <hyperlink ref="G4269" r:id="rId2871"/>
    <hyperlink ref="G4273" r:id="rId2872"/>
    <hyperlink ref="Q4273" r:id="rId2873"/>
    <hyperlink ref="F4274" r:id="rId2874"/>
    <hyperlink ref="Q4274" r:id="rId2875"/>
    <hyperlink ref="C4279" r:id="rId2876"/>
    <hyperlink ref="F4279" r:id="rId2877"/>
    <hyperlink ref="Q4279" r:id="rId2878"/>
    <hyperlink ref="G4280" r:id="rId2879"/>
    <hyperlink ref="G4282" r:id="rId2880"/>
    <hyperlink ref="G4291" r:id="rId2881"/>
    <hyperlink ref="G4293" r:id="rId2882"/>
    <hyperlink ref="G4297" r:id="rId2883"/>
    <hyperlink ref="C4299" r:id="rId2884"/>
    <hyperlink ref="Q4306" r:id="rId2885"/>
    <hyperlink ref="G4307" r:id="rId2886"/>
    <hyperlink ref="G4308" r:id="rId2887"/>
    <hyperlink ref="Q4310" r:id="rId2888"/>
    <hyperlink ref="G4313" r:id="rId2889"/>
    <hyperlink ref="F4317" r:id="rId2890"/>
    <hyperlink ref="G4321" r:id="rId2891"/>
    <hyperlink ref="Q4322" r:id="rId2892"/>
    <hyperlink ref="G4323" r:id="rId2893"/>
    <hyperlink ref="G4324" r:id="rId2894"/>
    <hyperlink ref="G4332" r:id="rId2895"/>
    <hyperlink ref="Q4332" r:id="rId2896"/>
    <hyperlink ref="G4334" r:id="rId2897"/>
    <hyperlink ref="Q4334" r:id="rId2898"/>
    <hyperlink ref="G4339" r:id="rId2899"/>
    <hyperlink ref="F4342" r:id="rId2900"/>
    <hyperlink ref="G4342" r:id="rId2901"/>
    <hyperlink ref="Q4343" r:id="rId2902"/>
    <hyperlink ref="F4347" r:id="rId2903"/>
    <hyperlink ref="O4347" r:id="rId2904"/>
    <hyperlink ref="Q4347" r:id="rId2905"/>
    <hyperlink ref="F4349" r:id="rId2906"/>
    <hyperlink ref="G4349" r:id="rId2907"/>
    <hyperlink ref="Q4351" r:id="rId2908"/>
    <hyperlink ref="G4352" r:id="rId2909"/>
    <hyperlink ref="F4354" r:id="rId2910"/>
    <hyperlink ref="G4356" r:id="rId2911"/>
    <hyperlink ref="G4360" r:id="rId2912"/>
    <hyperlink ref="F4361" r:id="rId2913"/>
    <hyperlink ref="G4362" r:id="rId2914"/>
    <hyperlink ref="G4363" r:id="rId2915"/>
    <hyperlink ref="G4364" r:id="rId2916"/>
    <hyperlink ref="F4368" r:id="rId2917"/>
    <hyperlink ref="G4372" r:id="rId2918"/>
    <hyperlink ref="F4373" r:id="rId2919"/>
    <hyperlink ref="G4374" r:id="rId2920"/>
    <hyperlink ref="F4375" r:id="rId2921"/>
    <hyperlink ref="F4377" r:id="rId2922"/>
    <hyperlink ref="Q4377" r:id="rId2923"/>
    <hyperlink ref="F4381" r:id="rId2924"/>
    <hyperlink ref="Q4381" r:id="rId2925"/>
    <hyperlink ref="G4382" r:id="rId2926"/>
    <hyperlink ref="Q4382" r:id="rId2927"/>
    <hyperlink ref="F4384" r:id="rId2928"/>
    <hyperlink ref="Q4384" r:id="rId2929"/>
    <hyperlink ref="Q4387" r:id="rId2930"/>
    <hyperlink ref="F4391" r:id="rId2931"/>
    <hyperlink ref="Q4391" r:id="rId2932"/>
    <hyperlink ref="Q4394" r:id="rId2933"/>
    <hyperlink ref="G4397" r:id="rId2934"/>
    <hyperlink ref="G4398" r:id="rId2935"/>
    <hyperlink ref="G4407" r:id="rId2936"/>
    <hyperlink ref="Q4409" r:id="rId2937"/>
    <hyperlink ref="G4411" r:id="rId2938"/>
    <hyperlink ref="F4415" r:id="rId2939"/>
    <hyperlink ref="F4416" r:id="rId2940"/>
    <hyperlink ref="G4416" r:id="rId2941"/>
    <hyperlink ref="Q4416" r:id="rId2942"/>
    <hyperlink ref="G4417" r:id="rId2943"/>
    <hyperlink ref="Q4417" r:id="rId2944"/>
    <hyperlink ref="F4419" r:id="rId2945"/>
    <hyperlink ref="F4426" r:id="rId2946"/>
    <hyperlink ref="G4426" r:id="rId2947"/>
    <hyperlink ref="G4428" r:id="rId2948"/>
    <hyperlink ref="F4432" r:id="rId2949"/>
    <hyperlink ref="Q4432" r:id="rId2950"/>
    <hyperlink ref="P4433" r:id="rId2951"/>
    <hyperlink ref="G4434" r:id="rId2952"/>
    <hyperlink ref="F4437" r:id="rId2953"/>
    <hyperlink ref="G4438" r:id="rId2954"/>
    <hyperlink ref="G4451" r:id="rId2955"/>
    <hyperlink ref="G4452" r:id="rId2956"/>
    <hyperlink ref="Q4453" r:id="rId2957"/>
    <hyperlink ref="G4454" r:id="rId2958"/>
    <hyperlink ref="G4455" r:id="rId2959"/>
    <hyperlink ref="Q4457" r:id="rId2960"/>
    <hyperlink ref="Q4458" r:id="rId2961"/>
    <hyperlink ref="Q4461" r:id="rId2962"/>
    <hyperlink ref="F4462" r:id="rId2963"/>
    <hyperlink ref="G4463" r:id="rId2964"/>
    <hyperlink ref="Q4463" r:id="rId2965"/>
    <hyperlink ref="Q4466" r:id="rId2966"/>
    <hyperlink ref="G4475" r:id="rId2967"/>
    <hyperlink ref="F4476" r:id="rId2968"/>
    <hyperlink ref="G4476" r:id="rId2969"/>
    <hyperlink ref="Q4478" r:id="rId2970"/>
    <hyperlink ref="G4481" r:id="rId2971"/>
    <hyperlink ref="G4485" r:id="rId2972"/>
    <hyperlink ref="Q4486" r:id="rId2973"/>
    <hyperlink ref="G4487" r:id="rId2974"/>
    <hyperlink ref="G4488" r:id="rId2975"/>
    <hyperlink ref="G4490" r:id="rId2976"/>
    <hyperlink ref="Q4495" r:id="rId2977"/>
    <hyperlink ref="Q4500" r:id="rId2978"/>
    <hyperlink ref="F4501" r:id="rId2979"/>
    <hyperlink ref="G4501" r:id="rId2980"/>
    <hyperlink ref="Q4501" r:id="rId2981"/>
    <hyperlink ref="Q4506" r:id="rId2982"/>
    <hyperlink ref="Q4512" r:id="rId2983"/>
    <hyperlink ref="G4516" r:id="rId2984"/>
    <hyperlink ref="Q4525" r:id="rId2985"/>
    <hyperlink ref="Q4526" r:id="rId2986"/>
    <hyperlink ref="F4529" r:id="rId2987"/>
    <hyperlink ref="G4531" r:id="rId2988"/>
    <hyperlink ref="Q4536" r:id="rId2989"/>
    <hyperlink ref="G4541" r:id="rId2990"/>
    <hyperlink ref="G4543" r:id="rId2991"/>
    <hyperlink ref="G4549" r:id="rId2992"/>
    <hyperlink ref="Q4558" r:id="rId2993"/>
    <hyperlink ref="Q4561" r:id="rId2994"/>
    <hyperlink ref="G4562" r:id="rId2995"/>
    <hyperlink ref="Q4562" r:id="rId2996"/>
    <hyperlink ref="Q4567" r:id="rId2997"/>
    <hyperlink ref="F4568" r:id="rId2998"/>
    <hyperlink ref="G4575" r:id="rId2999"/>
    <hyperlink ref="Q4577" r:id="rId3000"/>
    <hyperlink ref="Q4578" r:id="rId3001"/>
    <hyperlink ref="F4583" r:id="rId3002"/>
    <hyperlink ref="G4583" r:id="rId3003"/>
    <hyperlink ref="G4588" r:id="rId3004"/>
    <hyperlink ref="G4591" r:id="rId3005"/>
    <hyperlink ref="Q4592" r:id="rId3006"/>
    <hyperlink ref="G4597" r:id="rId3007"/>
    <hyperlink ref="F4599" r:id="rId3008"/>
    <hyperlink ref="G4600" r:id="rId3009"/>
    <hyperlink ref="F4605" r:id="rId3010"/>
    <hyperlink ref="G4605" r:id="rId3011"/>
    <hyperlink ref="F4609" r:id="rId3012"/>
    <hyperlink ref="G4609" r:id="rId3013"/>
    <hyperlink ref="G4611" r:id="rId3014"/>
    <hyperlink ref="Q4611" r:id="rId3015"/>
    <hyperlink ref="F4615" r:id="rId3016"/>
    <hyperlink ref="G4615" r:id="rId3017"/>
    <hyperlink ref="G4617" r:id="rId3018"/>
    <hyperlink ref="Q4617" r:id="rId3019"/>
    <hyperlink ref="G4618" r:id="rId3020"/>
    <hyperlink ref="F4623" r:id="rId3021"/>
    <hyperlink ref="F4624" r:id="rId3022"/>
    <hyperlink ref="G4628" r:id="rId3023"/>
    <hyperlink ref="Q4628" r:id="rId3024"/>
    <hyperlink ref="Q4629" r:id="rId3025"/>
    <hyperlink ref="F4630" r:id="rId3026"/>
    <hyperlink ref="F4640" r:id="rId3027"/>
    <hyperlink ref="G4641" r:id="rId3028"/>
    <hyperlink ref="F4642" r:id="rId3029"/>
    <hyperlink ref="Q4646" r:id="rId3030"/>
    <hyperlink ref="G4647" r:id="rId3031"/>
    <hyperlink ref="Q4652" r:id="rId3032"/>
    <hyperlink ref="Q4653" r:id="rId3033"/>
    <hyperlink ref="F4659" r:id="rId3034"/>
    <hyperlink ref="Q4659" r:id="rId3035"/>
    <hyperlink ref="G4661" r:id="rId3036"/>
    <hyperlink ref="G4663" r:id="rId3037"/>
    <hyperlink ref="G4665" r:id="rId3038"/>
    <hyperlink ref="Q4665" r:id="rId3039"/>
    <hyperlink ref="G4666" r:id="rId3040"/>
    <hyperlink ref="G4669" r:id="rId3041"/>
    <hyperlink ref="Q4670" r:id="rId3042"/>
    <hyperlink ref="F4671" r:id="rId3043"/>
    <hyperlink ref="G4671" r:id="rId3044"/>
    <hyperlink ref="Q4671" r:id="rId3045"/>
    <hyperlink ref="F4675" r:id="rId3046"/>
    <hyperlink ref="G4675" r:id="rId3047"/>
    <hyperlink ref="Q4676" r:id="rId3048"/>
    <hyperlink ref="G4678" r:id="rId3049"/>
    <hyperlink ref="G4679" r:id="rId3050"/>
    <hyperlink ref="Q4680" r:id="rId3051"/>
    <hyperlink ref="F4691" r:id="rId3052"/>
    <hyperlink ref="G4691" r:id="rId3053"/>
    <hyperlink ref="Q4691" r:id="rId3054"/>
    <hyperlink ref="G4694" r:id="rId3055"/>
    <hyperlink ref="G4695" r:id="rId3056"/>
    <hyperlink ref="Q4695" r:id="rId3057"/>
    <hyperlink ref="Q4703" r:id="rId3058"/>
    <hyperlink ref="G4707" r:id="rId3059"/>
    <hyperlink ref="G4709" r:id="rId3060"/>
    <hyperlink ref="Q4713" r:id="rId3061"/>
    <hyperlink ref="G4715" r:id="rId3062"/>
    <hyperlink ref="G4718" r:id="rId3063"/>
    <hyperlink ref="G4722" r:id="rId3064"/>
    <hyperlink ref="Q4722" r:id="rId3065"/>
    <hyperlink ref="Q4723" r:id="rId3066"/>
    <hyperlink ref="G4724" r:id="rId3067"/>
    <hyperlink ref="Q4724" r:id="rId3068"/>
    <hyperlink ref="G4725" r:id="rId3069"/>
    <hyperlink ref="F4726" r:id="rId3070"/>
    <hyperlink ref="Q4727" r:id="rId3071"/>
    <hyperlink ref="G4728" r:id="rId3072"/>
    <hyperlink ref="Q4734" r:id="rId3073"/>
    <hyperlink ref="G4735" r:id="rId3074"/>
    <hyperlink ref="Q4735" r:id="rId3075"/>
    <hyperlink ref="F4739" r:id="rId3076"/>
    <hyperlink ref="F4742" r:id="rId3077"/>
    <hyperlink ref="G4742" r:id="rId3078"/>
    <hyperlink ref="Q4742" r:id="rId3079"/>
    <hyperlink ref="G4745" r:id="rId3080"/>
    <hyperlink ref="F4746" r:id="rId3081"/>
    <hyperlink ref="G4746" r:id="rId3082"/>
    <hyperlink ref="G4748" r:id="rId3083"/>
    <hyperlink ref="F4751" r:id="rId3084"/>
    <hyperlink ref="G4751" r:id="rId3085"/>
    <hyperlink ref="Q4756" r:id="rId3086"/>
    <hyperlink ref="Q4757" r:id="rId3087"/>
    <hyperlink ref="F4758" r:id="rId3088"/>
    <hyperlink ref="G4760" r:id="rId3089"/>
    <hyperlink ref="Q4761" r:id="rId3090"/>
    <hyperlink ref="F4763" r:id="rId3091"/>
    <hyperlink ref="G4764" r:id="rId3092"/>
    <hyperlink ref="Q4764" r:id="rId3093"/>
    <hyperlink ref="G4765" r:id="rId3094"/>
    <hyperlink ref="F4766" r:id="rId3095"/>
    <hyperlink ref="Q4766" r:id="rId3096"/>
    <hyperlink ref="G4771" r:id="rId3097"/>
    <hyperlink ref="G4775" r:id="rId3098"/>
    <hyperlink ref="G4777" r:id="rId3099"/>
    <hyperlink ref="Q4777" r:id="rId3100"/>
    <hyperlink ref="Q4783" r:id="rId3101"/>
    <hyperlink ref="G4784" r:id="rId3102"/>
    <hyperlink ref="Q4784" r:id="rId3103"/>
    <hyperlink ref="F4786" r:id="rId3104"/>
    <hyperlink ref="Q4787" r:id="rId3105"/>
    <hyperlink ref="F4789" r:id="rId3106"/>
    <hyperlink ref="Q4790" r:id="rId3107"/>
    <hyperlink ref="G4791" r:id="rId3108"/>
    <hyperlink ref="G4794" r:id="rId3109"/>
    <hyperlink ref="G4795" r:id="rId3110"/>
    <hyperlink ref="G4796" r:id="rId3111"/>
    <hyperlink ref="Q4797" r:id="rId3112"/>
    <hyperlink ref="Q4799" r:id="rId3113"/>
    <hyperlink ref="Q4800" r:id="rId3114"/>
    <hyperlink ref="C4805" r:id="rId3115"/>
    <hyperlink ref="G4806" r:id="rId3116"/>
    <hyperlink ref="G4807" r:id="rId3117"/>
    <hyperlink ref="G4809" r:id="rId3118"/>
    <hyperlink ref="G4810" r:id="rId3119"/>
    <hyperlink ref="F4811" r:id="rId3120"/>
    <hyperlink ref="G4812" r:id="rId3121"/>
    <hyperlink ref="Q4814" r:id="rId3122"/>
    <hyperlink ref="G4826" r:id="rId3123"/>
    <hyperlink ref="F4832" r:id="rId3124"/>
    <hyperlink ref="Q4832" r:id="rId3125"/>
    <hyperlink ref="G4833" r:id="rId3126"/>
    <hyperlink ref="G4834" r:id="rId3127"/>
    <hyperlink ref="G4836" r:id="rId3128"/>
    <hyperlink ref="G4838" r:id="rId3129"/>
    <hyperlink ref="Q4838" r:id="rId3130"/>
    <hyperlink ref="O4839" r:id="rId3131"/>
    <hyperlink ref="F4841" r:id="rId3132"/>
    <hyperlink ref="Q4841" r:id="rId3133"/>
    <hyperlink ref="F4848" r:id="rId3134"/>
    <hyperlink ref="G4848" r:id="rId3135"/>
    <hyperlink ref="G4852" r:id="rId3136"/>
    <hyperlink ref="Q4852" r:id="rId3137"/>
    <hyperlink ref="Q4853" r:id="rId3138"/>
    <hyperlink ref="F4861" r:id="rId3139"/>
    <hyperlink ref="Q4866" r:id="rId3140"/>
    <hyperlink ref="Q4869" r:id="rId3141"/>
    <hyperlink ref="G4870" r:id="rId3142"/>
    <hyperlink ref="Q4870" r:id="rId3143"/>
    <hyperlink ref="G4875" r:id="rId3144"/>
    <hyperlink ref="Q4875" r:id="rId3145"/>
    <hyperlink ref="G4877" r:id="rId3146"/>
    <hyperlink ref="G4878" r:id="rId3147"/>
    <hyperlink ref="G4881" r:id="rId3148"/>
    <hyperlink ref="F4882" r:id="rId3149"/>
    <hyperlink ref="Q4883" r:id="rId3150"/>
    <hyperlink ref="Q4887" r:id="rId3151"/>
    <hyperlink ref="G4891" r:id="rId3152"/>
    <hyperlink ref="F4896" r:id="rId3153"/>
    <hyperlink ref="G4896" r:id="rId3154"/>
    <hyperlink ref="Q4898" r:id="rId3155"/>
    <hyperlink ref="Q4905" r:id="rId3156"/>
    <hyperlink ref="G4906" r:id="rId3157"/>
    <hyperlink ref="C4908" r:id="rId3158"/>
    <hyperlink ref="Q4911" r:id="rId3159"/>
    <hyperlink ref="G4916" r:id="rId3160"/>
    <hyperlink ref="Q4919" r:id="rId3161"/>
    <hyperlink ref="G4920" r:id="rId3162"/>
    <hyperlink ref="Q4921" r:id="rId3163"/>
    <hyperlink ref="Q4927" r:id="rId3164"/>
    <hyperlink ref="Q4930" r:id="rId3165"/>
    <hyperlink ref="F4932" r:id="rId3166"/>
    <hyperlink ref="G4936" r:id="rId3167"/>
    <hyperlink ref="G4937" r:id="rId3168"/>
    <hyperlink ref="Q4937" r:id="rId3169"/>
    <hyperlink ref="F4942" r:id="rId3170"/>
    <hyperlink ref="F4947" r:id="rId3171"/>
    <hyperlink ref="Q4949" r:id="rId3172"/>
    <hyperlink ref="G4950" r:id="rId3173"/>
    <hyperlink ref="G4953" r:id="rId3174"/>
    <hyperlink ref="Q4955" r:id="rId3175"/>
    <hyperlink ref="G4957" r:id="rId3176"/>
    <hyperlink ref="Q4958" r:id="rId3177"/>
    <hyperlink ref="P4971" r:id="rId3178"/>
    <hyperlink ref="Q4971" r:id="rId3179"/>
    <hyperlink ref="G4973" r:id="rId3180"/>
    <hyperlink ref="G4975" r:id="rId3181"/>
    <hyperlink ref="G4978" r:id="rId3182"/>
    <hyperlink ref="G4980" r:id="rId3183"/>
    <hyperlink ref="F4990" r:id="rId3184"/>
    <hyperlink ref="G4991" r:id="rId3185"/>
    <hyperlink ref="G4994" r:id="rId3186"/>
    <hyperlink ref="Q4996" r:id="rId3187"/>
    <hyperlink ref="Q5001" r:id="rId3188"/>
    <hyperlink ref="Q5002" r:id="rId3189"/>
    <hyperlink ref="Q5005" r:id="rId3190"/>
    <hyperlink ref="Q5009" r:id="rId3191"/>
    <hyperlink ref="G5013" r:id="rId3192"/>
    <hyperlink ref="Q5016" r:id="rId3193"/>
    <hyperlink ref="G5017" r:id="rId3194"/>
    <hyperlink ref="Q5018" r:id="rId3195"/>
    <hyperlink ref="G5019" r:id="rId3196"/>
    <hyperlink ref="Q5025" r:id="rId3197"/>
    <hyperlink ref="Q5027" r:id="rId3198"/>
    <hyperlink ref="Q5029" r:id="rId3199"/>
    <hyperlink ref="G5030" r:id="rId3200"/>
    <hyperlink ref="Q5030" r:id="rId3201"/>
    <hyperlink ref="F5031" r:id="rId3202"/>
    <hyperlink ref="Q5031" r:id="rId3203"/>
    <hyperlink ref="G5033" r:id="rId3204"/>
    <hyperlink ref="Q5033" r:id="rId3205"/>
    <hyperlink ref="Q5038" r:id="rId3206"/>
    <hyperlink ref="F5040" r:id="rId3207"/>
    <hyperlink ref="F5046" r:id="rId3208"/>
    <hyperlink ref="F5050" r:id="rId3209"/>
    <hyperlink ref="G5050" r:id="rId3210"/>
    <hyperlink ref="Q5050" r:id="rId3211"/>
    <hyperlink ref="Q5051" r:id="rId3212"/>
    <hyperlink ref="Q5052" r:id="rId3213"/>
    <hyperlink ref="F5055" r:id="rId3214"/>
    <hyperlink ref="G5055" r:id="rId3215"/>
    <hyperlink ref="Q5057" r:id="rId3216"/>
    <hyperlink ref="G5058" r:id="rId3217"/>
    <hyperlink ref="G5068" r:id="rId3218"/>
    <hyperlink ref="Q5069" r:id="rId3219"/>
    <hyperlink ref="F5071" r:id="rId3220"/>
    <hyperlink ref="Q5071" r:id="rId3221"/>
    <hyperlink ref="G5077" r:id="rId3222"/>
    <hyperlink ref="G5078" r:id="rId3223"/>
    <hyperlink ref="F5080" r:id="rId3224"/>
    <hyperlink ref="Q5083" r:id="rId3225"/>
    <hyperlink ref="G5084" r:id="rId3226"/>
    <hyperlink ref="G5089" r:id="rId3227"/>
    <hyperlink ref="Q5094" r:id="rId3228"/>
    <hyperlink ref="G5097" r:id="rId3229"/>
    <hyperlink ref="G5098" r:id="rId3230"/>
    <hyperlink ref="G5099" r:id="rId3231"/>
    <hyperlink ref="Q5105" r:id="rId3232"/>
    <hyperlink ref="G5106" r:id="rId3233"/>
    <hyperlink ref="Q5106" r:id="rId3234"/>
    <hyperlink ref="Q5108" r:id="rId3235"/>
    <hyperlink ref="G5111" r:id="rId3236"/>
    <hyperlink ref="F5112" r:id="rId3237"/>
    <hyperlink ref="G5112" r:id="rId3238"/>
    <hyperlink ref="G5113" r:id="rId3239"/>
    <hyperlink ref="G5116" r:id="rId3240"/>
    <hyperlink ref="Q5116" r:id="rId3241"/>
    <hyperlink ref="G5117" r:id="rId3242"/>
    <hyperlink ref="Q5118" r:id="rId3243"/>
    <hyperlink ref="Q5121" r:id="rId3244"/>
    <hyperlink ref="Q5127" r:id="rId3245"/>
    <hyperlink ref="Q5131" r:id="rId3246"/>
    <hyperlink ref="G5136" r:id="rId3247"/>
    <hyperlink ref="F5138" r:id="rId3248"/>
    <hyperlink ref="G5138" r:id="rId3249"/>
    <hyperlink ref="Q5138" r:id="rId3250"/>
    <hyperlink ref="Q5140" r:id="rId3251"/>
    <hyperlink ref="F5142" r:id="rId3252"/>
    <hyperlink ref="G5142" r:id="rId3253"/>
    <hyperlink ref="Q5142" r:id="rId3254"/>
    <hyperlink ref="F5143" r:id="rId3255"/>
    <hyperlink ref="G5146" r:id="rId3256"/>
    <hyperlink ref="Q5146" r:id="rId3257"/>
    <hyperlink ref="Q5152" r:id="rId3258"/>
    <hyperlink ref="G5153" r:id="rId3259"/>
    <hyperlink ref="G5158" r:id="rId3260"/>
    <hyperlink ref="G5159" r:id="rId3261"/>
    <hyperlink ref="Q5159" r:id="rId3262"/>
    <hyperlink ref="Q5161" r:id="rId3263"/>
    <hyperlink ref="G5177" r:id="rId3264"/>
    <hyperlink ref="Q5177" r:id="rId3265"/>
    <hyperlink ref="F5178" r:id="rId3266"/>
    <hyperlink ref="Q5178" r:id="rId3267"/>
    <hyperlink ref="F5182" r:id="rId3268"/>
    <hyperlink ref="G5185" r:id="rId3269"/>
    <hyperlink ref="G5186" r:id="rId3270"/>
    <hyperlink ref="F5189" r:id="rId3271"/>
    <hyperlink ref="Q5195" r:id="rId3272"/>
    <hyperlink ref="G5197" r:id="rId3273"/>
    <hyperlink ref="G5201" r:id="rId3274"/>
    <hyperlink ref="Q5201" r:id="rId3275"/>
    <hyperlink ref="P5204" r:id="rId3276"/>
    <hyperlink ref="C5205" r:id="rId3277"/>
    <hyperlink ref="G5208" r:id="rId3278"/>
    <hyperlink ref="G5210" r:id="rId3279"/>
    <hyperlink ref="G5211" r:id="rId3280"/>
    <hyperlink ref="Q5213" r:id="rId3281"/>
    <hyperlink ref="F5217" r:id="rId3282"/>
    <hyperlink ref="Q5217" r:id="rId3283"/>
    <hyperlink ref="G5219" r:id="rId3284"/>
    <hyperlink ref="F5220" r:id="rId3285"/>
    <hyperlink ref="G5224" r:id="rId3286"/>
    <hyperlink ref="F5227" r:id="rId3287"/>
    <hyperlink ref="G5227" r:id="rId3288"/>
    <hyperlink ref="G5229" r:id="rId3289"/>
    <hyperlink ref="Q5229" r:id="rId3290"/>
    <hyperlink ref="G5231" r:id="rId3291"/>
    <hyperlink ref="G5233" r:id="rId3292"/>
    <hyperlink ref="Q5234" r:id="rId3293"/>
    <hyperlink ref="G5235" r:id="rId3294"/>
    <hyperlink ref="G5238" r:id="rId3295"/>
    <hyperlink ref="G5239" r:id="rId3296"/>
    <hyperlink ref="Q5239" r:id="rId3297"/>
    <hyperlink ref="F5245" r:id="rId3298"/>
    <hyperlink ref="Q5245" r:id="rId3299"/>
    <hyperlink ref="Q5246" r:id="rId3300"/>
    <hyperlink ref="G5247" r:id="rId3301"/>
    <hyperlink ref="Q5247" r:id="rId3302"/>
    <hyperlink ref="G5249" r:id="rId3303"/>
    <hyperlink ref="F5250" r:id="rId3304"/>
    <hyperlink ref="G5250" r:id="rId3305"/>
    <hyperlink ref="C5251" r:id="rId3306"/>
    <hyperlink ref="G5255" r:id="rId3307"/>
    <hyperlink ref="G5256" r:id="rId3308"/>
    <hyperlink ref="G5258" r:id="rId3309"/>
    <hyperlink ref="Q5258" r:id="rId3310"/>
    <hyperlink ref="G5262" r:id="rId3311"/>
    <hyperlink ref="G5263" r:id="rId3312"/>
    <hyperlink ref="Q5270" r:id="rId3313"/>
    <hyperlink ref="Q5271" r:id="rId3314"/>
    <hyperlink ref="G5273" r:id="rId3315"/>
    <hyperlink ref="F5274" r:id="rId3316"/>
    <hyperlink ref="Q5274" r:id="rId3317"/>
    <hyperlink ref="Q5278" r:id="rId3318"/>
    <hyperlink ref="G5281" r:id="rId3319"/>
    <hyperlink ref="Q5283" r:id="rId3320"/>
    <hyperlink ref="Q5293" r:id="rId3321"/>
    <hyperlink ref="F5294" r:id="rId3322"/>
    <hyperlink ref="G5294" r:id="rId3323"/>
    <hyperlink ref="Q5294" r:id="rId3324"/>
    <hyperlink ref="G5296" r:id="rId3325"/>
    <hyperlink ref="G5299" r:id="rId3326"/>
    <hyperlink ref="Q5299" r:id="rId3327"/>
    <hyperlink ref="G5300" r:id="rId3328"/>
    <hyperlink ref="Q5300" r:id="rId3329"/>
    <hyperlink ref="G5307" r:id="rId3330"/>
    <hyperlink ref="Q5310" r:id="rId3331"/>
    <hyperlink ref="Q5312" r:id="rId3332"/>
    <hyperlink ref="G5314" r:id="rId3333"/>
    <hyperlink ref="Q5314" r:id="rId3334"/>
    <hyperlink ref="Q5315" r:id="rId3335"/>
    <hyperlink ref="G5316" r:id="rId3336"/>
    <hyperlink ref="G5321" r:id="rId3337"/>
    <hyperlink ref="Q5321" r:id="rId3338"/>
    <hyperlink ref="C5323" r:id="rId3339"/>
    <hyperlink ref="G5325" r:id="rId3340"/>
    <hyperlink ref="G5327" r:id="rId3341"/>
    <hyperlink ref="G5328" r:id="rId3342"/>
    <hyperlink ref="G5330" r:id="rId3343"/>
    <hyperlink ref="F5331" r:id="rId3344"/>
    <hyperlink ref="Q5333" r:id="rId3345"/>
    <hyperlink ref="F5335" r:id="rId3346"/>
    <hyperlink ref="Q5335" r:id="rId3347"/>
    <hyperlink ref="F5338" r:id="rId3348"/>
    <hyperlink ref="G5338" r:id="rId3349"/>
    <hyperlink ref="Q5338" r:id="rId3350"/>
    <hyperlink ref="F5340" r:id="rId3351"/>
    <hyperlink ref="G5342" r:id="rId3352"/>
    <hyperlink ref="G5344" r:id="rId3353"/>
    <hyperlink ref="G5345" r:id="rId3354"/>
    <hyperlink ref="Q5347" r:id="rId3355"/>
    <hyperlink ref="Q5353" r:id="rId3356"/>
    <hyperlink ref="Q5359" r:id="rId3357"/>
    <hyperlink ref="G5361" r:id="rId3358"/>
    <hyperlink ref="G5363" r:id="rId3359"/>
    <hyperlink ref="Q5363" r:id="rId3360"/>
    <hyperlink ref="F5364" r:id="rId3361"/>
    <hyperlink ref="Q5364" r:id="rId3362"/>
    <hyperlink ref="F5367" r:id="rId3363"/>
    <hyperlink ref="Q5367" r:id="rId3364"/>
    <hyperlink ref="Q5380" r:id="rId3365"/>
    <hyperlink ref="F5381" r:id="rId3366"/>
    <hyperlink ref="F5382" r:id="rId3367"/>
    <hyperlink ref="G5383" r:id="rId3368"/>
    <hyperlink ref="G5384" r:id="rId3369"/>
    <hyperlink ref="Q5386" r:id="rId3370"/>
    <hyperlink ref="Q5388" r:id="rId3371"/>
    <hyperlink ref="G5390" r:id="rId3372"/>
    <hyperlink ref="Q5390" r:id="rId3373"/>
    <hyperlink ref="Q5393" r:id="rId3374"/>
    <hyperlink ref="Q5395" r:id="rId3375"/>
    <hyperlink ref="G5402" r:id="rId3376"/>
    <hyperlink ref="Q5402" r:id="rId3377"/>
    <hyperlink ref="G5411" r:id="rId3378"/>
    <hyperlink ref="G5413" r:id="rId3379"/>
    <hyperlink ref="Q5413" r:id="rId3380"/>
    <hyperlink ref="G5419" r:id="rId3381"/>
    <hyperlink ref="Q5419" r:id="rId3382"/>
    <hyperlink ref="G5425" r:id="rId3383"/>
    <hyperlink ref="Q5425" r:id="rId3384"/>
    <hyperlink ref="G5428" r:id="rId3385"/>
    <hyperlink ref="F5429" r:id="rId3386"/>
    <hyperlink ref="G5431" r:id="rId3387"/>
    <hyperlink ref="Q5433" r:id="rId3388"/>
    <hyperlink ref="Q5434" r:id="rId3389"/>
    <hyperlink ref="Q5437" r:id="rId3390"/>
    <hyperlink ref="G5438" r:id="rId3391"/>
    <hyperlink ref="G5439" r:id="rId3392"/>
    <hyperlink ref="G5447" r:id="rId3393"/>
    <hyperlink ref="G5449" r:id="rId3394"/>
    <hyperlink ref="Q5451" r:id="rId3395"/>
    <hyperlink ref="Q5453" r:id="rId3396"/>
    <hyperlink ref="F5454" r:id="rId3397"/>
    <hyperlink ref="G5455" r:id="rId3398"/>
    <hyperlink ref="Q5460" r:id="rId3399"/>
    <hyperlink ref="Q5463" r:id="rId3400"/>
    <hyperlink ref="G5464" r:id="rId3401"/>
    <hyperlink ref="Q5464" r:id="rId3402"/>
    <hyperlink ref="F5466" r:id="rId3403"/>
    <hyperlink ref="G5469" r:id="rId3404"/>
    <hyperlink ref="G5470" r:id="rId3405"/>
    <hyperlink ref="G5472" r:id="rId3406"/>
    <hyperlink ref="G5475" r:id="rId3407"/>
    <hyperlink ref="G5476" r:id="rId3408"/>
    <hyperlink ref="Q5476" r:id="rId3409" location="/"/>
    <hyperlink ref="F5478" r:id="rId3410"/>
    <hyperlink ref="Q5478" r:id="rId3411"/>
    <hyperlink ref="G5482" r:id="rId3412"/>
    <hyperlink ref="Q5483" r:id="rId3413"/>
    <hyperlink ref="F5486" r:id="rId3414"/>
    <hyperlink ref="Q5486" r:id="rId3415"/>
    <hyperlink ref="G5488" r:id="rId3416"/>
    <hyperlink ref="G5489" r:id="rId3417"/>
    <hyperlink ref="Q5489" r:id="rId3418"/>
    <hyperlink ref="G5490" r:id="rId3419"/>
    <hyperlink ref="F5491" r:id="rId3420"/>
    <hyperlink ref="Q5492" r:id="rId3421"/>
    <hyperlink ref="Q5493" r:id="rId3422"/>
    <hyperlink ref="Q5495" r:id="rId3423"/>
    <hyperlink ref="G5500" r:id="rId3424"/>
    <hyperlink ref="F5509" r:id="rId3425"/>
    <hyperlink ref="Q5509" r:id="rId3426"/>
    <hyperlink ref="Q5512" r:id="rId3427"/>
    <hyperlink ref="G5514" r:id="rId3428"/>
    <hyperlink ref="Q5514" r:id="rId3429"/>
    <hyperlink ref="Q5516" r:id="rId3430"/>
    <hyperlink ref="G5523" r:id="rId3431"/>
    <hyperlink ref="Q5524" r:id="rId3432"/>
    <hyperlink ref="G5526" r:id="rId3433"/>
    <hyperlink ref="G5528" r:id="rId3434"/>
    <hyperlink ref="Q5531" r:id="rId3435"/>
    <hyperlink ref="Q5537" r:id="rId3436"/>
    <hyperlink ref="Q5540" r:id="rId3437"/>
    <hyperlink ref="G5541" r:id="rId3438"/>
    <hyperlink ref="G5546" r:id="rId3439"/>
    <hyperlink ref="G5550" r:id="rId3440"/>
    <hyperlink ref="G5551" r:id="rId3441"/>
    <hyperlink ref="F5552" r:id="rId3442"/>
    <hyperlink ref="G5552" r:id="rId3443"/>
    <hyperlink ref="Q5552" r:id="rId3444"/>
    <hyperlink ref="Q5555" r:id="rId3445"/>
    <hyperlink ref="G5556" r:id="rId3446"/>
    <hyperlink ref="F5557" r:id="rId3447"/>
    <hyperlink ref="G5557" r:id="rId3448"/>
    <hyperlink ref="G5558" r:id="rId3449"/>
    <hyperlink ref="Q5562" r:id="rId3450"/>
    <hyperlink ref="F5563" r:id="rId3451"/>
    <hyperlink ref="G5563" r:id="rId3452"/>
    <hyperlink ref="G5565" r:id="rId3453"/>
    <hyperlink ref="Q5566" r:id="rId3454"/>
    <hyperlink ref="F5568" r:id="rId3455"/>
    <hyperlink ref="G5569" r:id="rId3456"/>
    <hyperlink ref="G5570" r:id="rId3457"/>
    <hyperlink ref="G5571" r:id="rId3458"/>
    <hyperlink ref="Q5581" r:id="rId3459"/>
    <hyperlink ref="G5583" r:id="rId3460"/>
    <hyperlink ref="G5584" r:id="rId3461"/>
    <hyperlink ref="Q5585" r:id="rId3462"/>
    <hyperlink ref="Q5587" r:id="rId3463"/>
    <hyperlink ref="G5588" r:id="rId3464"/>
    <hyperlink ref="Q5593" r:id="rId3465"/>
    <hyperlink ref="Q5594" r:id="rId3466"/>
    <hyperlink ref="Q5595" r:id="rId3467"/>
    <hyperlink ref="G5602" r:id="rId3468"/>
    <hyperlink ref="G5606" r:id="rId3469"/>
    <hyperlink ref="Q5607" r:id="rId3470"/>
    <hyperlink ref="Q5621" r:id="rId3471"/>
    <hyperlink ref="F5622" r:id="rId3472"/>
    <hyperlink ref="Q5622" r:id="rId3473"/>
    <hyperlink ref="Q5623" r:id="rId3474"/>
    <hyperlink ref="Q5624" r:id="rId3475"/>
    <hyperlink ref="Q5626" r:id="rId3476"/>
    <hyperlink ref="Q5627" r:id="rId3477"/>
    <hyperlink ref="G5628" r:id="rId3478"/>
    <hyperlink ref="G5629" r:id="rId3479"/>
    <hyperlink ref="G5630" r:id="rId3480"/>
    <hyperlink ref="Q5634" r:id="rId3481"/>
    <hyperlink ref="G5635" r:id="rId3482"/>
    <hyperlink ref="F5636" r:id="rId3483"/>
    <hyperlink ref="G5636" r:id="rId3484"/>
    <hyperlink ref="Q5636" r:id="rId3485"/>
    <hyperlink ref="Q5637" r:id="rId3486"/>
    <hyperlink ref="F5642" r:id="rId3487"/>
    <hyperlink ref="Q5646" r:id="rId3488"/>
    <hyperlink ref="G5647" r:id="rId3489"/>
    <hyperlink ref="Q5648" r:id="rId3490"/>
    <hyperlink ref="Q5649" r:id="rId3491"/>
    <hyperlink ref="G5652" r:id="rId3492"/>
    <hyperlink ref="F5654" r:id="rId3493"/>
    <hyperlink ref="F5657" r:id="rId3494"/>
    <hyperlink ref="G5657" r:id="rId3495"/>
    <hyperlink ref="G5658" r:id="rId3496"/>
    <hyperlink ref="Q5663" r:id="rId3497"/>
    <hyperlink ref="G5664" r:id="rId3498"/>
    <hyperlink ref="G5665" r:id="rId3499"/>
    <hyperlink ref="Q5666" r:id="rId3500"/>
    <hyperlink ref="G5670" r:id="rId3501"/>
    <hyperlink ref="Q5670" r:id="rId3502"/>
    <hyperlink ref="F5672" r:id="rId3503"/>
    <hyperlink ref="G5672" r:id="rId3504"/>
    <hyperlink ref="Q5672" r:id="rId3505"/>
    <hyperlink ref="F5676" r:id="rId3506"/>
    <hyperlink ref="Q5678" r:id="rId3507"/>
    <hyperlink ref="Q5681" r:id="rId3508"/>
    <hyperlink ref="G5685" r:id="rId3509"/>
    <hyperlink ref="Q5686" r:id="rId3510"/>
    <hyperlink ref="G5697" r:id="rId3511"/>
    <hyperlink ref="Q5698" r:id="rId3512"/>
    <hyperlink ref="G5702" r:id="rId3513"/>
    <hyperlink ref="Q5704" r:id="rId3514"/>
    <hyperlink ref="F5706" r:id="rId3515"/>
    <hyperlink ref="G5708" r:id="rId3516"/>
    <hyperlink ref="Q5708" r:id="rId3517"/>
    <hyperlink ref="Q5709" r:id="rId3518"/>
    <hyperlink ref="G5711" r:id="rId3519"/>
    <hyperlink ref="Q5714" r:id="rId3520"/>
    <hyperlink ref="G5715" r:id="rId3521"/>
    <hyperlink ref="G5718" r:id="rId3522"/>
    <hyperlink ref="F5722" r:id="rId3523"/>
    <hyperlink ref="G5722" r:id="rId3524"/>
    <hyperlink ref="Q5722" r:id="rId3525"/>
    <hyperlink ref="Q5723" r:id="rId3526"/>
    <hyperlink ref="Q5725" r:id="rId3527"/>
    <hyperlink ref="Q5728" r:id="rId3528"/>
    <hyperlink ref="F5730" r:id="rId3529"/>
    <hyperlink ref="G5731" r:id="rId3530"/>
    <hyperlink ref="G5733" r:id="rId3531"/>
    <hyperlink ref="Q5736" r:id="rId3532"/>
    <hyperlink ref="G5738" r:id="rId3533"/>
    <hyperlink ref="F5739" r:id="rId3534"/>
    <hyperlink ref="G5741" r:id="rId3535"/>
    <hyperlink ref="F5744" r:id="rId3536"/>
    <hyperlink ref="Q5746" r:id="rId3537"/>
    <hyperlink ref="F5749" r:id="rId3538"/>
    <hyperlink ref="Q5751" r:id="rId3539"/>
    <hyperlink ref="F5752" r:id="rId3540"/>
    <hyperlink ref="G5752" r:id="rId3541"/>
    <hyperlink ref="Q5752" r:id="rId3542"/>
    <hyperlink ref="G5753" r:id="rId3543"/>
    <hyperlink ref="Q5753" r:id="rId3544"/>
    <hyperlink ref="F5754" r:id="rId3545"/>
    <hyperlink ref="Q5754" r:id="rId3546"/>
    <hyperlink ref="F5755" r:id="rId3547"/>
    <hyperlink ref="Q5756" r:id="rId3548"/>
    <hyperlink ref="F5759" r:id="rId3549"/>
    <hyperlink ref="Q5763" r:id="rId3550"/>
    <hyperlink ref="G5766" r:id="rId3551"/>
    <hyperlink ref="G5768" r:id="rId3552"/>
    <hyperlink ref="Q5769" r:id="rId3553"/>
    <hyperlink ref="G5770" r:id="rId3554"/>
    <hyperlink ref="G5771" r:id="rId3555"/>
    <hyperlink ref="Q5771" r:id="rId3556"/>
    <hyperlink ref="Q5774" r:id="rId3557"/>
    <hyperlink ref="G5775" r:id="rId3558"/>
    <hyperlink ref="G5776" r:id="rId3559"/>
    <hyperlink ref="Q5777" r:id="rId3560"/>
    <hyperlink ref="Q5779" r:id="rId3561"/>
    <hyperlink ref="Q5780" r:id="rId3562"/>
    <hyperlink ref="F5781" r:id="rId3563"/>
    <hyperlink ref="Q5785" r:id="rId3564"/>
    <hyperlink ref="Q5787" r:id="rId3565"/>
    <hyperlink ref="G5788" r:id="rId3566"/>
    <hyperlink ref="Q5789" r:id="rId3567"/>
    <hyperlink ref="Q5791" r:id="rId3568"/>
    <hyperlink ref="Q5793" r:id="rId3569"/>
    <hyperlink ref="G5796" r:id="rId3570"/>
    <hyperlink ref="F5797" r:id="rId3571"/>
    <hyperlink ref="Q5797" r:id="rId3572"/>
    <hyperlink ref="G5801" r:id="rId3573"/>
    <hyperlink ref="G5807" r:id="rId3574"/>
    <hyperlink ref="Q5807" r:id="rId3575"/>
    <hyperlink ref="Q5809" r:id="rId3576"/>
    <hyperlink ref="F5813" r:id="rId3577"/>
    <hyperlink ref="G5822" r:id="rId3578"/>
    <hyperlink ref="F5823" r:id="rId3579"/>
    <hyperlink ref="G5824" r:id="rId3580"/>
    <hyperlink ref="F5827" r:id="rId3581"/>
    <hyperlink ref="G5827" r:id="rId3582"/>
    <hyperlink ref="Q5827" r:id="rId3583"/>
    <hyperlink ref="Q5829" r:id="rId3584"/>
    <hyperlink ref="F5830" r:id="rId3585"/>
    <hyperlink ref="G5830" r:id="rId3586"/>
    <hyperlink ref="C5833" r:id="rId3587"/>
    <hyperlink ref="Q5833" r:id="rId3588"/>
    <hyperlink ref="C5837" r:id="rId3589"/>
    <hyperlink ref="F5837" r:id="rId3590"/>
    <hyperlink ref="Q5837" r:id="rId3591"/>
    <hyperlink ref="G5840" r:id="rId3592"/>
    <hyperlink ref="Q5840" r:id="rId3593"/>
    <hyperlink ref="G5842" r:id="rId3594"/>
    <hyperlink ref="Q5847" r:id="rId3595"/>
    <hyperlink ref="Q5848" r:id="rId3596"/>
    <hyperlink ref="G5850" r:id="rId3597"/>
    <hyperlink ref="Q5850" r:id="rId3598"/>
    <hyperlink ref="Q5852" r:id="rId3599"/>
    <hyperlink ref="Q5853" r:id="rId3600"/>
    <hyperlink ref="G5855" r:id="rId3601"/>
    <hyperlink ref="Q5863" r:id="rId3602"/>
    <hyperlink ref="G5868" r:id="rId3603"/>
    <hyperlink ref="Q5870" r:id="rId3604"/>
    <hyperlink ref="F5871" r:id="rId3605"/>
    <hyperlink ref="Q5872" r:id="rId3606"/>
    <hyperlink ref="G5873" r:id="rId3607"/>
    <hyperlink ref="Q5873" r:id="rId3608"/>
    <hyperlink ref="Q5875" r:id="rId3609"/>
    <hyperlink ref="G5877" r:id="rId3610"/>
    <hyperlink ref="F5878" r:id="rId3611"/>
    <hyperlink ref="G5878" r:id="rId3612"/>
    <hyperlink ref="G5879" r:id="rId3613"/>
    <hyperlink ref="Q5879" r:id="rId3614"/>
    <hyperlink ref="Q5881" r:id="rId3615"/>
    <hyperlink ref="G5885" r:id="rId3616"/>
    <hyperlink ref="Q5889" r:id="rId3617"/>
    <hyperlink ref="G5892" r:id="rId3618"/>
    <hyperlink ref="G5893" r:id="rId3619"/>
    <hyperlink ref="Q5895" r:id="rId3620"/>
    <hyperlink ref="Q5911" r:id="rId3621"/>
    <hyperlink ref="G5915" r:id="rId3622"/>
    <hyperlink ref="G5918" r:id="rId3623"/>
    <hyperlink ref="F5921" r:id="rId3624"/>
    <hyperlink ref="F5922" r:id="rId3625"/>
    <hyperlink ref="Q5926" r:id="rId3626"/>
    <hyperlink ref="Q5929" r:id="rId3627"/>
    <hyperlink ref="G5941" r:id="rId3628"/>
    <hyperlink ref="G5945" r:id="rId3629"/>
    <hyperlink ref="Q5947" r:id="rId3630"/>
    <hyperlink ref="G5949" r:id="rId3631"/>
    <hyperlink ref="Q5949" r:id="rId3632"/>
    <hyperlink ref="G5955" r:id="rId3633"/>
    <hyperlink ref="Q5955" r:id="rId3634"/>
    <hyperlink ref="G5956" r:id="rId3635"/>
    <hyperlink ref="Q5959" r:id="rId3636"/>
    <hyperlink ref="Q5962" r:id="rId3637"/>
    <hyperlink ref="Q5964" r:id="rId3638"/>
    <hyperlink ref="G5966" r:id="rId3639"/>
    <hyperlink ref="Q5966" r:id="rId3640"/>
    <hyperlink ref="F5972" r:id="rId3641"/>
    <hyperlink ref="Q5972" r:id="rId3642"/>
    <hyperlink ref="G5974" r:id="rId3643"/>
    <hyperlink ref="Q5975" r:id="rId3644"/>
    <hyperlink ref="G5977" r:id="rId3645"/>
    <hyperlink ref="Q5977" r:id="rId3646"/>
    <hyperlink ref="G5982" r:id="rId3647"/>
    <hyperlink ref="Q5987" r:id="rId3648"/>
    <hyperlink ref="Q5991" r:id="rId3649"/>
    <hyperlink ref="G5994" r:id="rId3650"/>
    <hyperlink ref="F5996" r:id="rId3651"/>
    <hyperlink ref="F5997" r:id="rId36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سوال از رئیس جمهور در مجلس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Moein</dc:creator>
  <cp:lastModifiedBy>Moein</cp:lastModifiedBy>
  <dcterms:created xsi:type="dcterms:W3CDTF">2018-09-29T20:19:00Z</dcterms:created>
  <dcterms:modified xsi:type="dcterms:W3CDTF">2018-09-29T20:19:43Z</dcterms:modified>
</cp:coreProperties>
</file>